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5.png" ContentType="image/png"/>
  <Override PartName="/xl/media/image4.png" ContentType="image/png"/>
  <Override PartName="/xl/media/image3.jpeg" ContentType="image/jpeg"/>
  <Override PartName="/xl/media/image6.tif" ContentType="image/tiff"/>
  <Override PartName="/xl/media/image2.png" ContentType="image/png"/>
  <Override PartName="/xl/media/image1.tif" ContentType="image/tiff"/>
  <Override PartName="/xl/charts/chart19.xml" ContentType="application/vnd.openxmlformats-officedocument.drawingml.chart+xml"/>
  <Override PartName="/xl/charts/chart18.xml" ContentType="application/vnd.openxmlformats-officedocument.drawingml.chart+xml"/>
  <Override PartName="/xl/charts/chart17.xml" ContentType="application/vnd.openxmlformats-officedocument.drawingml.chart+xml"/>
  <Override PartName="/xl/charts/chart16.xml" ContentType="application/vnd.openxmlformats-officedocument.drawingml.chart+xml"/>
  <Override PartName="/xl/charts/chart15.xml" ContentType="application/vnd.openxmlformats-officedocument.drawingml.chart+xml"/>
  <Override PartName="/xl/charts/chart14.xml" ContentType="application/vnd.openxmlformats-officedocument.drawingml.chart+xml"/>
  <Override PartName="/xl/charts/chart13.xml" ContentType="application/vnd.openxmlformats-officedocument.drawingml.chart+xml"/>
  <Override PartName="/xl/charts/chart12.xml" ContentType="application/vnd.openxmlformats-officedocument.drawingml.chart+xml"/>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sharedStrings.xml" ContentType="application/vnd.openxmlformats-officedocument.spreadsheetml.sharedString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tables/table1.xml" ContentType="application/vnd.openxmlformats-officedocument.spreadsheetml.table+xml"/>
  <Override PartName="/xl/styles.xml" ContentType="application/vnd.openxmlformats-officedocument.spreadsheetml.styles+xml"/>
  <Override PartName="/xl/drawings/drawing4.xml" ContentType="application/vnd.openxmlformats-officedocument.drawing+xml"/>
  <Override PartName="/xl/drawings/_rels/drawing4.xml.rels" ContentType="application/vnd.openxmlformats-package.relationships+xml"/>
  <Override PartName="/xl/drawings/_rels/drawing1.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troducción" sheetId="1" state="visible" r:id="rId2"/>
    <sheet name="Modelo AHP" sheetId="2" state="visible" r:id="rId3"/>
    <sheet name="Índices y Ranking Barrio" sheetId="3" state="visible" r:id="rId4"/>
    <sheet name="Indices por Distritos" sheetId="4" state="visible" r:id="rId5"/>
    <sheet name="aux" sheetId="5" state="visible" r:id="rId6"/>
    <sheet name="correla" sheetId="6" state="hidden" r:id="rId7"/>
    <sheet name="Gráficos" sheetId="7" state="hidden" r:id="rId8"/>
    <sheet name="Fuentes de datos" sheetId="8" state="visible" r:id="rId9"/>
  </sheets>
  <definedNames>
    <definedName function="false" hidden="true" localSheetId="3" name="_xlnm._FilterDatabase" vbProcedure="false">'Indices por Distritos'!$B$3:$D$3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<sst xmlns="http://schemas.openxmlformats.org/spreadsheetml/2006/main" count="1310" uniqueCount="356">
  <si>
    <t xml:space="preserve">Grupo de Ingeligencia Artificial Aplicada</t>
  </si>
  <si>
    <t xml:space="preserve">www.giaa.inf.uc3m.es</t>
  </si>
  <si>
    <t xml:space="preserve">  </t>
  </si>
  <si>
    <t xml:space="preserve">Área Delegada de Coordinación Territorial, Transparencia y Participación Ciudadana                  D.G. de Coordinación Territorial y Desconcentración                                                                  Servicio de Estudios y Evaluación Territorial</t>
  </si>
  <si>
    <t xml:space="preserve">Modelo de Índice de Vulnerabilidad aplicando el Proceso Analítico Jerárquico</t>
  </si>
  <si>
    <t xml:space="preserve">Modelo AHP</t>
  </si>
  <si>
    <t xml:space="preserve">Para obtener un ranking basado en la vulnerabilidad, deben darse valores a la importancia relativa entre las variables de decisión.</t>
  </si>
  <si>
    <t xml:space="preserve">La importancia se indica marcando una "x" en el rango de importancia relativa en la hoja "Modelo AHP". En esta hoja, sólo pueden modificarse las celdas que determinan la importancia relativa.</t>
  </si>
  <si>
    <t xml:space="preserve">Sólo debe marcarse una "x" por fila, en caso contrario aparecerá un mensaje de error en la celda a la izquierda de las variables que se están comparando.</t>
  </si>
  <si>
    <r>
      <rPr>
        <sz val="14"/>
        <color rgb="FF000000"/>
        <rFont val="Calibri"/>
        <family val="2"/>
      </rPr>
      <t xml:space="preserve">El rango de importancia relativa entre dos variables de decisión se encuentra entre el valor más bajo "</t>
    </r>
    <r>
      <rPr>
        <i val="true"/>
        <sz val="14"/>
        <color rgb="FF000000"/>
        <rFont val="Calibri"/>
        <family val="2"/>
      </rPr>
      <t xml:space="preserve">extremadamente menos importante</t>
    </r>
    <r>
      <rPr>
        <sz val="14"/>
        <color rgb="FF000000"/>
        <rFont val="Calibri"/>
        <family val="2"/>
      </rPr>
      <t xml:space="preserve">" hasta el mayor "</t>
    </r>
    <r>
      <rPr>
        <i val="true"/>
        <sz val="14"/>
        <color rgb="FF000000"/>
        <rFont val="Calibri"/>
        <family val="2"/>
      </rPr>
      <t xml:space="preserve">extremadamente más importante</t>
    </r>
    <r>
      <rPr>
        <sz val="14"/>
        <color rgb="FF000000"/>
        <rFont val="Calibri"/>
        <family val="2"/>
      </rPr>
      <t xml:space="preserve">".</t>
    </r>
  </si>
  <si>
    <t xml:space="preserve">Por ejemplo:</t>
  </si>
  <si>
    <t xml:space="preserve">Importancia Relativa</t>
  </si>
  <si>
    <t xml:space="preserve">MENOR</t>
  </si>
  <si>
    <t xml:space="preserve">IGUAL</t>
  </si>
  <si>
    <t xml:space="preserve">MAYOR</t>
  </si>
  <si>
    <t xml:space="preserve">A</t>
  </si>
  <si>
    <t xml:space="preserve">Extrema</t>
  </si>
  <si>
    <t xml:space="preserve">Mucho</t>
  </si>
  <si>
    <t xml:space="preserve">Bastante</t>
  </si>
  <si>
    <t xml:space="preserve">Algo</t>
  </si>
  <si>
    <t xml:space="preserve">Igual</t>
  </si>
  <si>
    <r>
      <rPr>
        <b val="true"/>
        <sz val="12"/>
        <color rgb="FF000000"/>
        <rFont val="Calibri"/>
        <family val="2"/>
      </rPr>
      <t xml:space="preserve">B</t>
    </r>
    <r>
      <rPr>
        <sz val="12"/>
        <color rgb="FF000000"/>
        <rFont val="Calibri"/>
        <family val="2"/>
      </rPr>
      <t xml:space="preserve"> frente a </t>
    </r>
    <r>
      <rPr>
        <b val="true"/>
        <sz val="12"/>
        <color rgb="FF000000"/>
        <rFont val="Calibri"/>
        <family val="2"/>
      </rPr>
      <t xml:space="preserve">C</t>
    </r>
  </si>
  <si>
    <t xml:space="preserve">x</t>
  </si>
  <si>
    <r>
      <rPr>
        <sz val="14"/>
        <color rgb="FF000000"/>
        <rFont val="Calibri"/>
        <family val="2"/>
      </rPr>
      <t xml:space="preserve">En este ejemplo, B es "</t>
    </r>
    <r>
      <rPr>
        <i val="true"/>
        <sz val="14"/>
        <color rgb="FF000000"/>
        <rFont val="Calibri"/>
        <family val="2"/>
      </rPr>
      <t xml:space="preserve">Algo menos Importante</t>
    </r>
    <r>
      <rPr>
        <sz val="14"/>
        <color rgb="FF000000"/>
        <rFont val="Calibri"/>
        <family val="2"/>
      </rPr>
      <t xml:space="preserve">" que C, en el contexto de sus valores son requeridos para el cálculo de A.</t>
    </r>
  </si>
  <si>
    <t xml:space="preserve">De la matriz de datos se puede obtener los pesos que tendrá cada variable. Siguiendo con el ejemplo: La importancia relativa se traduce en un número en una matriz de datos.</t>
  </si>
  <si>
    <t xml:space="preserve">Peso</t>
  </si>
  <si>
    <t xml:space="preserve">B</t>
  </si>
  <si>
    <t xml:space="preserve">C</t>
  </si>
  <si>
    <t xml:space="preserve">Los pesos significan que para calcular A tendremos que hacer: A = 0,25*B + 0,75*C</t>
  </si>
  <si>
    <r>
      <rPr>
        <sz val="14"/>
        <color rgb="FF000000"/>
        <rFont val="Calibri"/>
        <family val="2"/>
      </rPr>
      <t xml:space="preserve">Se pueden para valores intermedios entre los rangos, por ejemplo, estar entre "</t>
    </r>
    <r>
      <rPr>
        <i val="true"/>
        <sz val="14"/>
        <color rgb="FF000000"/>
        <rFont val="Calibri"/>
        <family val="2"/>
      </rPr>
      <t xml:space="preserve">bastante menos importante</t>
    </r>
    <r>
      <rPr>
        <sz val="14"/>
        <color rgb="FF000000"/>
        <rFont val="Calibri"/>
        <family val="2"/>
      </rPr>
      <t xml:space="preserve">" y "</t>
    </r>
    <r>
      <rPr>
        <i val="true"/>
        <sz val="14"/>
        <color rgb="FF000000"/>
        <rFont val="Calibri"/>
        <family val="2"/>
      </rPr>
      <t xml:space="preserve">algo menos importante</t>
    </r>
    <r>
      <rPr>
        <sz val="14"/>
        <color rgb="FF000000"/>
        <rFont val="Calibri"/>
        <family val="2"/>
      </rPr>
      <t xml:space="preserve">". Basta con marcar con "x" en la celda intermedia.</t>
    </r>
  </si>
  <si>
    <t xml:space="preserve">Es decir, C es el índice que más va a pesar para el cálculo de A.</t>
  </si>
  <si>
    <t xml:space="preserve">Se calcula un índice de coherencia de los juicios realizados llamado "Coherencia Saaty".  Se aplica a comparaciones en las que están involucradas mas de dos variables.</t>
  </si>
  <si>
    <t xml:space="preserve">Un resultado aceptable para el valor de coherencia Saaty es cuando es menor de 10%.</t>
  </si>
  <si>
    <t xml:space="preserve">Índices y Ranking Barrio</t>
  </si>
  <si>
    <t xml:space="preserve">Los cálculos de las variables se presentan en la hoja "Índices y Ranking Barrio". Se muestran las variables con los valores de entrada (color azul) las intermedias (amarillo) y finálmente el valor de "Vulnerabilidad"</t>
  </si>
  <si>
    <t xml:space="preserve">Se pueden ordenar los valores por cualquier columna y se ha utilizado un código de color para expresar la posición relativa.</t>
  </si>
  <si>
    <t xml:space="preserve">Los valores calculados se obtienen normalizados a 1. Por tanto, si un barrio tiene un valor para una variable calculada que es el doble que otro, significa que en comparación, es el doble peor.</t>
  </si>
  <si>
    <t xml:space="preserve">El rango de color toma para el amarillo el valor medio, el rojo intenso para el peor valor (en este contexto, el valor mayor) y el verde intenso para el mejor valor (en este contexto será el valor menor).</t>
  </si>
  <si>
    <t xml:space="preserve">Índices y Ranking Distrito</t>
  </si>
  <si>
    <t xml:space="preserve">En esta tabla mostramos los valores del indicador de vulnerabilidad  2018 por los distritos de la Ciudad, que se extraen del computo medio de cada uno de los barrios que los conforman.</t>
  </si>
  <si>
    <t xml:space="preserve">Aux</t>
  </si>
  <si>
    <t xml:space="preserve">En la hoja denominada aux se encuentran tablas de datos y formulación complementaria para ejecutar los Indices y el Ranking de Barrio. Es la tabla de elaboración.</t>
  </si>
  <si>
    <t xml:space="preserve">Fuentes de datos</t>
  </si>
  <si>
    <t xml:space="preserve">Se muestran los datos de los indicadores que se han utilizado para realizar los cálculos, así como la procedencia de los mismos.</t>
  </si>
  <si>
    <t xml:space="preserve">Bibliografía seleccionada</t>
  </si>
  <si>
    <t xml:space="preserve">Saaty, T. L. (2008). Relative Measurement and its Generalization in Decision Making: Why Pairwise Comparisons are Central in Mathematics for the Measurement of Intangible Factors -- The Analytic Hierarchy/Network </t>
  </si>
  <si>
    <t xml:space="preserve">Process. Revista de la Real Academia de Ciencias Exactas, Físicas y Naturales. Serie A: Matemáticas (RACSAM), 102, 251--318. </t>
  </si>
  <si>
    <t xml:space="preserve">Ishizaka A., Labib A. Review of the main developments in the analytic hierarchy process, Expert Systems with Applications, 38(11), 14336-14345, 2011</t>
  </si>
  <si>
    <t xml:space="preserve">Goepel, Klaus D., Implementing the analytic hierarchy process as a standard method for multi-criteria decision making in corporate enterprises – a new AHP excel template with multiple inputs.</t>
  </si>
  <si>
    <t xml:space="preserve">Proceedings of the international symposium on the analytic hierarchy process, Kuala Lumpur, Malaysia, 2013</t>
  </si>
  <si>
    <t xml:space="preserve">Autores</t>
  </si>
  <si>
    <t xml:space="preserve">Dpto. Informática (UC3M)</t>
  </si>
  <si>
    <t xml:space="preserve">Dpto. Ciencias Sociales (UC3M)</t>
  </si>
  <si>
    <t xml:space="preserve">Dpto. de Ciencia Política y de la Administración II (UCM)</t>
  </si>
  <si>
    <t xml:space="preserve">Jose Manuel Molina</t>
  </si>
  <si>
    <t xml:space="preserve">Roberto Losada Maestre</t>
  </si>
  <si>
    <t xml:space="preserve">Gema Sánchez Medero</t>
  </si>
  <si>
    <t xml:space="preserve">Antonio Berlanga</t>
  </si>
  <si>
    <t xml:space="preserve">Rubén Sánchez Medero</t>
  </si>
  <si>
    <t xml:space="preserve">Miguel Ángel Patricio</t>
  </si>
  <si>
    <t xml:space="preserve">Ester García Sánchez</t>
  </si>
  <si>
    <t xml:space="preserve">Jesús Gutiérrez Villalta</t>
  </si>
  <si>
    <t xml:space="preserve">Coordinación del informe</t>
  </si>
  <si>
    <t xml:space="preserve">Luis Miguel Palomares Martin. Jefe de Servicio de Estudios y Evaluación Territorial. Dirección General de Descentralización y Acción Territorial. Área de Coordinación Territorial y Cooperación Público-Social. Ayuntamiento de Madrid</t>
  </si>
  <si>
    <t xml:space="preserve">Mercedes Esteban y Peña. Jefa de Departamento de Estudios Territoriales. Dirección General de Descentralización y Acción Territorial. Área de Coordinación Territorial y Cooperación Público-Social. Ayuntamiento de Madrid</t>
  </si>
  <si>
    <t xml:space="preserve">Elena Fernandez Velasco. Técnico Superior. Socióloga. Servicio de Estudios y Evaluación Territorial. Dirección General de Descentralización y Acción Territorial. Área de Coordinación Territorial y Cooperación Público-Social. Ayuntamiento de Madrid</t>
  </si>
  <si>
    <t xml:space="preserve">Diseño y maquetación </t>
  </si>
  <si>
    <t xml:space="preserve">Javier Ubeda Diaz. Administración. Servicio de Estudios y Evaluación Territorial. </t>
  </si>
  <si>
    <r>
      <rPr>
        <b val="true"/>
        <sz val="18"/>
        <color rgb="FF000000"/>
        <rFont val="Calibri"/>
        <family val="2"/>
      </rPr>
      <t xml:space="preserve">Informe detallado de la metodologia disponible en</t>
    </r>
    <r>
      <rPr>
        <sz val="18"/>
        <color rgb="FF000000"/>
        <rFont val="Calibri"/>
        <family val="2"/>
      </rPr>
      <t xml:space="preserve">: </t>
    </r>
    <r>
      <rPr>
        <sz val="12"/>
        <color rgb="FF000000"/>
        <rFont val="Calibri"/>
        <family val="2"/>
      </rPr>
      <t xml:space="preserve">https: </t>
    </r>
    <r>
      <rPr>
        <i val="true"/>
        <sz val="12"/>
        <color rgb="FF000000"/>
        <rFont val="Calibri"/>
        <family val="2"/>
      </rPr>
      <t xml:space="preserve">IndiceVulnerabilidad (IV-R). Pdf</t>
    </r>
  </si>
  <si>
    <t xml:space="preserve">Vulnerabilidad</t>
  </si>
  <si>
    <t xml:space="preserve">Población</t>
  </si>
  <si>
    <t xml:space="preserve">Estatus Socio-Económico</t>
  </si>
  <si>
    <t xml:space="preserve">Actividad Económica</t>
  </si>
  <si>
    <t xml:space="preserve">Desarrollo Urbano</t>
  </si>
  <si>
    <t xml:space="preserve">Necesidades Asistenciales</t>
  </si>
  <si>
    <t xml:space="preserve">Wharton</t>
  </si>
  <si>
    <r>
      <rPr>
        <b val="true"/>
        <sz val="12"/>
        <color rgb="FF000000"/>
        <rFont val="Calibri"/>
        <family val="2"/>
      </rPr>
      <t xml:space="preserve">Población</t>
    </r>
    <r>
      <rPr>
        <sz val="12"/>
        <color rgb="FF000000"/>
        <rFont val="Calibri"/>
        <family val="2"/>
      </rPr>
      <t xml:space="preserve"> frente a </t>
    </r>
    <r>
      <rPr>
        <b val="true"/>
        <sz val="12"/>
        <color rgb="FF000000"/>
        <rFont val="Calibri"/>
        <family val="2"/>
      </rPr>
      <t xml:space="preserve">Estatus Socio-económico</t>
    </r>
  </si>
  <si>
    <t xml:space="preserve">Random Index (RI)</t>
  </si>
  <si>
    <r>
      <rPr>
        <b val="true"/>
        <sz val="12"/>
        <color rgb="FF000000"/>
        <rFont val="Calibri"/>
        <family val="2"/>
      </rPr>
      <t xml:space="preserve">Población </t>
    </r>
    <r>
      <rPr>
        <sz val="12"/>
        <color rgb="FF000000"/>
        <rFont val="Calibri"/>
        <family val="2"/>
      </rPr>
      <t xml:space="preserve">frente a </t>
    </r>
    <r>
      <rPr>
        <b val="true"/>
        <sz val="12"/>
        <color rgb="FF000000"/>
        <rFont val="Calibri"/>
        <family val="2"/>
      </rPr>
      <t xml:space="preserve">Actividad Económica</t>
    </r>
  </si>
  <si>
    <r>
      <rPr>
        <b val="true"/>
        <sz val="12"/>
        <color rgb="FF000000"/>
        <rFont val="Calibri"/>
        <family val="2"/>
      </rPr>
      <t xml:space="preserve">Población</t>
    </r>
    <r>
      <rPr>
        <sz val="12"/>
        <color rgb="FF000000"/>
        <rFont val="Calibri"/>
        <family val="2"/>
      </rPr>
      <t xml:space="preserve"> frente a </t>
    </r>
    <r>
      <rPr>
        <b val="true"/>
        <sz val="12"/>
        <color rgb="FF000000"/>
        <rFont val="Calibri"/>
        <family val="2"/>
      </rPr>
      <t xml:space="preserve">Desarrollo Urbanístico</t>
    </r>
  </si>
  <si>
    <r>
      <rPr>
        <b val="true"/>
        <sz val="12"/>
        <color rgb="FF000000"/>
        <rFont val="Calibri"/>
        <family val="2"/>
      </rPr>
      <t xml:space="preserve">Población</t>
    </r>
    <r>
      <rPr>
        <sz val="12"/>
        <color rgb="FF000000"/>
        <rFont val="Calibri"/>
        <family val="2"/>
      </rPr>
      <t xml:space="preserve"> frente a </t>
    </r>
    <r>
      <rPr>
        <b val="true"/>
        <sz val="12"/>
        <color rgb="FF000000"/>
        <rFont val="Calibri"/>
        <family val="2"/>
      </rPr>
      <t xml:space="preserve">Necesidades Asistenciales</t>
    </r>
  </si>
  <si>
    <t xml:space="preserve">Desarrollo Urbanístico</t>
  </si>
  <si>
    <r>
      <rPr>
        <b val="true"/>
        <sz val="12"/>
        <color rgb="FF000000"/>
        <rFont val="Calibri"/>
        <family val="2"/>
      </rPr>
      <t xml:space="preserve">Estatus Socio-económico</t>
    </r>
    <r>
      <rPr>
        <sz val="12"/>
        <color rgb="FF000000"/>
        <rFont val="Calibri"/>
        <family val="2"/>
      </rPr>
      <t xml:space="preserve"> frente a </t>
    </r>
    <r>
      <rPr>
        <b val="true"/>
        <sz val="12"/>
        <color rgb="FF000000"/>
        <rFont val="Calibri"/>
        <family val="2"/>
      </rPr>
      <t xml:space="preserve">Actividad Económica</t>
    </r>
  </si>
  <si>
    <r>
      <rPr>
        <b val="true"/>
        <sz val="12"/>
        <color rgb="FF000000"/>
        <rFont val="Calibri"/>
        <family val="2"/>
      </rPr>
      <t xml:space="preserve">Estatus Socio-económico </t>
    </r>
    <r>
      <rPr>
        <sz val="12"/>
        <color rgb="FF000000"/>
        <rFont val="Calibri"/>
        <family val="2"/>
      </rPr>
      <t xml:space="preserve">frente a </t>
    </r>
    <r>
      <rPr>
        <b val="true"/>
        <sz val="12"/>
        <color rgb="FF000000"/>
        <rFont val="Calibri"/>
        <family val="2"/>
      </rPr>
      <t xml:space="preserve">Desarrollo Urbano</t>
    </r>
  </si>
  <si>
    <t xml:space="preserve">Consistencia Saaty</t>
  </si>
  <si>
    <r>
      <rPr>
        <b val="true"/>
        <sz val="12"/>
        <color rgb="FF000000"/>
        <rFont val="Calibri"/>
        <family val="2"/>
      </rPr>
      <t xml:space="preserve">Estatus Socio-económico</t>
    </r>
    <r>
      <rPr>
        <sz val="12"/>
        <color rgb="FF000000"/>
        <rFont val="Calibri"/>
        <family val="2"/>
      </rPr>
      <t xml:space="preserve"> frente a</t>
    </r>
    <r>
      <rPr>
        <b val="true"/>
        <sz val="12"/>
        <color rgb="FF000000"/>
        <rFont val="Calibri"/>
        <family val="2"/>
      </rPr>
      <t xml:space="preserve"> Necesidades Asistenciales</t>
    </r>
  </si>
  <si>
    <t xml:space="preserve">(valores por debajo de 10% se consideran consistentes)</t>
  </si>
  <si>
    <r>
      <rPr>
        <b val="true"/>
        <sz val="12"/>
        <color rgb="FF000000"/>
        <rFont val="Calibri"/>
        <family val="2"/>
      </rPr>
      <t xml:space="preserve">Actividad Económica</t>
    </r>
    <r>
      <rPr>
        <sz val="12"/>
        <color rgb="FF000000"/>
        <rFont val="Calibri"/>
        <family val="2"/>
      </rPr>
      <t xml:space="preserve"> frente a </t>
    </r>
    <r>
      <rPr>
        <b val="true"/>
        <sz val="12"/>
        <color rgb="FF000000"/>
        <rFont val="Calibri"/>
        <family val="2"/>
      </rPr>
      <t xml:space="preserve">Desarrollo Urbano</t>
    </r>
  </si>
  <si>
    <r>
      <rPr>
        <b val="true"/>
        <sz val="12"/>
        <color rgb="FF000000"/>
        <rFont val="Calibri"/>
        <family val="2"/>
      </rPr>
      <t xml:space="preserve">Actividad Económica</t>
    </r>
    <r>
      <rPr>
        <sz val="12"/>
        <color rgb="FF000000"/>
        <rFont val="Calibri"/>
        <family val="2"/>
      </rPr>
      <t xml:space="preserve"> frente a </t>
    </r>
    <r>
      <rPr>
        <b val="true"/>
        <sz val="12"/>
        <color rgb="FF000000"/>
        <rFont val="Calibri"/>
        <family val="2"/>
      </rPr>
      <t xml:space="preserve">Necesidades Asistenciales</t>
    </r>
  </si>
  <si>
    <r>
      <rPr>
        <b val="true"/>
        <sz val="12"/>
        <color rgb="FF000000"/>
        <rFont val="Calibri"/>
        <family val="2"/>
      </rPr>
      <t xml:space="preserve">Desarrollo Urbano</t>
    </r>
    <r>
      <rPr>
        <sz val="12"/>
        <color rgb="FF000000"/>
        <rFont val="Calibri"/>
        <family val="2"/>
      </rPr>
      <t xml:space="preserve"> frente a </t>
    </r>
    <r>
      <rPr>
        <b val="true"/>
        <sz val="12"/>
        <color rgb="FF000000"/>
        <rFont val="Calibri"/>
        <family val="2"/>
      </rPr>
      <t xml:space="preserve">Necesidades Asistenciales</t>
    </r>
  </si>
  <si>
    <t xml:space="preserve">Tasa Inmigrantes</t>
  </si>
  <si>
    <t xml:space="preserve">Esperanza de Vida</t>
  </si>
  <si>
    <t xml:space="preserve">Sin Estudios o Primarios</t>
  </si>
  <si>
    <r>
      <rPr>
        <b val="true"/>
        <sz val="12"/>
        <color rgb="FF000000"/>
        <rFont val="Calibri"/>
        <family val="2"/>
      </rPr>
      <t xml:space="preserve">Tasa Inmigrantes</t>
    </r>
    <r>
      <rPr>
        <sz val="12"/>
        <color rgb="FF000000"/>
        <rFont val="Calibri"/>
        <family val="2"/>
      </rPr>
      <t xml:space="preserve"> frente a </t>
    </r>
    <r>
      <rPr>
        <b val="true"/>
        <sz val="12"/>
        <color rgb="FF000000"/>
        <rFont val="Calibri"/>
        <family val="2"/>
      </rPr>
      <t xml:space="preserve">Esperanza de Vida</t>
    </r>
  </si>
  <si>
    <r>
      <rPr>
        <b val="true"/>
        <sz val="12"/>
        <color rgb="FF000000"/>
        <rFont val="Calibri"/>
        <family val="2"/>
      </rPr>
      <t xml:space="preserve">Tasa Inmigrantes</t>
    </r>
    <r>
      <rPr>
        <sz val="12"/>
        <color rgb="FF000000"/>
        <rFont val="Calibri"/>
        <family val="2"/>
      </rPr>
      <t xml:space="preserve"> frente a </t>
    </r>
    <r>
      <rPr>
        <b val="true"/>
        <sz val="12"/>
        <color rgb="FF000000"/>
        <rFont val="Calibri"/>
        <family val="2"/>
      </rPr>
      <t xml:space="preserve">Sin Estudios o Primarios</t>
    </r>
  </si>
  <si>
    <r>
      <rPr>
        <b val="true"/>
        <sz val="12"/>
        <color rgb="FF000000"/>
        <rFont val="Calibri"/>
        <family val="2"/>
      </rPr>
      <t xml:space="preserve">Esperanza de vida</t>
    </r>
    <r>
      <rPr>
        <sz val="12"/>
        <color rgb="FF000000"/>
        <rFont val="Calibri"/>
        <family val="2"/>
      </rPr>
      <t xml:space="preserve"> frente a </t>
    </r>
    <r>
      <rPr>
        <b val="true"/>
        <sz val="12"/>
        <color rgb="FF000000"/>
        <rFont val="Calibri"/>
        <family val="2"/>
      </rPr>
      <t xml:space="preserve">Sin Estudios o Primarios</t>
    </r>
  </si>
  <si>
    <t xml:space="preserve">Tasa de Paro</t>
  </si>
  <si>
    <t xml:space="preserve">Tasa Paro mayores 45</t>
  </si>
  <si>
    <t xml:space="preserve">Tasa de Parados sin Prestación</t>
  </si>
  <si>
    <r>
      <rPr>
        <b val="true"/>
        <sz val="12"/>
        <color rgb="FF000000"/>
        <rFont val="Calibri"/>
        <family val="2"/>
      </rPr>
      <t xml:space="preserve">Tasa de Paro</t>
    </r>
    <r>
      <rPr>
        <sz val="12"/>
        <color rgb="FF000000"/>
        <rFont val="Calibri"/>
        <family val="2"/>
      </rPr>
      <t xml:space="preserve"> frente a </t>
    </r>
    <r>
      <rPr>
        <b val="true"/>
        <sz val="12"/>
        <color rgb="FF000000"/>
        <rFont val="Calibri"/>
        <family val="2"/>
      </rPr>
      <t xml:space="preserve">Tasa Paro mayores 45</t>
    </r>
  </si>
  <si>
    <r>
      <rPr>
        <b val="true"/>
        <sz val="12"/>
        <color rgb="FF000000"/>
        <rFont val="Calibri"/>
        <family val="2"/>
      </rPr>
      <t xml:space="preserve">Tasa de Paro </t>
    </r>
    <r>
      <rPr>
        <sz val="12"/>
        <color rgb="FF000000"/>
        <rFont val="Calibri"/>
        <family val="2"/>
      </rPr>
      <t xml:space="preserve">frente a </t>
    </r>
    <r>
      <rPr>
        <b val="true"/>
        <sz val="12"/>
        <color rgb="FF000000"/>
        <rFont val="Calibri"/>
        <family val="2"/>
      </rPr>
      <t xml:space="preserve">Tasa de Parados sin Prestación</t>
    </r>
  </si>
  <si>
    <r>
      <rPr>
        <b val="true"/>
        <sz val="12"/>
        <color rgb="FF000000"/>
        <rFont val="Calibri"/>
        <family val="2"/>
      </rPr>
      <t xml:space="preserve">Tasa Paro mayores 45</t>
    </r>
    <r>
      <rPr>
        <sz val="12"/>
        <color rgb="FF000000"/>
        <rFont val="Calibri"/>
        <family val="2"/>
      </rPr>
      <t xml:space="preserve"> frente a </t>
    </r>
    <r>
      <rPr>
        <b val="true"/>
        <sz val="12"/>
        <color rgb="FF000000"/>
        <rFont val="Calibri"/>
        <family val="2"/>
      </rPr>
      <t xml:space="preserve">Tasa Parados sin Prestación</t>
    </r>
  </si>
  <si>
    <t xml:space="preserve">Tasa Parados sin Prestación</t>
  </si>
  <si>
    <t xml:space="preserve">n</t>
  </si>
  <si>
    <t xml:space="preserve">Tasa Demanda Dependientes</t>
  </si>
  <si>
    <t xml:space="preserve">Familas perceptoras renta mínima</t>
  </si>
  <si>
    <t xml:space="preserve">Tasa SAD Dependencia</t>
  </si>
  <si>
    <t xml:space="preserve">Tasa Teleasistencia Dependencia</t>
  </si>
  <si>
    <r>
      <rPr>
        <b val="true"/>
        <sz val="12"/>
        <color rgb="FF000000"/>
        <rFont val="Calibri"/>
        <family val="2"/>
      </rPr>
      <t xml:space="preserve">Tasa Demanda Dependientes</t>
    </r>
    <r>
      <rPr>
        <sz val="12"/>
        <color rgb="FF000000"/>
        <rFont val="Calibri"/>
        <family val="2"/>
      </rPr>
      <t xml:space="preserve"> frente a </t>
    </r>
    <r>
      <rPr>
        <b val="true"/>
        <sz val="12"/>
        <color rgb="FF000000"/>
        <rFont val="Calibri"/>
        <family val="2"/>
      </rPr>
      <t xml:space="preserve">Familas perceptoras renta mínima</t>
    </r>
  </si>
  <si>
    <t xml:space="preserve">Leyenda para gráfico</t>
  </si>
  <si>
    <r>
      <rPr>
        <b val="true"/>
        <sz val="12"/>
        <color rgb="FF000000"/>
        <rFont val="Calibri"/>
        <family val="2"/>
      </rPr>
      <t xml:space="preserve">Tasa Demanda Dependientes </t>
    </r>
    <r>
      <rPr>
        <sz val="12"/>
        <color rgb="FF000000"/>
        <rFont val="Calibri"/>
        <family val="2"/>
      </rPr>
      <t xml:space="preserve">frente a </t>
    </r>
    <r>
      <rPr>
        <b val="true"/>
        <sz val="12"/>
        <color rgb="FF000000"/>
        <rFont val="Calibri"/>
        <family val="2"/>
      </rPr>
      <t xml:space="preserve">Tasa SAD Dependencia</t>
    </r>
  </si>
  <si>
    <r>
      <rPr>
        <b val="true"/>
        <sz val="12"/>
        <color rgb="FF000000"/>
        <rFont val="Calibri"/>
        <family val="2"/>
      </rPr>
      <t xml:space="preserve">Tasa Demanda Dependientes </t>
    </r>
    <r>
      <rPr>
        <sz val="12"/>
        <color rgb="FF000000"/>
        <rFont val="Calibri"/>
        <family val="2"/>
      </rPr>
      <t xml:space="preserve">frente a </t>
    </r>
    <r>
      <rPr>
        <b val="true"/>
        <sz val="12"/>
        <color rgb="FF000000"/>
        <rFont val="Calibri"/>
        <family val="2"/>
      </rPr>
      <t xml:space="preserve">Tasa Teleasistencia Dependencia</t>
    </r>
  </si>
  <si>
    <r>
      <rPr>
        <b val="true"/>
        <sz val="12"/>
        <color rgb="FF000000"/>
        <rFont val="Calibri"/>
        <family val="2"/>
      </rPr>
      <t xml:space="preserve">Familas perceptoras renta mínima </t>
    </r>
    <r>
      <rPr>
        <sz val="12"/>
        <color rgb="FF000000"/>
        <rFont val="Calibri"/>
        <family val="2"/>
      </rPr>
      <t xml:space="preserve">frente a </t>
    </r>
    <r>
      <rPr>
        <b val="true"/>
        <sz val="12"/>
        <color rgb="FF000000"/>
        <rFont val="Calibri"/>
        <family val="2"/>
      </rPr>
      <t xml:space="preserve">Tasa SAD Dependencia</t>
    </r>
  </si>
  <si>
    <r>
      <rPr>
        <b val="true"/>
        <sz val="12"/>
        <color rgb="FF000000"/>
        <rFont val="Calibri"/>
        <family val="2"/>
      </rPr>
      <t xml:space="preserve">Familas perceptoras renta mínima </t>
    </r>
    <r>
      <rPr>
        <sz val="12"/>
        <color rgb="FF000000"/>
        <rFont val="Calibri"/>
        <family val="2"/>
      </rPr>
      <t xml:space="preserve">frente a </t>
    </r>
    <r>
      <rPr>
        <b val="true"/>
        <sz val="12"/>
        <color rgb="FF000000"/>
        <rFont val="Calibri"/>
        <family val="2"/>
      </rPr>
      <t xml:space="preserve">Tasa Teleasistencia Dependencia</t>
    </r>
  </si>
  <si>
    <r>
      <rPr>
        <b val="true"/>
        <sz val="12"/>
        <color rgb="FF000000"/>
        <rFont val="Calibri"/>
        <family val="2"/>
      </rPr>
      <t xml:space="preserve">Tasa SAD Dependencia </t>
    </r>
    <r>
      <rPr>
        <sz val="12"/>
        <color rgb="FF000000"/>
        <rFont val="Calibri"/>
        <family val="2"/>
      </rPr>
      <t xml:space="preserve">frente a </t>
    </r>
    <r>
      <rPr>
        <b val="true"/>
        <sz val="12"/>
        <color rgb="FF000000"/>
        <rFont val="Calibri"/>
        <family val="2"/>
      </rPr>
      <t xml:space="preserve">Tasa Teleasistencia Dependencia</t>
    </r>
  </si>
  <si>
    <t xml:space="preserve">Estatus Socio-económico</t>
  </si>
  <si>
    <t xml:space="preserve">Ranking Vulnerabilidad</t>
  </si>
  <si>
    <t xml:space="preserve">DISTRICT</t>
  </si>
  <si>
    <t xml:space="preserve">NEIGHBOURHOOD</t>
  </si>
  <si>
    <t xml:space="preserve">Average household income</t>
  </si>
  <si>
    <t xml:space="preserve">Tasa Paro Absoluto</t>
  </si>
  <si>
    <t xml:space="preserve">Tasa de Parados Sin Prestación</t>
  </si>
  <si>
    <t xml:space="preserve">Valor Catastral</t>
  </si>
  <si>
    <t xml:space="preserve">Tasa demanda Dependientes</t>
  </si>
  <si>
    <t xml:space="preserve">01. Centro</t>
  </si>
  <si>
    <t xml:space="preserve">   011. Palacio</t>
  </si>
  <si>
    <t xml:space="preserve">   012. Embajadores</t>
  </si>
  <si>
    <t xml:space="preserve">   013. Cortes</t>
  </si>
  <si>
    <t xml:space="preserve">   014. Justicia</t>
  </si>
  <si>
    <t xml:space="preserve">   015. Universidad</t>
  </si>
  <si>
    <t xml:space="preserve">   016. Sol</t>
  </si>
  <si>
    <t xml:space="preserve">02. Arganzuela</t>
  </si>
  <si>
    <t xml:space="preserve">   021. Imperial</t>
  </si>
  <si>
    <t xml:space="preserve">   022. Las Acacias</t>
  </si>
  <si>
    <t xml:space="preserve">   023. La Chopera</t>
  </si>
  <si>
    <t xml:space="preserve">   024. Legazpi</t>
  </si>
  <si>
    <t xml:space="preserve">   025. Las Delicias</t>
  </si>
  <si>
    <t xml:space="preserve">   026. Palos de Moguer</t>
  </si>
  <si>
    <t xml:space="preserve">   027. Atocha</t>
  </si>
  <si>
    <t xml:space="preserve">03. Retiro</t>
  </si>
  <si>
    <t xml:space="preserve">   031. Pacífico</t>
  </si>
  <si>
    <t xml:space="preserve">   032. Adelfas</t>
  </si>
  <si>
    <t xml:space="preserve">   033. La Estrella</t>
  </si>
  <si>
    <t xml:space="preserve">   034. Ibiza</t>
  </si>
  <si>
    <t xml:space="preserve">   035. Los Jerónimos</t>
  </si>
  <si>
    <t xml:space="preserve">   036. Niño Jesús</t>
  </si>
  <si>
    <t xml:space="preserve">04. Salamanca</t>
  </si>
  <si>
    <t xml:space="preserve">   041. Recoletos</t>
  </si>
  <si>
    <t xml:space="preserve">   042. Goya</t>
  </si>
  <si>
    <t xml:space="preserve">   043. Fuente del Berro</t>
  </si>
  <si>
    <t xml:space="preserve">   044. Guindalera</t>
  </si>
  <si>
    <t xml:space="preserve">   045. Lista</t>
  </si>
  <si>
    <t xml:space="preserve">   046. Castellana</t>
  </si>
  <si>
    <t xml:space="preserve">05. Chamartín</t>
  </si>
  <si>
    <t xml:space="preserve">   051. El Viso</t>
  </si>
  <si>
    <t xml:space="preserve">   052. Prosperidad</t>
  </si>
  <si>
    <t xml:space="preserve">   053. Ciudad Jardín</t>
  </si>
  <si>
    <t xml:space="preserve">   054. Hispanoamérica</t>
  </si>
  <si>
    <t xml:space="preserve">   055. Nueva España</t>
  </si>
  <si>
    <t xml:space="preserve">   056. Castilla</t>
  </si>
  <si>
    <t xml:space="preserve">06. Tetuán</t>
  </si>
  <si>
    <t xml:space="preserve">   061. Bellas Vistas</t>
  </si>
  <si>
    <t xml:space="preserve">   062. Cuatro Caminos</t>
  </si>
  <si>
    <t xml:space="preserve">   063. Castillejos</t>
  </si>
  <si>
    <t xml:space="preserve">   064. Almenara</t>
  </si>
  <si>
    <t xml:space="preserve">   065. Valdeacederas</t>
  </si>
  <si>
    <t xml:space="preserve">   066. Berruguete</t>
  </si>
  <si>
    <t xml:space="preserve">07. Chamberí</t>
  </si>
  <si>
    <t xml:space="preserve">   071. Gaztambide</t>
  </si>
  <si>
    <t xml:space="preserve">   072. Arapiles</t>
  </si>
  <si>
    <t xml:space="preserve">   073. Trafalgar</t>
  </si>
  <si>
    <t xml:space="preserve">   074. Almagro</t>
  </si>
  <si>
    <t xml:space="preserve">   075. Ríos Rosas</t>
  </si>
  <si>
    <t xml:space="preserve">   076. Vallehermoso</t>
  </si>
  <si>
    <t xml:space="preserve">08. Fuencarral-El Pardo</t>
  </si>
  <si>
    <t xml:space="preserve">   081. El Pardo</t>
  </si>
  <si>
    <t xml:space="preserve">   082. Fuentelarreina</t>
  </si>
  <si>
    <t xml:space="preserve">   083. Peñagrande</t>
  </si>
  <si>
    <t xml:space="preserve">   084. Del Pilar</t>
  </si>
  <si>
    <t xml:space="preserve">   085. La Paz</t>
  </si>
  <si>
    <t xml:space="preserve">   086. Valverde</t>
  </si>
  <si>
    <t xml:space="preserve">   087. Mirasierra</t>
  </si>
  <si>
    <t xml:space="preserve">   088. El Goloso</t>
  </si>
  <si>
    <t xml:space="preserve">09. Moncloa-Aravaca</t>
  </si>
  <si>
    <t xml:space="preserve">   091. Casa de Campo</t>
  </si>
  <si>
    <t xml:space="preserve">   092. Argüelles</t>
  </si>
  <si>
    <t xml:space="preserve">   093. Ciudad Universitaria</t>
  </si>
  <si>
    <t xml:space="preserve">   094. Valdezarza</t>
  </si>
  <si>
    <t xml:space="preserve">   095. Valdemarín</t>
  </si>
  <si>
    <t xml:space="preserve">   096. El Plantío</t>
  </si>
  <si>
    <t xml:space="preserve">   097. Aravaca</t>
  </si>
  <si>
    <t xml:space="preserve">10. Latina</t>
  </si>
  <si>
    <t xml:space="preserve">   101. Los Cármenes</t>
  </si>
  <si>
    <t xml:space="preserve">   102. Puerta del Ángel</t>
  </si>
  <si>
    <t xml:space="preserve">   103. Lucero</t>
  </si>
  <si>
    <t xml:space="preserve">   104. Aluche</t>
  </si>
  <si>
    <t xml:space="preserve">   105. Campamento</t>
  </si>
  <si>
    <t xml:space="preserve">   106. Cuatro Vientos</t>
  </si>
  <si>
    <t xml:space="preserve">   107. Las Águilas</t>
  </si>
  <si>
    <t xml:space="preserve">11. Carabanchel</t>
  </si>
  <si>
    <t xml:space="preserve">   111. Comillas</t>
  </si>
  <si>
    <t xml:space="preserve">   112. Opañel</t>
  </si>
  <si>
    <t xml:space="preserve">   113. San Isidro</t>
  </si>
  <si>
    <t xml:space="preserve">   114. Vista Alegre</t>
  </si>
  <si>
    <t xml:space="preserve">   115. Puerta Bonita</t>
  </si>
  <si>
    <t xml:space="preserve">   116. Buenavista</t>
  </si>
  <si>
    <t xml:space="preserve">   117. Abrantes</t>
  </si>
  <si>
    <t xml:space="preserve">12. Usera</t>
  </si>
  <si>
    <t xml:space="preserve">   121. Orcasitas</t>
  </si>
  <si>
    <t xml:space="preserve">   122. Orcasur</t>
  </si>
  <si>
    <t xml:space="preserve">   123. San Fermín</t>
  </si>
  <si>
    <t xml:space="preserve">   124. Almendrales</t>
  </si>
  <si>
    <t xml:space="preserve">   125. Moscardó</t>
  </si>
  <si>
    <t xml:space="preserve">   126. Zofío</t>
  </si>
  <si>
    <t xml:space="preserve">   127. Pradolongo</t>
  </si>
  <si>
    <t xml:space="preserve">13. Puente de Vallecas</t>
  </si>
  <si>
    <t xml:space="preserve">   131. Entrevías</t>
  </si>
  <si>
    <t xml:space="preserve">   132. San Diego</t>
  </si>
  <si>
    <t xml:space="preserve">   133. Palomeras Bajas</t>
  </si>
  <si>
    <t xml:space="preserve">   134. Palomeras Sureste</t>
  </si>
  <si>
    <t xml:space="preserve">   135. Portazgo</t>
  </si>
  <si>
    <t xml:space="preserve">   136. Numancia</t>
  </si>
  <si>
    <t xml:space="preserve">14. Moratalaz</t>
  </si>
  <si>
    <t xml:space="preserve">   141. Pavones</t>
  </si>
  <si>
    <t xml:space="preserve">   142. Horcajo</t>
  </si>
  <si>
    <t xml:space="preserve">   143. Marroquina</t>
  </si>
  <si>
    <t xml:space="preserve">   144. Media Legua</t>
  </si>
  <si>
    <t xml:space="preserve">   145. Fontarrón</t>
  </si>
  <si>
    <t xml:space="preserve">   146. Vinateros</t>
  </si>
  <si>
    <t xml:space="preserve">15. Ciudad Lineal</t>
  </si>
  <si>
    <t xml:space="preserve">   151. Ventas</t>
  </si>
  <si>
    <t xml:space="preserve">   152. Pueblo Nuevo</t>
  </si>
  <si>
    <t xml:space="preserve">   153. Quintana</t>
  </si>
  <si>
    <t xml:space="preserve">   154. La Concepción</t>
  </si>
  <si>
    <t xml:space="preserve">   155. San Pascual</t>
  </si>
  <si>
    <t xml:space="preserve">   156. San Juan Bautista</t>
  </si>
  <si>
    <t xml:space="preserve">   157. Colina</t>
  </si>
  <si>
    <t xml:space="preserve">   158. Atalaya</t>
  </si>
  <si>
    <t xml:space="preserve">   159. Costillares</t>
  </si>
  <si>
    <t xml:space="preserve">16. Hortaleza</t>
  </si>
  <si>
    <t xml:space="preserve">   161. Palomas</t>
  </si>
  <si>
    <t xml:space="preserve">   162. Piovera</t>
  </si>
  <si>
    <t xml:space="preserve">   163. Canillas</t>
  </si>
  <si>
    <t xml:space="preserve">   164. Pinar del Rey</t>
  </si>
  <si>
    <t xml:space="preserve">   165. Apóstol Santiago</t>
  </si>
  <si>
    <t xml:space="preserve">   166. Valdefuentes</t>
  </si>
  <si>
    <t xml:space="preserve">17. Villaverde</t>
  </si>
  <si>
    <t xml:space="preserve">   171. Villaverde Alto, C.H. Villaverde</t>
  </si>
  <si>
    <t xml:space="preserve">   172. San Cristóbal</t>
  </si>
  <si>
    <t xml:space="preserve">   173. Butarque</t>
  </si>
  <si>
    <t xml:space="preserve">   174. Los Rosales</t>
  </si>
  <si>
    <t xml:space="preserve">   175. Los Ángeles</t>
  </si>
  <si>
    <t xml:space="preserve">18. Villa de Vallecas</t>
  </si>
  <si>
    <t xml:space="preserve">   181. Casco Histórico de Vallecas</t>
  </si>
  <si>
    <t xml:space="preserve">   182. Santa Eugenia</t>
  </si>
  <si>
    <t xml:space="preserve">   183. Ensanche de Vallecas</t>
  </si>
  <si>
    <t xml:space="preserve">19. Vicálvaro</t>
  </si>
  <si>
    <t xml:space="preserve">   191. Casco Histórico de Vicálvaro</t>
  </si>
  <si>
    <t xml:space="preserve">   192. Valdebernardo</t>
  </si>
  <si>
    <t xml:space="preserve">   193. Valderrivas</t>
  </si>
  <si>
    <t xml:space="preserve">   194. El Cañaveral</t>
  </si>
  <si>
    <t xml:space="preserve">20. San Blas</t>
  </si>
  <si>
    <t xml:space="preserve">   201. Simancas</t>
  </si>
  <si>
    <t xml:space="preserve">   202. Hellín</t>
  </si>
  <si>
    <t xml:space="preserve">   203. Amposta</t>
  </si>
  <si>
    <t xml:space="preserve">   204. Arcos</t>
  </si>
  <si>
    <t xml:space="preserve">   205. Rosas</t>
  </si>
  <si>
    <t xml:space="preserve">   206. Rejas</t>
  </si>
  <si>
    <t xml:space="preserve">   207. Canillejas</t>
  </si>
  <si>
    <t xml:space="preserve">   208. El Salvador</t>
  </si>
  <si>
    <t xml:space="preserve">21. Barajas</t>
  </si>
  <si>
    <t xml:space="preserve">   211. Alameda de Osuna</t>
  </si>
  <si>
    <t xml:space="preserve">   212. Aeropuerto</t>
  </si>
  <si>
    <t xml:space="preserve">   213. Casco Histórico de Barajas</t>
  </si>
  <si>
    <t xml:space="preserve">   214. Timón</t>
  </si>
  <si>
    <t xml:space="preserve">   215. Corralejos</t>
  </si>
  <si>
    <t xml:space="preserve">Ranking Vulnerabilidad 2019</t>
  </si>
  <si>
    <t xml:space="preserve">Distrito</t>
  </si>
  <si>
    <t xml:space="preserve">control</t>
  </si>
  <si>
    <t xml:space="preserve">Índices</t>
  </si>
  <si>
    <t xml:space="preserve">aux</t>
  </si>
  <si>
    <t xml:space="preserve">NORMALIZADO</t>
  </si>
  <si>
    <t xml:space="preserve">DISTRITO</t>
  </si>
  <si>
    <t xml:space="preserve">BARRIO</t>
  </si>
  <si>
    <t xml:space="preserve">Tasa Extranjeros</t>
  </si>
  <si>
    <t xml:space="preserve">Renta media hogar</t>
  </si>
  <si>
    <t xml:space="preserve">Esperanza de Vida Corregida</t>
  </si>
  <si>
    <t xml:space="preserve">Renta media hogar Corregida</t>
  </si>
  <si>
    <t xml:space="preserve">Tasa Paro 45-60</t>
  </si>
  <si>
    <t xml:space="preserve">Valor Catastral Corregido</t>
  </si>
  <si>
    <t xml:space="preserve">Renta Bruta per cápita</t>
  </si>
  <si>
    <t xml:space="preserve">Número de Parados Juveniles</t>
  </si>
  <si>
    <t xml:space="preserve">Número de Parados Sin Prestación</t>
  </si>
  <si>
    <t xml:space="preserve">Índice DUS</t>
  </si>
  <si>
    <t xml:space="preserve">Presupuesto</t>
  </si>
  <si>
    <t xml:space="preserve">Histograma Presupuesto</t>
  </si>
  <si>
    <t xml:space="preserve">Histograma Vulnerabilidad sin corte</t>
  </si>
  <si>
    <t xml:space="preserve">Matriz de correlación</t>
  </si>
  <si>
    <t xml:space="preserve">Esperanza de vida</t>
  </si>
  <si>
    <t xml:space="preserve">Tasa paro Absoluto</t>
  </si>
  <si>
    <t xml:space="preserve">Número Parados sin prestación</t>
  </si>
  <si>
    <t xml:space="preserve">Medio Ambiente</t>
  </si>
  <si>
    <t xml:space="preserve">Tasa Superficie Vulnerable</t>
  </si>
  <si>
    <t xml:space="preserve">Presupuesto Escenario1</t>
  </si>
  <si>
    <t xml:space="preserve">Presupuesto Escenario Agresivo</t>
  </si>
  <si>
    <t xml:space="preserve">Leyenda presupuesto escenario 1</t>
  </si>
  <si>
    <t xml:space="preserve">Conteo escenario 1</t>
  </si>
  <si>
    <t xml:space="preserve">Leyenda escenario 1</t>
  </si>
  <si>
    <t xml:space="preserve">Leyenda presupuesto escenario reequilibrio</t>
  </si>
  <si>
    <t xml:space="preserve">Conteo escenario reequilibrio</t>
  </si>
  <si>
    <t xml:space="preserve">Conteo Presupuesto 2016</t>
  </si>
  <si>
    <t xml:space="preserve">Leyenda escenario reequilibrio</t>
  </si>
  <si>
    <t xml:space="preserve">Leyenda Vulnerabilidad</t>
  </si>
  <si>
    <t xml:space="preserve">orden por presupuesto 1</t>
  </si>
  <si>
    <t xml:space="preserve">Presupuesto Escenario 1</t>
  </si>
  <si>
    <t xml:space="preserve">orden por 2016</t>
  </si>
  <si>
    <t xml:space="preserve">orden por presupuesto reequilibrio</t>
  </si>
  <si>
    <t xml:space="preserve">orden por vulnerabilidad</t>
  </si>
  <si>
    <t xml:space="preserve">Presupuesto Escenario reequilibrio</t>
  </si>
  <si>
    <t xml:space="preserve">escenario 1</t>
  </si>
  <si>
    <t xml:space="preserve">escenario reequilibrio</t>
  </si>
  <si>
    <t xml:space="preserve">Reequilibrio</t>
  </si>
  <si>
    <t xml:space="preserve">Auxiliar</t>
  </si>
  <si>
    <t xml:space="preserve">Descripción</t>
  </si>
  <si>
    <t xml:space="preserve">Proporción de inmigrantes (Extranjeros menos UE y resto países de OCDE/Población total)</t>
  </si>
  <si>
    <t xml:space="preserve">Esperanza de vida al nacer. 2009 - 2012</t>
  </si>
  <si>
    <t xml:space="preserve">Porcentaje de personas sin estudios o con primarios/Población de 25 y más años</t>
  </si>
  <si>
    <t xml:space="preserve">Renta neta media de los hogares (Urban audit)</t>
  </si>
  <si>
    <t xml:space="preserve">Porcentaje de parados/Población activa</t>
  </si>
  <si>
    <t xml:space="preserve">Porcentaje de parados mayores de 45 años/Población activa</t>
  </si>
  <si>
    <t xml:space="preserve">Parados sin prestación (por distrito) /Población activa (16-64 años)</t>
  </si>
  <si>
    <t xml:space="preserve">Valor medio de los bienes inmuebles (personas físicas)</t>
  </si>
  <si>
    <t xml:space="preserve">Solicitudes de dependencia por distrito</t>
  </si>
  <si>
    <t xml:space="preserve">Familias perceptoras de RMI por distrito</t>
  </si>
  <si>
    <t xml:space="preserve">Beneficiarios del Ayto de Madrid del Servicio de Ayuda a Domicilio por dependencia (dato por distrito)</t>
  </si>
  <si>
    <t xml:space="preserve">Beneficiarios del Ayto de Madrid del Servicio de Teleasistencia por dependencia (dato por distrito)</t>
  </si>
  <si>
    <t xml:space="preserve">Número de habitantes</t>
  </si>
  <si>
    <t xml:space="preserve">Fecha</t>
  </si>
  <si>
    <t xml:space="preserve">1 de enero de 2018</t>
  </si>
  <si>
    <t xml:space="preserve">Agosto 2018</t>
  </si>
  <si>
    <t xml:space="preserve">1 de agosto de 2018</t>
  </si>
  <si>
    <t xml:space="preserve">Fuente</t>
  </si>
  <si>
    <t xml:space="preserve">Ayuntamiento de Madrid. Subdirección General de Estadística</t>
  </si>
  <si>
    <t xml:space="preserve">Ayuntamiento de Madrid. Madrid Salud</t>
  </si>
  <si>
    <t xml:space="preserve">Urban Audit - INE. Elaboración: Ayuntamiento de Madrid. Subdirección General de Estadística</t>
  </si>
  <si>
    <t xml:space="preserve">Servicio Público de Empleo Estatal. Elaboración: Ayuntamiento de Madrid. Subdirección General de Estadística.</t>
  </si>
  <si>
    <t xml:space="preserve">Ayuntamiento de Madrid. Agencia Tributaria. Elaboración: Subdirección General de Estadística.</t>
  </si>
  <si>
    <t xml:space="preserve">Ayuntamiento de Madrid. Dirección General de Personas Mayores y Servicios Sociales</t>
  </si>
  <si>
    <t xml:space="preserve">Padrón Municipal de Habitantes </t>
  </si>
  <si>
    <t xml:space="preserve">Nombre Indicador</t>
  </si>
  <si>
    <t xml:space="preserve">Tasa inmigrantes</t>
  </si>
  <si>
    <t xml:space="preserve">Sin estudios o primarios</t>
  </si>
  <si>
    <t xml:space="preserve">Tasa paro absoluto</t>
  </si>
  <si>
    <t xml:space="preserve">Tasa paro mayores 45</t>
  </si>
  <si>
    <t xml:space="preserve">Tasa de parados sin prestación</t>
  </si>
  <si>
    <t xml:space="preserve">Valor catastral bienes inmuebles</t>
  </si>
</sst>
</file>

<file path=xl/styles.xml><?xml version="1.0" encoding="utf-8"?>
<styleSheet xmlns="http://schemas.openxmlformats.org/spreadsheetml/2006/main">
  <numFmts count="22">
    <numFmt numFmtId="164" formatCode="General"/>
    <numFmt numFmtId="165" formatCode="\ * #,##0.00&quot; € &quot;;\-* #,##0.00&quot; € &quot;;\ * \-#&quot; € &quot;;\ @\ "/>
    <numFmt numFmtId="166" formatCode="0%"/>
    <numFmt numFmtId="167" formatCode="@"/>
    <numFmt numFmtId="168" formatCode="0.0%"/>
    <numFmt numFmtId="169" formatCode="# ?/?"/>
    <numFmt numFmtId="170" formatCode="General"/>
    <numFmt numFmtId="171" formatCode="0.0000"/>
    <numFmt numFmtId="172" formatCode="0.000"/>
    <numFmt numFmtId="173" formatCode="\ * #,##0&quot; € &quot;;\-* #,##0&quot; € &quot;;\ * \-#&quot; € &quot;;\ @\ "/>
    <numFmt numFmtId="174" formatCode="0.0\%"/>
    <numFmt numFmtId="175" formatCode="\ * #,##0.00&quot;    &quot;;\-* #,##0.00&quot;    &quot;;\ * \-#&quot;    &quot;;\ @\ "/>
    <numFmt numFmtId="176" formatCode="\ * #,##0&quot;    &quot;;\-* #,##0&quot;    &quot;;\ * \-#&quot;    &quot;;\ @\ "/>
    <numFmt numFmtId="177" formatCode="0.00000"/>
    <numFmt numFmtId="178" formatCode="0"/>
    <numFmt numFmtId="179" formatCode="0.0"/>
    <numFmt numFmtId="180" formatCode="0.000000"/>
    <numFmt numFmtId="181" formatCode="0.00"/>
    <numFmt numFmtId="182" formatCode="0.00%"/>
    <numFmt numFmtId="183" formatCode="#,##0&quot; €&quot;"/>
    <numFmt numFmtId="184" formatCode="0\%"/>
    <numFmt numFmtId="185" formatCode="#,##0"/>
  </numFmts>
  <fonts count="61">
    <font>
      <sz val="12"/>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8"/>
      <color rgb="FF767171"/>
      <name val="Calibri"/>
      <family val="2"/>
    </font>
    <font>
      <u val="single"/>
      <sz val="18"/>
      <color rgb="FF0563C1"/>
      <name val="Calibri"/>
      <family val="2"/>
    </font>
    <font>
      <u val="single"/>
      <sz val="12"/>
      <color rgb="FF0563C1"/>
      <name val="Calibri"/>
      <family val="2"/>
    </font>
    <font>
      <sz val="9"/>
      <color rgb="FF0081C4"/>
      <name val="Times New Roman"/>
      <family val="1"/>
    </font>
    <font>
      <b val="true"/>
      <i val="true"/>
      <sz val="24"/>
      <color rgb="FF2F5597"/>
      <name val="Gill Sans MT"/>
      <family val="2"/>
    </font>
    <font>
      <b val="true"/>
      <sz val="24"/>
      <color rgb="FF767171"/>
      <name val="Calibri"/>
      <family val="2"/>
    </font>
    <font>
      <i val="true"/>
      <sz val="9"/>
      <color rgb="FF000000"/>
      <name val="Gill Sans MT"/>
      <family val="2"/>
    </font>
    <font>
      <sz val="12"/>
      <color rgb="FF000000"/>
      <name val="Times New Roman"/>
      <family val="1"/>
    </font>
    <font>
      <u val="single"/>
      <sz val="11"/>
      <color rgb="FF0563C1"/>
      <name val="Calibri"/>
      <family val="2"/>
    </font>
    <font>
      <sz val="36"/>
      <color rgb="FF000000"/>
      <name val="Calibri"/>
      <family val="2"/>
    </font>
    <font>
      <b val="true"/>
      <sz val="18"/>
      <color rgb="FF000000"/>
      <name val="Calibri"/>
      <family val="2"/>
    </font>
    <font>
      <sz val="14"/>
      <color rgb="FF000000"/>
      <name val="Calibri"/>
      <family val="2"/>
    </font>
    <font>
      <i val="true"/>
      <sz val="14"/>
      <color rgb="FF000000"/>
      <name val="Calibri"/>
      <family val="2"/>
    </font>
    <font>
      <b val="true"/>
      <i val="true"/>
      <sz val="12"/>
      <color rgb="FF000000"/>
      <name val="Calibri"/>
      <family val="2"/>
    </font>
    <font>
      <b val="true"/>
      <i val="true"/>
      <sz val="11"/>
      <color rgb="FF000000"/>
      <name val="Calibri"/>
      <family val="2"/>
    </font>
    <font>
      <b val="true"/>
      <sz val="12"/>
      <color rgb="FF000000"/>
      <name val="Calibri"/>
      <family val="2"/>
    </font>
    <font>
      <i val="true"/>
      <sz val="10"/>
      <color rgb="FF000000"/>
      <name val="Calibri"/>
      <family val="2"/>
    </font>
    <font>
      <b val="true"/>
      <sz val="20"/>
      <color rgb="FF000000"/>
      <name val="Calibri"/>
      <family val="2"/>
    </font>
    <font>
      <i val="true"/>
      <sz val="12"/>
      <color rgb="FF000000"/>
      <name val="Calibri"/>
      <family val="2"/>
    </font>
    <font>
      <sz val="10"/>
      <color rgb="FF000000"/>
      <name val="Calibri"/>
      <family val="2"/>
    </font>
    <font>
      <sz val="24"/>
      <color rgb="FF000000"/>
      <name val="Calibri"/>
      <family val="2"/>
    </font>
    <font>
      <sz val="12"/>
      <color rgb="FFFFFFFF"/>
      <name val="Calibri"/>
      <family val="2"/>
    </font>
    <font>
      <sz val="11"/>
      <color rgb="FF000000"/>
      <name val="Calibri"/>
      <family val="2"/>
    </font>
    <font>
      <b val="true"/>
      <sz val="14"/>
      <color rgb="FF000000"/>
      <name val="Calibri"/>
      <family val="2"/>
    </font>
    <font>
      <sz val="12"/>
      <name val="Calibri"/>
      <family val="2"/>
    </font>
    <font>
      <b val="true"/>
      <sz val="9"/>
      <color rgb="FF000000"/>
      <name val="Calibri"/>
      <family val="0"/>
    </font>
    <font>
      <sz val="12"/>
      <color rgb="FF000000"/>
      <name val="Calibri"/>
      <family val="0"/>
    </font>
    <font>
      <sz val="22"/>
      <color rgb="FF000000"/>
      <name val="Calibri"/>
      <family val="2"/>
    </font>
    <font>
      <b val="true"/>
      <sz val="10"/>
      <color rgb="FF1F4E79"/>
      <name val="Calibri"/>
      <family val="2"/>
    </font>
    <font>
      <b val="true"/>
      <sz val="12"/>
      <color rgb="FF1F4E79"/>
      <name val="Calibri (Cuerpo)"/>
      <family val="0"/>
    </font>
    <font>
      <b val="true"/>
      <sz val="12"/>
      <color rgb="FF1F4E79"/>
      <name val="Calibri"/>
      <family val="2"/>
    </font>
    <font>
      <b val="true"/>
      <sz val="12"/>
      <color rgb="FF44546A"/>
      <name val="Calibri"/>
      <family val="2"/>
    </font>
    <font>
      <b val="true"/>
      <sz val="11"/>
      <color rgb="FF1F4E79"/>
      <name val="Calibri"/>
      <family val="2"/>
    </font>
    <font>
      <sz val="8"/>
      <color rgb="FF1F4E79"/>
      <name val="Calibri"/>
      <family val="2"/>
    </font>
    <font>
      <b val="true"/>
      <sz val="10"/>
      <color rgb="FF44546A"/>
      <name val="Calibri"/>
      <family val="2"/>
    </font>
    <font>
      <sz val="18"/>
      <name val="Calibri"/>
      <family val="2"/>
    </font>
    <font>
      <sz val="10"/>
      <name val="Calibri"/>
      <family val="2"/>
    </font>
    <font>
      <sz val="11"/>
      <color rgb="FF595959"/>
      <name val="Calibri"/>
      <family val="2"/>
    </font>
    <font>
      <sz val="8"/>
      <color rgb="FF595959"/>
      <name val="Calibri"/>
      <family val="2"/>
    </font>
    <font>
      <sz val="14"/>
      <color rgb="FF595959"/>
      <name val="Calibri"/>
      <family val="2"/>
    </font>
    <font>
      <sz val="9"/>
      <color rgb="FF595959"/>
      <name val="Calibri"/>
      <family val="2"/>
    </font>
    <font>
      <sz val="10"/>
      <color rgb="FF595959"/>
      <name val="Calibri"/>
      <family val="2"/>
    </font>
    <font>
      <b val="true"/>
      <sz val="11"/>
      <color rgb="FF000000"/>
      <name val="Calibri"/>
      <family val="2"/>
    </font>
    <font>
      <sz val="10"/>
      <color rgb="FF1F4E79"/>
      <name val="Calibri"/>
      <family val="2"/>
    </font>
    <font>
      <sz val="9"/>
      <color rgb="FF1F4E79"/>
      <name val="Calibri"/>
      <family val="2"/>
    </font>
    <font>
      <sz val="11"/>
      <name val="Calibri"/>
      <family val="2"/>
    </font>
  </fonts>
  <fills count="24">
    <fill>
      <patternFill patternType="none"/>
    </fill>
    <fill>
      <patternFill patternType="gray125"/>
    </fill>
    <fill>
      <patternFill patternType="solid">
        <fgColor rgb="FFFFFFCC"/>
        <bgColor rgb="FFFFF2CC"/>
      </patternFill>
    </fill>
    <fill>
      <patternFill patternType="solid">
        <fgColor rgb="FFCCFFCC"/>
        <bgColor rgb="FFE2F0D9"/>
      </patternFill>
    </fill>
    <fill>
      <patternFill patternType="solid">
        <fgColor rgb="FFFFCCCC"/>
        <bgColor rgb="FFF8BEB5"/>
      </patternFill>
    </fill>
    <fill>
      <patternFill patternType="solid">
        <fgColor rgb="FFCC0000"/>
        <bgColor rgb="FF9C0006"/>
      </patternFill>
    </fill>
    <fill>
      <patternFill patternType="solid">
        <fgColor rgb="FF000000"/>
        <bgColor rgb="FF003300"/>
      </patternFill>
    </fill>
    <fill>
      <patternFill patternType="solid">
        <fgColor rgb="FF808080"/>
        <bgColor rgb="FF8B8B8B"/>
      </patternFill>
    </fill>
    <fill>
      <patternFill patternType="solid">
        <fgColor rgb="FFDDDDDD"/>
        <bgColor rgb="FFD9D9D9"/>
      </patternFill>
    </fill>
    <fill>
      <patternFill patternType="solid">
        <fgColor rgb="FFFCF4F0"/>
        <bgColor rgb="FFF2F2F2"/>
      </patternFill>
    </fill>
    <fill>
      <patternFill patternType="solid">
        <fgColor rgb="FFFFFCF3"/>
        <bgColor rgb="FFF8FFF3"/>
      </patternFill>
    </fill>
    <fill>
      <patternFill patternType="solid">
        <fgColor rgb="FFF8FFF3"/>
        <bgColor rgb="FFFFFCF3"/>
      </patternFill>
    </fill>
    <fill>
      <patternFill patternType="solid">
        <fgColor rgb="FFF08A53"/>
        <bgColor rgb="FFFA856F"/>
      </patternFill>
    </fill>
    <fill>
      <patternFill patternType="solid">
        <fgColor rgb="FFFFC742"/>
        <bgColor rgb="FFFDBF7B"/>
      </patternFill>
    </fill>
    <fill>
      <patternFill patternType="solid">
        <fgColor rgb="FFDEEBF7"/>
        <bgColor rgb="FFE2F0D9"/>
      </patternFill>
    </fill>
    <fill>
      <patternFill patternType="solid">
        <fgColor rgb="FFFFBEA9"/>
        <bgColor rgb="FFF8BEB5"/>
      </patternFill>
    </fill>
    <fill>
      <patternFill patternType="solid">
        <fgColor rgb="FFFFE699"/>
        <bgColor rgb="FFFEDC81"/>
      </patternFill>
    </fill>
    <fill>
      <patternFill patternType="solid">
        <fgColor rgb="FFC5E0B4"/>
        <bgColor rgb="FFCCDE82"/>
      </patternFill>
    </fill>
    <fill>
      <patternFill patternType="solid">
        <fgColor rgb="FFE2F0D9"/>
        <bgColor rgb="FFDEEBF7"/>
      </patternFill>
    </fill>
    <fill>
      <patternFill patternType="solid">
        <fgColor rgb="FFBDD7EE"/>
        <bgColor rgb="FFD9D9D9"/>
      </patternFill>
    </fill>
    <fill>
      <patternFill patternType="solid">
        <fgColor rgb="FFFFF2CC"/>
        <bgColor rgb="FFFFFFCC"/>
      </patternFill>
    </fill>
    <fill>
      <patternFill patternType="solid">
        <fgColor rgb="FFFFFF00"/>
        <bgColor rgb="FFEFE783"/>
      </patternFill>
    </fill>
    <fill>
      <patternFill patternType="solid">
        <fgColor rgb="FFF8BEB5"/>
        <bgColor rgb="FFFFBEA9"/>
      </patternFill>
    </fill>
    <fill>
      <patternFill patternType="solid">
        <fgColor rgb="FFFFC000"/>
        <bgColor rgb="FFFFC742"/>
      </patternFill>
    </fill>
  </fills>
  <borders count="65">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style="thin"/>
      <diagonal/>
    </border>
    <border diagonalUp="false" diagonalDown="false">
      <left/>
      <right/>
      <top style="thin"/>
      <bottom style="double"/>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style="thin"/>
      <right/>
      <top/>
      <bottom style="thin"/>
      <diagonal/>
    </border>
    <border diagonalUp="false" diagonalDown="false">
      <left/>
      <right style="thin"/>
      <top/>
      <bottom style="thin"/>
      <diagonal/>
    </border>
    <border diagonalUp="false" diagonalDown="false">
      <left style="thin"/>
      <right/>
      <top/>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 diagonalUp="false" diagonalDown="false">
      <left style="thick">
        <color rgb="FFFFFFFF"/>
      </left>
      <right style="thick"/>
      <top style="thick">
        <color rgb="FFFFFFFF"/>
      </top>
      <bottom style="thick">
        <color rgb="FFFFFFFF"/>
      </bottom>
      <diagonal/>
    </border>
    <border diagonalUp="false" diagonalDown="false">
      <left style="thick"/>
      <right/>
      <top/>
      <bottom/>
      <diagonal/>
    </border>
    <border diagonalUp="false" diagonalDown="false">
      <left/>
      <right style="thick"/>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ck">
        <color rgb="FFFFFFFF"/>
      </left>
      <right/>
      <top style="thick">
        <color rgb="FFFFFFFF"/>
      </top>
      <bottom style="thick">
        <color rgb="FFFFFFFF"/>
      </bottom>
      <diagonal/>
    </border>
    <border diagonalUp="false" diagonalDown="false">
      <left style="thick">
        <color rgb="FFFFFFFF"/>
      </left>
      <right/>
      <top/>
      <bottom style="thick">
        <color rgb="FFFFFFFF"/>
      </bottom>
      <diagonal/>
    </border>
    <border diagonalUp="false" diagonalDown="false">
      <left/>
      <right/>
      <top/>
      <bottom style="thick">
        <color rgb="FFFFFFFF"/>
      </bottom>
      <diagonal/>
    </border>
    <border diagonalUp="false" diagonalDown="false">
      <left style="thick">
        <color rgb="FFFFFFFF"/>
      </left>
      <right/>
      <top style="thick">
        <color rgb="FFFFFFFF"/>
      </top>
      <bottom/>
      <diagonal/>
    </border>
    <border diagonalUp="false" diagonalDown="false">
      <left style="thick">
        <color rgb="FFFFFFFF"/>
      </left>
      <right style="thick">
        <color rgb="FFFFFFFF"/>
      </right>
      <top style="thick">
        <color rgb="FFFFFFFF"/>
      </top>
      <bottom/>
      <diagonal/>
    </border>
    <border diagonalUp="false" diagonalDown="false">
      <left style="thick">
        <color rgb="FFFFFFFF"/>
      </left>
      <right style="thin">
        <color rgb="FFFFFFFF"/>
      </right>
      <top style="thick">
        <color rgb="FFFFFFFF"/>
      </top>
      <bottom style="thick">
        <color rgb="FFFFFFFF"/>
      </bottom>
      <diagonal/>
    </border>
    <border diagonalUp="false" diagonalDown="false">
      <left style="thin">
        <color rgb="FFFFFFFF"/>
      </left>
      <right style="thin">
        <color rgb="FFFFFFFF"/>
      </right>
      <top style="thick">
        <color rgb="FFFFFFFF"/>
      </top>
      <bottom style="thick">
        <color rgb="FFFFFFFF"/>
      </bottom>
      <diagonal/>
    </border>
    <border diagonalUp="false" diagonalDown="false">
      <left style="thin">
        <color rgb="FFFFFFFF"/>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n">
        <color rgb="FFFFFFFF"/>
      </bottom>
      <diagonal/>
    </border>
    <border diagonalUp="false" diagonalDown="false">
      <left style="thick">
        <color rgb="FFFFFFFF"/>
      </left>
      <right style="thin">
        <color rgb="FFFFFFFF"/>
      </right>
      <top/>
      <bottom style="thin">
        <color rgb="FFFFFFFF"/>
      </bottom>
      <diagonal/>
    </border>
    <border diagonalUp="false" diagonalDown="false">
      <left/>
      <right style="thick">
        <color rgb="FFFFFFFF"/>
      </right>
      <top style="thick">
        <color rgb="FFFFFFFF"/>
      </top>
      <bottom style="thin">
        <color rgb="FFFFFFFF"/>
      </bottom>
      <diagonal/>
    </border>
    <border diagonalUp="false" diagonalDown="false">
      <left style="thin">
        <color rgb="FFFFFFFF"/>
      </left>
      <right style="thin">
        <color rgb="FFFFFFFF"/>
      </right>
      <top/>
      <bottom style="thin">
        <color rgb="FFFFFFFF"/>
      </bottom>
      <diagonal/>
    </border>
    <border diagonalUp="false" diagonalDown="false">
      <left style="thin">
        <color rgb="FFFFFFFF"/>
      </left>
      <right style="thick">
        <color rgb="FFFFFFFF"/>
      </right>
      <top/>
      <bottom style="thin">
        <color rgb="FFFFFFFF"/>
      </bottom>
      <diagonal/>
    </border>
    <border diagonalUp="false" diagonalDown="false">
      <left style="thick">
        <color rgb="FFFFFFFF"/>
      </left>
      <right style="thick">
        <color rgb="FFFFFFFF"/>
      </right>
      <top style="thin">
        <color rgb="FFFFFFFF"/>
      </top>
      <bottom style="thin">
        <color rgb="FFFFFFFF"/>
      </bottom>
      <diagonal/>
    </border>
    <border diagonalUp="false" diagonalDown="false">
      <left style="thick">
        <color rgb="FFFFFFFF"/>
      </left>
      <right style="thin">
        <color rgb="FFFFFFFF"/>
      </right>
      <top style="thin">
        <color rgb="FFFFFFFF"/>
      </top>
      <bottom style="thin">
        <color rgb="FFFFFFFF"/>
      </bottom>
      <diagonal/>
    </border>
    <border diagonalUp="false" diagonalDown="false">
      <left/>
      <right style="thick">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ck">
        <color rgb="FFFFFFFF"/>
      </right>
      <top style="thin">
        <color rgb="FFFFFFFF"/>
      </top>
      <bottom style="thin">
        <color rgb="FFFFFFFF"/>
      </bottom>
      <diagonal/>
    </border>
    <border diagonalUp="false" diagonalDown="false">
      <left style="thick">
        <color rgb="FFFFFFFF"/>
      </left>
      <right/>
      <top style="thin">
        <color rgb="FFFFFFFF"/>
      </top>
      <bottom style="thin">
        <color rgb="FFFFFFFF"/>
      </bottom>
      <diagonal/>
    </border>
    <border diagonalUp="false" diagonalDown="false">
      <left/>
      <right style="thin">
        <color rgb="FFFFFFFF"/>
      </right>
      <top style="thin"/>
      <bottom style="double"/>
      <diagonal/>
    </border>
    <border diagonalUp="false" diagonalDown="false">
      <left style="thin">
        <color rgb="FFFFFFFF"/>
      </left>
      <right style="thin">
        <color rgb="FFFFFFFF"/>
      </right>
      <top style="thin"/>
      <bottom style="double"/>
      <diagonal/>
    </border>
    <border diagonalUp="false" diagonalDown="false">
      <left style="thin">
        <color rgb="FFFFFFFF"/>
      </left>
      <right/>
      <top style="thin"/>
      <bottom style="double"/>
      <diagonal/>
    </border>
    <border diagonalUp="false" diagonalDown="false">
      <left style="thin">
        <color rgb="FFFFFFFF"/>
      </left>
      <right style="thin">
        <color rgb="FFFFFFFF"/>
      </right>
      <top/>
      <bottom style="double"/>
      <diagonal/>
    </border>
    <border diagonalUp="false" diagonalDown="false">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FFFFFF"/>
      </left>
      <right style="thin">
        <color rgb="FFFFFFFF"/>
      </right>
      <top style="thin">
        <color rgb="FFFFFFFF"/>
      </top>
      <bottom/>
      <diagonal/>
    </border>
    <border diagonalUp="false" diagonalDown="false">
      <left style="thin">
        <color rgb="FFFFFFFF"/>
      </left>
      <right style="thin">
        <color rgb="FFFFFFFF"/>
      </right>
      <top style="double"/>
      <bottom style="thin">
        <color rgb="FFFFFFFF"/>
      </bottom>
      <diagonal/>
    </border>
    <border diagonalUp="false" diagonalDown="false">
      <left/>
      <right style="thin">
        <color rgb="FFFFFFFF"/>
      </right>
      <top style="thin">
        <color rgb="FFFFFFFF"/>
      </top>
      <bottom/>
      <diagonal/>
    </border>
    <border diagonalUp="false" diagonalDown="false">
      <left style="thin">
        <color rgb="FFFFFFFF"/>
      </left>
      <right/>
      <top style="thin">
        <color rgb="FFFFFFFF"/>
      </top>
      <bottom/>
      <diagonal/>
    </border>
    <border diagonalUp="false" diagonalDown="false">
      <left/>
      <right/>
      <top style="medium"/>
      <bottom style="thin"/>
      <diagonal/>
    </border>
    <border diagonalUp="false" diagonalDown="false">
      <left/>
      <right/>
      <top/>
      <bottom style="medium"/>
      <diagonal/>
    </border>
    <border diagonalUp="false" diagonalDown="false">
      <left/>
      <right style="thin"/>
      <top/>
      <bottom/>
      <diagonal/>
    </border>
    <border diagonalUp="false" diagonalDown="false">
      <left style="thin"/>
      <right style="thin"/>
      <top/>
      <bottom style="thick">
        <color rgb="FFFFFFFF"/>
      </bottom>
      <diagonal/>
    </border>
    <border diagonalUp="false" diagonalDown="false">
      <left style="thin"/>
      <right/>
      <top/>
      <bottom style="thick">
        <color rgb="FFFFFFFF"/>
      </bottom>
      <diagonal/>
    </border>
    <border diagonalUp="false" diagonalDown="false">
      <left style="medium"/>
      <right style="medium"/>
      <top style="medium"/>
      <bottom style="medium"/>
      <diagonal/>
    </border>
    <border diagonalUp="false" diagonalDown="false">
      <left/>
      <right style="thin">
        <color rgb="FFFFFFFF"/>
      </right>
      <top style="thick">
        <color rgb="FFFFFFFF"/>
      </top>
      <bottom/>
      <diagonal/>
    </border>
    <border diagonalUp="false" diagonalDown="false">
      <left style="thin">
        <color rgb="FFFFFFFF"/>
      </left>
      <right style="thin">
        <color rgb="FFFFFFFF"/>
      </right>
      <top style="thick">
        <color rgb="FFFFFFFF"/>
      </top>
      <bottom style="thin">
        <color rgb="FFFFFFFF"/>
      </bottom>
      <diagonal/>
    </border>
    <border diagonalUp="false" diagonalDown="false">
      <left style="thin">
        <color rgb="FFFFFFFF"/>
      </left>
      <right style="thick">
        <color rgb="FFFFFFFF"/>
      </right>
      <top style="thick">
        <color rgb="FFFFFFFF"/>
      </top>
      <bottom style="thin">
        <color rgb="FFFFFFFF"/>
      </bottom>
      <diagonal/>
    </border>
    <border diagonalUp="false" diagonalDown="false">
      <left/>
      <right style="thick">
        <color rgb="FFFFFFFF"/>
      </right>
      <top style="thin"/>
      <bottom style="thin"/>
      <diagonal/>
    </border>
    <border diagonalUp="false" diagonalDown="false">
      <left style="thick">
        <color rgb="FFFFFFFF"/>
      </left>
      <right/>
      <top/>
      <bottom style="thin">
        <color rgb="FFFFFFFF"/>
      </bottom>
      <diagonal/>
    </border>
    <border diagonalUp="false" diagonalDown="false">
      <left style="thin">
        <color rgb="FFFFFFFF"/>
      </left>
      <right/>
      <top/>
      <bottom style="thin">
        <color rgb="FFFFFFFF"/>
      </bottom>
      <diagonal/>
    </border>
    <border diagonalUp="false" diagonalDown="false">
      <left/>
      <right style="thick">
        <color rgb="FFFFFFFF"/>
      </right>
      <top style="thin">
        <color rgb="FFFFFFFF"/>
      </top>
      <bottom/>
      <diagonal/>
    </border>
    <border diagonalUp="false" diagonalDown="false">
      <left/>
      <right style="thick">
        <color rgb="FFFFFFFF"/>
      </right>
      <top style="thin"/>
      <bottom/>
      <diagonal/>
    </border>
    <border diagonalUp="false" diagonalDown="false">
      <left style="thick">
        <color rgb="FFFFFFFF"/>
      </left>
      <right style="thin">
        <color rgb="FFFFFFFF"/>
      </right>
      <top style="thin">
        <color rgb="FFFFFFFF"/>
      </top>
      <bottom style="thick">
        <color rgb="FFFFFFFF"/>
      </bottom>
      <diagonal/>
    </border>
    <border diagonalUp="false" diagonalDown="false">
      <left style="thin">
        <color rgb="FFFFFFFF"/>
      </left>
      <right style="thin">
        <color rgb="FFFFFFFF"/>
      </right>
      <top style="thin">
        <color rgb="FFFFFFFF"/>
      </top>
      <bottom style="thick">
        <color rgb="FFFFFFFF"/>
      </bottom>
      <diagonal/>
    </border>
    <border diagonalUp="false" diagonalDown="false">
      <left style="thin">
        <color rgb="FFFFFFFF"/>
      </left>
      <right/>
      <top/>
      <bottom style="thick">
        <color rgb="FFFFFFFF"/>
      </bottom>
      <diagonal/>
    </border>
  </borders>
  <cellStyleXfs count="4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cellStyleXfs>
  <cellXfs count="314">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center"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center" vertical="top" textRotation="0" wrapText="tru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2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5"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28" fillId="0" borderId="3" xfId="0" applyFont="tru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29" fillId="9" borderId="5" xfId="0" applyFont="true" applyBorder="true" applyAlignment="true" applyProtection="false">
      <alignment horizontal="center" vertical="bottom" textRotation="0" wrapText="false" indent="0" shrinkToFit="false"/>
      <protection locked="true" hidden="false"/>
    </xf>
    <xf numFmtId="164" fontId="29" fillId="10" borderId="4" xfId="0" applyFont="true" applyBorder="true" applyAlignment="true" applyProtection="false">
      <alignment horizontal="center" vertical="bottom" textRotation="0" wrapText="false" indent="0" shrinkToFit="false"/>
      <protection locked="true" hidden="false"/>
    </xf>
    <xf numFmtId="164" fontId="29" fillId="11" borderId="5" xfId="0" applyFont="true" applyBorder="true" applyAlignment="true" applyProtection="false">
      <alignment horizontal="center" vertical="bottom" textRotation="0" wrapText="false" indent="0" shrinkToFit="false"/>
      <protection locked="true" hidden="false"/>
    </xf>
    <xf numFmtId="164" fontId="30" fillId="12" borderId="6" xfId="0" applyFont="true" applyBorder="true" applyAlignment="true" applyProtection="false">
      <alignment horizontal="center" vertical="center" textRotation="0" wrapText="false" indent="0" shrinkToFit="false"/>
      <protection locked="true" hidden="false"/>
    </xf>
    <xf numFmtId="167" fontId="31" fillId="9" borderId="7" xfId="0" applyFont="true" applyBorder="true" applyAlignment="true" applyProtection="false">
      <alignment horizontal="center" vertical="center" textRotation="0" wrapText="true" indent="0" shrinkToFit="false"/>
      <protection locked="true" hidden="false"/>
    </xf>
    <xf numFmtId="167" fontId="31" fillId="9" borderId="6" xfId="0" applyFont="true" applyBorder="true" applyAlignment="true" applyProtection="false">
      <alignment horizontal="center" vertical="center" textRotation="0" wrapText="true" indent="0" shrinkToFit="false"/>
      <protection locked="true" hidden="false"/>
    </xf>
    <xf numFmtId="167" fontId="31" fillId="9" borderId="8" xfId="0" applyFont="true" applyBorder="true" applyAlignment="true" applyProtection="false">
      <alignment horizontal="center" vertical="center" textRotation="0" wrapText="true" indent="0" shrinkToFit="false"/>
      <protection locked="true" hidden="false"/>
    </xf>
    <xf numFmtId="167" fontId="31" fillId="10" borderId="6" xfId="0" applyFont="true" applyBorder="true" applyAlignment="true" applyProtection="false">
      <alignment horizontal="center" vertical="center" textRotation="0" wrapText="true" indent="0" shrinkToFit="false"/>
      <protection locked="true" hidden="false"/>
    </xf>
    <xf numFmtId="167" fontId="31" fillId="11" borderId="7" xfId="0" applyFont="true" applyBorder="true" applyAlignment="true" applyProtection="false">
      <alignment horizontal="center" vertical="center" textRotation="0" wrapText="true" indent="0" shrinkToFit="false"/>
      <protection locked="true" hidden="false"/>
    </xf>
    <xf numFmtId="167" fontId="31" fillId="11" borderId="6" xfId="0" applyFont="true" applyBorder="true" applyAlignment="true" applyProtection="false">
      <alignment horizontal="center" vertical="center" textRotation="0" wrapText="true" indent="0" shrinkToFit="false"/>
      <protection locked="true" hidden="false"/>
    </xf>
    <xf numFmtId="167" fontId="31" fillId="11" borderId="8" xfId="0" applyFont="true" applyBorder="true" applyAlignment="true" applyProtection="false">
      <alignment horizontal="center" vertical="center" textRotation="0" wrapText="true" indent="0" shrinkToFit="false"/>
      <protection locked="true" hidden="false"/>
    </xf>
    <xf numFmtId="164" fontId="30" fillId="0" borderId="2" xfId="0" applyFont="true" applyBorder="true" applyAlignment="true" applyProtection="false">
      <alignment horizontal="general" vertical="center" textRotation="0" wrapText="true" indent="0" shrinkToFit="false"/>
      <protection locked="true" hidden="false"/>
    </xf>
    <xf numFmtId="164" fontId="32" fillId="9" borderId="9" xfId="0" applyFont="true" applyBorder="true" applyAlignment="true" applyProtection="true">
      <alignment horizontal="center" vertical="center" textRotation="0" wrapText="false" indent="0" shrinkToFit="false"/>
      <protection locked="false" hidden="false"/>
    </xf>
    <xf numFmtId="164" fontId="32" fillId="9" borderId="2" xfId="0" applyFont="true" applyBorder="true" applyAlignment="true" applyProtection="true">
      <alignment horizontal="center" vertical="center" textRotation="0" wrapText="false" indent="0" shrinkToFit="false"/>
      <protection locked="false" hidden="false"/>
    </xf>
    <xf numFmtId="164" fontId="32" fillId="9" borderId="10" xfId="0" applyFont="true" applyBorder="true" applyAlignment="true" applyProtection="true">
      <alignment horizontal="center" vertical="center" textRotation="0" wrapText="false" indent="0" shrinkToFit="false"/>
      <protection locked="false" hidden="false"/>
    </xf>
    <xf numFmtId="164" fontId="32" fillId="10" borderId="2" xfId="0" applyFont="true" applyBorder="true" applyAlignment="true" applyProtection="true">
      <alignment horizontal="center" vertical="center" textRotation="0" wrapText="false" indent="0" shrinkToFit="false"/>
      <protection locked="false" hidden="false"/>
    </xf>
    <xf numFmtId="164" fontId="32" fillId="11" borderId="9" xfId="0" applyFont="true" applyBorder="true" applyAlignment="true" applyProtection="true">
      <alignment horizontal="center" vertical="center" textRotation="0" wrapText="false" indent="0" shrinkToFit="false"/>
      <protection locked="false" hidden="false"/>
    </xf>
    <xf numFmtId="164" fontId="32" fillId="11" borderId="2" xfId="0" applyFont="true" applyBorder="true" applyAlignment="true" applyProtection="true">
      <alignment horizontal="center" vertical="center" textRotation="0" wrapText="false" indent="0" shrinkToFit="false"/>
      <protection locked="false" hidden="false"/>
    </xf>
    <xf numFmtId="164" fontId="32" fillId="11" borderId="10" xfId="0" applyFont="true" applyBorder="true" applyAlignment="true" applyProtection="true">
      <alignment horizontal="center" vertical="center" textRotation="0" wrapText="false" indent="0" shrinkToFit="false"/>
      <protection locked="false" hidden="false"/>
    </xf>
    <xf numFmtId="167" fontId="33" fillId="0" borderId="2" xfId="0" applyFont="true" applyBorder="true" applyAlignment="true" applyProtection="false">
      <alignment horizontal="right" vertical="bottom" textRotation="0" wrapText="true" indent="0" shrinkToFit="false"/>
      <protection locked="true" hidden="false"/>
    </xf>
    <xf numFmtId="164" fontId="30" fillId="13" borderId="0" xfId="0" applyFont="true" applyBorder="false" applyAlignment="true" applyProtection="false">
      <alignment horizontal="center" vertical="center" textRotation="0" wrapText="false" indent="0" shrinkToFit="false"/>
      <protection locked="true" hidden="false"/>
    </xf>
    <xf numFmtId="164" fontId="0" fillId="14" borderId="0" xfId="0" applyFont="true" applyBorder="false" applyAlignment="true" applyProtection="false">
      <alignment horizontal="center" vertical="center" textRotation="0" wrapText="true" indent="0" shrinkToFit="false"/>
      <protection locked="true" hidden="false"/>
    </xf>
    <xf numFmtId="164" fontId="0" fillId="14" borderId="11" xfId="0" applyFont="true" applyBorder="true" applyAlignment="true" applyProtection="false">
      <alignment horizontal="center" vertical="center" textRotation="0" wrapText="true" indent="0" shrinkToFit="false"/>
      <protection locked="true" hidden="false"/>
    </xf>
    <xf numFmtId="168" fontId="34" fillId="0" borderId="0" xfId="41" applyFont="true" applyBorder="true" applyAlignment="true" applyProtection="true">
      <alignment horizontal="right" vertical="center" textRotation="0" wrapText="false" indent="0" shrinkToFit="false"/>
      <protection locked="true" hidden="false"/>
    </xf>
    <xf numFmtId="164" fontId="0" fillId="14" borderId="2" xfId="0" applyFont="true" applyBorder="true" applyAlignment="true" applyProtection="false">
      <alignment horizontal="center" vertical="center" textRotation="0" wrapText="true" indent="0" shrinkToFit="false"/>
      <protection locked="true" hidden="false"/>
    </xf>
    <xf numFmtId="169" fontId="0" fillId="0" borderId="0" xfId="0" applyFont="true" applyBorder="false" applyAlignment="true" applyProtection="false">
      <alignment horizontal="center" vertical="center" textRotation="0" wrapText="false" indent="0" shrinkToFit="false"/>
      <protection locked="true" hidden="false"/>
    </xf>
    <xf numFmtId="164" fontId="0" fillId="14" borderId="0" xfId="0" applyFont="true" applyBorder="true" applyAlignment="true" applyProtection="false">
      <alignment horizontal="center" vertical="center" textRotation="0" wrapText="true" indent="0" shrinkToFit="false"/>
      <protection locked="true" hidden="false"/>
    </xf>
    <xf numFmtId="164" fontId="26" fillId="0" borderId="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5" fontId="33" fillId="0" borderId="0" xfId="39" applyFont="true" applyBorder="true" applyAlignment="true" applyProtection="true">
      <alignment horizontal="general" vertical="bottom" textRotation="0" wrapText="false" indent="0" shrinkToFit="false"/>
      <protection locked="true" hidden="false"/>
    </xf>
    <xf numFmtId="165" fontId="0" fillId="0" borderId="0" xfId="39" applyFont="true" applyBorder="true" applyAlignment="true" applyProtection="true">
      <alignment horizontal="general" vertical="bottom" textRotation="0" wrapText="false" indent="0" shrinkToFit="false"/>
      <protection locked="true" hidden="false"/>
    </xf>
    <xf numFmtId="164" fontId="25" fillId="0" borderId="0" xfId="0" applyFont="true" applyBorder="true" applyAlignment="true" applyProtection="false">
      <alignment horizontal="general" vertical="center" textRotation="0" wrapText="true" indent="0" shrinkToFit="false"/>
      <protection locked="true" hidden="false"/>
    </xf>
    <xf numFmtId="164" fontId="3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28" fillId="9" borderId="5" xfId="0" applyFont="true" applyBorder="true" applyAlignment="true" applyProtection="false">
      <alignment horizontal="center" vertical="bottom" textRotation="0" wrapText="false" indent="0" shrinkToFit="false"/>
      <protection locked="true" hidden="false"/>
    </xf>
    <xf numFmtId="164" fontId="28" fillId="10" borderId="4" xfId="0" applyFont="true" applyBorder="true" applyAlignment="true" applyProtection="false">
      <alignment horizontal="center" vertical="bottom" textRotation="0" wrapText="false" indent="0" shrinkToFit="false"/>
      <protection locked="true" hidden="false"/>
    </xf>
    <xf numFmtId="164" fontId="28" fillId="11" borderId="5" xfId="0" applyFont="true" applyBorder="true" applyAlignment="true" applyProtection="false">
      <alignment horizontal="center" vertical="bottom" textRotation="0" wrapText="false" indent="0" shrinkToFit="false"/>
      <protection locked="true" hidden="false"/>
    </xf>
    <xf numFmtId="164" fontId="25" fillId="15" borderId="6" xfId="0" applyFont="true" applyBorder="true" applyAlignment="true" applyProtection="false">
      <alignment horizontal="center" vertical="center" textRotation="0" wrapText="false" indent="0" shrinkToFit="false"/>
      <protection locked="true" hidden="false"/>
    </xf>
    <xf numFmtId="167" fontId="33" fillId="9" borderId="7" xfId="0" applyFont="true" applyBorder="true" applyAlignment="true" applyProtection="false">
      <alignment horizontal="center" vertical="center" textRotation="0" wrapText="true" indent="0" shrinkToFit="false"/>
      <protection locked="true" hidden="false"/>
    </xf>
    <xf numFmtId="167" fontId="33" fillId="9" borderId="6" xfId="0" applyFont="true" applyBorder="true" applyAlignment="true" applyProtection="false">
      <alignment horizontal="center" vertical="center" textRotation="0" wrapText="true" indent="0" shrinkToFit="false"/>
      <protection locked="true" hidden="false"/>
    </xf>
    <xf numFmtId="167" fontId="33" fillId="9" borderId="8" xfId="0" applyFont="true" applyBorder="true" applyAlignment="true" applyProtection="false">
      <alignment horizontal="center" vertical="center" textRotation="0" wrapText="true" indent="0" shrinkToFit="false"/>
      <protection locked="true" hidden="false"/>
    </xf>
    <xf numFmtId="167" fontId="33" fillId="10" borderId="6" xfId="0" applyFont="true" applyBorder="true" applyAlignment="true" applyProtection="false">
      <alignment horizontal="center" vertical="center" textRotation="0" wrapText="true" indent="0" shrinkToFit="false"/>
      <protection locked="true" hidden="false"/>
    </xf>
    <xf numFmtId="167" fontId="33" fillId="11" borderId="7" xfId="0" applyFont="true" applyBorder="true" applyAlignment="true" applyProtection="false">
      <alignment horizontal="center" vertical="center" textRotation="0" wrapText="true" indent="0" shrinkToFit="false"/>
      <protection locked="true" hidden="false"/>
    </xf>
    <xf numFmtId="167" fontId="33" fillId="11" borderId="6" xfId="0" applyFont="true" applyBorder="true" applyAlignment="true" applyProtection="false">
      <alignment horizontal="center" vertical="center" textRotation="0" wrapText="true" indent="0" shrinkToFit="false"/>
      <protection locked="true" hidden="false"/>
    </xf>
    <xf numFmtId="167" fontId="33" fillId="11" borderId="8"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7" fontId="33" fillId="0" borderId="0" xfId="0" applyFont="true" applyBorder="true" applyAlignment="true" applyProtection="false">
      <alignment horizontal="right" vertical="bottom" textRotation="0" wrapText="true" indent="0" shrinkToFit="false"/>
      <protection locked="true" hidden="false"/>
    </xf>
    <xf numFmtId="164" fontId="30" fillId="15" borderId="12" xfId="0" applyFont="true" applyBorder="true" applyAlignment="true" applyProtection="false">
      <alignment horizontal="center" vertical="center" textRotation="0" wrapText="false" indent="0" shrinkToFit="false"/>
      <protection locked="true" hidden="false"/>
    </xf>
    <xf numFmtId="164" fontId="37" fillId="13" borderId="13" xfId="0" applyFont="true" applyBorder="tru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false" indent="0" shrinkToFit="false"/>
      <protection locked="true" hidden="false"/>
    </xf>
    <xf numFmtId="170" fontId="38" fillId="0" borderId="0" xfId="0" applyFont="true" applyBorder="false" applyAlignment="true" applyProtection="false">
      <alignment horizontal="center" vertical="center" textRotation="0" wrapText="true" indent="0" shrinkToFit="false"/>
      <protection locked="true" hidden="false"/>
    </xf>
    <xf numFmtId="168" fontId="0" fillId="0" borderId="0" xfId="19" applyFont="true" applyBorder="true" applyAlignment="true" applyProtection="true">
      <alignment horizontal="right" vertical="center" textRotation="0" wrapText="false" indent="0" shrinkToFit="false"/>
      <protection locked="true" hidden="false"/>
    </xf>
    <xf numFmtId="164" fontId="37" fillId="13" borderId="14" xfId="0" applyFont="true" applyBorder="true" applyAlignment="true" applyProtection="false">
      <alignment horizontal="center" vertical="center" textRotation="0" wrapText="true" indent="0" shrinkToFit="false"/>
      <protection locked="true" hidden="false"/>
    </xf>
    <xf numFmtId="169" fontId="5" fillId="0" borderId="15" xfId="0" applyFont="true" applyBorder="true" applyAlignment="true" applyProtection="false">
      <alignment horizontal="center" vertical="center" textRotation="0" wrapText="false" indent="0" shrinkToFit="false"/>
      <protection locked="true" hidden="false"/>
    </xf>
    <xf numFmtId="169" fontId="5" fillId="0" borderId="0" xfId="0" applyFont="true" applyBorder="false" applyAlignment="true" applyProtection="false">
      <alignment horizontal="center" vertical="center" textRotation="0" wrapText="false" indent="0" shrinkToFit="false"/>
      <protection locked="true" hidden="false"/>
    </xf>
    <xf numFmtId="169" fontId="5" fillId="0" borderId="16" xfId="0" applyFont="true" applyBorder="true" applyAlignment="true" applyProtection="false">
      <alignment horizontal="center" vertical="center" textRotation="0" wrapText="false" indent="0" shrinkToFit="false"/>
      <protection locked="true" hidden="false"/>
    </xf>
    <xf numFmtId="171" fontId="36" fillId="0" borderId="0" xfId="0" applyFont="true" applyBorder="false" applyAlignment="true" applyProtection="false">
      <alignment horizontal="general" vertical="center" textRotation="0" wrapText="false" indent="0" shrinkToFit="false"/>
      <protection locked="true" hidden="false"/>
    </xf>
    <xf numFmtId="164" fontId="30" fillId="0" borderId="3" xfId="0" applyFont="true" applyBorder="true" applyAlignment="true" applyProtection="false">
      <alignment horizontal="general" vertical="center" textRotation="0" wrapText="true" indent="0" shrinkToFit="false"/>
      <protection locked="true" hidden="false"/>
    </xf>
    <xf numFmtId="164" fontId="32" fillId="9" borderId="17" xfId="0" applyFont="true" applyBorder="true" applyAlignment="true" applyProtection="true">
      <alignment horizontal="center" vertical="center" textRotation="0" wrapText="false" indent="0" shrinkToFit="false"/>
      <protection locked="false" hidden="false"/>
    </xf>
    <xf numFmtId="164" fontId="32" fillId="9" borderId="3" xfId="0" applyFont="true" applyBorder="true" applyAlignment="true" applyProtection="true">
      <alignment horizontal="center" vertical="center" textRotation="0" wrapText="false" indent="0" shrinkToFit="false"/>
      <protection locked="false" hidden="false"/>
    </xf>
    <xf numFmtId="164" fontId="32" fillId="9" borderId="18" xfId="0" applyFont="true" applyBorder="true" applyAlignment="true" applyProtection="true">
      <alignment horizontal="center" vertical="center" textRotation="0" wrapText="false" indent="0" shrinkToFit="false"/>
      <protection locked="false" hidden="false"/>
    </xf>
    <xf numFmtId="164" fontId="32" fillId="10" borderId="3" xfId="0" applyFont="true" applyBorder="true" applyAlignment="true" applyProtection="true">
      <alignment horizontal="center" vertical="center" textRotation="0" wrapText="false" indent="0" shrinkToFit="false"/>
      <protection locked="false" hidden="false"/>
    </xf>
    <xf numFmtId="164" fontId="32" fillId="11" borderId="17" xfId="0" applyFont="true" applyBorder="true" applyAlignment="true" applyProtection="true">
      <alignment horizontal="center" vertical="center" textRotation="0" wrapText="false" indent="0" shrinkToFit="false"/>
      <protection locked="false" hidden="false"/>
    </xf>
    <xf numFmtId="164" fontId="32" fillId="11" borderId="3" xfId="0" applyFont="true" applyBorder="true" applyAlignment="true" applyProtection="true">
      <alignment horizontal="center" vertical="center" textRotation="0" wrapText="false" indent="0" shrinkToFit="false"/>
      <protection locked="false" hidden="false"/>
    </xf>
    <xf numFmtId="164" fontId="32" fillId="11" borderId="18" xfId="0" applyFont="true" applyBorder="true" applyAlignment="true" applyProtection="true">
      <alignment horizontal="center" vertical="center" textRotation="0" wrapText="false" indent="0" shrinkToFit="false"/>
      <protection locked="false" hidden="false"/>
    </xf>
    <xf numFmtId="164" fontId="30" fillId="0" borderId="0" xfId="0" applyFont="true" applyBorder="false" applyAlignment="true" applyProtection="false">
      <alignment horizontal="right" vertical="bottom" textRotation="0" wrapText="false" indent="0" shrinkToFit="false"/>
      <protection locked="true" hidden="false"/>
    </xf>
    <xf numFmtId="168" fontId="30" fillId="0" borderId="0" xfId="19" applyFont="true" applyBorder="true" applyAlignment="true" applyProtection="true">
      <alignment horizontal="left" vertical="bottom" textRotation="0" wrapText="false" indent="0" shrinkToFit="false"/>
      <protection locked="true" hidden="false"/>
    </xf>
    <xf numFmtId="172" fontId="3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71"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25" fillId="13" borderId="6" xfId="0" applyFont="true" applyBorder="true" applyAlignment="true" applyProtection="false">
      <alignment horizontal="center" vertical="center" textRotation="0" wrapText="false" indent="0" shrinkToFit="false"/>
      <protection locked="true" hidden="false"/>
    </xf>
    <xf numFmtId="164" fontId="30" fillId="13" borderId="19" xfId="0" applyFont="true" applyBorder="true" applyAlignment="true" applyProtection="false">
      <alignment horizontal="center" vertical="center" textRotation="0" wrapText="false" indent="0" shrinkToFit="false"/>
      <protection locked="true" hidden="false"/>
    </xf>
    <xf numFmtId="164" fontId="37" fillId="14" borderId="1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37" fillId="14" borderId="19" xfId="0" applyFont="true" applyBorder="true" applyAlignment="true" applyProtection="false">
      <alignment horizontal="center" vertical="center" textRotation="0" wrapText="true" indent="0" shrinkToFit="false"/>
      <protection locked="true" hidden="false"/>
    </xf>
    <xf numFmtId="171" fontId="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true" applyAlignment="true" applyProtection="false">
      <alignment horizontal="general" vertical="center" textRotation="0" wrapText="tru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70" fontId="3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71"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30" fillId="13" borderId="13" xfId="0" applyFont="true" applyBorder="true" applyAlignment="true" applyProtection="false">
      <alignment horizontal="center" vertical="center" textRotation="0" wrapText="true" indent="0" shrinkToFit="false"/>
      <protection locked="true" hidden="false"/>
    </xf>
    <xf numFmtId="164" fontId="37" fillId="14" borderId="20" xfId="0" applyFont="true" applyBorder="true" applyAlignment="true" applyProtection="false">
      <alignment horizontal="center" vertical="center" textRotation="0" wrapText="true" indent="0" shrinkToFit="false"/>
      <protection locked="true" hidden="false"/>
    </xf>
    <xf numFmtId="166" fontId="36"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25" fillId="13" borderId="6" xfId="0" applyFont="true" applyBorder="true" applyAlignment="true" applyProtection="false">
      <alignment horizontal="center" vertical="center" textRotation="0" wrapText="true" indent="0" shrinkToFit="false"/>
      <protection locked="true" hidden="false"/>
    </xf>
    <xf numFmtId="166" fontId="36" fillId="0" borderId="0" xfId="0" applyFont="true" applyBorder="false" applyAlignment="true" applyProtection="false">
      <alignment horizontal="left" vertical="bottom" textRotation="0" wrapText="false" indent="0" shrinkToFit="false"/>
      <protection locked="true" hidden="false"/>
    </xf>
    <xf numFmtId="166" fontId="36" fillId="0" borderId="0" xfId="0" applyFont="true" applyBorder="false" applyAlignment="true" applyProtection="false">
      <alignment horizontal="left" vertical="top" textRotation="0" wrapText="false" indent="0" shrinkToFit="false"/>
      <protection locked="true" hidden="false"/>
    </xf>
    <xf numFmtId="164" fontId="37" fillId="14" borderId="0" xfId="0" applyFont="true" applyBorder="true" applyAlignment="true" applyProtection="false">
      <alignment horizontal="center" vertical="center" textRotation="0" wrapText="true" indent="0" shrinkToFit="false"/>
      <protection locked="true" hidden="false"/>
    </xf>
    <xf numFmtId="164" fontId="39" fillId="0" borderId="0" xfId="0" applyFont="true" applyBorder="false" applyAlignment="false" applyProtection="false">
      <alignment horizontal="general" vertical="bottom" textRotation="0" wrapText="false" indent="0" shrinkToFit="false"/>
      <protection locked="true" hidden="false"/>
    </xf>
    <xf numFmtId="164" fontId="42" fillId="0" borderId="21" xfId="0" applyFont="true" applyBorder="true" applyAlignment="true" applyProtection="false">
      <alignment horizontal="left" vertical="top" textRotation="0" wrapText="true" indent="0" shrinkToFit="false"/>
      <protection locked="true" hidden="false"/>
    </xf>
    <xf numFmtId="164" fontId="43" fillId="16" borderId="13" xfId="0" applyFont="true" applyBorder="true" applyAlignment="true" applyProtection="false">
      <alignment horizontal="center" vertical="center" textRotation="0" wrapText="true" indent="0" shrinkToFit="false"/>
      <protection locked="true" hidden="false"/>
    </xf>
    <xf numFmtId="164" fontId="43" fillId="16" borderId="19" xfId="0" applyFont="true" applyBorder="true" applyAlignment="true" applyProtection="false">
      <alignment horizontal="general" vertical="center" textRotation="0" wrapText="true" indent="0" shrinkToFit="false"/>
      <protection locked="true" hidden="false"/>
    </xf>
    <xf numFmtId="164" fontId="43" fillId="16" borderId="22" xfId="0" applyFont="true" applyBorder="true" applyAlignment="true" applyProtection="false">
      <alignment horizontal="center" vertical="center" textRotation="0" wrapText="true" indent="0" shrinkToFit="false"/>
      <protection locked="true" hidden="false"/>
    </xf>
    <xf numFmtId="164" fontId="43" fillId="16" borderId="23" xfId="0" applyFont="true" applyBorder="true" applyAlignment="true" applyProtection="false">
      <alignment horizontal="center" vertical="center" textRotation="0" wrapText="true" indent="0" shrinkToFit="false"/>
      <protection locked="true" hidden="false"/>
    </xf>
    <xf numFmtId="164" fontId="43" fillId="16" borderId="20"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general" vertical="center" textRotation="0" wrapText="false" indent="0" shrinkToFit="false"/>
      <protection locked="true" hidden="false"/>
    </xf>
    <xf numFmtId="164" fontId="44" fillId="15" borderId="13" xfId="0" applyFont="true" applyBorder="true" applyAlignment="true" applyProtection="true">
      <alignment horizontal="center" vertical="center" textRotation="0" wrapText="true" indent="0" shrinkToFit="false"/>
      <protection locked="true" hidden="false"/>
    </xf>
    <xf numFmtId="164" fontId="45" fillId="17" borderId="13" xfId="0" applyFont="true" applyBorder="true" applyAlignment="true" applyProtection="true">
      <alignment horizontal="center" vertical="center" textRotation="0" wrapText="true" indent="0" shrinkToFit="false"/>
      <protection locked="true" hidden="false"/>
    </xf>
    <xf numFmtId="164" fontId="45" fillId="18" borderId="13" xfId="0" applyFont="true" applyBorder="true" applyAlignment="true" applyProtection="true">
      <alignment horizontal="center" vertical="center" textRotation="0" wrapText="true" indent="0" shrinkToFit="false"/>
      <protection locked="true" hidden="false"/>
    </xf>
    <xf numFmtId="164" fontId="45" fillId="14" borderId="24" xfId="0" applyFont="true" applyBorder="true" applyAlignment="true" applyProtection="true">
      <alignment horizontal="center" vertical="center" textRotation="0" wrapText="true" indent="0" shrinkToFit="false"/>
      <protection locked="true" hidden="false"/>
    </xf>
    <xf numFmtId="164" fontId="45" fillId="19" borderId="12" xfId="0" applyFont="true" applyBorder="true" applyAlignment="true" applyProtection="true">
      <alignment horizontal="center" vertical="center" textRotation="0" wrapText="true" indent="0" shrinkToFit="false"/>
      <protection locked="true" hidden="false"/>
    </xf>
    <xf numFmtId="164" fontId="45" fillId="14" borderId="25" xfId="0" applyFont="true" applyBorder="true" applyAlignment="true" applyProtection="true">
      <alignment horizontal="center" vertical="center" textRotation="0" wrapText="true" indent="0" shrinkToFit="false"/>
      <protection locked="true" hidden="false"/>
    </xf>
    <xf numFmtId="164" fontId="45" fillId="14" borderId="26" xfId="0" applyFont="true" applyBorder="true" applyAlignment="true" applyProtection="true">
      <alignment horizontal="center" vertical="center" textRotation="0" wrapText="true" indent="0" shrinkToFit="false"/>
      <protection locked="true" hidden="false"/>
    </xf>
    <xf numFmtId="164" fontId="45" fillId="19" borderId="13" xfId="0" applyFont="true" applyBorder="true" applyAlignment="true" applyProtection="true">
      <alignment horizontal="center" vertical="center" textRotation="0" wrapText="true" indent="0" shrinkToFit="false"/>
      <protection locked="true" hidden="false"/>
    </xf>
    <xf numFmtId="164" fontId="46" fillId="16" borderId="13" xfId="0" applyFont="true" applyBorder="true" applyAlignment="true" applyProtection="true">
      <alignment horizontal="center" vertical="center" textRotation="0" wrapText="true" indent="0" shrinkToFit="false"/>
      <protection locked="true" hidden="false"/>
    </xf>
    <xf numFmtId="164" fontId="45" fillId="16" borderId="13" xfId="0" applyFont="true" applyBorder="true" applyAlignment="true" applyProtection="true">
      <alignment horizontal="center" vertical="center" textRotation="0" wrapText="true" indent="0" shrinkToFit="false"/>
      <protection locked="true" hidden="false"/>
    </xf>
    <xf numFmtId="164" fontId="45" fillId="15" borderId="13" xfId="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70" fontId="30" fillId="15" borderId="23" xfId="0" applyFont="true" applyBorder="true" applyAlignment="true" applyProtection="true">
      <alignment horizontal="right" vertical="bottom" textRotation="0" wrapText="false" indent="6" shrinkToFit="false"/>
      <protection locked="true" hidden="false"/>
    </xf>
    <xf numFmtId="164" fontId="0" fillId="17" borderId="27" xfId="0" applyFont="true" applyBorder="true" applyAlignment="false" applyProtection="true">
      <alignment horizontal="general" vertical="bottom" textRotation="0" wrapText="false" indent="0" shrinkToFit="false"/>
      <protection locked="true" hidden="false"/>
    </xf>
    <xf numFmtId="164" fontId="0" fillId="18" borderId="27" xfId="0" applyFont="true" applyBorder="true" applyAlignment="false" applyProtection="true">
      <alignment horizontal="general" vertical="bottom" textRotation="0" wrapText="false" indent="0" shrinkToFit="false"/>
      <protection locked="true" hidden="false"/>
    </xf>
    <xf numFmtId="168" fontId="0" fillId="14" borderId="28" xfId="0" applyFont="true" applyBorder="true" applyAlignment="true" applyProtection="true">
      <alignment horizontal="right" vertical="bottom" textRotation="0" wrapText="false" indent="3" shrinkToFit="false"/>
      <protection locked="true" hidden="false"/>
    </xf>
    <xf numFmtId="173" fontId="0" fillId="19" borderId="29" xfId="17" applyFont="true" applyBorder="true" applyAlignment="true" applyProtection="true">
      <alignment horizontal="left" vertical="bottom" textRotation="0" wrapText="false" indent="0" shrinkToFit="false"/>
      <protection locked="true" hidden="false"/>
    </xf>
    <xf numFmtId="174" fontId="0" fillId="14" borderId="28" xfId="0" applyFont="true" applyBorder="true" applyAlignment="true" applyProtection="true">
      <alignment horizontal="right" vertical="bottom" textRotation="0" wrapText="false" indent="3" shrinkToFit="false"/>
      <protection locked="true" hidden="false"/>
    </xf>
    <xf numFmtId="174" fontId="0" fillId="14" borderId="30" xfId="19" applyFont="true" applyBorder="true" applyAlignment="true" applyProtection="true">
      <alignment horizontal="right" vertical="bottom" textRotation="0" wrapText="false" indent="3" shrinkToFit="false"/>
      <protection locked="true" hidden="false"/>
    </xf>
    <xf numFmtId="168" fontId="0" fillId="14" borderId="31" xfId="19" applyFont="true" applyBorder="true" applyAlignment="true" applyProtection="true">
      <alignment horizontal="right" vertical="bottom" textRotation="0" wrapText="false" indent="4" shrinkToFit="false"/>
      <protection locked="true" hidden="false"/>
    </xf>
    <xf numFmtId="173" fontId="0" fillId="19" borderId="27" xfId="17" applyFont="true" applyBorder="true" applyAlignment="true" applyProtection="true">
      <alignment horizontal="right" vertical="bottom" textRotation="0" wrapText="false" indent="4" shrinkToFit="false"/>
      <protection locked="true" hidden="false"/>
    </xf>
    <xf numFmtId="168" fontId="0" fillId="0" borderId="0" xfId="19" applyFont="true" applyBorder="true" applyAlignment="true" applyProtection="true">
      <alignment horizontal="right" vertical="bottom" textRotation="0" wrapText="false" indent="3" shrinkToFit="false"/>
      <protection locked="true" hidden="false"/>
    </xf>
    <xf numFmtId="176" fontId="0" fillId="0" borderId="0" xfId="15" applyFont="true" applyBorder="true" applyAlignment="true" applyProtection="true">
      <alignment horizontal="general" vertical="bottom" textRotation="0" wrapText="false" indent="0" shrinkToFit="false"/>
      <protection locked="true" hidden="false"/>
    </xf>
    <xf numFmtId="171" fontId="0" fillId="16" borderId="27" xfId="0" applyFont="false" applyBorder="true" applyAlignment="true" applyProtection="true">
      <alignment horizontal="center" vertical="bottom" textRotation="0" wrapText="false" indent="0" shrinkToFit="false"/>
      <protection locked="true" hidden="false"/>
    </xf>
    <xf numFmtId="177" fontId="0" fillId="20" borderId="27" xfId="0" applyFont="false" applyBorder="true" applyAlignment="true" applyProtection="true">
      <alignment horizontal="center" vertical="bottom" textRotation="0" wrapText="false" indent="0" shrinkToFit="false"/>
      <protection locked="true" hidden="false"/>
    </xf>
    <xf numFmtId="171" fontId="0" fillId="20" borderId="27" xfId="0" applyFont="false" applyBorder="true" applyAlignment="true" applyProtection="true">
      <alignment horizontal="center" vertical="bottom" textRotation="0" wrapText="false" indent="0" shrinkToFit="false"/>
      <protection locked="true" hidden="false"/>
    </xf>
    <xf numFmtId="171" fontId="30" fillId="15" borderId="27" xfId="0" applyFont="true" applyBorder="true" applyAlignment="true" applyProtection="true">
      <alignment horizontal="center" vertical="center" textRotation="0" wrapText="false" indent="0" shrinkToFit="false"/>
      <protection locked="true" hidden="false"/>
    </xf>
    <xf numFmtId="164" fontId="0" fillId="17" borderId="32" xfId="0" applyFont="true" applyBorder="true" applyAlignment="false" applyProtection="true">
      <alignment horizontal="general" vertical="bottom" textRotation="0" wrapText="false" indent="0" shrinkToFit="false"/>
      <protection locked="true" hidden="false"/>
    </xf>
    <xf numFmtId="164" fontId="0" fillId="18" borderId="32" xfId="0" applyFont="true" applyBorder="true" applyAlignment="false" applyProtection="true">
      <alignment horizontal="general" vertical="bottom" textRotation="0" wrapText="false" indent="0" shrinkToFit="false"/>
      <protection locked="true" hidden="false"/>
    </xf>
    <xf numFmtId="168" fontId="0" fillId="14" borderId="33" xfId="0" applyFont="true" applyBorder="true" applyAlignment="true" applyProtection="true">
      <alignment horizontal="right" vertical="bottom" textRotation="0" wrapText="false" indent="3" shrinkToFit="false"/>
      <protection locked="true" hidden="false"/>
    </xf>
    <xf numFmtId="173" fontId="0" fillId="19" borderId="34" xfId="17" applyFont="true" applyBorder="true" applyAlignment="true" applyProtection="true">
      <alignment horizontal="left" vertical="bottom" textRotation="0" wrapText="false" indent="0" shrinkToFit="false"/>
      <protection locked="true" hidden="false"/>
    </xf>
    <xf numFmtId="174" fontId="0" fillId="14" borderId="33" xfId="0" applyFont="true" applyBorder="true" applyAlignment="true" applyProtection="true">
      <alignment horizontal="right" vertical="bottom" textRotation="0" wrapText="false" indent="3" shrinkToFit="false"/>
      <protection locked="true" hidden="false"/>
    </xf>
    <xf numFmtId="174" fontId="0" fillId="14" borderId="35" xfId="19" applyFont="true" applyBorder="true" applyAlignment="true" applyProtection="true">
      <alignment horizontal="right" vertical="bottom" textRotation="0" wrapText="false" indent="3" shrinkToFit="false"/>
      <protection locked="true" hidden="false"/>
    </xf>
    <xf numFmtId="168" fontId="0" fillId="14" borderId="36" xfId="19" applyFont="true" applyBorder="true" applyAlignment="true" applyProtection="true">
      <alignment horizontal="right" vertical="bottom" textRotation="0" wrapText="false" indent="4" shrinkToFit="false"/>
      <protection locked="true" hidden="false"/>
    </xf>
    <xf numFmtId="173" fontId="0" fillId="19" borderId="32" xfId="17" applyFont="true" applyBorder="true" applyAlignment="true" applyProtection="true">
      <alignment horizontal="right" vertical="bottom" textRotation="0" wrapText="false" indent="4" shrinkToFit="false"/>
      <protection locked="true" hidden="false"/>
    </xf>
    <xf numFmtId="171" fontId="0" fillId="16" borderId="32" xfId="0" applyFont="false" applyBorder="true" applyAlignment="true" applyProtection="true">
      <alignment horizontal="center" vertical="bottom" textRotation="0" wrapText="false" indent="0" shrinkToFit="false"/>
      <protection locked="true" hidden="false"/>
    </xf>
    <xf numFmtId="177" fontId="0" fillId="20" borderId="32" xfId="0" applyFont="false" applyBorder="true" applyAlignment="true" applyProtection="true">
      <alignment horizontal="center" vertical="bottom" textRotation="0" wrapText="false" indent="0" shrinkToFit="false"/>
      <protection locked="true" hidden="false"/>
    </xf>
    <xf numFmtId="171" fontId="0" fillId="20" borderId="32" xfId="0" applyFont="false" applyBorder="true" applyAlignment="true" applyProtection="true">
      <alignment horizontal="center" vertical="bottom" textRotation="0" wrapText="false" indent="0" shrinkToFit="false"/>
      <protection locked="true" hidden="false"/>
    </xf>
    <xf numFmtId="171" fontId="30" fillId="15" borderId="32" xfId="0" applyFont="true" applyBorder="true" applyAlignment="true" applyProtection="true">
      <alignment horizontal="center" vertical="center" textRotation="0" wrapText="false" indent="0" shrinkToFit="false"/>
      <protection locked="true" hidden="false"/>
    </xf>
    <xf numFmtId="164" fontId="0" fillId="17" borderId="34" xfId="0" applyFont="true" applyBorder="true" applyAlignment="false" applyProtection="true">
      <alignment horizontal="general" vertical="bottom" textRotation="0" wrapText="false" indent="0" shrinkToFit="false"/>
      <protection locked="true" hidden="false"/>
    </xf>
    <xf numFmtId="164" fontId="0" fillId="18" borderId="37" xfId="0" applyFont="true" applyBorder="true" applyAlignment="false" applyProtection="true">
      <alignment horizontal="general" vertical="bottom" textRotation="0" wrapText="false" indent="0" shrinkToFit="false"/>
      <protection locked="true" hidden="false"/>
    </xf>
    <xf numFmtId="173" fontId="0" fillId="19" borderId="36" xfId="17" applyFont="true" applyBorder="true" applyAlignment="true" applyProtection="true">
      <alignment horizontal="left" vertical="bottom" textRotation="0" wrapText="false" indent="0" shrinkToFit="false"/>
      <protection locked="true" hidden="false"/>
    </xf>
    <xf numFmtId="173" fontId="0" fillId="19" borderId="32" xfId="17" applyFont="true" applyBorder="true" applyAlignment="true" applyProtection="true">
      <alignment horizontal="right"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xf numFmtId="164" fontId="47" fillId="15" borderId="13" xfId="0" applyFont="true" applyBorder="true" applyAlignment="true" applyProtection="false">
      <alignment horizontal="center" vertical="center" textRotation="0" wrapText="true" indent="0" shrinkToFit="false"/>
      <protection locked="true" hidden="false"/>
    </xf>
    <xf numFmtId="164" fontId="47" fillId="17" borderId="19" xfId="0" applyFont="true" applyBorder="true" applyAlignment="true" applyProtection="false">
      <alignment horizontal="center" vertical="bottom" textRotation="0" wrapText="true" indent="0" shrinkToFit="false"/>
      <protection locked="true" hidden="false"/>
    </xf>
    <xf numFmtId="178" fontId="0" fillId="16" borderId="32" xfId="39" applyFont="true" applyBorder="true" applyAlignment="true" applyProtection="true">
      <alignment horizontal="center" vertical="bottom" textRotation="0" wrapText="false" indent="0" shrinkToFit="false"/>
      <protection locked="true" hidden="false"/>
    </xf>
    <xf numFmtId="164" fontId="0" fillId="17" borderId="27" xfId="0" applyFont="true" applyBorder="true" applyAlignment="false" applyProtection="false">
      <alignment horizontal="general" vertical="bottom" textRotation="0" wrapText="false" indent="0" shrinkToFit="false"/>
      <protection locked="true" hidden="false"/>
    </xf>
    <xf numFmtId="171" fontId="0" fillId="16" borderId="32" xfId="39" applyFont="true" applyBorder="true" applyAlignment="true" applyProtection="true">
      <alignment horizontal="center" vertical="bottom" textRotation="0" wrapText="false" indent="0" shrinkToFit="false"/>
      <protection locked="true" hidden="false"/>
    </xf>
    <xf numFmtId="164" fontId="0" fillId="17" borderId="32" xfId="0"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79" fontId="0" fillId="0" borderId="0" xfId="0" applyFont="false" applyBorder="false" applyAlignment="false" applyProtection="false">
      <alignment horizontal="general" vertical="bottom" textRotation="0" wrapText="false" indent="0" shrinkToFit="false"/>
      <protection locked="true" hidden="false"/>
    </xf>
    <xf numFmtId="164" fontId="30" fillId="21" borderId="20" xfId="0" applyFont="true" applyBorder="true" applyAlignment="true" applyProtection="false">
      <alignment horizontal="center" vertical="bottom" textRotation="0" wrapText="false" indent="0" shrinkToFit="false"/>
      <protection locked="true" hidden="false"/>
    </xf>
    <xf numFmtId="164" fontId="48" fillId="16" borderId="13" xfId="0" applyFont="true" applyBorder="true" applyAlignment="true" applyProtection="false">
      <alignment horizontal="center" vertical="center" textRotation="0" wrapText="true" indent="0" shrinkToFit="false"/>
      <protection locked="true" hidden="false"/>
    </xf>
    <xf numFmtId="164" fontId="48" fillId="16" borderId="19" xfId="0" applyFont="true" applyBorder="true" applyAlignment="true" applyProtection="false">
      <alignment horizontal="general" vertical="center" textRotation="0" wrapText="true" indent="0" shrinkToFit="false"/>
      <protection locked="true" hidden="false"/>
    </xf>
    <xf numFmtId="164" fontId="48" fillId="16" borderId="12" xfId="0" applyFont="true" applyBorder="true" applyAlignment="true" applyProtection="false">
      <alignment horizontal="general" vertical="center" textRotation="0" wrapText="true" indent="0" shrinkToFit="false"/>
      <protection locked="true" hidden="false"/>
    </xf>
    <xf numFmtId="164" fontId="43" fillId="22" borderId="38" xfId="0" applyFont="true" applyBorder="true" applyAlignment="true" applyProtection="false">
      <alignment horizontal="center" vertical="center" textRotation="0" wrapText="true" indent="0" shrinkToFit="false"/>
      <protection locked="true" hidden="false"/>
    </xf>
    <xf numFmtId="164" fontId="43" fillId="17" borderId="38" xfId="0" applyFont="true" applyBorder="true" applyAlignment="true" applyProtection="false">
      <alignment horizontal="center" vertical="center" textRotation="0" wrapText="true" indent="0" shrinkToFit="false"/>
      <protection locked="true" hidden="false"/>
    </xf>
    <xf numFmtId="164" fontId="43" fillId="18" borderId="39" xfId="0" applyFont="true" applyBorder="true" applyAlignment="true" applyProtection="false">
      <alignment horizontal="center" vertical="center" textRotation="0" wrapText="true" indent="0" shrinkToFit="false"/>
      <protection locked="true" hidden="false"/>
    </xf>
    <xf numFmtId="164" fontId="43" fillId="14" borderId="39" xfId="0" applyFont="true" applyBorder="true" applyAlignment="true" applyProtection="false">
      <alignment horizontal="center" vertical="center" textRotation="0" wrapText="true" indent="0" shrinkToFit="false"/>
      <protection locked="true" hidden="false"/>
    </xf>
    <xf numFmtId="164" fontId="43" fillId="19" borderId="39" xfId="0" applyFont="true" applyBorder="true" applyAlignment="true" applyProtection="false">
      <alignment horizontal="center" vertical="center" textRotation="0" wrapText="true" indent="0" shrinkToFit="false"/>
      <protection locked="true" hidden="false"/>
    </xf>
    <xf numFmtId="164" fontId="43" fillId="19" borderId="40" xfId="0" applyFont="true" applyBorder="true" applyAlignment="true" applyProtection="false">
      <alignment horizontal="center" vertical="center" textRotation="0" wrapText="true" indent="0" shrinkToFit="false"/>
      <protection locked="true" hidden="false"/>
    </xf>
    <xf numFmtId="164" fontId="43" fillId="14" borderId="41" xfId="0" applyFont="true" applyBorder="true" applyAlignment="true" applyProtection="false">
      <alignment horizontal="center" vertical="center" textRotation="0" wrapText="true" indent="0" shrinkToFit="false"/>
      <protection locked="true" hidden="false"/>
    </xf>
    <xf numFmtId="164" fontId="49" fillId="16" borderId="38" xfId="0" applyFont="true" applyBorder="true" applyAlignment="true" applyProtection="false">
      <alignment horizontal="center" vertical="center" textRotation="0" wrapText="true" indent="0" shrinkToFit="false"/>
      <protection locked="true" hidden="false"/>
    </xf>
    <xf numFmtId="164" fontId="43" fillId="20" borderId="39" xfId="0" applyFont="true" applyBorder="true" applyAlignment="true" applyProtection="false">
      <alignment horizontal="center" vertical="center" textRotation="0" wrapText="true" indent="0" shrinkToFit="false"/>
      <protection locked="true" hidden="false"/>
    </xf>
    <xf numFmtId="164" fontId="43" fillId="16" borderId="39" xfId="0" applyFont="true" applyBorder="true" applyAlignment="true" applyProtection="false">
      <alignment horizontal="center" vertical="center" textRotation="0" wrapText="true" indent="0" shrinkToFit="false"/>
      <protection locked="true" hidden="false"/>
    </xf>
    <xf numFmtId="164" fontId="43" fillId="23" borderId="39" xfId="0" applyFont="true" applyBorder="true" applyAlignment="true" applyProtection="false">
      <alignment horizontal="center" vertical="center" textRotation="0" wrapText="true" indent="0" shrinkToFit="false"/>
      <protection locked="true" hidden="false"/>
    </xf>
    <xf numFmtId="170" fontId="0" fillId="0" borderId="0" xfId="0" applyFont="false" applyBorder="false" applyAlignment="true" applyProtection="false">
      <alignment horizontal="center" vertical="bottom" textRotation="0" wrapText="false" indent="0" shrinkToFit="false"/>
      <protection locked="true" hidden="false"/>
    </xf>
    <xf numFmtId="164" fontId="0" fillId="17" borderId="42" xfId="0" applyFont="true" applyBorder="true" applyAlignment="false" applyProtection="false">
      <alignment horizontal="general" vertical="bottom" textRotation="0" wrapText="false" indent="0" shrinkToFit="false"/>
      <protection locked="true" hidden="false"/>
    </xf>
    <xf numFmtId="164" fontId="0" fillId="18" borderId="35" xfId="0" applyFont="true" applyBorder="true" applyAlignment="false" applyProtection="false">
      <alignment horizontal="general" vertical="bottom" textRotation="0" wrapText="false" indent="0" shrinkToFit="false"/>
      <protection locked="true" hidden="false"/>
    </xf>
    <xf numFmtId="168" fontId="0" fillId="14" borderId="35" xfId="19" applyFont="true" applyBorder="true" applyAlignment="true" applyProtection="true">
      <alignment horizontal="center" vertical="bottom" textRotation="0" wrapText="false" indent="0" shrinkToFit="false"/>
      <protection locked="true" hidden="false"/>
    </xf>
    <xf numFmtId="179" fontId="0" fillId="14" borderId="35" xfId="0" applyFont="true" applyBorder="true" applyAlignment="true" applyProtection="false">
      <alignment horizontal="center" vertical="bottom" textRotation="0" wrapText="false" indent="0" shrinkToFit="false"/>
      <protection locked="true" hidden="false"/>
    </xf>
    <xf numFmtId="173" fontId="0" fillId="19" borderId="35" xfId="17" applyFont="true" applyBorder="true" applyAlignment="true" applyProtection="true">
      <alignment horizontal="center" vertical="bottom" textRotation="0" wrapText="false" indent="0" shrinkToFit="false"/>
      <protection locked="true" hidden="false"/>
    </xf>
    <xf numFmtId="174" fontId="0" fillId="14" borderId="35" xfId="0" applyFont="true" applyBorder="true" applyAlignment="true" applyProtection="false">
      <alignment horizontal="center" vertical="bottom" textRotation="0" wrapText="false" indent="0" shrinkToFit="false"/>
      <protection locked="true" hidden="false"/>
    </xf>
    <xf numFmtId="173" fontId="0" fillId="19" borderId="43" xfId="17" applyFont="true" applyBorder="true" applyAlignment="true" applyProtection="true">
      <alignment horizontal="center" vertical="bottom" textRotation="0" wrapText="false" indent="0" shrinkToFit="false"/>
      <protection locked="true" hidden="false"/>
    </xf>
    <xf numFmtId="178" fontId="0" fillId="14" borderId="44" xfId="0" applyFont="true" applyBorder="true" applyAlignment="true" applyProtection="false">
      <alignment horizontal="center" vertical="bottom" textRotation="0" wrapText="false" indent="0" shrinkToFit="false"/>
      <protection locked="true" hidden="false"/>
    </xf>
    <xf numFmtId="177" fontId="0" fillId="0" borderId="0" xfId="0" applyFont="false" applyBorder="false" applyAlignment="true" applyProtection="false">
      <alignment horizontal="center" vertical="bottom" textRotation="0" wrapText="false" indent="0" shrinkToFit="false"/>
      <protection locked="true" hidden="false"/>
    </xf>
    <xf numFmtId="180" fontId="0" fillId="0" borderId="0" xfId="0" applyFont="false" applyBorder="false" applyAlignment="true" applyProtection="false">
      <alignment horizontal="center" vertical="bottom" textRotation="0" wrapText="false" indent="0" shrinkToFit="false"/>
      <protection locked="true" hidden="false"/>
    </xf>
    <xf numFmtId="177" fontId="0" fillId="16" borderId="45" xfId="0" applyFont="false" applyBorder="true" applyAlignment="true" applyProtection="false">
      <alignment horizontal="center" vertical="bottom" textRotation="0" wrapText="false" indent="0" shrinkToFit="false"/>
      <protection locked="true" hidden="false"/>
    </xf>
    <xf numFmtId="177" fontId="0" fillId="20" borderId="45" xfId="0" applyFont="false" applyBorder="true" applyAlignment="true" applyProtection="false">
      <alignment horizontal="center" vertical="bottom" textRotation="0" wrapText="false" indent="0" shrinkToFit="false"/>
      <protection locked="true" hidden="false"/>
    </xf>
    <xf numFmtId="171" fontId="0" fillId="23" borderId="45" xfId="0" applyFont="false" applyBorder="true" applyAlignment="true" applyProtection="false">
      <alignment horizontal="center" vertical="bottom" textRotation="0" wrapText="false" indent="0" shrinkToFit="false"/>
      <protection locked="true" hidden="false"/>
    </xf>
    <xf numFmtId="177" fontId="0" fillId="16" borderId="35" xfId="0" applyFont="false" applyBorder="true" applyAlignment="true" applyProtection="false">
      <alignment horizontal="center" vertical="bottom" textRotation="0" wrapText="false" indent="0" shrinkToFit="false"/>
      <protection locked="true" hidden="false"/>
    </xf>
    <xf numFmtId="177" fontId="0" fillId="20" borderId="35" xfId="0" applyFont="false" applyBorder="true" applyAlignment="true" applyProtection="false">
      <alignment horizontal="center" vertical="bottom" textRotation="0" wrapText="false" indent="0" shrinkToFit="false"/>
      <protection locked="true" hidden="false"/>
    </xf>
    <xf numFmtId="171" fontId="0" fillId="23" borderId="35" xfId="0" applyFont="false" applyBorder="true" applyAlignment="true" applyProtection="false">
      <alignment horizontal="center" vertical="bottom" textRotation="0" wrapText="false" indent="0" shrinkToFit="false"/>
      <protection locked="true" hidden="false"/>
    </xf>
    <xf numFmtId="164" fontId="0" fillId="17" borderId="46" xfId="0" applyFont="true" applyBorder="true" applyAlignment="false" applyProtection="false">
      <alignment horizontal="general" vertical="bottom" textRotation="0" wrapText="false" indent="0" shrinkToFit="false"/>
      <protection locked="true" hidden="false"/>
    </xf>
    <xf numFmtId="164" fontId="0" fillId="18" borderId="44" xfId="0" applyFont="true" applyBorder="true" applyAlignment="false" applyProtection="false">
      <alignment horizontal="general" vertical="bottom" textRotation="0" wrapText="false" indent="0" shrinkToFit="false"/>
      <protection locked="true" hidden="false"/>
    </xf>
    <xf numFmtId="168" fontId="0" fillId="14" borderId="44" xfId="19" applyFont="true" applyBorder="true" applyAlignment="true" applyProtection="true">
      <alignment horizontal="center" vertical="bottom" textRotation="0" wrapText="false" indent="0" shrinkToFit="false"/>
      <protection locked="true" hidden="false"/>
    </xf>
    <xf numFmtId="179" fontId="0" fillId="14" borderId="44" xfId="0" applyFont="true" applyBorder="true" applyAlignment="true" applyProtection="false">
      <alignment horizontal="center" vertical="bottom" textRotation="0" wrapText="false" indent="0" shrinkToFit="false"/>
      <protection locked="true" hidden="false"/>
    </xf>
    <xf numFmtId="173" fontId="0" fillId="19" borderId="44" xfId="17" applyFont="true" applyBorder="true" applyAlignment="true" applyProtection="true">
      <alignment horizontal="center" vertical="bottom" textRotation="0" wrapText="false" indent="0" shrinkToFit="false"/>
      <protection locked="true" hidden="false"/>
    </xf>
    <xf numFmtId="174" fontId="0" fillId="14" borderId="44" xfId="0" applyFont="true" applyBorder="true" applyAlignment="true" applyProtection="false">
      <alignment horizontal="center" vertical="bottom" textRotation="0" wrapText="false" indent="0" shrinkToFit="false"/>
      <protection locked="true" hidden="false"/>
    </xf>
    <xf numFmtId="173" fontId="0" fillId="19" borderId="47" xfId="17" applyFont="true" applyBorder="true" applyAlignment="true" applyProtection="true">
      <alignment horizontal="center" vertical="bottom" textRotation="0" wrapText="false" indent="0" shrinkToFit="false"/>
      <protection locked="true" hidden="false"/>
    </xf>
    <xf numFmtId="167" fontId="33" fillId="0" borderId="48"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70" fontId="0" fillId="20" borderId="0" xfId="0" applyFont="false" applyBorder="true" applyAlignment="true" applyProtection="false">
      <alignment horizontal="general" vertical="bottom" textRotation="0" wrapText="false" indent="0" shrinkToFit="false"/>
      <protection locked="true" hidden="false"/>
    </xf>
    <xf numFmtId="164" fontId="0" fillId="0" borderId="49" xfId="0" applyFont="true" applyBorder="true" applyAlignment="true" applyProtection="false">
      <alignment horizontal="general" vertical="bottom" textRotation="0" wrapText="false" indent="0" shrinkToFit="false"/>
      <protection locked="true" hidden="false"/>
    </xf>
    <xf numFmtId="173" fontId="39" fillId="0" borderId="0" xfId="17" applyFont="true" applyBorder="true" applyAlignment="true" applyProtection="true">
      <alignment horizontal="general"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36" fillId="0" borderId="0"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true" applyAlignment="true" applyProtection="false">
      <alignment horizontal="center" vertical="bottom" textRotation="0" wrapText="false" indent="0" shrinkToFit="false"/>
      <protection locked="true" hidden="false"/>
    </xf>
    <xf numFmtId="164" fontId="39" fillId="0" borderId="0" xfId="0" applyFont="true" applyBorder="true" applyAlignment="false" applyProtection="false">
      <alignment horizontal="general" vertical="bottom" textRotation="0" wrapText="false" indent="0" shrinkToFit="false"/>
      <protection locked="true" hidden="false"/>
    </xf>
    <xf numFmtId="164" fontId="39" fillId="0" borderId="0" xfId="0" applyFont="true" applyBorder="true" applyAlignment="true" applyProtection="false">
      <alignment horizontal="center" vertical="bottom" textRotation="0" wrapText="false" indent="0" shrinkToFit="false"/>
      <protection locked="true" hidden="false"/>
    </xf>
    <xf numFmtId="164" fontId="50" fillId="0" borderId="0" xfId="0" applyFont="true" applyBorder="true" applyAlignment="false" applyProtection="false">
      <alignment horizontal="general" vertical="bottom" textRotation="0" wrapText="false" indent="0" shrinkToFit="false"/>
      <protection locked="true" hidden="false"/>
    </xf>
    <xf numFmtId="164" fontId="51" fillId="0" borderId="0" xfId="0" applyFont="true" applyBorder="true" applyAlignment="true" applyProtection="false">
      <alignment horizontal="center" vertical="bottom" textRotation="0" wrapText="true" indent="0" shrinkToFit="false"/>
      <protection locked="true" hidden="false"/>
    </xf>
    <xf numFmtId="164" fontId="51" fillId="14" borderId="50" xfId="0" applyFont="true" applyBorder="true" applyAlignment="true" applyProtection="false">
      <alignment horizontal="center" vertical="bottom" textRotation="0" wrapText="true" indent="0" shrinkToFit="false"/>
      <protection locked="true" hidden="false"/>
    </xf>
    <xf numFmtId="164" fontId="51" fillId="14" borderId="51" xfId="0" applyFont="true" applyBorder="true" applyAlignment="true" applyProtection="false">
      <alignment horizontal="center" vertical="bottom" textRotation="0" wrapText="true" indent="0" shrinkToFit="false"/>
      <protection locked="true" hidden="false"/>
    </xf>
    <xf numFmtId="164" fontId="51" fillId="13" borderId="51" xfId="0" applyFont="true" applyBorder="true" applyAlignment="true" applyProtection="false">
      <alignment horizontal="center" vertical="bottom" textRotation="0" wrapText="true" indent="0" shrinkToFit="false"/>
      <protection locked="true" hidden="false"/>
    </xf>
    <xf numFmtId="164" fontId="51" fillId="15" borderId="52" xfId="0" applyFont="true" applyBorder="true" applyAlignment="true" applyProtection="false">
      <alignment horizontal="center" vertical="bottom" textRotation="0" wrapText="true" indent="0" shrinkToFit="false"/>
      <protection locked="true" hidden="false"/>
    </xf>
    <xf numFmtId="164" fontId="51" fillId="0" borderId="0" xfId="0" applyFont="true" applyBorder="true" applyAlignment="true" applyProtection="false">
      <alignment horizontal="center" vertical="bottom" textRotation="0" wrapText="true" indent="0" shrinkToFit="false"/>
      <protection locked="true" hidden="false"/>
    </xf>
    <xf numFmtId="164" fontId="51" fillId="14" borderId="2" xfId="0" applyFont="true" applyBorder="true" applyAlignment="true" applyProtection="false">
      <alignment horizontal="right" vertical="center" textRotation="0" wrapText="true" indent="0" shrinkToFit="false"/>
      <protection locked="true" hidden="false"/>
    </xf>
    <xf numFmtId="181" fontId="39" fillId="0" borderId="53" xfId="0" applyFont="true" applyBorder="true" applyAlignment="true" applyProtection="false">
      <alignment horizontal="center" vertical="center" textRotation="0" wrapText="false" indent="0" shrinkToFit="false"/>
      <protection locked="true" hidden="false"/>
    </xf>
    <xf numFmtId="181" fontId="39" fillId="0" borderId="54" xfId="0" applyFont="true" applyBorder="true" applyAlignment="true" applyProtection="false">
      <alignment horizontal="center" vertical="center" textRotation="0" wrapText="false" indent="0" shrinkToFit="false"/>
      <protection locked="true" hidden="false"/>
    </xf>
    <xf numFmtId="181" fontId="39" fillId="0" borderId="55" xfId="0" applyFont="true" applyBorder="true" applyAlignment="true" applyProtection="false">
      <alignment horizontal="center" vertical="center" textRotation="0" wrapText="false" indent="0" shrinkToFit="false"/>
      <protection locked="true" hidden="false"/>
    </xf>
    <xf numFmtId="181" fontId="39" fillId="0" borderId="56"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general" vertical="center" textRotation="0" wrapText="false" indent="0" shrinkToFit="false"/>
      <protection locked="true" hidden="false"/>
    </xf>
    <xf numFmtId="164" fontId="51" fillId="14" borderId="57" xfId="0" applyFont="true" applyBorder="true" applyAlignment="true" applyProtection="false">
      <alignment horizontal="right" vertical="center" textRotation="0" wrapText="true" indent="0" shrinkToFit="false"/>
      <protection locked="true" hidden="false"/>
    </xf>
    <xf numFmtId="181" fontId="39" fillId="0" borderId="58" xfId="0" applyFont="true" applyBorder="true" applyAlignment="true" applyProtection="false">
      <alignment horizontal="center" vertical="center" textRotation="0" wrapText="false" indent="0" shrinkToFit="false"/>
      <protection locked="true" hidden="false"/>
    </xf>
    <xf numFmtId="181" fontId="39" fillId="0" borderId="46" xfId="0" applyFont="true" applyBorder="true" applyAlignment="true" applyProtection="false">
      <alignment horizontal="center" vertical="center" textRotation="0" wrapText="false" indent="0" shrinkToFit="false"/>
      <protection locked="true" hidden="false"/>
    </xf>
    <xf numFmtId="181" fontId="39" fillId="0" borderId="35" xfId="0" applyFont="true" applyBorder="true" applyAlignment="true" applyProtection="false">
      <alignment horizontal="center" vertical="center" textRotation="0" wrapText="false" indent="0" shrinkToFit="false"/>
      <protection locked="true" hidden="false"/>
    </xf>
    <xf numFmtId="181" fontId="39" fillId="0" borderId="36" xfId="0" applyFont="true" applyBorder="true" applyAlignment="true" applyProtection="false">
      <alignment horizontal="center" vertical="center" textRotation="0" wrapText="false" indent="0" shrinkToFit="false"/>
      <protection locked="true" hidden="false"/>
    </xf>
    <xf numFmtId="181" fontId="39" fillId="0" borderId="33" xfId="0" applyFont="true" applyBorder="true" applyAlignment="true" applyProtection="false">
      <alignment horizontal="center" vertical="center" textRotation="0" wrapText="false" indent="0" shrinkToFit="false"/>
      <protection locked="true" hidden="false"/>
    </xf>
    <xf numFmtId="181" fontId="39" fillId="0" borderId="59" xfId="0" applyFont="true" applyBorder="true" applyAlignment="true" applyProtection="false">
      <alignment horizontal="center" vertical="center" textRotation="0" wrapText="false" indent="0" shrinkToFit="false"/>
      <protection locked="true" hidden="false"/>
    </xf>
    <xf numFmtId="164" fontId="51" fillId="13" borderId="57" xfId="0" applyFont="true" applyBorder="true" applyAlignment="true" applyProtection="false">
      <alignment horizontal="right" vertical="center" textRotation="0" wrapText="true" indent="0" shrinkToFit="false"/>
      <protection locked="true" hidden="false"/>
    </xf>
    <xf numFmtId="181" fontId="39" fillId="0" borderId="60" xfId="0" applyFont="true" applyBorder="true" applyAlignment="true" applyProtection="false">
      <alignment horizontal="center" vertical="center" textRotation="0" wrapText="false" indent="0" shrinkToFit="false"/>
      <protection locked="true" hidden="false"/>
    </xf>
    <xf numFmtId="164" fontId="51" fillId="15" borderId="61" xfId="0" applyFont="true" applyBorder="true" applyAlignment="true" applyProtection="false">
      <alignment horizontal="right" vertical="center" textRotation="0" wrapText="true" indent="0" shrinkToFit="false"/>
      <protection locked="true" hidden="false"/>
    </xf>
    <xf numFmtId="181" fontId="39" fillId="0" borderId="62" xfId="0" applyFont="true" applyBorder="true" applyAlignment="true" applyProtection="false">
      <alignment horizontal="center" vertical="center" textRotation="0" wrapText="false" indent="0" shrinkToFit="false"/>
      <protection locked="true" hidden="false"/>
    </xf>
    <xf numFmtId="181" fontId="39" fillId="0" borderId="63" xfId="0" applyFont="true" applyBorder="true" applyAlignment="true" applyProtection="false">
      <alignment horizontal="center" vertical="center" textRotation="0" wrapText="false" indent="0" shrinkToFit="false"/>
      <protection locked="true" hidden="false"/>
    </xf>
    <xf numFmtId="181" fontId="39" fillId="0" borderId="64" xfId="0" applyFont="true" applyBorder="true" applyAlignment="true" applyProtection="false">
      <alignment horizontal="center" vertical="center" textRotation="0" wrapText="false" indent="0" shrinkToFit="false"/>
      <protection locked="true" hidden="false"/>
    </xf>
    <xf numFmtId="164" fontId="39" fillId="0" borderId="0" xfId="0" applyFont="true" applyBorder="true" applyAlignment="true" applyProtection="false">
      <alignment horizontal="center" vertical="bottom" textRotation="0" wrapText="true" indent="0" shrinkToFit="false"/>
      <protection locked="true" hidden="false"/>
    </xf>
    <xf numFmtId="164" fontId="39" fillId="0" borderId="0" xfId="0" applyFont="true" applyBorder="true" applyAlignment="true" applyProtection="false">
      <alignment horizontal="center" vertical="bottom" textRotation="0" wrapText="true" indent="0" shrinkToFit="false"/>
      <protection locked="true" hidden="false"/>
    </xf>
    <xf numFmtId="171" fontId="39" fillId="0" borderId="0" xfId="0" applyFont="true" applyBorder="true" applyAlignment="true" applyProtection="false">
      <alignment horizontal="center" vertical="bottom" textRotation="0" wrapText="false" indent="0" shrinkToFit="false"/>
      <protection locked="true" hidden="false"/>
    </xf>
    <xf numFmtId="182" fontId="39" fillId="0" borderId="0" xfId="0" applyFont="true" applyBorder="true" applyAlignment="true" applyProtection="false">
      <alignment horizontal="center" vertical="bottom" textRotation="0" wrapText="false" indent="0" shrinkToFit="false"/>
      <protection locked="true" hidden="false"/>
    </xf>
    <xf numFmtId="166" fontId="39" fillId="0" borderId="0" xfId="19" applyFont="true" applyBorder="true" applyAlignment="true" applyProtection="true">
      <alignment horizontal="center" vertical="bottom" textRotation="0" wrapText="false" indent="0" shrinkToFit="false"/>
      <protection locked="true" hidden="false"/>
    </xf>
    <xf numFmtId="172" fontId="39" fillId="0" borderId="0" xfId="0" applyFont="true" applyBorder="true" applyAlignment="true" applyProtection="false">
      <alignment horizontal="center" vertical="bottom" textRotation="0" wrapText="false" indent="0" shrinkToFit="false"/>
      <protection locked="true" hidden="false"/>
    </xf>
    <xf numFmtId="178" fontId="39" fillId="0" borderId="0" xfId="0" applyFont="true" applyBorder="true" applyAlignment="true" applyProtection="false">
      <alignment horizontal="center" vertical="bottom" textRotation="0" wrapText="false" indent="0" shrinkToFit="false"/>
      <protection locked="true" hidden="false"/>
    </xf>
    <xf numFmtId="179" fontId="39" fillId="0" borderId="0" xfId="0" applyFont="true" applyBorder="true" applyAlignment="true" applyProtection="false">
      <alignment horizontal="center" vertical="bottom" textRotation="0" wrapText="false" indent="0" shrinkToFit="false"/>
      <protection locked="true" hidden="false"/>
    </xf>
    <xf numFmtId="173" fontId="39" fillId="0" borderId="0" xfId="17" applyFont="true" applyBorder="true" applyAlignment="true" applyProtection="true">
      <alignment horizontal="center" vertical="bottom" textRotation="0" wrapText="false" indent="0" shrinkToFit="false"/>
      <protection locked="true" hidden="false"/>
    </xf>
    <xf numFmtId="183" fontId="39" fillId="0" borderId="0" xfId="0" applyFont="true" applyBorder="true" applyAlignment="false" applyProtection="false">
      <alignment horizontal="general" vertical="bottom" textRotation="0" wrapText="false" indent="0" shrinkToFit="false"/>
      <protection locked="true" hidden="false"/>
    </xf>
    <xf numFmtId="171" fontId="39" fillId="0" borderId="0" xfId="0" applyFont="true" applyBorder="true" applyAlignment="false" applyProtection="false">
      <alignment horizontal="general" vertical="bottom" textRotation="0" wrapText="false" indent="0" shrinkToFit="false"/>
      <protection locked="true" hidden="false"/>
    </xf>
    <xf numFmtId="171" fontId="39" fillId="0" borderId="0" xfId="17" applyFont="true" applyBorder="true" applyAlignment="true" applyProtection="true">
      <alignment horizontal="general" vertical="bottom" textRotation="0" wrapText="false" indent="0" shrinkToFit="false"/>
      <protection locked="true" hidden="false"/>
    </xf>
    <xf numFmtId="170" fontId="39" fillId="0" borderId="0" xfId="17" applyFont="true" applyBorder="true" applyAlignment="true" applyProtection="true">
      <alignment horizontal="general" vertical="bottom" textRotation="0" wrapText="false" indent="0" shrinkToFit="false"/>
      <protection locked="true" hidden="false"/>
    </xf>
    <xf numFmtId="183" fontId="39" fillId="0" borderId="0" xfId="17" applyFont="true" applyBorder="true" applyAlignment="true" applyProtection="true">
      <alignment horizontal="general" vertical="bottom" textRotation="0" wrapText="false" indent="0" shrinkToFit="false"/>
      <protection locked="true" hidden="false"/>
    </xf>
    <xf numFmtId="178" fontId="39" fillId="0" borderId="0" xfId="0" applyFont="true" applyBorder="true" applyAlignment="false" applyProtection="false">
      <alignment horizontal="general" vertical="bottom" textRotation="0" wrapText="false" indent="0" shrinkToFit="false"/>
      <protection locked="true" hidden="false"/>
    </xf>
    <xf numFmtId="179" fontId="39" fillId="0" borderId="0" xfId="0" applyFont="tru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center" textRotation="0" wrapText="false" indent="0" shrinkToFit="false"/>
      <protection locked="true" hidden="false"/>
    </xf>
    <xf numFmtId="164" fontId="47" fillId="16" borderId="13" xfId="0" applyFont="true" applyBorder="true" applyAlignment="true" applyProtection="false">
      <alignment horizontal="center" vertical="center" textRotation="0" wrapText="true" indent="0" shrinkToFit="false"/>
      <protection locked="true" hidden="false"/>
    </xf>
    <xf numFmtId="164" fontId="47" fillId="16" borderId="19" xfId="0" applyFont="true" applyBorder="true" applyAlignment="true" applyProtection="false">
      <alignment horizontal="general" vertical="center" textRotation="0" wrapText="true" indent="0" shrinkToFit="false"/>
      <protection locked="true" hidden="false"/>
    </xf>
    <xf numFmtId="164" fontId="47" fillId="16" borderId="22" xfId="0" applyFont="true" applyBorder="true" applyAlignment="true" applyProtection="false">
      <alignment horizontal="center" vertical="center" textRotation="0" wrapText="true" indent="0" shrinkToFit="false"/>
      <protection locked="true" hidden="false"/>
    </xf>
    <xf numFmtId="164" fontId="47" fillId="16" borderId="23" xfId="0" applyFont="true" applyBorder="true" applyAlignment="true" applyProtection="false">
      <alignment horizontal="center" vertical="center" textRotation="0" wrapText="true" indent="0" shrinkToFit="false"/>
      <protection locked="true" hidden="false"/>
    </xf>
    <xf numFmtId="164" fontId="47" fillId="16" borderId="20" xfId="0" applyFont="true" applyBorder="true" applyAlignment="true" applyProtection="false">
      <alignment horizontal="center" vertical="center" textRotation="0" wrapText="true" indent="0" shrinkToFit="false"/>
      <protection locked="true" hidden="false"/>
    </xf>
    <xf numFmtId="164" fontId="47" fillId="18" borderId="19" xfId="0" applyFont="true" applyBorder="true" applyAlignment="true" applyProtection="true">
      <alignment horizontal="center" vertical="center" textRotation="0" wrapText="true" indent="0" shrinkToFit="false"/>
      <protection locked="true" hidden="false"/>
    </xf>
    <xf numFmtId="164" fontId="57" fillId="20" borderId="13" xfId="0" applyFont="true" applyBorder="true" applyAlignment="true" applyProtection="false">
      <alignment horizontal="center" vertical="center" textRotation="0" wrapText="false" indent="0" shrinkToFit="false"/>
      <protection locked="true" hidden="false"/>
    </xf>
    <xf numFmtId="164" fontId="58" fillId="14" borderId="24" xfId="0" applyFont="true" applyBorder="true" applyAlignment="true" applyProtection="true">
      <alignment horizontal="left" vertical="center" textRotation="0" wrapText="true" indent="0" shrinkToFit="false"/>
      <protection locked="true" hidden="false"/>
    </xf>
    <xf numFmtId="164" fontId="59" fillId="14" borderId="12" xfId="0" applyFont="true" applyBorder="true" applyAlignment="true" applyProtection="true">
      <alignment horizontal="left" vertical="center" textRotation="0" wrapText="true" indent="0" shrinkToFit="false"/>
      <protection locked="true" hidden="false"/>
    </xf>
    <xf numFmtId="164" fontId="58" fillId="14" borderId="12" xfId="0" applyFont="true" applyBorder="true" applyAlignment="true" applyProtection="true">
      <alignment horizontal="left" vertical="center" textRotation="0" wrapText="true" indent="0" shrinkToFit="false"/>
      <protection locked="true" hidden="false"/>
    </xf>
    <xf numFmtId="164" fontId="58" fillId="19" borderId="12" xfId="0" applyFont="true" applyBorder="true" applyAlignment="true" applyProtection="true">
      <alignment horizontal="left" vertical="center" textRotation="0" wrapText="true" indent="0" shrinkToFit="false"/>
      <protection locked="true" hidden="false"/>
    </xf>
    <xf numFmtId="164" fontId="58" fillId="14" borderId="25" xfId="0" applyFont="true" applyBorder="true" applyAlignment="true" applyProtection="true">
      <alignment horizontal="left" vertical="center" textRotation="0" wrapText="true" indent="0" shrinkToFit="false"/>
      <protection locked="true" hidden="false"/>
    </xf>
    <xf numFmtId="164" fontId="58" fillId="14" borderId="26" xfId="0" applyFont="true" applyBorder="true" applyAlignment="true" applyProtection="true">
      <alignment horizontal="left" vertical="center" textRotation="0" wrapText="true" indent="0" shrinkToFit="false"/>
      <protection locked="true" hidden="false"/>
    </xf>
    <xf numFmtId="164" fontId="58" fillId="18" borderId="13" xfId="0" applyFont="true" applyBorder="true" applyAlignment="true" applyProtection="false">
      <alignment horizontal="left" vertical="center" textRotation="0" wrapText="true" indent="0" shrinkToFit="false"/>
      <protection locked="true" hidden="false"/>
    </xf>
    <xf numFmtId="164" fontId="59" fillId="14" borderId="25" xfId="0" applyFont="true" applyBorder="true" applyAlignment="true" applyProtection="true">
      <alignment horizontal="left" vertical="center" textRotation="0" wrapText="true" indent="0" shrinkToFit="false"/>
      <protection locked="true" hidden="false"/>
    </xf>
    <xf numFmtId="167" fontId="58" fillId="14" borderId="25" xfId="0" applyFont="true" applyBorder="true" applyAlignment="true" applyProtection="true">
      <alignment horizontal="left" vertical="center" textRotation="0" wrapText="true" indent="0" shrinkToFit="false"/>
      <protection locked="true" hidden="false"/>
    </xf>
    <xf numFmtId="164" fontId="58" fillId="19" borderId="13" xfId="0" applyFont="true" applyBorder="true" applyAlignment="true" applyProtection="true">
      <alignment horizontal="left" vertical="center" textRotation="0" wrapText="true" indent="0" shrinkToFit="false"/>
      <protection locked="true" hidden="false"/>
    </xf>
    <xf numFmtId="164" fontId="59" fillId="14" borderId="24" xfId="0" applyFont="true" applyBorder="true" applyAlignment="true" applyProtection="true">
      <alignment horizontal="left" vertical="center" textRotation="0" wrapText="true" indent="0" shrinkToFit="false"/>
      <protection locked="true" hidden="false"/>
    </xf>
    <xf numFmtId="164" fontId="58" fillId="14" borderId="24" xfId="0" applyFont="true" applyBorder="true" applyAlignment="true" applyProtection="true">
      <alignment horizontal="left" vertical="top" textRotation="0" wrapText="true" indent="0" shrinkToFit="false"/>
      <protection locked="true" hidden="false"/>
    </xf>
    <xf numFmtId="164" fontId="47" fillId="14" borderId="24" xfId="0" applyFont="true" applyBorder="true" applyAlignment="true" applyProtection="true">
      <alignment horizontal="center" vertical="center" textRotation="0" wrapText="true" indent="0" shrinkToFit="false"/>
      <protection locked="true" hidden="false"/>
    </xf>
    <xf numFmtId="164" fontId="47" fillId="14" borderId="12" xfId="0" applyFont="true" applyBorder="true" applyAlignment="true" applyProtection="true">
      <alignment horizontal="center" vertical="center" textRotation="0" wrapText="true" indent="0" shrinkToFit="false"/>
      <protection locked="true" hidden="false"/>
    </xf>
    <xf numFmtId="164" fontId="47" fillId="19" borderId="12" xfId="0" applyFont="true" applyBorder="true" applyAlignment="true" applyProtection="true">
      <alignment horizontal="center" vertical="center" textRotation="0" wrapText="true" indent="0" shrinkToFit="false"/>
      <protection locked="true" hidden="false"/>
    </xf>
    <xf numFmtId="164" fontId="47" fillId="14" borderId="25" xfId="0" applyFont="true" applyBorder="true" applyAlignment="true" applyProtection="true">
      <alignment horizontal="center" vertical="center" textRotation="0" wrapText="true" indent="0" shrinkToFit="false"/>
      <protection locked="true" hidden="false"/>
    </xf>
    <xf numFmtId="164" fontId="47" fillId="14" borderId="26" xfId="0" applyFont="true" applyBorder="true" applyAlignment="true" applyProtection="true">
      <alignment horizontal="center" vertical="center" textRotation="0" wrapText="true" indent="0" shrinkToFit="false"/>
      <protection locked="true" hidden="false"/>
    </xf>
    <xf numFmtId="164" fontId="47" fillId="19" borderId="13" xfId="0" applyFont="true" applyBorder="true" applyAlignment="true" applyProtection="true">
      <alignment horizontal="center" vertical="center" textRotation="0" wrapText="true" indent="0" shrinkToFit="false"/>
      <protection locked="true" hidden="false"/>
    </xf>
    <xf numFmtId="164" fontId="37" fillId="17" borderId="27" xfId="0" applyFont="true" applyBorder="true" applyAlignment="false" applyProtection="false">
      <alignment horizontal="general" vertical="bottom" textRotation="0" wrapText="false" indent="0" shrinkToFit="false"/>
      <protection locked="true" hidden="false"/>
    </xf>
    <xf numFmtId="164" fontId="37" fillId="18" borderId="27" xfId="0" applyFont="true" applyBorder="true" applyAlignment="false" applyProtection="false">
      <alignment horizontal="general" vertical="bottom" textRotation="0" wrapText="false" indent="0" shrinkToFit="false"/>
      <protection locked="true" hidden="false"/>
    </xf>
    <xf numFmtId="168" fontId="37" fillId="0" borderId="0" xfId="0" applyFont="true" applyBorder="false" applyAlignment="true" applyProtection="false">
      <alignment horizontal="right" vertical="bottom" textRotation="0" wrapText="false" indent="4" shrinkToFit="false"/>
      <protection locked="true" hidden="false"/>
    </xf>
    <xf numFmtId="179" fontId="60" fillId="0" borderId="0" xfId="0" applyFont="true" applyBorder="false" applyAlignment="true" applyProtection="false">
      <alignment horizontal="right" vertical="bottom" textRotation="0" wrapText="false" indent="3" shrinkToFit="false"/>
      <protection locked="true" hidden="false"/>
    </xf>
    <xf numFmtId="168" fontId="37" fillId="0" borderId="0" xfId="19" applyFont="true" applyBorder="true" applyAlignment="true" applyProtection="true">
      <alignment horizontal="right" vertical="bottom" textRotation="0" wrapText="false" indent="3" shrinkToFit="false"/>
      <protection locked="true" hidden="false"/>
    </xf>
    <xf numFmtId="173" fontId="37" fillId="0" borderId="0" xfId="17" applyFont="true" applyBorder="true" applyAlignment="true" applyProtection="true">
      <alignment horizontal="general" vertical="bottom" textRotation="0" wrapText="false" indent="0" shrinkToFit="false"/>
      <protection locked="true" hidden="false"/>
    </xf>
    <xf numFmtId="174" fontId="37" fillId="0" borderId="0" xfId="0" applyFont="true" applyBorder="false" applyAlignment="true" applyProtection="false">
      <alignment horizontal="right" vertical="bottom" textRotation="0" wrapText="false" indent="3" shrinkToFit="false"/>
      <protection locked="true" hidden="false"/>
    </xf>
    <xf numFmtId="176" fontId="37" fillId="0" borderId="0" xfId="15" applyFont="true" applyBorder="true" applyAlignment="true" applyProtection="true">
      <alignment horizontal="general" vertical="bottom" textRotation="0" wrapText="false" indent="0" shrinkToFit="false"/>
      <protection locked="true" hidden="false"/>
    </xf>
    <xf numFmtId="164" fontId="37" fillId="17" borderId="32" xfId="0" applyFont="true" applyBorder="true" applyAlignment="false" applyProtection="false">
      <alignment horizontal="general" vertical="bottom" textRotation="0" wrapText="false" indent="0" shrinkToFit="false"/>
      <protection locked="true" hidden="false"/>
    </xf>
    <xf numFmtId="164" fontId="37" fillId="18" borderId="32" xfId="0" applyFont="true" applyBorder="true" applyAlignment="false" applyProtection="false">
      <alignment horizontal="general" vertical="bottom" textRotation="0" wrapText="false" indent="0" shrinkToFit="false"/>
      <protection locked="true" hidden="false"/>
    </xf>
    <xf numFmtId="164" fontId="37" fillId="17" borderId="36" xfId="0" applyFont="true" applyBorder="true" applyAlignment="false" applyProtection="false">
      <alignment horizontal="general" vertical="bottom" textRotation="0" wrapText="false" indent="0" shrinkToFit="false"/>
      <protection locked="true" hidden="false"/>
    </xf>
    <xf numFmtId="164" fontId="37" fillId="18" borderId="33" xfId="0" applyFont="true" applyBorder="true" applyAlignment="false" applyProtection="false">
      <alignment horizontal="general" vertical="bottom" textRotation="0" wrapText="false" indent="0" shrinkToFit="false"/>
      <protection locked="true" hidden="false"/>
    </xf>
  </cellXfs>
  <cellStyles count="28">
    <cellStyle name="Normal" xfId="0" builtinId="0"/>
    <cellStyle name="Comma" xfId="15" builtinId="3"/>
    <cellStyle name="Comma [0]" xfId="16" builtinId="6"/>
    <cellStyle name="Currency" xfId="17" builtinId="4"/>
    <cellStyle name="Currency [0]" xfId="18" builtinId="7"/>
    <cellStyle name="Percent" xfId="19" builtinId="5"/>
    <cellStyle name="Heading" xfId="21"/>
    <cellStyle name="Heading 1" xfId="22"/>
    <cellStyle name="Heading 2" xfId="23"/>
    <cellStyle name="Text" xfId="24"/>
    <cellStyle name="Note" xfId="25"/>
    <cellStyle name="Footnote" xfId="26"/>
    <cellStyle name="Hyperlink" xfId="27"/>
    <cellStyle name="Status" xfId="28"/>
    <cellStyle name="Good" xfId="29"/>
    <cellStyle name="Neutral" xfId="30"/>
    <cellStyle name="Bad" xfId="31"/>
    <cellStyle name="Warning" xfId="32"/>
    <cellStyle name="Error" xfId="33"/>
    <cellStyle name="Accent" xfId="34"/>
    <cellStyle name="Accent 1" xfId="35"/>
    <cellStyle name="Accent 2" xfId="36"/>
    <cellStyle name="Accent 3" xfId="37"/>
    <cellStyle name="Currency 2" xfId="38"/>
    <cellStyle name="Moneda 2" xfId="39"/>
    <cellStyle name="Percent 2" xfId="40"/>
    <cellStyle name="Porcentaje 2" xfId="41"/>
    <cellStyle name="*unknown*" xfId="20" builtinId="8"/>
  </cellStyles>
  <dxfs count="4">
    <dxf>
      <font>
        <name val="Calibri"/>
        <family val="2"/>
        <color rgb="FF9C0006"/>
        <sz val="12"/>
      </font>
    </dxf>
    <dxf>
      <font>
        <name val="Calibri"/>
        <family val="2"/>
        <color rgb="FF9C0006"/>
        <sz val="12"/>
      </font>
    </dxf>
    <dxf>
      <font>
        <name val="Calibri"/>
        <family val="2"/>
        <color rgb="FF9C0006"/>
        <sz val="12"/>
      </font>
    </dxf>
    <dxf>
      <font>
        <name val="Calibri"/>
        <family val="2"/>
        <color rgb="FF9C0006"/>
        <sz val="12"/>
      </font>
    </dxf>
  </dxfs>
  <colors>
    <indexedColors>
      <rgbColor rgb="FF000000"/>
      <rgbColor rgb="FFFFFFFF"/>
      <rgbColor rgb="FFCC0000"/>
      <rgbColor rgb="FFFEDC81"/>
      <rgbColor rgb="FF0000EE"/>
      <rgbColor rgb="FFFFFF00"/>
      <rgbColor rgb="FFFFF2CC"/>
      <rgbColor rgb="FFDDDDDD"/>
      <rgbColor rgb="FF9C0006"/>
      <rgbColor rgb="FF006600"/>
      <rgbColor rgb="FF000080"/>
      <rgbColor rgb="FF996600"/>
      <rgbColor rgb="FFFFFCF3"/>
      <rgbColor rgb="FF0081C4"/>
      <rgbColor rgb="FFD9D9D9"/>
      <rgbColor rgb="FF808080"/>
      <rgbColor rgb="FF5B9BD5"/>
      <rgbColor rgb="FF595959"/>
      <rgbColor rgb="FFFFFFCC"/>
      <rgbColor rgb="FFDEEBF7"/>
      <rgbColor rgb="FF660066"/>
      <rgbColor rgb="FFFA856F"/>
      <rgbColor rgb="FF0563C1"/>
      <rgbColor rgb="FFBDD7EE"/>
      <rgbColor rgb="FF000080"/>
      <rgbColor rgb="FFFCF4F0"/>
      <rgbColor rgb="FFEFE783"/>
      <rgbColor rgb="FFF2F2F2"/>
      <rgbColor rgb="FFF8FFF3"/>
      <rgbColor rgb="FF800000"/>
      <rgbColor rgb="FFFFCCCC"/>
      <rgbColor rgb="FF0000FF"/>
      <rgbColor rgb="FFCCDE82"/>
      <rgbColor rgb="FFE2F0D9"/>
      <rgbColor rgb="FFCCFFCC"/>
      <rgbColor rgb="FFFFE699"/>
      <rgbColor rgb="FFC5E0B4"/>
      <rgbColor rgb="FFFBA276"/>
      <rgbColor rgb="FFF8BEB5"/>
      <rgbColor rgb="FFFFBEA9"/>
      <rgbColor rgb="FF4472C4"/>
      <rgbColor rgb="FF63BE7B"/>
      <rgbColor rgb="FF86C97D"/>
      <rgbColor rgb="FFFFC000"/>
      <rgbColor rgb="FFF08A53"/>
      <rgbColor rgb="FFF9696B"/>
      <rgbColor rgb="FF767171"/>
      <rgbColor rgb="FF8B8B8B"/>
      <rgbColor rgb="FF2F5597"/>
      <rgbColor rgb="FFA9D37F"/>
      <rgbColor rgb="FF003300"/>
      <rgbColor rgb="FF44546A"/>
      <rgbColor rgb="FFFFC742"/>
      <rgbColor rgb="FFFDBF7B"/>
      <rgbColor rgb="FF1F4E7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de parados sin prestación</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General"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Gráficos!$I$121</c:f>
              <c:numCache>
                <c:formatCode>General</c:formatCode>
                <c:ptCount val="1"/>
                <c:pt idx="0">
                  <c:v>0.028481565612441</c:v>
                </c:pt>
              </c:numCache>
            </c:numRef>
          </c:val>
        </c:ser>
        <c:ser>
          <c:idx val="1"/>
          <c:order val="1"/>
          <c:spPr>
            <a:noFill/>
            <a:ln>
              <a:noFill/>
            </a:ln>
          </c:spPr>
          <c:invertIfNegative val="0"/>
          <c:dPt>
            <c:idx val="0"/>
            <c:invertIfNegative val="0"/>
            <c:spPr>
              <a:noFill/>
              <a:ln>
                <a:noFill/>
              </a:ln>
            </c:spPr>
          </c:dPt>
          <c:dLbls>
            <c:numFmt formatCode="General" sourceLinked="1"/>
            <c:dLbl>
              <c:idx val="0"/>
              <c:txPr>
                <a:bodyPr/>
                <a:lstStyle/>
                <a:p>
                  <a:pPr>
                    <a:defRPr b="0" sz="1000" spc="-1" strike="noStrike">
                      <a:solidFill>
                        <a:srgbClr val="000000"/>
                      </a:solidFill>
                      <a:latin typeface="Calibri"/>
                    </a:defRPr>
                  </a:pPr>
                </a:p>
              </c:txPr>
              <c:dLblPos val="ctr"/>
              <c:showLegendKey val="0"/>
              <c:showVal val="0"/>
              <c:showCatName val="0"/>
              <c:showSerName val="0"/>
              <c:showPercent val="0"/>
            </c:dLbl>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Gráficos!$I$122</c:f>
              <c:numCache>
                <c:formatCode>General</c:formatCode>
                <c:ptCount val="1"/>
                <c:pt idx="0">
                  <c:v>0.00470384824053987</c:v>
                </c:pt>
              </c:numCache>
            </c:numRef>
          </c:val>
        </c:ser>
        <c:ser>
          <c:idx val="2"/>
          <c:order val="2"/>
          <c:spPr>
            <a:solidFill>
              <a:srgbClr val="5b9bd5">
                <a:alpha val="50000"/>
              </a:srgbClr>
            </a:solidFill>
            <a:ln w="15840">
              <a:solidFill>
                <a:srgbClr val="5b9bd5"/>
              </a:solidFill>
              <a:round/>
            </a:ln>
          </c:spPr>
          <c:invertIfNegative val="0"/>
          <c:dLbls>
            <c:numFmt formatCode="General"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Gráficos!$I$123</c:f>
              <c:numCache>
                <c:formatCode>General</c:formatCode>
                <c:ptCount val="1"/>
                <c:pt idx="0">
                  <c:v>0.0132853311919408</c:v>
                </c:pt>
              </c:numCache>
            </c:numRef>
          </c:val>
        </c:ser>
        <c:ser>
          <c:idx val="3"/>
          <c:order val="3"/>
          <c:spPr>
            <a:solidFill>
              <a:srgbClr val="5b9bd5">
                <a:alpha val="50000"/>
              </a:srgbClr>
            </a:solidFill>
            <a:ln w="15840">
              <a:solidFill>
                <a:srgbClr val="5b9bd5"/>
              </a:solidFill>
              <a:round/>
            </a:ln>
          </c:spPr>
          <c:invertIfNegative val="0"/>
          <c:dLbls>
            <c:numFmt formatCode="General"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Gráficos!$I$124</c:f>
              <c:numCache>
                <c:formatCode>General</c:formatCode>
                <c:ptCount val="1"/>
                <c:pt idx="0">
                  <c:v>0.0106370646865762</c:v>
                </c:pt>
              </c:numCache>
            </c:numRef>
          </c:val>
        </c:ser>
        <c:ser>
          <c:idx val="4"/>
          <c:order val="4"/>
          <c:spPr>
            <a:noFill/>
            <a:ln>
              <a:noFill/>
            </a:ln>
          </c:spPr>
          <c:invertIfNegative val="0"/>
          <c:dLbls>
            <c:numFmt formatCode="General"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Gráficos!$I$125</c:f>
              <c:numCache>
                <c:formatCode>General</c:formatCode>
                <c:ptCount val="1"/>
                <c:pt idx="0">
                  <c:v>0.0201505378052791</c:v>
                </c:pt>
              </c:numCache>
            </c:numRef>
          </c:val>
        </c:ser>
        <c:gapWidth val="150"/>
        <c:overlap val="100"/>
        <c:axId val="23917939"/>
        <c:axId val="33743115"/>
      </c:barChart>
      <c:catAx>
        <c:axId val="23917939"/>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3743115"/>
        <c:crosses val="autoZero"/>
        <c:auto val="1"/>
        <c:lblAlgn val="ctr"/>
        <c:lblOffset val="100"/>
      </c:catAx>
      <c:valAx>
        <c:axId val="33743115"/>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23917939"/>
        <c:crosses val="autoZero"/>
      </c:valAx>
      <c:spPr>
        <a:noFill/>
        <a:ln>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Familas perceptoras renta mínima</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Gráficos!$E$121</c:f>
              <c:numCache>
                <c:formatCode>General</c:formatCode>
                <c:ptCount val="1"/>
                <c:pt idx="0">
                  <c:v>73</c:v>
                </c:pt>
              </c:numCache>
            </c:numRef>
          </c:val>
        </c:ser>
        <c:ser>
          <c:idx val="1"/>
          <c:order val="1"/>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Gráficos!$E$122</c:f>
              <c:numCache>
                <c:formatCode>General</c:formatCode>
                <c:ptCount val="1"/>
                <c:pt idx="0">
                  <c:v>169</c:v>
                </c:pt>
              </c:numCache>
            </c:numRef>
          </c:val>
        </c:ser>
        <c:ser>
          <c:idx val="2"/>
          <c:order val="2"/>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Gráficos!$E$123</c:f>
              <c:numCache>
                <c:formatCode>General</c:formatCode>
                <c:ptCount val="1"/>
                <c:pt idx="0">
                  <c:v>354</c:v>
                </c:pt>
              </c:numCache>
            </c:numRef>
          </c:val>
        </c:ser>
        <c:ser>
          <c:idx val="3"/>
          <c:order val="3"/>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Gráficos!$E$124</c:f>
              <c:numCache>
                <c:formatCode>General</c:formatCode>
                <c:ptCount val="1"/>
                <c:pt idx="0">
                  <c:v>634</c:v>
                </c:pt>
              </c:numCache>
            </c:numRef>
          </c:val>
        </c:ser>
        <c:ser>
          <c:idx val="4"/>
          <c:order val="4"/>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Gráficos!$E$125</c:f>
              <c:numCache>
                <c:formatCode>General</c:formatCode>
                <c:ptCount val="1"/>
                <c:pt idx="0">
                  <c:v>2097</c:v>
                </c:pt>
              </c:numCache>
            </c:numRef>
          </c:val>
        </c:ser>
        <c:gapWidth val="150"/>
        <c:overlap val="100"/>
        <c:axId val="55886131"/>
        <c:axId val="8978319"/>
      </c:barChart>
      <c:catAx>
        <c:axId val="55886131"/>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978319"/>
        <c:crosses val="autoZero"/>
        <c:auto val="1"/>
        <c:lblAlgn val="ctr"/>
        <c:lblOffset val="100"/>
      </c:catAx>
      <c:valAx>
        <c:axId val="8978319"/>
        <c:scaling>
          <c:orientation val="minMax"/>
        </c:scaling>
        <c:delete val="0"/>
        <c:axPos val="l"/>
        <c:majorGridlines>
          <c:spPr>
            <a:ln w="9360">
              <a:solidFill>
                <a:srgbClr val="d9d9d9"/>
              </a:solidFill>
              <a:prstDash val="sysDash"/>
              <a:round/>
            </a:ln>
          </c:spPr>
        </c:majorGridlines>
        <c:numFmt formatCode="#,##0&quot; €&quot;"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55886131"/>
        <c:crosses val="autoZero"/>
      </c:valAx>
      <c:spPr>
        <a:noFill/>
        <a:ln>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Renta media hogar</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Gráficos!$F$121</c:f>
              <c:numCache>
                <c:formatCode>General</c:formatCode>
                <c:ptCount val="1"/>
                <c:pt idx="0">
                  <c:v>19587.0949040644</c:v>
                </c:pt>
              </c:numCache>
            </c:numRef>
          </c:val>
        </c:ser>
        <c:ser>
          <c:idx val="1"/>
          <c:order val="1"/>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Gráficos!$F$122</c:f>
              <c:numCache>
                <c:formatCode>General</c:formatCode>
                <c:ptCount val="1"/>
                <c:pt idx="0">
                  <c:v>8994.2830245463</c:v>
                </c:pt>
              </c:numCache>
            </c:numRef>
          </c:val>
        </c:ser>
        <c:ser>
          <c:idx val="2"/>
          <c:order val="2"/>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Gráficos!$F$123</c:f>
              <c:numCache>
                <c:formatCode>General</c:formatCode>
                <c:ptCount val="1"/>
                <c:pt idx="0">
                  <c:v>8110.10046399497</c:v>
                </c:pt>
              </c:numCache>
            </c:numRef>
          </c:val>
        </c:ser>
        <c:ser>
          <c:idx val="3"/>
          <c:order val="3"/>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Gráficos!$F$124</c:f>
              <c:numCache>
                <c:formatCode>General</c:formatCode>
                <c:ptCount val="1"/>
                <c:pt idx="0">
                  <c:v>10973.8734553225</c:v>
                </c:pt>
              </c:numCache>
            </c:numRef>
          </c:val>
        </c:ser>
        <c:ser>
          <c:idx val="4"/>
          <c:order val="4"/>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Gráficos!$F$125</c:f>
              <c:numCache>
                <c:formatCode>General</c:formatCode>
                <c:ptCount val="1"/>
                <c:pt idx="0">
                  <c:v>64655.3962459471</c:v>
                </c:pt>
              </c:numCache>
            </c:numRef>
          </c:val>
        </c:ser>
        <c:gapWidth val="150"/>
        <c:overlap val="100"/>
        <c:axId val="4709494"/>
        <c:axId val="82011130"/>
      </c:barChart>
      <c:catAx>
        <c:axId val="4709494"/>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82011130"/>
        <c:crosses val="autoZero"/>
        <c:auto val="1"/>
        <c:lblAlgn val="ctr"/>
        <c:lblOffset val="100"/>
      </c:catAx>
      <c:valAx>
        <c:axId val="82011130"/>
        <c:scaling>
          <c:orientation val="minMax"/>
        </c:scaling>
        <c:delete val="0"/>
        <c:axPos val="l"/>
        <c:majorGridlines>
          <c:spPr>
            <a:ln w="9360">
              <a:solidFill>
                <a:srgbClr val="d9d9d9"/>
              </a:solidFill>
              <a:prstDash val="sysDash"/>
              <a:round/>
            </a:ln>
          </c:spPr>
        </c:majorGridlines>
        <c:numFmt formatCode="#,##0&quot; €&quot;"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4709494"/>
        <c:crosses val="autoZero"/>
      </c:valAx>
      <c:spPr>
        <a:noFill/>
        <a:ln>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Población</a:t>
            </a:r>
          </a:p>
        </c:rich>
      </c:tx>
      <c:overlay val="0"/>
      <c:spPr>
        <a:solidFill>
          <a:srgbClr val="fff2cc"/>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Gráficos!$J$121</c:f>
              <c:numCache>
                <c:formatCode>General</c:formatCode>
                <c:ptCount val="1"/>
                <c:pt idx="0">
                  <c:v>0.00319353732230662</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Gráficos!$J$122</c:f>
              <c:numCache>
                <c:formatCode>General</c:formatCode>
                <c:ptCount val="1"/>
                <c:pt idx="0">
                  <c:v>0.0018535006368053</c:v>
                </c:pt>
              </c:numCache>
            </c:numRef>
          </c:val>
        </c:ser>
        <c:ser>
          <c:idx val="2"/>
          <c:order val="2"/>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Gráficos!$J$123</c:f>
              <c:numCache>
                <c:formatCode>General</c:formatCode>
                <c:ptCount val="1"/>
                <c:pt idx="0">
                  <c:v>0.00183796980899029</c:v>
                </c:pt>
              </c:numCache>
            </c:numRef>
          </c:val>
        </c:ser>
        <c:ser>
          <c:idx val="3"/>
          <c:order val="3"/>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Gráficos!$J$124</c:f>
              <c:numCache>
                <c:formatCode>General</c:formatCode>
                <c:ptCount val="1"/>
                <c:pt idx="0">
                  <c:v>0.00318516046097003</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Gráficos!$J$125</c:f>
              <c:numCache>
                <c:formatCode>General</c:formatCode>
                <c:ptCount val="1"/>
                <c:pt idx="0">
                  <c:v>0.0072902662521122</c:v>
                </c:pt>
              </c:numCache>
            </c:numRef>
          </c:val>
        </c:ser>
        <c:gapWidth val="150"/>
        <c:overlap val="100"/>
        <c:axId val="53726544"/>
        <c:axId val="4397016"/>
      </c:barChart>
      <c:catAx>
        <c:axId val="53726544"/>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397016"/>
        <c:crosses val="autoZero"/>
        <c:auto val="1"/>
        <c:lblAlgn val="ctr"/>
        <c:lblOffset val="100"/>
      </c:catAx>
      <c:valAx>
        <c:axId val="4397016"/>
        <c:scaling>
          <c:orientation val="minMax"/>
        </c:scaling>
        <c:delete val="0"/>
        <c:axPos val="l"/>
        <c:majorGridlines>
          <c:spPr>
            <a:ln w="9360">
              <a:solidFill>
                <a:srgbClr val="d9d9d9"/>
              </a:solidFill>
              <a:prstDash val="sysDash"/>
              <a:round/>
            </a:ln>
          </c:spPr>
        </c:majorGridlines>
        <c:numFmt formatCode="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53726544"/>
        <c:crosses val="autoZero"/>
      </c:valAx>
      <c:spPr>
        <a:noFill/>
        <a:ln>
          <a:noFill/>
        </a:ln>
      </c:spPr>
    </c:plotArea>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Estatus Socio-económico</a:t>
            </a:r>
          </a:p>
        </c:rich>
      </c:tx>
      <c:overlay val="0"/>
      <c:spPr>
        <a:solidFill>
          <a:srgbClr val="fff2cc"/>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Gráficos!$K$121</c:f>
              <c:numCache>
                <c:formatCode>General</c:formatCode>
                <c:ptCount val="1"/>
                <c:pt idx="0">
                  <c:v>0.00753706494338105</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Gráficos!$K$122</c:f>
              <c:numCache>
                <c:formatCode>General</c:formatCode>
                <c:ptCount val="1"/>
                <c:pt idx="0">
                  <c:v>8.93626655493187E-005</c:v>
                </c:pt>
              </c:numCache>
            </c:numRef>
          </c:val>
        </c:ser>
        <c:ser>
          <c:idx val="2"/>
          <c:order val="2"/>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Gráficos!$K$123</c:f>
              <c:numCache>
                <c:formatCode>General</c:formatCode>
                <c:ptCount val="1"/>
                <c:pt idx="0">
                  <c:v>1.51674050474946E-005</c:v>
                </c:pt>
              </c:numCache>
            </c:numRef>
          </c:val>
        </c:ser>
        <c:ser>
          <c:idx val="3"/>
          <c:order val="3"/>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Gráficos!$K$124</c:f>
              <c:numCache>
                <c:formatCode>General</c:formatCode>
                <c:ptCount val="1"/>
                <c:pt idx="0">
                  <c:v>1.12092762153751E-005</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Gráficos!$K$125</c:f>
              <c:numCache>
                <c:formatCode>General</c:formatCode>
                <c:ptCount val="1"/>
                <c:pt idx="0">
                  <c:v>1.24313383328594E-005</c:v>
                </c:pt>
              </c:numCache>
            </c:numRef>
          </c:val>
        </c:ser>
        <c:gapWidth val="150"/>
        <c:overlap val="100"/>
        <c:axId val="12228162"/>
        <c:axId val="40236371"/>
      </c:barChart>
      <c:catAx>
        <c:axId val="1222816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0236371"/>
        <c:crosses val="autoZero"/>
        <c:auto val="1"/>
        <c:lblAlgn val="ctr"/>
        <c:lblOffset val="100"/>
      </c:catAx>
      <c:valAx>
        <c:axId val="40236371"/>
        <c:scaling>
          <c:orientation val="minMax"/>
        </c:scaling>
        <c:delete val="0"/>
        <c:axPos val="l"/>
        <c:majorGridlines>
          <c:spPr>
            <a:ln w="9360">
              <a:solidFill>
                <a:srgbClr val="d9d9d9"/>
              </a:solidFill>
              <a:prstDash val="sysDash"/>
              <a:round/>
            </a:ln>
          </c:spPr>
        </c:majorGridlines>
        <c:numFmt formatCode="0.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12228162"/>
        <c:crosses val="autoZero"/>
      </c:valAx>
      <c:spPr>
        <a:noFill/>
        <a:ln>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Actividad Económica</a:t>
            </a:r>
          </a:p>
        </c:rich>
      </c:tx>
      <c:overlay val="0"/>
      <c:spPr>
        <a:solidFill>
          <a:srgbClr val="fff2cc"/>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Gráficos!$L$121</c:f>
              <c:numCache>
                <c:formatCode>General</c:formatCode>
                <c:ptCount val="1"/>
                <c:pt idx="0">
                  <c:v>0.00386775732206745</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Gráficos!$L$122</c:f>
              <c:numCache>
                <c:formatCode>General</c:formatCode>
                <c:ptCount val="1"/>
                <c:pt idx="0">
                  <c:v>0.0019157826375303</c:v>
                </c:pt>
              </c:numCache>
            </c:numRef>
          </c:val>
        </c:ser>
        <c:ser>
          <c:idx val="2"/>
          <c:order val="2"/>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Gráficos!$L$123</c:f>
              <c:numCache>
                <c:formatCode>General</c:formatCode>
                <c:ptCount val="1"/>
                <c:pt idx="0">
                  <c:v>0.00167246013740551</c:v>
                </c:pt>
              </c:numCache>
            </c:numRef>
          </c:val>
        </c:ser>
        <c:ser>
          <c:idx val="3"/>
          <c:order val="3"/>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Gráficos!$L$124</c:f>
              <c:numCache>
                <c:formatCode>General</c:formatCode>
                <c:ptCount val="1"/>
                <c:pt idx="0">
                  <c:v>0.0017433229741283</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Gráficos!$L$125</c:f>
              <c:numCache>
                <c:formatCode>General</c:formatCode>
                <c:ptCount val="1"/>
                <c:pt idx="0">
                  <c:v>0.00423735194284012</c:v>
                </c:pt>
              </c:numCache>
            </c:numRef>
          </c:val>
        </c:ser>
        <c:gapWidth val="150"/>
        <c:overlap val="100"/>
        <c:axId val="39627793"/>
        <c:axId val="48128084"/>
      </c:barChart>
      <c:catAx>
        <c:axId val="39627793"/>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48128084"/>
        <c:crosses val="autoZero"/>
        <c:auto val="1"/>
        <c:lblAlgn val="ctr"/>
        <c:lblOffset val="100"/>
      </c:catAx>
      <c:valAx>
        <c:axId val="48128084"/>
        <c:scaling>
          <c:orientation val="minMax"/>
        </c:scaling>
        <c:delete val="0"/>
        <c:axPos val="l"/>
        <c:majorGridlines>
          <c:spPr>
            <a:ln w="9360">
              <a:solidFill>
                <a:srgbClr val="d9d9d9"/>
              </a:solidFill>
              <a:prstDash val="sysDash"/>
              <a:round/>
            </a:ln>
          </c:spPr>
        </c:majorGridlines>
        <c:numFmt formatCode="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39627793"/>
        <c:crosses val="autoZero"/>
      </c:valAx>
      <c:spPr>
        <a:noFill/>
        <a:ln>
          <a:noFill/>
        </a:ln>
      </c:spPr>
    </c:plotArea>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Desarrollo Urnanístico</a:t>
            </a:r>
          </a:p>
        </c:rich>
      </c:tx>
      <c:overlay val="0"/>
      <c:spPr>
        <a:solidFill>
          <a:srgbClr val="fff2cc"/>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Gráficos!$M$121</c:f>
              <c:numCache>
                <c:formatCode>General</c:formatCode>
                <c:ptCount val="1"/>
                <c:pt idx="0">
                  <c:v>0.00746881789893605</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Gráficos!$M$122</c:f>
              <c:numCache>
                <c:formatCode>General</c:formatCode>
                <c:ptCount val="1"/>
                <c:pt idx="0">
                  <c:v>0.000156371447226672</c:v>
                </c:pt>
              </c:numCache>
            </c:numRef>
          </c:val>
        </c:ser>
        <c:ser>
          <c:idx val="2"/>
          <c:order val="2"/>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Gráficos!$M$123</c:f>
              <c:numCache>
                <c:formatCode>General</c:formatCode>
                <c:ptCount val="1"/>
                <c:pt idx="0">
                  <c:v>1.8356018164631E-005</c:v>
                </c:pt>
              </c:numCache>
            </c:numRef>
          </c:val>
        </c:ser>
        <c:ser>
          <c:idx val="3"/>
          <c:order val="3"/>
          <c:spPr>
            <a:solidFill>
              <a:srgbClr val="5b9bd5">
                <a:alpha val="50000"/>
              </a:srgbClr>
            </a:solidFill>
            <a:ln>
              <a:solidFill>
                <a:srgbClr val="5b9bd5"/>
              </a:solid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Gráficos!$M$124</c:f>
              <c:numCache>
                <c:formatCode>General</c:formatCode>
                <c:ptCount val="1"/>
                <c:pt idx="0">
                  <c:v>1.34153684049785E-005</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Gráficos!$M$125</c:f>
              <c:numCache>
                <c:formatCode>General</c:formatCode>
                <c:ptCount val="1"/>
                <c:pt idx="0">
                  <c:v>1.98064478118846E-005</c:v>
                </c:pt>
              </c:numCache>
            </c:numRef>
          </c:val>
        </c:ser>
        <c:gapWidth val="150"/>
        <c:overlap val="100"/>
        <c:axId val="26411722"/>
        <c:axId val="32208216"/>
      </c:barChart>
      <c:catAx>
        <c:axId val="2641172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32208216"/>
        <c:crosses val="autoZero"/>
        <c:auto val="1"/>
        <c:lblAlgn val="ctr"/>
        <c:lblOffset val="100"/>
      </c:catAx>
      <c:valAx>
        <c:axId val="32208216"/>
        <c:scaling>
          <c:orientation val="minMax"/>
        </c:scaling>
        <c:delete val="0"/>
        <c:axPos val="l"/>
        <c:majorGridlines>
          <c:spPr>
            <a:ln w="9360">
              <a:solidFill>
                <a:srgbClr val="d9d9d9"/>
              </a:solidFill>
              <a:prstDash val="sysDash"/>
              <a:round/>
            </a:ln>
          </c:spPr>
        </c:majorGridlines>
        <c:numFmt formatCode="0.0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26411722"/>
        <c:crosses val="autoZero"/>
      </c:valAx>
      <c:spPr>
        <a:noFill/>
        <a:ln>
          <a:noFill/>
        </a:ln>
      </c:spPr>
    </c:plotArea>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Necesidades Asistenciales</a:t>
            </a:r>
          </a:p>
        </c:rich>
      </c:tx>
      <c:overlay val="0"/>
      <c:spPr>
        <a:solidFill>
          <a:srgbClr val="fff2cc"/>
        </a:solidFill>
        <a:ln>
          <a:noFill/>
        </a:ln>
      </c:spPr>
    </c:title>
    <c:autoTitleDeleted val="0"/>
    <c:plotArea>
      <c:barChart>
        <c:barDir val="col"/>
        <c:grouping val="stacked"/>
        <c:varyColors val="0"/>
        <c:ser>
          <c:idx val="0"/>
          <c:order val="0"/>
          <c:spPr>
            <a:solidFill>
              <a:srgbClr val="5b9bd5"/>
            </a:solid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Gráficos!$D$121</c:f>
              <c:numCache>
                <c:formatCode>General</c:formatCode>
                <c:ptCount val="1"/>
                <c:pt idx="0">
                  <c:v>0.00935180314454381</c:v>
                </c:pt>
              </c:numCache>
            </c:numRef>
          </c:val>
        </c:ser>
        <c:ser>
          <c:idx val="1"/>
          <c:order val="1"/>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Gráficos!$D$122</c:f>
              <c:numCache>
                <c:formatCode>General</c:formatCode>
                <c:ptCount val="1"/>
                <c:pt idx="0">
                  <c:v>0.0253667660295751</c:v>
                </c:pt>
              </c:numCache>
            </c:numRef>
          </c:val>
        </c:ser>
        <c:ser>
          <c:idx val="2"/>
          <c:order val="2"/>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Gráficos!$D$123</c:f>
              <c:numCache>
                <c:formatCode>General</c:formatCode>
                <c:ptCount val="1"/>
                <c:pt idx="0">
                  <c:v>0.00672160851014087</c:v>
                </c:pt>
              </c:numCache>
            </c:numRef>
          </c:val>
        </c:ser>
        <c:ser>
          <c:idx val="3"/>
          <c:order val="3"/>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Gráficos!$D$124</c:f>
              <c:numCache>
                <c:formatCode>General</c:formatCode>
                <c:ptCount val="1"/>
                <c:pt idx="0">
                  <c:v>0.0162487579636449</c:v>
                </c:pt>
              </c:numCache>
            </c:numRef>
          </c:val>
        </c:ser>
        <c:ser>
          <c:idx val="4"/>
          <c:order val="4"/>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Gráficos!$D$125</c:f>
              <c:numCache>
                <c:formatCode>General</c:formatCode>
                <c:ptCount val="1"/>
                <c:pt idx="0">
                  <c:v>0.0479864398854404</c:v>
                </c:pt>
              </c:numCache>
            </c:numRef>
          </c:val>
        </c:ser>
        <c:gapWidth val="150"/>
        <c:overlap val="100"/>
        <c:axId val="68127322"/>
        <c:axId val="77749438"/>
      </c:barChart>
      <c:catAx>
        <c:axId val="68127322"/>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7749438"/>
        <c:crosses val="autoZero"/>
        <c:auto val="1"/>
        <c:lblAlgn val="ctr"/>
        <c:lblOffset val="100"/>
      </c:catAx>
      <c:valAx>
        <c:axId val="77749438"/>
        <c:scaling>
          <c:orientation val="minMax"/>
        </c:scaling>
        <c:delete val="0"/>
        <c:axPos val="l"/>
        <c:majorGridlines>
          <c:spPr>
            <a:ln w="9360">
              <a:solidFill>
                <a:srgbClr val="d9d9d9"/>
              </a:solidFill>
              <a:prstDash val="sysDash"/>
              <a:round/>
            </a:ln>
          </c:spPr>
        </c:majorGridlines>
        <c:numFmt formatCode="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68127322"/>
        <c:crosses val="autoZero"/>
      </c:valAx>
      <c:spPr>
        <a:noFill/>
        <a:ln>
          <a:noFill/>
        </a:ln>
      </c:spPr>
    </c:plotArea>
    <c:plotVisOnly val="1"/>
    <c:dispBlanksAs val="gap"/>
  </c:chart>
  <c:spPr>
    <a:solidFill>
      <a:srgbClr val="ffffff"/>
    </a:solidFill>
    <a:ln w="9360">
      <a:solidFill>
        <a:srgbClr val="d9d9d9"/>
      </a:solidFill>
      <a:round/>
    </a:ln>
  </c:spPr>
</c:chartSpace>
</file>

<file path=xl/charts/chart1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SAD Dependencia</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Gráficos!$O$121</c:f>
              <c:numCache>
                <c:formatCode>General</c:formatCode>
                <c:ptCount val="1"/>
                <c:pt idx="0">
                  <c:v>0.00825543670296489</c:v>
                </c:pt>
              </c:numCache>
            </c:numRef>
          </c:val>
        </c:ser>
        <c:ser>
          <c:idx val="1"/>
          <c:order val="1"/>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Gráficos!$O$122</c:f>
              <c:numCache>
                <c:formatCode>General</c:formatCode>
                <c:ptCount val="1"/>
                <c:pt idx="0">
                  <c:v>0.0168642189457454</c:v>
                </c:pt>
              </c:numCache>
            </c:numRef>
          </c:val>
        </c:ser>
        <c:ser>
          <c:idx val="2"/>
          <c:order val="2"/>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Gráficos!$O$123</c:f>
              <c:numCache>
                <c:formatCode>General</c:formatCode>
                <c:ptCount val="1"/>
                <c:pt idx="0">
                  <c:v>0.0169927082329511</c:v>
                </c:pt>
              </c:numCache>
            </c:numRef>
          </c:val>
        </c:ser>
        <c:ser>
          <c:idx val="3"/>
          <c:order val="3"/>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Gráficos!$O$124</c:f>
              <c:numCache>
                <c:formatCode>General</c:formatCode>
                <c:ptCount val="1"/>
                <c:pt idx="0">
                  <c:v>0.0252802672577174</c:v>
                </c:pt>
              </c:numCache>
            </c:numRef>
          </c:val>
        </c:ser>
        <c:ser>
          <c:idx val="4"/>
          <c:order val="4"/>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Gráficos!$O$125</c:f>
              <c:numCache>
                <c:formatCode>General</c:formatCode>
                <c:ptCount val="1"/>
                <c:pt idx="0">
                  <c:v>0.0516526934566831</c:v>
                </c:pt>
              </c:numCache>
            </c:numRef>
          </c:val>
        </c:ser>
        <c:gapWidth val="150"/>
        <c:overlap val="100"/>
        <c:axId val="92854390"/>
        <c:axId val="26654530"/>
      </c:barChart>
      <c:catAx>
        <c:axId val="9285439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6654530"/>
        <c:crosses val="autoZero"/>
        <c:auto val="1"/>
        <c:lblAlgn val="ctr"/>
        <c:lblOffset val="100"/>
      </c:catAx>
      <c:valAx>
        <c:axId val="26654530"/>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92854390"/>
        <c:crosses val="autoZero"/>
      </c:valAx>
      <c:spPr>
        <a:noFill/>
        <a:ln>
          <a:noFill/>
        </a:ln>
      </c:spPr>
    </c:plotArea>
    <c:plotVisOnly val="1"/>
    <c:dispBlanksAs val="gap"/>
  </c:chart>
  <c:spPr>
    <a:solidFill>
      <a:srgbClr val="ffffff"/>
    </a:solidFill>
    <a:ln w="9360">
      <a:solidFill>
        <a:srgbClr val="d9d9d9"/>
      </a:solidFill>
      <a:round/>
    </a:ln>
  </c:spPr>
</c:chartSpace>
</file>

<file path=xl/charts/chart1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Teleasistencia Dependencia</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Gráficos!$P$121</c:f>
              <c:numCache>
                <c:formatCode>General</c:formatCode>
                <c:ptCount val="1"/>
                <c:pt idx="0">
                  <c:v>0.0092315369261477</c:v>
                </c:pt>
              </c:numCache>
            </c:numRef>
          </c:val>
        </c:ser>
        <c:ser>
          <c:idx val="1"/>
          <c:order val="1"/>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Gráficos!$P$122</c:f>
              <c:numCache>
                <c:formatCode>General</c:formatCode>
                <c:ptCount val="1"/>
                <c:pt idx="0">
                  <c:v>0.0195858283433134</c:v>
                </c:pt>
              </c:numCache>
            </c:numRef>
          </c:val>
        </c:ser>
        <c:ser>
          <c:idx val="2"/>
          <c:order val="2"/>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Gráficos!$P$123</c:f>
              <c:numCache>
                <c:formatCode>General</c:formatCode>
                <c:ptCount val="1"/>
                <c:pt idx="0">
                  <c:v>0.014626996007984</c:v>
                </c:pt>
              </c:numCache>
            </c:numRef>
          </c:val>
        </c:ser>
        <c:ser>
          <c:idx val="3"/>
          <c:order val="3"/>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Gráficos!$P$124</c:f>
              <c:numCache>
                <c:formatCode>General</c:formatCode>
                <c:ptCount val="1"/>
                <c:pt idx="0">
                  <c:v>0.0209892714570858</c:v>
                </c:pt>
              </c:numCache>
            </c:numRef>
          </c:val>
        </c:ser>
        <c:ser>
          <c:idx val="4"/>
          <c:order val="4"/>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Gráficos!$P$125</c:f>
              <c:numCache>
                <c:formatCode>General</c:formatCode>
                <c:ptCount val="1"/>
                <c:pt idx="0">
                  <c:v>0.0511788922155689</c:v>
                </c:pt>
              </c:numCache>
            </c:numRef>
          </c:val>
        </c:ser>
        <c:gapWidth val="150"/>
        <c:overlap val="100"/>
        <c:axId val="32847140"/>
        <c:axId val="67883589"/>
      </c:barChart>
      <c:catAx>
        <c:axId val="3284714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7883589"/>
        <c:crosses val="autoZero"/>
        <c:auto val="1"/>
        <c:lblAlgn val="ctr"/>
        <c:lblOffset val="100"/>
      </c:catAx>
      <c:valAx>
        <c:axId val="67883589"/>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32847140"/>
        <c:crosses val="autoZero"/>
      </c:valAx>
      <c:spPr>
        <a:noFill/>
        <a:ln>
          <a:noFill/>
        </a:ln>
      </c:spPr>
    </c:plotArea>
    <c:plotVisOnly val="1"/>
    <c:dispBlanksAs val="gap"/>
  </c:chart>
  <c:spPr>
    <a:solidFill>
      <a:srgbClr val="ffffff"/>
    </a:solidFill>
    <a:ln w="9360">
      <a:solidFill>
        <a:srgbClr val="d9d9d9"/>
      </a:solidFill>
      <a:round/>
    </a:ln>
  </c:spPr>
</c:chartSpace>
</file>

<file path=xl/charts/chart1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Sin Estudios o Primarios</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Gráficos!$C$121</c:f>
              <c:numCache>
                <c:formatCode>General</c:formatCode>
                <c:ptCount val="1"/>
                <c:pt idx="0">
                  <c:v>19587.0949040644</c:v>
                </c:pt>
              </c:numCache>
            </c:numRef>
          </c:val>
        </c:ser>
        <c:ser>
          <c:idx val="1"/>
          <c:order val="1"/>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Gráficos!$C$122</c:f>
              <c:numCache>
                <c:formatCode>General</c:formatCode>
                <c:ptCount val="1"/>
                <c:pt idx="0">
                  <c:v>8994.2830245463</c:v>
                </c:pt>
              </c:numCache>
            </c:numRef>
          </c:val>
        </c:ser>
        <c:ser>
          <c:idx val="2"/>
          <c:order val="2"/>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Gráficos!$C$123</c:f>
              <c:numCache>
                <c:formatCode>General</c:formatCode>
                <c:ptCount val="1"/>
                <c:pt idx="0">
                  <c:v>8110.10046399497</c:v>
                </c:pt>
              </c:numCache>
            </c:numRef>
          </c:val>
        </c:ser>
        <c:ser>
          <c:idx val="3"/>
          <c:order val="3"/>
          <c:spPr>
            <a:solidFill>
              <a:srgbClr val="5b9bd5">
                <a:alpha val="50000"/>
              </a:srgbClr>
            </a:solidFill>
            <a:ln>
              <a:solidFill>
                <a:srgbClr val="5b9bd5"/>
              </a:solid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Gráficos!$C$124</c:f>
              <c:numCache>
                <c:formatCode>General</c:formatCode>
                <c:ptCount val="1"/>
                <c:pt idx="0">
                  <c:v>10973.8734553225</c:v>
                </c:pt>
              </c:numCache>
            </c:numRef>
          </c:val>
        </c:ser>
        <c:ser>
          <c:idx val="4"/>
          <c:order val="4"/>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Gráficos!$C$125</c:f>
              <c:numCache>
                <c:formatCode>General</c:formatCode>
                <c:ptCount val="1"/>
                <c:pt idx="0">
                  <c:v>64655.3962459471</c:v>
                </c:pt>
              </c:numCache>
            </c:numRef>
          </c:val>
        </c:ser>
        <c:gapWidth val="150"/>
        <c:overlap val="100"/>
        <c:axId val="4859747"/>
        <c:axId val="50678079"/>
      </c:barChart>
      <c:catAx>
        <c:axId val="4859747"/>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50678079"/>
        <c:crosses val="autoZero"/>
        <c:auto val="1"/>
        <c:lblAlgn val="ctr"/>
        <c:lblOffset val="100"/>
      </c:catAx>
      <c:valAx>
        <c:axId val="50678079"/>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4859747"/>
        <c:crosses val="autoZero"/>
      </c:valAx>
      <c:spPr>
        <a:noFill/>
        <a:ln>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Vulnerabilidad</a:t>
            </a:r>
          </a:p>
        </c:rich>
      </c:tx>
      <c:overlay val="0"/>
      <c:spPr>
        <a:solidFill>
          <a:srgbClr val="ffbea9"/>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Gráficos!$R$121</c:f>
              <c:numCache>
                <c:formatCode>General</c:formatCode>
                <c:ptCount val="1"/>
                <c:pt idx="0">
                  <c:v>0.00528463299454697</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Gráficos!$R$122</c:f>
              <c:numCache>
                <c:formatCode>General</c:formatCode>
                <c:ptCount val="1"/>
                <c:pt idx="0">
                  <c:v>0.00091432456443738</c:v>
                </c:pt>
              </c:numCache>
            </c:numRef>
          </c:val>
        </c:ser>
        <c:ser>
          <c:idx val="2"/>
          <c:order val="2"/>
          <c:spPr>
            <a:solidFill>
              <a:srgbClr val="5b9bd5">
                <a:alpha val="50000"/>
              </a:srgbClr>
            </a:solidFill>
            <a:ln w="15840">
              <a:solidFill>
                <a:srgbClr val="5b9bd5"/>
              </a:solidFill>
              <a:round/>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Gráficos!$R$123</c:f>
              <c:numCache>
                <c:formatCode>General</c:formatCode>
                <c:ptCount val="1"/>
                <c:pt idx="0">
                  <c:v>0.00113605633987123</c:v>
                </c:pt>
              </c:numCache>
            </c:numRef>
          </c:val>
        </c:ser>
        <c:ser>
          <c:idx val="3"/>
          <c:order val="3"/>
          <c:spPr>
            <a:solidFill>
              <a:srgbClr val="5b9bd5">
                <a:alpha val="49000"/>
              </a:srgbClr>
            </a:solidFill>
            <a:ln w="15840">
              <a:solidFill>
                <a:srgbClr val="5b9bd5"/>
              </a:solidFill>
              <a:round/>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Gráficos!$R$124</c:f>
              <c:numCache>
                <c:formatCode>General</c:formatCode>
                <c:ptCount val="1"/>
                <c:pt idx="0">
                  <c:v>0.00143619420122627</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Gráficos!$R$125</c:f>
              <c:numCache>
                <c:formatCode>General</c:formatCode>
                <c:ptCount val="1"/>
                <c:pt idx="0">
                  <c:v>0.00303662313735686</c:v>
                </c:pt>
              </c:numCache>
            </c:numRef>
          </c:val>
        </c:ser>
        <c:gapWidth val="150"/>
        <c:overlap val="100"/>
        <c:axId val="10686076"/>
        <c:axId val="73196005"/>
      </c:barChart>
      <c:catAx>
        <c:axId val="10686076"/>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3196005"/>
        <c:crosses val="autoZero"/>
        <c:auto val="1"/>
        <c:lblAlgn val="ctr"/>
        <c:lblOffset val="100"/>
      </c:catAx>
      <c:valAx>
        <c:axId val="73196005"/>
        <c:scaling>
          <c:orientation val="minMax"/>
        </c:scaling>
        <c:delete val="0"/>
        <c:axPos val="l"/>
        <c:majorGridlines>
          <c:spPr>
            <a:ln w="9360">
              <a:solidFill>
                <a:srgbClr val="d9d9d9"/>
              </a:solidFill>
              <a:prstDash val="sysDash"/>
              <a:round/>
            </a:ln>
          </c:spPr>
        </c:majorGridlines>
        <c:numFmt formatCode="0.0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10686076"/>
        <c:crosses val="autoZero"/>
      </c:valAx>
      <c:spPr>
        <a:noFill/>
        <a:ln>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Paro Absoluto</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Gráficos!$G$121</c:f>
              <c:numCache>
                <c:formatCode>General</c:formatCode>
                <c:ptCount val="1"/>
                <c:pt idx="0">
                  <c:v>2.94</c:v>
                </c:pt>
              </c:numCache>
            </c:numRef>
          </c:val>
        </c:ser>
        <c:ser>
          <c:idx val="1"/>
          <c:order val="1"/>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Gráficos!$G$122</c:f>
              <c:numCache>
                <c:formatCode>General</c:formatCode>
                <c:ptCount val="1"/>
                <c:pt idx="0">
                  <c:v>2.79</c:v>
                </c:pt>
              </c:numCache>
            </c:numRef>
          </c:val>
        </c:ser>
        <c:ser>
          <c:idx val="2"/>
          <c:order val="2"/>
          <c:spPr>
            <a:solidFill>
              <a:srgbClr val="5b9bd5">
                <a:alpha val="50000"/>
              </a:srgbClr>
            </a:solidFill>
            <a:ln w="15840">
              <a:solidFill>
                <a:srgbClr val="5b9bd5"/>
              </a:solidFill>
              <a:round/>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Gráficos!$G$123</c:f>
              <c:numCache>
                <c:formatCode>General</c:formatCode>
                <c:ptCount val="1"/>
                <c:pt idx="0">
                  <c:v>1.63</c:v>
                </c:pt>
              </c:numCache>
            </c:numRef>
          </c:val>
        </c:ser>
        <c:ser>
          <c:idx val="3"/>
          <c:order val="3"/>
          <c:spPr>
            <a:solidFill>
              <a:srgbClr val="5b9bd5">
                <a:alpha val="50000"/>
              </a:srgbClr>
            </a:solidFill>
            <a:ln w="15840">
              <a:solidFill>
                <a:srgbClr val="5b9bd5"/>
              </a:solidFill>
              <a:round/>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Gráficos!$G$124</c:f>
              <c:numCache>
                <c:formatCode>General</c:formatCode>
                <c:ptCount val="1"/>
                <c:pt idx="0">
                  <c:v>1.87</c:v>
                </c:pt>
              </c:numCache>
            </c:numRef>
          </c:val>
        </c:ser>
        <c:ser>
          <c:idx val="4"/>
          <c:order val="4"/>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Gráficos!$G$125</c:f>
              <c:numCache>
                <c:formatCode>General</c:formatCode>
                <c:ptCount val="1"/>
                <c:pt idx="0">
                  <c:v>4.54</c:v>
                </c:pt>
              </c:numCache>
            </c:numRef>
          </c:val>
        </c:ser>
        <c:gapWidth val="150"/>
        <c:overlap val="100"/>
        <c:axId val="60274940"/>
        <c:axId val="60379187"/>
      </c:barChart>
      <c:catAx>
        <c:axId val="60274940"/>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60379187"/>
        <c:crosses val="autoZero"/>
        <c:auto val="1"/>
        <c:lblAlgn val="ctr"/>
        <c:lblOffset val="100"/>
      </c:catAx>
      <c:valAx>
        <c:axId val="60379187"/>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60274940"/>
        <c:crosses val="autoZero"/>
      </c:valAx>
      <c:spPr>
        <a:noFill/>
        <a:ln>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Paro mayores 45</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Gráficos!$H$121</c:f>
              <c:numCache>
                <c:formatCode>General</c:formatCode>
                <c:ptCount val="1"/>
                <c:pt idx="0">
                  <c:v>3.7</c:v>
                </c:pt>
              </c:numCache>
            </c:numRef>
          </c:val>
        </c:ser>
        <c:ser>
          <c:idx val="1"/>
          <c:order val="1"/>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Gráficos!$H$122</c:f>
              <c:numCache>
                <c:formatCode>General</c:formatCode>
                <c:ptCount val="1"/>
                <c:pt idx="0">
                  <c:v>3.64</c:v>
                </c:pt>
              </c:numCache>
            </c:numRef>
          </c:val>
        </c:ser>
        <c:ser>
          <c:idx val="2"/>
          <c:order val="2"/>
          <c:spPr>
            <a:solidFill>
              <a:srgbClr val="5b9bd5">
                <a:alpha val="50000"/>
              </a:srgbClr>
            </a:solidFill>
            <a:ln w="15840">
              <a:solidFill>
                <a:srgbClr val="5b9bd5"/>
              </a:solidFill>
              <a:round/>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Gráficos!$H$123</c:f>
              <c:numCache>
                <c:formatCode>General</c:formatCode>
                <c:ptCount val="1"/>
                <c:pt idx="0">
                  <c:v>1.89</c:v>
                </c:pt>
              </c:numCache>
            </c:numRef>
          </c:val>
        </c:ser>
        <c:ser>
          <c:idx val="3"/>
          <c:order val="3"/>
          <c:spPr>
            <a:solidFill>
              <a:srgbClr val="5b9bd5">
                <a:alpha val="50000"/>
              </a:srgbClr>
            </a:solidFill>
            <a:ln w="15840">
              <a:solidFill>
                <a:srgbClr val="5b9bd5"/>
              </a:solidFill>
              <a:round/>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Gráficos!$H$124</c:f>
              <c:numCache>
                <c:formatCode>General</c:formatCode>
                <c:ptCount val="1"/>
                <c:pt idx="0">
                  <c:v>1.815</c:v>
                </c:pt>
              </c:numCache>
            </c:numRef>
          </c:val>
        </c:ser>
        <c:ser>
          <c:idx val="4"/>
          <c:order val="4"/>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Gráficos!$H$125</c:f>
              <c:numCache>
                <c:formatCode>General</c:formatCode>
                <c:ptCount val="1"/>
                <c:pt idx="0">
                  <c:v>6.135</c:v>
                </c:pt>
              </c:numCache>
            </c:numRef>
          </c:val>
        </c:ser>
        <c:gapWidth val="150"/>
        <c:overlap val="100"/>
        <c:axId val="57709304"/>
        <c:axId val="28606398"/>
      </c:barChart>
      <c:catAx>
        <c:axId val="57709304"/>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8606398"/>
        <c:crosses val="autoZero"/>
        <c:auto val="1"/>
        <c:lblAlgn val="ctr"/>
        <c:lblOffset val="100"/>
      </c:catAx>
      <c:valAx>
        <c:axId val="28606398"/>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57709304"/>
        <c:crosses val="autoZero"/>
      </c:valAx>
      <c:spPr>
        <a:noFill/>
        <a:ln>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Valor Catastral</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Gráficos!$N$121</c:f>
              <c:numCache>
                <c:formatCode>General</c:formatCode>
                <c:ptCount val="1"/>
                <c:pt idx="0">
                  <c:v>26876.8</c:v>
                </c:pt>
              </c:numCache>
            </c:numRef>
          </c:val>
        </c:ser>
        <c:ser>
          <c:idx val="1"/>
          <c:order val="1"/>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Gráficos!$N$122</c:f>
              <c:numCache>
                <c:formatCode>General</c:formatCode>
                <c:ptCount val="1"/>
                <c:pt idx="0">
                  <c:v>34254.595</c:v>
                </c:pt>
              </c:numCache>
            </c:numRef>
          </c:val>
        </c:ser>
        <c:ser>
          <c:idx val="2"/>
          <c:order val="2"/>
          <c:spPr>
            <a:solidFill>
              <a:srgbClr val="5b9bd5">
                <a:alpha val="50000"/>
              </a:srgbClr>
            </a:solidFill>
            <a:ln>
              <a:solidFill>
                <a:srgbClr val="5b9bd5"/>
              </a:solid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Gráficos!$N$123</c:f>
              <c:numCache>
                <c:formatCode>General</c:formatCode>
                <c:ptCount val="1"/>
                <c:pt idx="0">
                  <c:v>23201.435</c:v>
                </c:pt>
              </c:numCache>
            </c:numRef>
          </c:val>
        </c:ser>
        <c:ser>
          <c:idx val="3"/>
          <c:order val="3"/>
          <c:spPr>
            <a:solidFill>
              <a:srgbClr val="5b9bd5">
                <a:alpha val="50000"/>
              </a:srgbClr>
            </a:solidFill>
            <a:ln>
              <a:solidFill>
                <a:srgbClr val="5b9bd5"/>
              </a:solid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Gráficos!$N$124</c:f>
              <c:numCache>
                <c:formatCode>General</c:formatCode>
                <c:ptCount val="1"/>
                <c:pt idx="0">
                  <c:v>31746.125</c:v>
                </c:pt>
              </c:numCache>
            </c:numRef>
          </c:val>
        </c:ser>
        <c:ser>
          <c:idx val="4"/>
          <c:order val="4"/>
          <c:spPr>
            <a:noFill/>
            <a:ln>
              <a:noFill/>
            </a:ln>
          </c:spPr>
          <c:invertIfNegative val="0"/>
          <c:dLbls>
            <c:numFmt formatCode="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Gráficos!$N$125</c:f>
              <c:numCache>
                <c:formatCode>General</c:formatCode>
                <c:ptCount val="1"/>
                <c:pt idx="0">
                  <c:v>270439.235</c:v>
                </c:pt>
              </c:numCache>
            </c:numRef>
          </c:val>
        </c:ser>
        <c:gapWidth val="150"/>
        <c:overlap val="100"/>
        <c:axId val="36105419"/>
        <c:axId val="27497003"/>
      </c:barChart>
      <c:catAx>
        <c:axId val="36105419"/>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27497003"/>
        <c:crosses val="autoZero"/>
        <c:auto val="1"/>
        <c:lblAlgn val="ctr"/>
        <c:lblOffset val="100"/>
      </c:catAx>
      <c:valAx>
        <c:axId val="27497003"/>
        <c:scaling>
          <c:orientation val="minMax"/>
        </c:scaling>
        <c:delete val="0"/>
        <c:axPos val="l"/>
        <c:majorGridlines>
          <c:spPr>
            <a:ln w="9360">
              <a:solidFill>
                <a:srgbClr val="d9d9d9"/>
              </a:solidFill>
              <a:prstDash val="sysDash"/>
              <a:round/>
            </a:ln>
          </c:spPr>
        </c:majorGridlines>
        <c:numFmt formatCode="#,##0&quot; €&quot;"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36105419"/>
        <c:crosses val="autoZero"/>
      </c:valAx>
      <c:spPr>
        <a:noFill/>
        <a:ln>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Esperanza de Vida</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Gráficos!$B$121</c:f>
              <c:numCache>
                <c:formatCode>General</c:formatCode>
                <c:ptCount val="1"/>
                <c:pt idx="0">
                  <c:v>0.0175467546754675</c:v>
                </c:pt>
              </c:numCache>
            </c:numRef>
          </c:val>
        </c:ser>
        <c:ser>
          <c:idx val="1"/>
          <c:order val="1"/>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Gráficos!$B$122</c:f>
              <c:numCache>
                <c:formatCode>General</c:formatCode>
                <c:ptCount val="1"/>
                <c:pt idx="0">
                  <c:v>0.0302786330155739</c:v>
                </c:pt>
              </c:numCache>
            </c:numRef>
          </c:val>
        </c:ser>
        <c:ser>
          <c:idx val="2"/>
          <c:order val="2"/>
          <c:spPr>
            <a:solidFill>
              <a:srgbClr val="5b9bd5">
                <a:alpha val="50000"/>
              </a:srgbClr>
            </a:solidFill>
            <a:ln w="15840">
              <a:solidFill>
                <a:srgbClr val="5b9bd5"/>
              </a:solidFill>
              <a:round/>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Gráficos!$B$123</c:f>
              <c:numCache>
                <c:formatCode>General</c:formatCode>
                <c:ptCount val="1"/>
                <c:pt idx="0">
                  <c:v>0.0222305788073343</c:v>
                </c:pt>
              </c:numCache>
            </c:numRef>
          </c:val>
        </c:ser>
        <c:ser>
          <c:idx val="3"/>
          <c:order val="3"/>
          <c:spPr>
            <a:solidFill>
              <a:srgbClr val="5b9bd5">
                <a:alpha val="50000"/>
              </a:srgbClr>
            </a:solidFill>
            <a:ln w="15840">
              <a:solidFill>
                <a:srgbClr val="5b9bd5"/>
              </a:solidFill>
              <a:round/>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Gráficos!$B$124</c:f>
              <c:numCache>
                <c:formatCode>General</c:formatCode>
                <c:ptCount val="1"/>
                <c:pt idx="0">
                  <c:v>0.0348160128681461</c:v>
                </c:pt>
              </c:numCache>
            </c:numRef>
          </c:val>
        </c:ser>
        <c:ser>
          <c:idx val="4"/>
          <c:order val="4"/>
          <c:spPr>
            <a:noFill/>
            <a:ln>
              <a:noFill/>
            </a:ln>
          </c:spPr>
          <c:invertIfNegative val="0"/>
          <c:dLbls>
            <c:numFmt formatCode="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Gráficos!$B$125</c:f>
              <c:numCache>
                <c:formatCode>General</c:formatCode>
                <c:ptCount val="1"/>
                <c:pt idx="0">
                  <c:v>0.187009875214805</c:v>
                </c:pt>
              </c:numCache>
            </c:numRef>
          </c:val>
        </c:ser>
        <c:gapWidth val="150"/>
        <c:overlap val="100"/>
        <c:axId val="70339017"/>
        <c:axId val="79395391"/>
      </c:barChart>
      <c:catAx>
        <c:axId val="70339017"/>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9395391"/>
        <c:crosses val="autoZero"/>
        <c:auto val="1"/>
        <c:lblAlgn val="ctr"/>
        <c:lblOffset val="100"/>
      </c:catAx>
      <c:valAx>
        <c:axId val="79395391"/>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70339017"/>
        <c:crosses val="autoZero"/>
      </c:valAx>
      <c:spPr>
        <a:noFill/>
        <a:ln>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Inmigrantes</a:t>
            </a:r>
          </a:p>
        </c:rich>
      </c:tx>
      <c:overlay val="0"/>
      <c:spPr>
        <a:solidFill>
          <a:srgbClr val="deebf7"/>
        </a:solidFill>
        <a:ln>
          <a:noFill/>
        </a:ln>
      </c:spPr>
    </c:title>
    <c:autoTitleDeleted val="0"/>
    <c:plotArea>
      <c:barChart>
        <c:barDir val="col"/>
        <c:grouping val="stacked"/>
        <c:varyColors val="0"/>
        <c:ser>
          <c:idx val="0"/>
          <c:order val="0"/>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Gráficos!$A$121</c:f>
              <c:numCache>
                <c:formatCode>General</c:formatCode>
                <c:ptCount val="1"/>
                <c:pt idx="0">
                  <c:v>0.0175467546754675</c:v>
                </c:pt>
              </c:numCache>
            </c:numRef>
          </c:val>
        </c:ser>
        <c:ser>
          <c:idx val="1"/>
          <c:order val="1"/>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Gráficos!$A$122</c:f>
              <c:numCache>
                <c:formatCode>General</c:formatCode>
                <c:ptCount val="1"/>
                <c:pt idx="0">
                  <c:v>0.0302786330155739</c:v>
                </c:pt>
              </c:numCache>
            </c:numRef>
          </c:val>
        </c:ser>
        <c:ser>
          <c:idx val="2"/>
          <c:order val="2"/>
          <c:spPr>
            <a:solidFill>
              <a:srgbClr val="5b9bd5">
                <a:alpha val="50000"/>
              </a:srgbClr>
            </a:solidFill>
            <a:ln w="15840">
              <a:solidFill>
                <a:srgbClr val="5b9bd5"/>
              </a:solidFill>
              <a:round/>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Gráficos!$A$123</c:f>
              <c:numCache>
                <c:formatCode>General</c:formatCode>
                <c:ptCount val="1"/>
                <c:pt idx="0">
                  <c:v>0.0222305788073343</c:v>
                </c:pt>
              </c:numCache>
            </c:numRef>
          </c:val>
        </c:ser>
        <c:ser>
          <c:idx val="3"/>
          <c:order val="3"/>
          <c:spPr>
            <a:solidFill>
              <a:srgbClr val="5b9bd5">
                <a:alpha val="50000"/>
              </a:srgbClr>
            </a:solidFill>
            <a:ln w="15840">
              <a:solidFill>
                <a:srgbClr val="5b9bd5"/>
              </a:solidFill>
              <a:round/>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Gráficos!$A$124</c:f>
              <c:numCache>
                <c:formatCode>General</c:formatCode>
                <c:ptCount val="1"/>
                <c:pt idx="0">
                  <c:v>0.0348160128681461</c:v>
                </c:pt>
              </c:numCache>
            </c:numRef>
          </c:val>
        </c:ser>
        <c:ser>
          <c:idx val="4"/>
          <c:order val="4"/>
          <c:spPr>
            <a:noFill/>
            <a:ln>
              <a:noFill/>
            </a:ln>
          </c:spPr>
          <c:invertIfNegative val="0"/>
          <c:dLbls>
            <c:numFmt formatCode="0.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Gráficos!$A$125</c:f>
              <c:numCache>
                <c:formatCode>General</c:formatCode>
                <c:ptCount val="1"/>
                <c:pt idx="0">
                  <c:v>0.187009875214805</c:v>
                </c:pt>
              </c:numCache>
            </c:numRef>
          </c:val>
        </c:ser>
        <c:gapWidth val="150"/>
        <c:overlap val="100"/>
        <c:axId val="91580303"/>
        <c:axId val="72556578"/>
      </c:barChart>
      <c:catAx>
        <c:axId val="91580303"/>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72556578"/>
        <c:crosses val="autoZero"/>
        <c:auto val="1"/>
        <c:lblAlgn val="ctr"/>
        <c:lblOffset val="100"/>
      </c:catAx>
      <c:valAx>
        <c:axId val="72556578"/>
        <c:scaling>
          <c:orientation val="minMax"/>
        </c:scaling>
        <c:delete val="0"/>
        <c:axPos val="l"/>
        <c:majorGridlines>
          <c:spPr>
            <a:ln w="9360">
              <a:solidFill>
                <a:srgbClr val="d9d9d9"/>
              </a:solidFill>
              <a:prstDash val="sysDash"/>
              <a:round/>
            </a:ln>
          </c:spPr>
        </c:majorGridlines>
        <c:numFmt formatCode="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91580303"/>
        <c:crosses val="autoZero"/>
      </c:valAx>
      <c:spPr>
        <a:noFill/>
        <a:ln>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Histograma Vulnerabilidad por Barrio</a:t>
            </a:r>
          </a:p>
        </c:rich>
      </c:tx>
      <c:overlay val="0"/>
      <c:spPr>
        <a:noFill/>
        <a:ln>
          <a:noFill/>
        </a:ln>
      </c:spPr>
    </c:title>
    <c:autoTitleDeleted val="0"/>
    <c:plotArea>
      <c:barChart>
        <c:barDir val="col"/>
        <c:grouping val="clustered"/>
        <c:varyColors val="0"/>
        <c:ser>
          <c:idx val="0"/>
          <c:order val="0"/>
          <c:spPr>
            <a:solidFill>
              <a:srgbClr val="5b9bd5">
                <a:alpha val="50000"/>
              </a:srgbClr>
            </a:solidFill>
            <a:ln>
              <a:noFill/>
            </a:ln>
          </c:spPr>
          <c:invertIfNegative val="0"/>
          <c:dPt>
            <c:idx val="0"/>
            <c:invertIfNegative val="0"/>
            <c:spPr>
              <a:solidFill>
                <a:srgbClr val="63be7b">
                  <a:alpha val="51000"/>
                </a:srgbClr>
              </a:solidFill>
              <a:ln>
                <a:noFill/>
              </a:ln>
            </c:spPr>
          </c:dPt>
          <c:dPt>
            <c:idx val="1"/>
            <c:invertIfNegative val="0"/>
            <c:spPr>
              <a:solidFill>
                <a:srgbClr val="86c97d">
                  <a:alpha val="51000"/>
                </a:srgbClr>
              </a:solidFill>
              <a:ln>
                <a:noFill/>
              </a:ln>
            </c:spPr>
          </c:dPt>
          <c:dPt>
            <c:idx val="2"/>
            <c:invertIfNegative val="0"/>
            <c:spPr>
              <a:solidFill>
                <a:srgbClr val="a9d37f">
                  <a:alpha val="51000"/>
                </a:srgbClr>
              </a:solidFill>
              <a:ln>
                <a:noFill/>
              </a:ln>
            </c:spPr>
          </c:dPt>
          <c:dPt>
            <c:idx val="3"/>
            <c:invertIfNegative val="0"/>
            <c:spPr>
              <a:solidFill>
                <a:srgbClr val="ccde82">
                  <a:alpha val="51000"/>
                </a:srgbClr>
              </a:solidFill>
              <a:ln>
                <a:noFill/>
              </a:ln>
            </c:spPr>
          </c:dPt>
          <c:dPt>
            <c:idx val="4"/>
            <c:invertIfNegative val="0"/>
            <c:spPr>
              <a:solidFill>
                <a:srgbClr val="efe783">
                  <a:alpha val="51000"/>
                </a:srgbClr>
              </a:solidFill>
              <a:ln>
                <a:noFill/>
              </a:ln>
            </c:spPr>
          </c:dPt>
          <c:dPt>
            <c:idx val="5"/>
            <c:invertIfNegative val="0"/>
            <c:spPr>
              <a:solidFill>
                <a:srgbClr val="fedc81">
                  <a:alpha val="51000"/>
                </a:srgbClr>
              </a:solidFill>
              <a:ln>
                <a:noFill/>
              </a:ln>
            </c:spPr>
          </c:dPt>
          <c:dPt>
            <c:idx val="6"/>
            <c:invertIfNegative val="0"/>
            <c:spPr>
              <a:solidFill>
                <a:srgbClr val="fdbf7b">
                  <a:alpha val="51000"/>
                </a:srgbClr>
              </a:solidFill>
              <a:ln>
                <a:noFill/>
              </a:ln>
            </c:spPr>
          </c:dPt>
          <c:dPt>
            <c:idx val="7"/>
            <c:invertIfNegative val="0"/>
            <c:spPr>
              <a:solidFill>
                <a:srgbClr val="fba276">
                  <a:alpha val="51000"/>
                </a:srgbClr>
              </a:solidFill>
              <a:ln>
                <a:noFill/>
              </a:ln>
            </c:spPr>
          </c:dPt>
          <c:dPt>
            <c:idx val="8"/>
            <c:invertIfNegative val="0"/>
            <c:spPr>
              <a:solidFill>
                <a:srgbClr val="fa856f">
                  <a:alpha val="51000"/>
                </a:srgbClr>
              </a:solidFill>
              <a:ln>
                <a:noFill/>
              </a:ln>
            </c:spPr>
          </c:dPt>
          <c:dPt>
            <c:idx val="9"/>
            <c:invertIfNegative val="0"/>
            <c:spPr>
              <a:solidFill>
                <a:srgbClr val="f9696b">
                  <a:alpha val="50000"/>
                </a:srgbClr>
              </a:solidFill>
              <a:ln>
                <a:noFill/>
              </a:ln>
            </c:spPr>
          </c:dPt>
          <c:dLbls>
            <c:numFmt formatCode="0" sourceLinked="1"/>
            <c:dLbl>
              <c:idx val="0"/>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1"/>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2"/>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3"/>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4"/>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5"/>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6"/>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7"/>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8"/>
              <c:txPr>
                <a:bodyPr/>
                <a:lstStyle/>
                <a:p>
                  <a:pPr>
                    <a:defRPr b="0" sz="1000" spc="-1" strike="noStrike">
                      <a:solidFill>
                        <a:srgbClr val="000000"/>
                      </a:solidFill>
                      <a:latin typeface="Calibri"/>
                    </a:defRPr>
                  </a:pPr>
                </a:p>
              </c:txPr>
              <c:dLblPos val="outEnd"/>
              <c:showLegendKey val="0"/>
              <c:showVal val="0"/>
              <c:showCatName val="0"/>
              <c:showSerName val="0"/>
              <c:showPercent val="0"/>
            </c:dLbl>
            <c:dLbl>
              <c:idx val="9"/>
              <c:txPr>
                <a:bodyPr/>
                <a:lstStyle/>
                <a:p>
                  <a:pPr>
                    <a:defRPr b="0" sz="1000" spc="-1" strike="noStrike">
                      <a:solidFill>
                        <a:srgbClr val="000000"/>
                      </a:solidFill>
                      <a:latin typeface="Calibri"/>
                    </a:defRPr>
                  </a:pPr>
                </a:p>
              </c:txPr>
              <c:dLblPos val="outEnd"/>
              <c:showLegendKey val="0"/>
              <c:showVal val="0"/>
              <c:showCatName val="0"/>
              <c:showSerName val="0"/>
              <c:showPercent val="0"/>
            </c:dLbl>
            <c:txPr>
              <a:bodyPr/>
              <a:lstStyle/>
              <a:p>
                <a:pPr>
                  <a:defRPr b="0" sz="1000" spc="-1" strike="noStrike">
                    <a:solidFill>
                      <a:srgbClr val="000000"/>
                    </a:solidFill>
                    <a:latin typeface="Calibri"/>
                  </a:defRPr>
                </a:pPr>
              </a:p>
            </c:txPr>
            <c:dLblPos val="outEnd"/>
            <c:showLegendKey val="0"/>
            <c:showVal val="0"/>
            <c:showCatName val="0"/>
            <c:showSerName val="0"/>
            <c:showPercent val="0"/>
            <c:showLeaderLines val="0"/>
          </c:dLbls>
          <c:cat>
            <c:strRef>
              <c:f>Gráficos!$AG$117:$AG$126</c:f>
              <c:strCache>
                <c:ptCount val="10"/>
                <c:pt idx="0">
                  <c:v>0 - 0</c:v>
                </c:pt>
                <c:pt idx="1">
                  <c:v>0 - 0</c:v>
                </c:pt>
                <c:pt idx="2">
                  <c:v>0 - 0</c:v>
                </c:pt>
                <c:pt idx="3">
                  <c:v>0 - 0</c:v>
                </c:pt>
                <c:pt idx="4">
                  <c:v>0 - 0</c:v>
                </c:pt>
                <c:pt idx="5">
                  <c:v>0 - 0</c:v>
                </c:pt>
                <c:pt idx="6">
                  <c:v>0 - 0</c:v>
                </c:pt>
                <c:pt idx="7">
                  <c:v>0 - 0</c:v>
                </c:pt>
                <c:pt idx="8">
                  <c:v>0 - 0</c:v>
                </c:pt>
                <c:pt idx="9">
                  <c:v>0 - 0</c:v>
                </c:pt>
              </c:strCache>
            </c:strRef>
          </c:cat>
          <c:val>
            <c:numRef>
              <c:f>Gráficos!$AF$117:$AF$126</c:f>
              <c:numCache>
                <c:formatCode>General</c:formatCode>
                <c:ptCount val="10"/>
                <c:pt idx="0">
                  <c:v>0</c:v>
                </c:pt>
                <c:pt idx="1">
                  <c:v>0</c:v>
                </c:pt>
                <c:pt idx="2">
                  <c:v>0</c:v>
                </c:pt>
                <c:pt idx="3">
                  <c:v>0</c:v>
                </c:pt>
                <c:pt idx="4">
                  <c:v>0</c:v>
                </c:pt>
                <c:pt idx="5">
                  <c:v>0</c:v>
                </c:pt>
                <c:pt idx="6">
                  <c:v>0</c:v>
                </c:pt>
                <c:pt idx="7">
                  <c:v>0</c:v>
                </c:pt>
                <c:pt idx="8">
                  <c:v>0</c:v>
                </c:pt>
                <c:pt idx="9">
                  <c:v>128</c:v>
                </c:pt>
              </c:numCache>
            </c:numRef>
          </c:val>
        </c:ser>
        <c:gapWidth val="30"/>
        <c:overlap val="0"/>
        <c:axId val="7674774"/>
        <c:axId val="63158168"/>
      </c:barChart>
      <c:catAx>
        <c:axId val="767477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63158168"/>
        <c:crosses val="autoZero"/>
        <c:auto val="1"/>
        <c:lblAlgn val="ctr"/>
        <c:lblOffset val="100"/>
      </c:catAx>
      <c:valAx>
        <c:axId val="63158168"/>
        <c:scaling>
          <c:orientation val="minMax"/>
        </c:scaling>
        <c:delete val="0"/>
        <c:axPos val="l"/>
        <c:majorGridlines>
          <c:spPr>
            <a:ln w="9360">
              <a:solidFill>
                <a:srgbClr val="d9d9d9"/>
              </a:solidFill>
              <a:round/>
            </a:ln>
          </c:spPr>
        </c:majorGridlines>
        <c:minorGridlines>
          <c:spPr>
            <a:ln w="9360">
              <a:solidFill>
                <a:srgbClr val="f2f2f2"/>
              </a:solidFill>
              <a:prstDash val="sysDash"/>
              <a:round/>
            </a:ln>
          </c:spPr>
        </c:minorGridlines>
        <c:title>
          <c:tx>
            <c:rich>
              <a:bodyPr rot="-5400000"/>
              <a:lstStyle/>
              <a:p>
                <a:pPr>
                  <a:defRPr b="0" sz="1000" spc="-1" strike="noStrike">
                    <a:solidFill>
                      <a:srgbClr val="595959"/>
                    </a:solidFill>
                    <a:latin typeface="Calibri"/>
                  </a:defRPr>
                </a:pPr>
                <a:r>
                  <a:rPr b="0" sz="1000" spc="-1" strike="noStrike">
                    <a:solidFill>
                      <a:srgbClr val="595959"/>
                    </a:solidFill>
                    <a:latin typeface="Calibri"/>
                  </a:rPr>
                  <a:t>Número de Barrios</a:t>
                </a:r>
              </a:p>
            </c:rich>
          </c:tx>
          <c:overlay val="0"/>
          <c:spPr>
            <a:noFill/>
            <a:ln>
              <a:noFill/>
            </a:ln>
          </c:spPr>
        </c:title>
        <c:numFmt formatCode="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7674774"/>
        <c:crosses val="autoZero"/>
      </c:valAx>
      <c:spPr>
        <a:noFill/>
        <a:ln>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100" spc="-1" strike="noStrike">
                <a:solidFill>
                  <a:srgbClr val="595959"/>
                </a:solidFill>
                <a:latin typeface="Calibri"/>
              </a:defRPr>
            </a:pPr>
            <a:r>
              <a:rPr b="0" sz="1100" spc="-1" strike="noStrike">
                <a:solidFill>
                  <a:srgbClr val="595959"/>
                </a:solidFill>
                <a:latin typeface="Calibri"/>
              </a:rPr>
              <a:t>Tasa Demanda Dependientes</a:t>
            </a:r>
          </a:p>
        </c:rich>
      </c:tx>
      <c:overlay val="0"/>
      <c:spPr>
        <a:solidFill>
          <a:srgbClr val="deebf7"/>
        </a:solidFill>
        <a:ln>
          <a:noFill/>
        </a:ln>
      </c:spPr>
    </c:title>
    <c:autoTitleDeleted val="0"/>
    <c:plotArea>
      <c:barChart>
        <c:barDir val="col"/>
        <c:grouping val="stacked"/>
        <c:varyColors val="0"/>
        <c:ser>
          <c:idx val="0"/>
          <c:order val="0"/>
          <c:spPr>
            <a:solidFill>
              <a:srgbClr val="5b9bd5"/>
            </a:solid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Gráficos!$D$121</c:f>
              <c:numCache>
                <c:formatCode>General</c:formatCode>
                <c:ptCount val="1"/>
                <c:pt idx="0">
                  <c:v>0.00935180314454381</c:v>
                </c:pt>
              </c:numCache>
            </c:numRef>
          </c:val>
        </c:ser>
        <c:ser>
          <c:idx val="1"/>
          <c:order val="1"/>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Gráficos!$D$122</c:f>
              <c:numCache>
                <c:formatCode>General</c:formatCode>
                <c:ptCount val="1"/>
                <c:pt idx="0">
                  <c:v>0.0253667660295751</c:v>
                </c:pt>
              </c:numCache>
            </c:numRef>
          </c:val>
        </c:ser>
        <c:ser>
          <c:idx val="2"/>
          <c:order val="2"/>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Gráficos!$D$123</c:f>
              <c:numCache>
                <c:formatCode>General</c:formatCode>
                <c:ptCount val="1"/>
                <c:pt idx="0">
                  <c:v>0.00672160851014087</c:v>
                </c:pt>
              </c:numCache>
            </c:numRef>
          </c:val>
        </c:ser>
        <c:ser>
          <c:idx val="3"/>
          <c:order val="3"/>
          <c:spPr>
            <a:solidFill>
              <a:srgbClr val="5b9bd5">
                <a:alpha val="50000"/>
              </a:srgbClr>
            </a:solidFill>
            <a:ln>
              <a:solidFill>
                <a:srgbClr val="5b9bd5"/>
              </a:solid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both"/>
            <c:errValType val="stdDev"/>
            <c:noEndCap val="0"/>
            <c:val val="1"/>
          </c:errBars>
          <c:val>
            <c:numRef>
              <c:f>Gráficos!$D$124</c:f>
              <c:numCache>
                <c:formatCode>General</c:formatCode>
                <c:ptCount val="1"/>
                <c:pt idx="0">
                  <c:v>0.0162487579636449</c:v>
                </c:pt>
              </c:numCache>
            </c:numRef>
          </c:val>
        </c:ser>
        <c:ser>
          <c:idx val="4"/>
          <c:order val="4"/>
          <c:spPr>
            <a:noFill/>
            <a:ln>
              <a:noFill/>
            </a:ln>
          </c:spPr>
          <c:invertIfNegative val="0"/>
          <c:dLbls>
            <c:numFmt formatCode="0.000" sourceLinked="1"/>
            <c:txPr>
              <a:bodyPr/>
              <a:lstStyle/>
              <a:p>
                <a:pPr>
                  <a:defRPr b="0" sz="1000" spc="-1" strike="noStrike">
                    <a:solidFill>
                      <a:srgbClr val="000000"/>
                    </a:solidFill>
                    <a:latin typeface="Calibri"/>
                  </a:defRPr>
                </a:pPr>
              </a:p>
            </c:txPr>
            <c:dLblPos val="ctr"/>
            <c:showLegendKey val="0"/>
            <c:showVal val="0"/>
            <c:showCatName val="0"/>
            <c:showSerName val="0"/>
            <c:showPercent val="0"/>
            <c:showLeaderLines val="0"/>
          </c:dLbls>
          <c:errBars>
            <c:errDir val="y"/>
            <c:errBarType val="minus"/>
            <c:errValType val="percentage"/>
            <c:noEndCap val="0"/>
            <c:val val="100"/>
          </c:errBars>
          <c:val>
            <c:numRef>
              <c:f>Gráficos!$D$125</c:f>
              <c:numCache>
                <c:formatCode>General</c:formatCode>
                <c:ptCount val="1"/>
                <c:pt idx="0">
                  <c:v>0.0479864398854404</c:v>
                </c:pt>
              </c:numCache>
            </c:numRef>
          </c:val>
        </c:ser>
        <c:gapWidth val="150"/>
        <c:overlap val="100"/>
        <c:axId val="28459245"/>
        <c:axId val="90342580"/>
      </c:barChart>
      <c:catAx>
        <c:axId val="28459245"/>
        <c:scaling>
          <c:orientation val="minMax"/>
        </c:scaling>
        <c:delete val="1"/>
        <c:axPos val="b"/>
        <c:numFmt formatCode="General" sourceLinked="1"/>
        <c:majorTickMark val="none"/>
        <c:minorTickMark val="none"/>
        <c:tickLblPos val="nextTo"/>
        <c:spPr>
          <a:ln w="6480">
            <a:solidFill>
              <a:srgbClr val="8b8b8b"/>
            </a:solidFill>
            <a:round/>
          </a:ln>
        </c:spPr>
        <c:txPr>
          <a:bodyPr/>
          <a:lstStyle/>
          <a:p>
            <a:pPr>
              <a:defRPr b="0" sz="1000" spc="-1" strike="noStrike">
                <a:solidFill>
                  <a:srgbClr val="000000"/>
                </a:solidFill>
                <a:latin typeface="Calibri"/>
              </a:defRPr>
            </a:pPr>
          </a:p>
        </c:txPr>
        <c:crossAx val="90342580"/>
        <c:crosses val="autoZero"/>
        <c:auto val="1"/>
        <c:lblAlgn val="ctr"/>
        <c:lblOffset val="100"/>
      </c:catAx>
      <c:valAx>
        <c:axId val="90342580"/>
        <c:scaling>
          <c:orientation val="minMax"/>
        </c:scaling>
        <c:delete val="0"/>
        <c:axPos val="l"/>
        <c:majorGridlines>
          <c:spPr>
            <a:ln w="9360">
              <a:solidFill>
                <a:srgbClr val="d9d9d9"/>
              </a:solidFill>
              <a:prstDash val="sysDash"/>
              <a:round/>
            </a:ln>
          </c:spPr>
        </c:majorGridlines>
        <c:numFmt formatCode="0.0%" sourceLinked="0"/>
        <c:majorTickMark val="none"/>
        <c:minorTickMark val="none"/>
        <c:tickLblPos val="nextTo"/>
        <c:spPr>
          <a:ln w="6480">
            <a:noFill/>
          </a:ln>
        </c:spPr>
        <c:txPr>
          <a:bodyPr/>
          <a:lstStyle/>
          <a:p>
            <a:pPr>
              <a:defRPr b="0" sz="800" spc="-1" strike="noStrike">
                <a:solidFill>
                  <a:srgbClr val="595959"/>
                </a:solidFill>
                <a:latin typeface="Calibri"/>
              </a:defRPr>
            </a:pPr>
          </a:p>
        </c:txPr>
        <c:crossAx val="28459245"/>
        <c:crosses val="autoZero"/>
      </c:valAx>
      <c:spPr>
        <a:noFill/>
        <a:ln>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1.tif"/><Relationship Id="rId2" Type="http://schemas.openxmlformats.org/officeDocument/2006/relationships/image" Target="../media/image2.png"/><Relationship Id="rId3" Type="http://schemas.openxmlformats.org/officeDocument/2006/relationships/image" Target="../media/image3.jpeg"/><Relationship Id="rId4" Type="http://schemas.openxmlformats.org/officeDocument/2006/relationships/image" Target="../media/image4.png"/><Relationship Id="rId5" Type="http://schemas.openxmlformats.org/officeDocument/2006/relationships/image" Target="../media/image5.png"/>
</Relationships>
</file>

<file path=xl/drawings/_rels/drawing4.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Relationship Id="rId17" Type="http://schemas.openxmlformats.org/officeDocument/2006/relationships/chart" Target="../charts/chart17.xml"/><Relationship Id="rId18" Type="http://schemas.openxmlformats.org/officeDocument/2006/relationships/chart" Target="../charts/chart18.xml"/><Relationship Id="rId19" Type="http://schemas.openxmlformats.org/officeDocument/2006/relationships/chart" Target="../charts/chart19.xml"/><Relationship Id="rId20" Type="http://schemas.openxmlformats.org/officeDocument/2006/relationships/image" Target="../media/image6.tif"/>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127080</xdr:colOff>
      <xdr:row>9</xdr:row>
      <xdr:rowOff>128520</xdr:rowOff>
    </xdr:from>
    <xdr:to>
      <xdr:col>20</xdr:col>
      <xdr:colOff>838080</xdr:colOff>
      <xdr:row>19</xdr:row>
      <xdr:rowOff>149760</xdr:rowOff>
    </xdr:to>
    <xdr:pic>
      <xdr:nvPicPr>
        <xdr:cNvPr id="0" name="Imagen 1" descr=""/>
        <xdr:cNvPicPr/>
      </xdr:nvPicPr>
      <xdr:blipFill>
        <a:blip r:embed="rId1"/>
        <a:stretch/>
      </xdr:blipFill>
      <xdr:spPr>
        <a:xfrm>
          <a:off x="127080" y="3705120"/>
          <a:ext cx="15657480" cy="2194920"/>
        </a:xfrm>
        <a:prstGeom prst="rect">
          <a:avLst/>
        </a:prstGeom>
        <a:ln>
          <a:noFill/>
        </a:ln>
      </xdr:spPr>
    </xdr:pic>
    <xdr:clientData/>
  </xdr:twoCellAnchor>
  <xdr:twoCellAnchor editAs="oneCell">
    <xdr:from>
      <xdr:col>9</xdr:col>
      <xdr:colOff>19800</xdr:colOff>
      <xdr:row>0</xdr:row>
      <xdr:rowOff>0</xdr:rowOff>
    </xdr:from>
    <xdr:to>
      <xdr:col>10</xdr:col>
      <xdr:colOff>310320</xdr:colOff>
      <xdr:row>2</xdr:row>
      <xdr:rowOff>168480</xdr:rowOff>
    </xdr:to>
    <xdr:pic>
      <xdr:nvPicPr>
        <xdr:cNvPr id="1" name="Imagen 2" descr=""/>
        <xdr:cNvPicPr/>
      </xdr:nvPicPr>
      <xdr:blipFill>
        <a:blip r:embed="rId2"/>
        <a:stretch/>
      </xdr:blipFill>
      <xdr:spPr>
        <a:xfrm>
          <a:off x="6717600" y="0"/>
          <a:ext cx="1026000" cy="639000"/>
        </a:xfrm>
        <a:prstGeom prst="rect">
          <a:avLst/>
        </a:prstGeom>
        <a:ln>
          <a:noFill/>
        </a:ln>
      </xdr:spPr>
    </xdr:pic>
    <xdr:clientData/>
  </xdr:twoCellAnchor>
  <xdr:twoCellAnchor editAs="oneCell">
    <xdr:from>
      <xdr:col>0</xdr:col>
      <xdr:colOff>0</xdr:colOff>
      <xdr:row>0</xdr:row>
      <xdr:rowOff>76320</xdr:rowOff>
    </xdr:from>
    <xdr:to>
      <xdr:col>5</xdr:col>
      <xdr:colOff>303120</xdr:colOff>
      <xdr:row>2</xdr:row>
      <xdr:rowOff>177480</xdr:rowOff>
    </xdr:to>
    <xdr:pic>
      <xdr:nvPicPr>
        <xdr:cNvPr id="2" name="Picture 7" descr=""/>
        <xdr:cNvPicPr/>
      </xdr:nvPicPr>
      <xdr:blipFill>
        <a:blip r:embed="rId3"/>
        <a:stretch/>
      </xdr:blipFill>
      <xdr:spPr>
        <a:xfrm>
          <a:off x="0" y="76320"/>
          <a:ext cx="4059720" cy="571680"/>
        </a:xfrm>
        <a:prstGeom prst="rect">
          <a:avLst/>
        </a:prstGeom>
        <a:ln>
          <a:noFill/>
        </a:ln>
      </xdr:spPr>
    </xdr:pic>
    <xdr:clientData/>
  </xdr:twoCellAnchor>
  <xdr:twoCellAnchor editAs="twoCell">
    <xdr:from>
      <xdr:col>0</xdr:col>
      <xdr:colOff>0</xdr:colOff>
      <xdr:row>5</xdr:row>
      <xdr:rowOff>49680</xdr:rowOff>
    </xdr:from>
    <xdr:to>
      <xdr:col>0</xdr:col>
      <xdr:colOff>773640</xdr:colOff>
      <xdr:row>5</xdr:row>
      <xdr:rowOff>877320</xdr:rowOff>
    </xdr:to>
    <xdr:pic>
      <xdr:nvPicPr>
        <xdr:cNvPr id="3" name="Imagen 6" descr=""/>
        <xdr:cNvPicPr/>
      </xdr:nvPicPr>
      <xdr:blipFill>
        <a:blip r:embed="rId4"/>
        <a:stretch/>
      </xdr:blipFill>
      <xdr:spPr>
        <a:xfrm>
          <a:off x="0" y="1047600"/>
          <a:ext cx="773640" cy="827640"/>
        </a:xfrm>
        <a:prstGeom prst="rect">
          <a:avLst/>
        </a:prstGeom>
        <a:ln>
          <a:noFill/>
        </a:ln>
      </xdr:spPr>
    </xdr:pic>
    <xdr:clientData/>
  </xdr:twoCellAnchor>
  <xdr:twoCellAnchor editAs="twoCell">
    <xdr:from>
      <xdr:col>20</xdr:col>
      <xdr:colOff>0</xdr:colOff>
      <xdr:row>5</xdr:row>
      <xdr:rowOff>49680</xdr:rowOff>
    </xdr:from>
    <xdr:to>
      <xdr:col>22</xdr:col>
      <xdr:colOff>46440</xdr:colOff>
      <xdr:row>5</xdr:row>
      <xdr:rowOff>589320</xdr:rowOff>
    </xdr:to>
    <xdr:pic>
      <xdr:nvPicPr>
        <xdr:cNvPr id="4" name="Imagen 5" descr=""/>
        <xdr:cNvPicPr/>
      </xdr:nvPicPr>
      <xdr:blipFill>
        <a:blip r:embed="rId5"/>
        <a:stretch/>
      </xdr:blipFill>
      <xdr:spPr>
        <a:xfrm>
          <a:off x="14946480" y="1047600"/>
          <a:ext cx="1945080" cy="5396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19</xdr:col>
      <xdr:colOff>309600</xdr:colOff>
      <xdr:row>10</xdr:row>
      <xdr:rowOff>187920</xdr:rowOff>
    </xdr:from>
    <xdr:to>
      <xdr:col>21</xdr:col>
      <xdr:colOff>290520</xdr:colOff>
      <xdr:row>12</xdr:row>
      <xdr:rowOff>117720</xdr:rowOff>
    </xdr:to>
    <xdr:sp>
      <xdr:nvSpPr>
        <xdr:cNvPr id="5" name="CustomShape 1"/>
        <xdr:cNvSpPr/>
      </xdr:nvSpPr>
      <xdr:spPr>
        <a:xfrm>
          <a:off x="14591880" y="2272320"/>
          <a:ext cx="2093040" cy="311040"/>
        </a:xfrm>
        <a:custGeom>
          <a:avLst/>
          <a:gdLst/>
          <a:ahLst/>
          <a:rect l="l" t="t" r="r" b="b"/>
          <a:pathLst>
            <a:path w="2070478" h="307776">
              <a:moveTo>
                <a:pt x="0" y="0"/>
              </a:moveTo>
              <a:lnTo>
                <a:pt x="0" y="183482"/>
              </a:lnTo>
              <a:lnTo>
                <a:pt x="2070478" y="183482"/>
              </a:lnTo>
              <a:lnTo>
                <a:pt x="2070478"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19</xdr:col>
      <xdr:colOff>309600</xdr:colOff>
      <xdr:row>10</xdr:row>
      <xdr:rowOff>187920</xdr:rowOff>
    </xdr:from>
    <xdr:to>
      <xdr:col>20</xdr:col>
      <xdr:colOff>191520</xdr:colOff>
      <xdr:row>12</xdr:row>
      <xdr:rowOff>117720</xdr:rowOff>
    </xdr:to>
    <xdr:sp>
      <xdr:nvSpPr>
        <xdr:cNvPr id="6" name="CustomShape 1"/>
        <xdr:cNvSpPr/>
      </xdr:nvSpPr>
      <xdr:spPr>
        <a:xfrm>
          <a:off x="14591880" y="2272320"/>
          <a:ext cx="697320" cy="311040"/>
        </a:xfrm>
        <a:custGeom>
          <a:avLst/>
          <a:gdLst/>
          <a:ahLst/>
          <a:rect l="l" t="t" r="r" b="b"/>
          <a:pathLst>
            <a:path w="690159" h="307776">
              <a:moveTo>
                <a:pt x="0" y="0"/>
              </a:moveTo>
              <a:lnTo>
                <a:pt x="0" y="183482"/>
              </a:lnTo>
              <a:lnTo>
                <a:pt x="690159" y="183482"/>
              </a:lnTo>
              <a:lnTo>
                <a:pt x="690159"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18</xdr:col>
      <xdr:colOff>269640</xdr:colOff>
      <xdr:row>10</xdr:row>
      <xdr:rowOff>187920</xdr:rowOff>
    </xdr:from>
    <xdr:to>
      <xdr:col>19</xdr:col>
      <xdr:colOff>309240</xdr:colOff>
      <xdr:row>12</xdr:row>
      <xdr:rowOff>117720</xdr:rowOff>
    </xdr:to>
    <xdr:sp>
      <xdr:nvSpPr>
        <xdr:cNvPr id="7" name="CustomShape 1"/>
        <xdr:cNvSpPr/>
      </xdr:nvSpPr>
      <xdr:spPr>
        <a:xfrm>
          <a:off x="13894200" y="2272320"/>
          <a:ext cx="697320" cy="311040"/>
        </a:xfrm>
        <a:custGeom>
          <a:avLst/>
          <a:gdLst/>
          <a:ahLst/>
          <a:rect l="l" t="t" r="r" b="b"/>
          <a:pathLst>
            <a:path w="690159" h="307776">
              <a:moveTo>
                <a:pt x="690159" y="0"/>
              </a:moveTo>
              <a:lnTo>
                <a:pt x="690159" y="183482"/>
              </a:lnTo>
              <a:lnTo>
                <a:pt x="0" y="183482"/>
              </a:lnTo>
              <a:lnTo>
                <a:pt x="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16</xdr:col>
      <xdr:colOff>189720</xdr:colOff>
      <xdr:row>10</xdr:row>
      <xdr:rowOff>187920</xdr:rowOff>
    </xdr:from>
    <xdr:to>
      <xdr:col>19</xdr:col>
      <xdr:colOff>309240</xdr:colOff>
      <xdr:row>12</xdr:row>
      <xdr:rowOff>117720</xdr:rowOff>
    </xdr:to>
    <xdr:sp>
      <xdr:nvSpPr>
        <xdr:cNvPr id="8" name="CustomShape 1"/>
        <xdr:cNvSpPr/>
      </xdr:nvSpPr>
      <xdr:spPr>
        <a:xfrm>
          <a:off x="12498480" y="2272320"/>
          <a:ext cx="2093040" cy="311040"/>
        </a:xfrm>
        <a:custGeom>
          <a:avLst/>
          <a:gdLst/>
          <a:ahLst/>
          <a:rect l="l" t="t" r="r" b="b"/>
          <a:pathLst>
            <a:path w="2070478" h="307776">
              <a:moveTo>
                <a:pt x="2070478" y="0"/>
              </a:moveTo>
              <a:lnTo>
                <a:pt x="2070478" y="183482"/>
              </a:lnTo>
              <a:lnTo>
                <a:pt x="0" y="183482"/>
              </a:lnTo>
              <a:lnTo>
                <a:pt x="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10</xdr:col>
      <xdr:colOff>299160</xdr:colOff>
      <xdr:row>6</xdr:row>
      <xdr:rowOff>99720</xdr:rowOff>
    </xdr:from>
    <xdr:to>
      <xdr:col>19</xdr:col>
      <xdr:colOff>309240</xdr:colOff>
      <xdr:row>8</xdr:row>
      <xdr:rowOff>29880</xdr:rowOff>
    </xdr:to>
    <xdr:sp>
      <xdr:nvSpPr>
        <xdr:cNvPr id="9" name="CustomShape 1"/>
        <xdr:cNvSpPr/>
      </xdr:nvSpPr>
      <xdr:spPr>
        <a:xfrm>
          <a:off x="8660520" y="1422360"/>
          <a:ext cx="5931000" cy="311040"/>
        </a:xfrm>
        <a:custGeom>
          <a:avLst/>
          <a:gdLst/>
          <a:ahLst/>
          <a:rect l="l" t="t" r="r" b="b"/>
          <a:pathLst>
            <a:path w="5866356" h="307776">
              <a:moveTo>
                <a:pt x="0" y="0"/>
              </a:moveTo>
              <a:lnTo>
                <a:pt x="0" y="183482"/>
              </a:lnTo>
              <a:lnTo>
                <a:pt x="5866356" y="183482"/>
              </a:lnTo>
              <a:lnTo>
                <a:pt x="5866356" y="307776"/>
              </a:lnTo>
            </a:path>
          </a:pathLst>
        </a:custGeom>
        <a:noFill/>
        <a:ln w="12600">
          <a:solidFill>
            <a:srgbClr val="487caa"/>
          </a:solidFill>
          <a:miter/>
        </a:ln>
      </xdr:spPr>
      <xdr:style>
        <a:lnRef idx="0"/>
        <a:fillRef idx="0"/>
        <a:effectRef idx="0"/>
        <a:fontRef idx="minor"/>
      </xdr:style>
    </xdr:sp>
    <xdr:clientData/>
  </xdr:twoCellAnchor>
  <xdr:twoCellAnchor editAs="absolute">
    <xdr:from>
      <xdr:col>14</xdr:col>
      <xdr:colOff>63720</xdr:colOff>
      <xdr:row>10</xdr:row>
      <xdr:rowOff>187920</xdr:rowOff>
    </xdr:from>
    <xdr:to>
      <xdr:col>14</xdr:col>
      <xdr:colOff>155880</xdr:colOff>
      <xdr:row>12</xdr:row>
      <xdr:rowOff>117720</xdr:rowOff>
    </xdr:to>
    <xdr:sp>
      <xdr:nvSpPr>
        <xdr:cNvPr id="10" name="CustomShape 1"/>
        <xdr:cNvSpPr/>
      </xdr:nvSpPr>
      <xdr:spPr>
        <a:xfrm>
          <a:off x="11056680" y="2272320"/>
          <a:ext cx="92160" cy="311040"/>
        </a:xfrm>
        <a:custGeom>
          <a:avLst/>
          <a:gdLst/>
          <a:ahLst/>
          <a:rect l="l" t="t" r="r" b="b"/>
          <a:pathLst>
            <a:path w="0" h="307776">
              <a:moveTo>
                <a:pt x="45720" y="0"/>
              </a:moveTo>
              <a:lnTo>
                <a:pt x="4572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10</xdr:col>
      <xdr:colOff>299160</xdr:colOff>
      <xdr:row>6</xdr:row>
      <xdr:rowOff>99720</xdr:rowOff>
    </xdr:from>
    <xdr:to>
      <xdr:col>14</xdr:col>
      <xdr:colOff>109440</xdr:colOff>
      <xdr:row>8</xdr:row>
      <xdr:rowOff>29880</xdr:rowOff>
    </xdr:to>
    <xdr:sp>
      <xdr:nvSpPr>
        <xdr:cNvPr id="11" name="CustomShape 1"/>
        <xdr:cNvSpPr/>
      </xdr:nvSpPr>
      <xdr:spPr>
        <a:xfrm>
          <a:off x="8660520" y="1422360"/>
          <a:ext cx="2441880" cy="311040"/>
        </a:xfrm>
        <a:custGeom>
          <a:avLst/>
          <a:gdLst/>
          <a:ahLst/>
          <a:rect l="l" t="t" r="r" b="b"/>
          <a:pathLst>
            <a:path w="2415558" h="307776">
              <a:moveTo>
                <a:pt x="0" y="0"/>
              </a:moveTo>
              <a:lnTo>
                <a:pt x="0" y="183482"/>
              </a:lnTo>
              <a:lnTo>
                <a:pt x="2415558" y="183482"/>
              </a:lnTo>
              <a:lnTo>
                <a:pt x="2415558" y="307776"/>
              </a:lnTo>
            </a:path>
          </a:pathLst>
        </a:custGeom>
        <a:noFill/>
        <a:ln w="12600">
          <a:solidFill>
            <a:srgbClr val="487caa"/>
          </a:solidFill>
          <a:miter/>
        </a:ln>
      </xdr:spPr>
      <xdr:style>
        <a:lnRef idx="0"/>
        <a:fillRef idx="0"/>
        <a:effectRef idx="0"/>
        <a:fontRef idx="minor"/>
      </xdr:style>
    </xdr:sp>
    <xdr:clientData/>
  </xdr:twoCellAnchor>
  <xdr:twoCellAnchor editAs="absolute">
    <xdr:from>
      <xdr:col>9</xdr:col>
      <xdr:colOff>608040</xdr:colOff>
      <xdr:row>10</xdr:row>
      <xdr:rowOff>187920</xdr:rowOff>
    </xdr:from>
    <xdr:to>
      <xdr:col>12</xdr:col>
      <xdr:colOff>29880</xdr:colOff>
      <xdr:row>12</xdr:row>
      <xdr:rowOff>117720</xdr:rowOff>
    </xdr:to>
    <xdr:sp>
      <xdr:nvSpPr>
        <xdr:cNvPr id="12" name="CustomShape 1"/>
        <xdr:cNvSpPr/>
      </xdr:nvSpPr>
      <xdr:spPr>
        <a:xfrm>
          <a:off x="8311680" y="2272320"/>
          <a:ext cx="1395360" cy="311040"/>
        </a:xfrm>
        <a:custGeom>
          <a:avLst/>
          <a:gdLst/>
          <a:ahLst/>
          <a:rect l="l" t="t" r="r" b="b"/>
          <a:pathLst>
            <a:path w="1380319" h="307776">
              <a:moveTo>
                <a:pt x="0" y="0"/>
              </a:moveTo>
              <a:lnTo>
                <a:pt x="0" y="183482"/>
              </a:lnTo>
              <a:lnTo>
                <a:pt x="1380319" y="183482"/>
              </a:lnTo>
              <a:lnTo>
                <a:pt x="1380319"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9</xdr:col>
      <xdr:colOff>561960</xdr:colOff>
      <xdr:row>10</xdr:row>
      <xdr:rowOff>187920</xdr:rowOff>
    </xdr:from>
    <xdr:to>
      <xdr:col>9</xdr:col>
      <xdr:colOff>654120</xdr:colOff>
      <xdr:row>12</xdr:row>
      <xdr:rowOff>117720</xdr:rowOff>
    </xdr:to>
    <xdr:sp>
      <xdr:nvSpPr>
        <xdr:cNvPr id="13" name="CustomShape 1"/>
        <xdr:cNvSpPr/>
      </xdr:nvSpPr>
      <xdr:spPr>
        <a:xfrm>
          <a:off x="8265600" y="2272320"/>
          <a:ext cx="92160" cy="311040"/>
        </a:xfrm>
        <a:custGeom>
          <a:avLst/>
          <a:gdLst/>
          <a:ahLst/>
          <a:rect l="l" t="t" r="r" b="b"/>
          <a:pathLst>
            <a:path w="0" h="307776">
              <a:moveTo>
                <a:pt x="45720" y="0"/>
              </a:moveTo>
              <a:lnTo>
                <a:pt x="4572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7</xdr:col>
      <xdr:colOff>528120</xdr:colOff>
      <xdr:row>10</xdr:row>
      <xdr:rowOff>187920</xdr:rowOff>
    </xdr:from>
    <xdr:to>
      <xdr:col>9</xdr:col>
      <xdr:colOff>607680</xdr:colOff>
      <xdr:row>12</xdr:row>
      <xdr:rowOff>117720</xdr:rowOff>
    </xdr:to>
    <xdr:sp>
      <xdr:nvSpPr>
        <xdr:cNvPr id="14" name="CustomShape 1"/>
        <xdr:cNvSpPr/>
      </xdr:nvSpPr>
      <xdr:spPr>
        <a:xfrm>
          <a:off x="6915960" y="2272320"/>
          <a:ext cx="1395360" cy="311040"/>
        </a:xfrm>
        <a:custGeom>
          <a:avLst/>
          <a:gdLst/>
          <a:ahLst/>
          <a:rect l="l" t="t" r="r" b="b"/>
          <a:pathLst>
            <a:path w="1380319" h="307776">
              <a:moveTo>
                <a:pt x="1380319" y="0"/>
              </a:moveTo>
              <a:lnTo>
                <a:pt x="1380319" y="183482"/>
              </a:lnTo>
              <a:lnTo>
                <a:pt x="0" y="183482"/>
              </a:lnTo>
              <a:lnTo>
                <a:pt x="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9</xdr:col>
      <xdr:colOff>608040</xdr:colOff>
      <xdr:row>6</xdr:row>
      <xdr:rowOff>99720</xdr:rowOff>
    </xdr:from>
    <xdr:to>
      <xdr:col>10</xdr:col>
      <xdr:colOff>298800</xdr:colOff>
      <xdr:row>8</xdr:row>
      <xdr:rowOff>29880</xdr:rowOff>
    </xdr:to>
    <xdr:sp>
      <xdr:nvSpPr>
        <xdr:cNvPr id="15" name="CustomShape 1"/>
        <xdr:cNvSpPr/>
      </xdr:nvSpPr>
      <xdr:spPr>
        <a:xfrm>
          <a:off x="8311680" y="1422360"/>
          <a:ext cx="348480" cy="311040"/>
        </a:xfrm>
        <a:custGeom>
          <a:avLst/>
          <a:gdLst/>
          <a:ahLst/>
          <a:rect l="l" t="t" r="r" b="b"/>
          <a:pathLst>
            <a:path w="345079" h="307776">
              <a:moveTo>
                <a:pt x="345079" y="0"/>
              </a:moveTo>
              <a:lnTo>
                <a:pt x="345079" y="183482"/>
              </a:lnTo>
              <a:lnTo>
                <a:pt x="0" y="183482"/>
              </a:lnTo>
              <a:lnTo>
                <a:pt x="0" y="307776"/>
              </a:lnTo>
            </a:path>
          </a:pathLst>
        </a:custGeom>
        <a:noFill/>
        <a:ln w="12600">
          <a:solidFill>
            <a:srgbClr val="487caa"/>
          </a:solidFill>
          <a:miter/>
        </a:ln>
      </xdr:spPr>
      <xdr:style>
        <a:lnRef idx="0"/>
        <a:fillRef idx="0"/>
        <a:effectRef idx="0"/>
        <a:fontRef idx="minor"/>
      </xdr:style>
    </xdr:sp>
    <xdr:clientData/>
  </xdr:twoCellAnchor>
  <xdr:twoCellAnchor editAs="absolute">
    <xdr:from>
      <xdr:col>5</xdr:col>
      <xdr:colOff>402120</xdr:colOff>
      <xdr:row>10</xdr:row>
      <xdr:rowOff>187920</xdr:rowOff>
    </xdr:from>
    <xdr:to>
      <xdr:col>5</xdr:col>
      <xdr:colOff>494280</xdr:colOff>
      <xdr:row>12</xdr:row>
      <xdr:rowOff>117720</xdr:rowOff>
    </xdr:to>
    <xdr:sp>
      <xdr:nvSpPr>
        <xdr:cNvPr id="16" name="CustomShape 1"/>
        <xdr:cNvSpPr/>
      </xdr:nvSpPr>
      <xdr:spPr>
        <a:xfrm>
          <a:off x="5474160" y="2272320"/>
          <a:ext cx="92160" cy="311040"/>
        </a:xfrm>
        <a:custGeom>
          <a:avLst/>
          <a:gdLst/>
          <a:ahLst/>
          <a:rect l="l" t="t" r="r" b="b"/>
          <a:pathLst>
            <a:path w="0" h="307776">
              <a:moveTo>
                <a:pt x="45720" y="0"/>
              </a:moveTo>
              <a:lnTo>
                <a:pt x="4572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5</xdr:col>
      <xdr:colOff>448560</xdr:colOff>
      <xdr:row>6</xdr:row>
      <xdr:rowOff>99720</xdr:rowOff>
    </xdr:from>
    <xdr:to>
      <xdr:col>10</xdr:col>
      <xdr:colOff>299160</xdr:colOff>
      <xdr:row>8</xdr:row>
      <xdr:rowOff>29880</xdr:rowOff>
    </xdr:to>
    <xdr:sp>
      <xdr:nvSpPr>
        <xdr:cNvPr id="17" name="CustomShape 1"/>
        <xdr:cNvSpPr/>
      </xdr:nvSpPr>
      <xdr:spPr>
        <a:xfrm>
          <a:off x="5520600" y="1422360"/>
          <a:ext cx="3139920" cy="311040"/>
        </a:xfrm>
        <a:custGeom>
          <a:avLst/>
          <a:gdLst/>
          <a:ahLst/>
          <a:rect l="l" t="t" r="r" b="b"/>
          <a:pathLst>
            <a:path w="3105717" h="307776">
              <a:moveTo>
                <a:pt x="3105717" y="0"/>
              </a:moveTo>
              <a:lnTo>
                <a:pt x="3105717" y="183482"/>
              </a:lnTo>
              <a:lnTo>
                <a:pt x="0" y="183482"/>
              </a:lnTo>
              <a:lnTo>
                <a:pt x="0" y="307776"/>
              </a:lnTo>
            </a:path>
          </a:pathLst>
        </a:custGeom>
        <a:noFill/>
        <a:ln w="12600">
          <a:solidFill>
            <a:srgbClr val="487caa"/>
          </a:solidFill>
          <a:miter/>
        </a:ln>
      </xdr:spPr>
      <xdr:style>
        <a:lnRef idx="0"/>
        <a:fillRef idx="0"/>
        <a:effectRef idx="0"/>
        <a:fontRef idx="minor"/>
      </xdr:style>
    </xdr:sp>
    <xdr:clientData/>
  </xdr:twoCellAnchor>
  <xdr:twoCellAnchor editAs="absolute">
    <xdr:from>
      <xdr:col>1</xdr:col>
      <xdr:colOff>1914120</xdr:colOff>
      <xdr:row>10</xdr:row>
      <xdr:rowOff>187920</xdr:rowOff>
    </xdr:from>
    <xdr:to>
      <xdr:col>3</xdr:col>
      <xdr:colOff>367920</xdr:colOff>
      <xdr:row>12</xdr:row>
      <xdr:rowOff>117720</xdr:rowOff>
    </xdr:to>
    <xdr:sp>
      <xdr:nvSpPr>
        <xdr:cNvPr id="18" name="CustomShape 1"/>
        <xdr:cNvSpPr/>
      </xdr:nvSpPr>
      <xdr:spPr>
        <a:xfrm>
          <a:off x="2729160" y="2272320"/>
          <a:ext cx="1395360" cy="311040"/>
        </a:xfrm>
        <a:custGeom>
          <a:avLst/>
          <a:gdLst/>
          <a:ahLst/>
          <a:rect l="l" t="t" r="r" b="b"/>
          <a:pathLst>
            <a:path w="1380319" h="307776">
              <a:moveTo>
                <a:pt x="0" y="0"/>
              </a:moveTo>
              <a:lnTo>
                <a:pt x="0" y="183482"/>
              </a:lnTo>
              <a:lnTo>
                <a:pt x="1380319" y="183482"/>
              </a:lnTo>
              <a:lnTo>
                <a:pt x="1380319"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xdr:col>
      <xdr:colOff>1868040</xdr:colOff>
      <xdr:row>10</xdr:row>
      <xdr:rowOff>187920</xdr:rowOff>
    </xdr:from>
    <xdr:to>
      <xdr:col>1</xdr:col>
      <xdr:colOff>1960200</xdr:colOff>
      <xdr:row>12</xdr:row>
      <xdr:rowOff>117720</xdr:rowOff>
    </xdr:to>
    <xdr:sp>
      <xdr:nvSpPr>
        <xdr:cNvPr id="19" name="CustomShape 1"/>
        <xdr:cNvSpPr/>
      </xdr:nvSpPr>
      <xdr:spPr>
        <a:xfrm>
          <a:off x="2683080" y="2272320"/>
          <a:ext cx="92160" cy="311040"/>
        </a:xfrm>
        <a:custGeom>
          <a:avLst/>
          <a:gdLst/>
          <a:ahLst/>
          <a:rect l="l" t="t" r="r" b="b"/>
          <a:pathLst>
            <a:path w="0" h="307776">
              <a:moveTo>
                <a:pt x="45720" y="0"/>
              </a:moveTo>
              <a:lnTo>
                <a:pt x="4572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xdr:col>
      <xdr:colOff>518760</xdr:colOff>
      <xdr:row>10</xdr:row>
      <xdr:rowOff>187920</xdr:rowOff>
    </xdr:from>
    <xdr:to>
      <xdr:col>1</xdr:col>
      <xdr:colOff>1914120</xdr:colOff>
      <xdr:row>12</xdr:row>
      <xdr:rowOff>117720</xdr:rowOff>
    </xdr:to>
    <xdr:sp>
      <xdr:nvSpPr>
        <xdr:cNvPr id="20" name="CustomShape 1"/>
        <xdr:cNvSpPr/>
      </xdr:nvSpPr>
      <xdr:spPr>
        <a:xfrm>
          <a:off x="1333800" y="2272320"/>
          <a:ext cx="1395360" cy="311040"/>
        </a:xfrm>
        <a:custGeom>
          <a:avLst/>
          <a:gdLst/>
          <a:ahLst/>
          <a:rect l="l" t="t" r="r" b="b"/>
          <a:pathLst>
            <a:path w="1380319" h="307776">
              <a:moveTo>
                <a:pt x="1380319" y="0"/>
              </a:moveTo>
              <a:lnTo>
                <a:pt x="1380319" y="183482"/>
              </a:lnTo>
              <a:lnTo>
                <a:pt x="0" y="183482"/>
              </a:lnTo>
              <a:lnTo>
                <a:pt x="0" y="307776"/>
              </a:lnTo>
            </a:path>
          </a:pathLst>
        </a:custGeom>
        <a:noFill/>
        <a:ln w="12600">
          <a:solidFill>
            <a:srgbClr val="528cc1"/>
          </a:solidFill>
          <a:miter/>
        </a:ln>
      </xdr:spPr>
      <xdr:style>
        <a:lnRef idx="0"/>
        <a:fillRef idx="0"/>
        <a:effectRef idx="0"/>
        <a:fontRef idx="minor"/>
      </xdr:style>
    </xdr:sp>
    <xdr:clientData/>
  </xdr:twoCellAnchor>
  <xdr:twoCellAnchor editAs="absolute">
    <xdr:from>
      <xdr:col>1</xdr:col>
      <xdr:colOff>1914120</xdr:colOff>
      <xdr:row>6</xdr:row>
      <xdr:rowOff>99720</xdr:rowOff>
    </xdr:from>
    <xdr:to>
      <xdr:col>10</xdr:col>
      <xdr:colOff>298800</xdr:colOff>
      <xdr:row>8</xdr:row>
      <xdr:rowOff>29880</xdr:rowOff>
    </xdr:to>
    <xdr:sp>
      <xdr:nvSpPr>
        <xdr:cNvPr id="21" name="CustomShape 1"/>
        <xdr:cNvSpPr/>
      </xdr:nvSpPr>
      <xdr:spPr>
        <a:xfrm>
          <a:off x="2729160" y="1422360"/>
          <a:ext cx="5931000" cy="311040"/>
        </a:xfrm>
        <a:custGeom>
          <a:avLst/>
          <a:gdLst/>
          <a:ahLst/>
          <a:rect l="l" t="t" r="r" b="b"/>
          <a:pathLst>
            <a:path w="5866356" h="307776">
              <a:moveTo>
                <a:pt x="5866356" y="0"/>
              </a:moveTo>
              <a:lnTo>
                <a:pt x="5866356" y="183482"/>
              </a:lnTo>
              <a:lnTo>
                <a:pt x="0" y="183482"/>
              </a:lnTo>
              <a:lnTo>
                <a:pt x="0" y="307776"/>
              </a:lnTo>
            </a:path>
          </a:pathLst>
        </a:custGeom>
        <a:noFill/>
        <a:ln w="12600">
          <a:solidFill>
            <a:srgbClr val="487caa"/>
          </a:solidFill>
          <a:miter/>
        </a:ln>
      </xdr:spPr>
      <xdr:style>
        <a:lnRef idx="0"/>
        <a:fillRef idx="0"/>
        <a:effectRef idx="0"/>
        <a:fontRef idx="minor"/>
      </xdr:style>
    </xdr:sp>
    <xdr:clientData/>
  </xdr:twoCellAnchor>
  <xdr:twoCellAnchor editAs="absolute">
    <xdr:from>
      <xdr:col>9</xdr:col>
      <xdr:colOff>436680</xdr:colOff>
      <xdr:row>3</xdr:row>
      <xdr:rowOff>132480</xdr:rowOff>
    </xdr:from>
    <xdr:to>
      <xdr:col>11</xdr:col>
      <xdr:colOff>160920</xdr:colOff>
      <xdr:row>6</xdr:row>
      <xdr:rowOff>99360</xdr:rowOff>
    </xdr:to>
    <xdr:sp>
      <xdr:nvSpPr>
        <xdr:cNvPr id="22" name="CustomShape 1"/>
        <xdr:cNvSpPr/>
      </xdr:nvSpPr>
      <xdr:spPr>
        <a:xfrm>
          <a:off x="8140320" y="88344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bea9"/>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Vulnerabilidad</a:t>
          </a:r>
          <a:endParaRPr b="0" lang="en-US" sz="900" spc="-1" strike="noStrike">
            <a:latin typeface="Times New Roman"/>
          </a:endParaRPr>
        </a:p>
      </xdr:txBody>
    </xdr:sp>
    <xdr:clientData/>
  </xdr:twoCellAnchor>
  <xdr:twoCellAnchor editAs="absolute">
    <xdr:from>
      <xdr:col>1</xdr:col>
      <xdr:colOff>1393920</xdr:colOff>
      <xdr:row>8</xdr:row>
      <xdr:rowOff>30600</xdr:rowOff>
    </xdr:from>
    <xdr:to>
      <xdr:col>2</xdr:col>
      <xdr:colOff>150480</xdr:colOff>
      <xdr:row>10</xdr:row>
      <xdr:rowOff>187560</xdr:rowOff>
    </xdr:to>
    <xdr:sp>
      <xdr:nvSpPr>
        <xdr:cNvPr id="23" name="CustomShape 1"/>
        <xdr:cNvSpPr/>
      </xdr:nvSpPr>
      <xdr:spPr>
        <a:xfrm>
          <a:off x="2208960" y="1734120"/>
          <a:ext cx="1040040" cy="53784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Población</a:t>
          </a:r>
          <a:endParaRPr b="0" lang="en-US" sz="900" spc="-1" strike="noStrike">
            <a:latin typeface="Times New Roman"/>
          </a:endParaRPr>
        </a:p>
      </xdr:txBody>
    </xdr:sp>
    <xdr:clientData/>
  </xdr:twoCellAnchor>
  <xdr:twoCellAnchor editAs="absolute">
    <xdr:from>
      <xdr:col>1</xdr:col>
      <xdr:colOff>1602000</xdr:colOff>
      <xdr:row>10</xdr:row>
      <xdr:rowOff>68040</xdr:rowOff>
    </xdr:from>
    <xdr:to>
      <xdr:col>2</xdr:col>
      <xdr:colOff>254520</xdr:colOff>
      <xdr:row>11</xdr:row>
      <xdr:rowOff>56520</xdr:rowOff>
    </xdr:to>
    <xdr:sp>
      <xdr:nvSpPr>
        <xdr:cNvPr id="24" name="CustomShape 1"/>
        <xdr:cNvSpPr/>
      </xdr:nvSpPr>
      <xdr:spPr>
        <a:xfrm>
          <a:off x="2417040" y="215244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16,7%</a:t>
          </a:r>
          <a:endParaRPr b="0" lang="en-US" sz="1200" spc="-1" strike="noStrike">
            <a:latin typeface="Times New Roman"/>
          </a:endParaRPr>
        </a:p>
      </xdr:txBody>
    </xdr:sp>
    <xdr:clientData/>
  </xdr:twoCellAnchor>
  <xdr:twoCellAnchor editAs="absolute">
    <xdr:from>
      <xdr:col>0</xdr:col>
      <xdr:colOff>813600</xdr:colOff>
      <xdr:row>12</xdr:row>
      <xdr:rowOff>118080</xdr:rowOff>
    </xdr:from>
    <xdr:to>
      <xdr:col>1</xdr:col>
      <xdr:colOff>1038600</xdr:colOff>
      <xdr:row>15</xdr:row>
      <xdr:rowOff>85320</xdr:rowOff>
    </xdr:to>
    <xdr:sp>
      <xdr:nvSpPr>
        <xdr:cNvPr id="25" name="CustomShape 1"/>
        <xdr:cNvSpPr/>
      </xdr:nvSpPr>
      <xdr:spPr>
        <a:xfrm>
          <a:off x="81360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Inmigrantes</a:t>
          </a:r>
          <a:endParaRPr b="0" lang="en-US" sz="900" spc="-1" strike="noStrike">
            <a:latin typeface="Times New Roman"/>
          </a:endParaRPr>
        </a:p>
      </xdr:txBody>
    </xdr:sp>
    <xdr:clientData/>
  </xdr:twoCellAnchor>
  <xdr:twoCellAnchor editAs="absolute">
    <xdr:from>
      <xdr:col>1</xdr:col>
      <xdr:colOff>206640</xdr:colOff>
      <xdr:row>14</xdr:row>
      <xdr:rowOff>156600</xdr:rowOff>
    </xdr:from>
    <xdr:to>
      <xdr:col>1</xdr:col>
      <xdr:colOff>1142640</xdr:colOff>
      <xdr:row>15</xdr:row>
      <xdr:rowOff>145440</xdr:rowOff>
    </xdr:to>
    <xdr:sp>
      <xdr:nvSpPr>
        <xdr:cNvPr id="26" name="CustomShape 1"/>
        <xdr:cNvSpPr/>
      </xdr:nvSpPr>
      <xdr:spPr>
        <a:xfrm>
          <a:off x="102168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30,0%</a:t>
          </a:r>
          <a:endParaRPr b="0" lang="en-US" sz="1200" spc="-1" strike="noStrike">
            <a:latin typeface="Times New Roman"/>
          </a:endParaRPr>
        </a:p>
      </xdr:txBody>
    </xdr:sp>
    <xdr:clientData/>
  </xdr:twoCellAnchor>
  <xdr:twoCellAnchor editAs="absolute">
    <xdr:from>
      <xdr:col>1</xdr:col>
      <xdr:colOff>1393920</xdr:colOff>
      <xdr:row>12</xdr:row>
      <xdr:rowOff>118080</xdr:rowOff>
    </xdr:from>
    <xdr:to>
      <xdr:col>2</xdr:col>
      <xdr:colOff>150480</xdr:colOff>
      <xdr:row>15</xdr:row>
      <xdr:rowOff>85320</xdr:rowOff>
    </xdr:to>
    <xdr:sp>
      <xdr:nvSpPr>
        <xdr:cNvPr id="27" name="CustomShape 1"/>
        <xdr:cNvSpPr/>
      </xdr:nvSpPr>
      <xdr:spPr>
        <a:xfrm>
          <a:off x="220896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Esperanza de Vida</a:t>
          </a:r>
          <a:endParaRPr b="0" lang="en-US" sz="900" spc="-1" strike="noStrike">
            <a:latin typeface="Times New Roman"/>
          </a:endParaRPr>
        </a:p>
      </xdr:txBody>
    </xdr:sp>
    <xdr:clientData/>
  </xdr:twoCellAnchor>
  <xdr:twoCellAnchor editAs="absolute">
    <xdr:from>
      <xdr:col>1</xdr:col>
      <xdr:colOff>1602000</xdr:colOff>
      <xdr:row>14</xdr:row>
      <xdr:rowOff>156600</xdr:rowOff>
    </xdr:from>
    <xdr:to>
      <xdr:col>2</xdr:col>
      <xdr:colOff>254520</xdr:colOff>
      <xdr:row>15</xdr:row>
      <xdr:rowOff>145440</xdr:rowOff>
    </xdr:to>
    <xdr:sp>
      <xdr:nvSpPr>
        <xdr:cNvPr id="28" name="CustomShape 1"/>
        <xdr:cNvSpPr/>
      </xdr:nvSpPr>
      <xdr:spPr>
        <a:xfrm>
          <a:off x="241704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10,0%</a:t>
          </a:r>
          <a:endParaRPr b="0" lang="en-US" sz="1200" spc="-1" strike="noStrike">
            <a:latin typeface="Times New Roman"/>
          </a:endParaRPr>
        </a:p>
      </xdr:txBody>
    </xdr:sp>
    <xdr:clientData/>
  </xdr:twoCellAnchor>
  <xdr:twoCellAnchor editAs="absolute">
    <xdr:from>
      <xdr:col>2</xdr:col>
      <xdr:colOff>506160</xdr:colOff>
      <xdr:row>12</xdr:row>
      <xdr:rowOff>118080</xdr:rowOff>
    </xdr:from>
    <xdr:to>
      <xdr:col>4</xdr:col>
      <xdr:colOff>230400</xdr:colOff>
      <xdr:row>15</xdr:row>
      <xdr:rowOff>85320</xdr:rowOff>
    </xdr:to>
    <xdr:sp>
      <xdr:nvSpPr>
        <xdr:cNvPr id="29" name="CustomShape 1"/>
        <xdr:cNvSpPr/>
      </xdr:nvSpPr>
      <xdr:spPr>
        <a:xfrm>
          <a:off x="360468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Sin Estudios o Primarios</a:t>
          </a:r>
          <a:endParaRPr b="0" lang="en-US" sz="900" spc="-1" strike="noStrike">
            <a:latin typeface="Times New Roman"/>
          </a:endParaRPr>
        </a:p>
      </xdr:txBody>
    </xdr:sp>
    <xdr:clientData/>
  </xdr:twoCellAnchor>
  <xdr:twoCellAnchor editAs="absolute">
    <xdr:from>
      <xdr:col>3</xdr:col>
      <xdr:colOff>56160</xdr:colOff>
      <xdr:row>14</xdr:row>
      <xdr:rowOff>156600</xdr:rowOff>
    </xdr:from>
    <xdr:to>
      <xdr:col>4</xdr:col>
      <xdr:colOff>334440</xdr:colOff>
      <xdr:row>15</xdr:row>
      <xdr:rowOff>145440</xdr:rowOff>
    </xdr:to>
    <xdr:sp>
      <xdr:nvSpPr>
        <xdr:cNvPr id="30" name="CustomShape 1"/>
        <xdr:cNvSpPr/>
      </xdr:nvSpPr>
      <xdr:spPr>
        <a:xfrm>
          <a:off x="381276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60,0%</a:t>
          </a:r>
          <a:endParaRPr b="0" lang="en-US" sz="1200" spc="-1" strike="noStrike">
            <a:latin typeface="Times New Roman"/>
          </a:endParaRPr>
        </a:p>
      </xdr:txBody>
    </xdr:sp>
    <xdr:clientData/>
  </xdr:twoCellAnchor>
  <xdr:twoCellAnchor editAs="absolute">
    <xdr:from>
      <xdr:col>4</xdr:col>
      <xdr:colOff>586080</xdr:colOff>
      <xdr:row>8</xdr:row>
      <xdr:rowOff>30600</xdr:rowOff>
    </xdr:from>
    <xdr:to>
      <xdr:col>6</xdr:col>
      <xdr:colOff>310320</xdr:colOff>
      <xdr:row>10</xdr:row>
      <xdr:rowOff>187560</xdr:rowOff>
    </xdr:to>
    <xdr:sp>
      <xdr:nvSpPr>
        <xdr:cNvPr id="31" name="CustomShape 1"/>
        <xdr:cNvSpPr/>
      </xdr:nvSpPr>
      <xdr:spPr>
        <a:xfrm>
          <a:off x="5000400" y="1734120"/>
          <a:ext cx="1040040" cy="53784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Estatus Socio-Económico</a:t>
          </a:r>
          <a:endParaRPr b="0" lang="en-US" sz="900" spc="-1" strike="noStrike">
            <a:latin typeface="Times New Roman"/>
          </a:endParaRPr>
        </a:p>
      </xdr:txBody>
    </xdr:sp>
    <xdr:clientData/>
  </xdr:twoCellAnchor>
  <xdr:twoCellAnchor editAs="absolute">
    <xdr:from>
      <xdr:col>5</xdr:col>
      <xdr:colOff>136440</xdr:colOff>
      <xdr:row>10</xdr:row>
      <xdr:rowOff>68040</xdr:rowOff>
    </xdr:from>
    <xdr:to>
      <xdr:col>6</xdr:col>
      <xdr:colOff>414360</xdr:colOff>
      <xdr:row>11</xdr:row>
      <xdr:rowOff>56520</xdr:rowOff>
    </xdr:to>
    <xdr:sp>
      <xdr:nvSpPr>
        <xdr:cNvPr id="32" name="CustomShape 1"/>
        <xdr:cNvSpPr/>
      </xdr:nvSpPr>
      <xdr:spPr>
        <a:xfrm>
          <a:off x="5208480" y="215244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32,3%</a:t>
          </a:r>
          <a:endParaRPr b="0" lang="en-US" sz="1200" spc="-1" strike="noStrike">
            <a:latin typeface="Times New Roman"/>
          </a:endParaRPr>
        </a:p>
      </xdr:txBody>
    </xdr:sp>
    <xdr:clientData/>
  </xdr:twoCellAnchor>
  <xdr:twoCellAnchor editAs="absolute">
    <xdr:from>
      <xdr:col>4</xdr:col>
      <xdr:colOff>586080</xdr:colOff>
      <xdr:row>12</xdr:row>
      <xdr:rowOff>118080</xdr:rowOff>
    </xdr:from>
    <xdr:to>
      <xdr:col>6</xdr:col>
      <xdr:colOff>310320</xdr:colOff>
      <xdr:row>15</xdr:row>
      <xdr:rowOff>85320</xdr:rowOff>
    </xdr:to>
    <xdr:sp>
      <xdr:nvSpPr>
        <xdr:cNvPr id="33" name="CustomShape 1"/>
        <xdr:cNvSpPr/>
      </xdr:nvSpPr>
      <xdr:spPr>
        <a:xfrm>
          <a:off x="500040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Renta Media Hogar</a:t>
          </a:r>
          <a:endParaRPr b="0" lang="en-US" sz="900" spc="-1" strike="noStrike">
            <a:latin typeface="Times New Roman"/>
          </a:endParaRPr>
        </a:p>
      </xdr:txBody>
    </xdr:sp>
    <xdr:clientData/>
  </xdr:twoCellAnchor>
  <xdr:twoCellAnchor editAs="absolute">
    <xdr:from>
      <xdr:col>5</xdr:col>
      <xdr:colOff>136440</xdr:colOff>
      <xdr:row>14</xdr:row>
      <xdr:rowOff>156600</xdr:rowOff>
    </xdr:from>
    <xdr:to>
      <xdr:col>6</xdr:col>
      <xdr:colOff>414360</xdr:colOff>
      <xdr:row>15</xdr:row>
      <xdr:rowOff>145440</xdr:rowOff>
    </xdr:to>
    <xdr:sp>
      <xdr:nvSpPr>
        <xdr:cNvPr id="34" name="CustomShape 1"/>
        <xdr:cNvSpPr/>
      </xdr:nvSpPr>
      <xdr:spPr>
        <a:xfrm>
          <a:off x="520848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100%</a:t>
          </a:r>
          <a:endParaRPr b="0" lang="en-US" sz="1200" spc="-1" strike="noStrike">
            <a:latin typeface="Times New Roman"/>
          </a:endParaRPr>
        </a:p>
      </xdr:txBody>
    </xdr:sp>
    <xdr:clientData/>
  </xdr:twoCellAnchor>
  <xdr:twoCellAnchor editAs="absolute">
    <xdr:from>
      <xdr:col>9</xdr:col>
      <xdr:colOff>87840</xdr:colOff>
      <xdr:row>8</xdr:row>
      <xdr:rowOff>30600</xdr:rowOff>
    </xdr:from>
    <xdr:to>
      <xdr:col>10</xdr:col>
      <xdr:colOff>470160</xdr:colOff>
      <xdr:row>10</xdr:row>
      <xdr:rowOff>187560</xdr:rowOff>
    </xdr:to>
    <xdr:sp>
      <xdr:nvSpPr>
        <xdr:cNvPr id="35" name="CustomShape 1"/>
        <xdr:cNvSpPr/>
      </xdr:nvSpPr>
      <xdr:spPr>
        <a:xfrm>
          <a:off x="7791480" y="1734120"/>
          <a:ext cx="1040040" cy="53784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Actividad Económica</a:t>
          </a:r>
          <a:endParaRPr b="0" lang="en-US" sz="900" spc="-1" strike="noStrike">
            <a:latin typeface="Times New Roman"/>
          </a:endParaRPr>
        </a:p>
      </xdr:txBody>
    </xdr:sp>
    <xdr:clientData/>
  </xdr:twoCellAnchor>
  <xdr:twoCellAnchor editAs="absolute">
    <xdr:from>
      <xdr:col>9</xdr:col>
      <xdr:colOff>295920</xdr:colOff>
      <xdr:row>10</xdr:row>
      <xdr:rowOff>68040</xdr:rowOff>
    </xdr:from>
    <xdr:to>
      <xdr:col>10</xdr:col>
      <xdr:colOff>574200</xdr:colOff>
      <xdr:row>11</xdr:row>
      <xdr:rowOff>56520</xdr:rowOff>
    </xdr:to>
    <xdr:sp>
      <xdr:nvSpPr>
        <xdr:cNvPr id="36" name="CustomShape 1"/>
        <xdr:cNvSpPr/>
      </xdr:nvSpPr>
      <xdr:spPr>
        <a:xfrm>
          <a:off x="7999560" y="215244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34,2%</a:t>
          </a:r>
          <a:endParaRPr b="0" lang="en-US" sz="1200" spc="-1" strike="noStrike">
            <a:latin typeface="Times New Roman"/>
          </a:endParaRPr>
        </a:p>
      </xdr:txBody>
    </xdr:sp>
    <xdr:clientData/>
  </xdr:twoCellAnchor>
  <xdr:twoCellAnchor editAs="absolute">
    <xdr:from>
      <xdr:col>7</xdr:col>
      <xdr:colOff>8280</xdr:colOff>
      <xdr:row>12</xdr:row>
      <xdr:rowOff>118080</xdr:rowOff>
    </xdr:from>
    <xdr:to>
      <xdr:col>8</xdr:col>
      <xdr:colOff>390240</xdr:colOff>
      <xdr:row>15</xdr:row>
      <xdr:rowOff>85320</xdr:rowOff>
    </xdr:to>
    <xdr:sp>
      <xdr:nvSpPr>
        <xdr:cNvPr id="37" name="CustomShape 1"/>
        <xdr:cNvSpPr/>
      </xdr:nvSpPr>
      <xdr:spPr>
        <a:xfrm>
          <a:off x="639612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de Paro</a:t>
          </a:r>
          <a:endParaRPr b="0" lang="en-US" sz="900" spc="-1" strike="noStrike">
            <a:latin typeface="Times New Roman"/>
          </a:endParaRPr>
        </a:p>
      </xdr:txBody>
    </xdr:sp>
    <xdr:clientData/>
  </xdr:twoCellAnchor>
  <xdr:twoCellAnchor editAs="absolute">
    <xdr:from>
      <xdr:col>7</xdr:col>
      <xdr:colOff>216000</xdr:colOff>
      <xdr:row>14</xdr:row>
      <xdr:rowOff>156600</xdr:rowOff>
    </xdr:from>
    <xdr:to>
      <xdr:col>8</xdr:col>
      <xdr:colOff>493920</xdr:colOff>
      <xdr:row>15</xdr:row>
      <xdr:rowOff>145440</xdr:rowOff>
    </xdr:to>
    <xdr:sp>
      <xdr:nvSpPr>
        <xdr:cNvPr id="38" name="CustomShape 1"/>
        <xdr:cNvSpPr/>
      </xdr:nvSpPr>
      <xdr:spPr>
        <a:xfrm>
          <a:off x="660384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16,9%</a:t>
          </a:r>
          <a:endParaRPr b="0" lang="en-US" sz="1200" spc="-1" strike="noStrike">
            <a:latin typeface="Times New Roman"/>
          </a:endParaRPr>
        </a:p>
      </xdr:txBody>
    </xdr:sp>
    <xdr:clientData/>
  </xdr:twoCellAnchor>
  <xdr:twoCellAnchor editAs="absolute">
    <xdr:from>
      <xdr:col>9</xdr:col>
      <xdr:colOff>87840</xdr:colOff>
      <xdr:row>12</xdr:row>
      <xdr:rowOff>118080</xdr:rowOff>
    </xdr:from>
    <xdr:to>
      <xdr:col>10</xdr:col>
      <xdr:colOff>470160</xdr:colOff>
      <xdr:row>15</xdr:row>
      <xdr:rowOff>85320</xdr:rowOff>
    </xdr:to>
    <xdr:sp>
      <xdr:nvSpPr>
        <xdr:cNvPr id="39" name="CustomShape 1"/>
        <xdr:cNvSpPr/>
      </xdr:nvSpPr>
      <xdr:spPr>
        <a:xfrm>
          <a:off x="779148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de Paro Mayores 45 años</a:t>
          </a:r>
          <a:endParaRPr b="0" lang="en-US" sz="900" spc="-1" strike="noStrike">
            <a:latin typeface="Times New Roman"/>
          </a:endParaRPr>
        </a:p>
      </xdr:txBody>
    </xdr:sp>
    <xdr:clientData/>
  </xdr:twoCellAnchor>
  <xdr:twoCellAnchor editAs="absolute">
    <xdr:from>
      <xdr:col>9</xdr:col>
      <xdr:colOff>295920</xdr:colOff>
      <xdr:row>14</xdr:row>
      <xdr:rowOff>156600</xdr:rowOff>
    </xdr:from>
    <xdr:to>
      <xdr:col>10</xdr:col>
      <xdr:colOff>574200</xdr:colOff>
      <xdr:row>15</xdr:row>
      <xdr:rowOff>145440</xdr:rowOff>
    </xdr:to>
    <xdr:sp>
      <xdr:nvSpPr>
        <xdr:cNvPr id="40" name="CustomShape 1"/>
        <xdr:cNvSpPr/>
      </xdr:nvSpPr>
      <xdr:spPr>
        <a:xfrm>
          <a:off x="799956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44,3%</a:t>
          </a:r>
          <a:endParaRPr b="0" lang="en-US" sz="1200" spc="-1" strike="noStrike">
            <a:latin typeface="Times New Roman"/>
          </a:endParaRPr>
        </a:p>
      </xdr:txBody>
    </xdr:sp>
    <xdr:clientData/>
  </xdr:twoCellAnchor>
  <xdr:twoCellAnchor editAs="absolute">
    <xdr:from>
      <xdr:col>11</xdr:col>
      <xdr:colOff>167760</xdr:colOff>
      <xdr:row>12</xdr:row>
      <xdr:rowOff>118080</xdr:rowOff>
    </xdr:from>
    <xdr:to>
      <xdr:col>12</xdr:col>
      <xdr:colOff>550080</xdr:colOff>
      <xdr:row>15</xdr:row>
      <xdr:rowOff>85320</xdr:rowOff>
    </xdr:to>
    <xdr:sp>
      <xdr:nvSpPr>
        <xdr:cNvPr id="41" name="CustomShape 1"/>
        <xdr:cNvSpPr/>
      </xdr:nvSpPr>
      <xdr:spPr>
        <a:xfrm>
          <a:off x="918720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Parados sin Prestación</a:t>
          </a:r>
          <a:endParaRPr b="0" lang="en-US" sz="900" spc="-1" strike="noStrike">
            <a:latin typeface="Times New Roman"/>
          </a:endParaRPr>
        </a:p>
      </xdr:txBody>
    </xdr:sp>
    <xdr:clientData/>
  </xdr:twoCellAnchor>
  <xdr:twoCellAnchor editAs="absolute">
    <xdr:from>
      <xdr:col>11</xdr:col>
      <xdr:colOff>375840</xdr:colOff>
      <xdr:row>14</xdr:row>
      <xdr:rowOff>156600</xdr:rowOff>
    </xdr:from>
    <xdr:to>
      <xdr:col>12</xdr:col>
      <xdr:colOff>654120</xdr:colOff>
      <xdr:row>15</xdr:row>
      <xdr:rowOff>145440</xdr:rowOff>
    </xdr:to>
    <xdr:sp>
      <xdr:nvSpPr>
        <xdr:cNvPr id="42" name="CustomShape 1"/>
        <xdr:cNvSpPr/>
      </xdr:nvSpPr>
      <xdr:spPr>
        <a:xfrm>
          <a:off x="939528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38,7%</a:t>
          </a:r>
          <a:endParaRPr b="0" lang="en-US" sz="1200" spc="-1" strike="noStrike">
            <a:latin typeface="Times New Roman"/>
          </a:endParaRPr>
        </a:p>
      </xdr:txBody>
    </xdr:sp>
    <xdr:clientData/>
  </xdr:twoCellAnchor>
  <xdr:twoCellAnchor editAs="absolute">
    <xdr:from>
      <xdr:col>13</xdr:col>
      <xdr:colOff>247680</xdr:colOff>
      <xdr:row>8</xdr:row>
      <xdr:rowOff>30600</xdr:rowOff>
    </xdr:from>
    <xdr:to>
      <xdr:col>14</xdr:col>
      <xdr:colOff>630000</xdr:colOff>
      <xdr:row>10</xdr:row>
      <xdr:rowOff>187560</xdr:rowOff>
    </xdr:to>
    <xdr:sp>
      <xdr:nvSpPr>
        <xdr:cNvPr id="43" name="CustomShape 1"/>
        <xdr:cNvSpPr/>
      </xdr:nvSpPr>
      <xdr:spPr>
        <a:xfrm>
          <a:off x="10582920" y="1734120"/>
          <a:ext cx="1040040" cy="53784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solidFill>
            <a:srgbClr val="487caa"/>
          </a:solid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Desarrollo Urbanístico</a:t>
          </a:r>
          <a:endParaRPr b="0" lang="en-US" sz="900" spc="-1" strike="noStrike">
            <a:latin typeface="Times New Roman"/>
          </a:endParaRPr>
        </a:p>
      </xdr:txBody>
    </xdr:sp>
    <xdr:clientData/>
  </xdr:twoCellAnchor>
  <xdr:twoCellAnchor editAs="absolute">
    <xdr:from>
      <xdr:col>13</xdr:col>
      <xdr:colOff>455760</xdr:colOff>
      <xdr:row>10</xdr:row>
      <xdr:rowOff>68040</xdr:rowOff>
    </xdr:from>
    <xdr:to>
      <xdr:col>15</xdr:col>
      <xdr:colOff>76320</xdr:colOff>
      <xdr:row>11</xdr:row>
      <xdr:rowOff>56520</xdr:rowOff>
    </xdr:to>
    <xdr:sp>
      <xdr:nvSpPr>
        <xdr:cNvPr id="44" name="CustomShape 1"/>
        <xdr:cNvSpPr/>
      </xdr:nvSpPr>
      <xdr:spPr>
        <a:xfrm>
          <a:off x="10791000" y="215244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7,5%</a:t>
          </a:r>
          <a:endParaRPr b="0" lang="en-US" sz="1200" spc="-1" strike="noStrike">
            <a:latin typeface="Times New Roman"/>
          </a:endParaRPr>
        </a:p>
      </xdr:txBody>
    </xdr:sp>
    <xdr:clientData/>
  </xdr:twoCellAnchor>
  <xdr:twoCellAnchor editAs="absolute">
    <xdr:from>
      <xdr:col>13</xdr:col>
      <xdr:colOff>247680</xdr:colOff>
      <xdr:row>12</xdr:row>
      <xdr:rowOff>118080</xdr:rowOff>
    </xdr:from>
    <xdr:to>
      <xdr:col>14</xdr:col>
      <xdr:colOff>630000</xdr:colOff>
      <xdr:row>15</xdr:row>
      <xdr:rowOff>85320</xdr:rowOff>
    </xdr:to>
    <xdr:sp>
      <xdr:nvSpPr>
        <xdr:cNvPr id="45" name="CustomShape 1"/>
        <xdr:cNvSpPr/>
      </xdr:nvSpPr>
      <xdr:spPr>
        <a:xfrm>
          <a:off x="1058292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Valor Catastral</a:t>
          </a:r>
          <a:endParaRPr b="0" lang="en-US" sz="900" spc="-1" strike="noStrike">
            <a:latin typeface="Times New Roman"/>
          </a:endParaRPr>
        </a:p>
      </xdr:txBody>
    </xdr:sp>
    <xdr:clientData/>
  </xdr:twoCellAnchor>
  <xdr:twoCellAnchor editAs="absolute">
    <xdr:from>
      <xdr:col>13</xdr:col>
      <xdr:colOff>455760</xdr:colOff>
      <xdr:row>14</xdr:row>
      <xdr:rowOff>156600</xdr:rowOff>
    </xdr:from>
    <xdr:to>
      <xdr:col>15</xdr:col>
      <xdr:colOff>76320</xdr:colOff>
      <xdr:row>15</xdr:row>
      <xdr:rowOff>145440</xdr:rowOff>
    </xdr:to>
    <xdr:sp>
      <xdr:nvSpPr>
        <xdr:cNvPr id="46" name="CustomShape 1"/>
        <xdr:cNvSpPr/>
      </xdr:nvSpPr>
      <xdr:spPr>
        <a:xfrm>
          <a:off x="1079100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100%</a:t>
          </a:r>
          <a:endParaRPr b="0" lang="en-US" sz="1200" spc="-1" strike="noStrike">
            <a:latin typeface="Times New Roman"/>
          </a:endParaRPr>
        </a:p>
      </xdr:txBody>
    </xdr:sp>
    <xdr:clientData/>
  </xdr:twoCellAnchor>
  <xdr:twoCellAnchor editAs="absolute">
    <xdr:from>
      <xdr:col>18</xdr:col>
      <xdr:colOff>447120</xdr:colOff>
      <xdr:row>8</xdr:row>
      <xdr:rowOff>30600</xdr:rowOff>
    </xdr:from>
    <xdr:to>
      <xdr:col>20</xdr:col>
      <xdr:colOff>14040</xdr:colOff>
      <xdr:row>10</xdr:row>
      <xdr:rowOff>187560</xdr:rowOff>
    </xdr:to>
    <xdr:sp>
      <xdr:nvSpPr>
        <xdr:cNvPr id="47" name="CustomShape 1"/>
        <xdr:cNvSpPr/>
      </xdr:nvSpPr>
      <xdr:spPr>
        <a:xfrm>
          <a:off x="14071680" y="1734120"/>
          <a:ext cx="1040040" cy="53784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ffc742"/>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Necesidades Asistenciales</a:t>
          </a:r>
          <a:endParaRPr b="0" lang="en-US" sz="900" spc="-1" strike="noStrike">
            <a:latin typeface="Times New Roman"/>
          </a:endParaRPr>
        </a:p>
      </xdr:txBody>
    </xdr:sp>
    <xdr:clientData/>
  </xdr:twoCellAnchor>
  <xdr:twoCellAnchor editAs="absolute">
    <xdr:from>
      <xdr:col>18</xdr:col>
      <xdr:colOff>655200</xdr:colOff>
      <xdr:row>10</xdr:row>
      <xdr:rowOff>68040</xdr:rowOff>
    </xdr:from>
    <xdr:to>
      <xdr:col>20</xdr:col>
      <xdr:colOff>118080</xdr:colOff>
      <xdr:row>11</xdr:row>
      <xdr:rowOff>56520</xdr:rowOff>
    </xdr:to>
    <xdr:sp>
      <xdr:nvSpPr>
        <xdr:cNvPr id="48" name="CustomShape 1"/>
        <xdr:cNvSpPr/>
      </xdr:nvSpPr>
      <xdr:spPr>
        <a:xfrm>
          <a:off x="14279760" y="215244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9,4%</a:t>
          </a:r>
          <a:endParaRPr b="0" lang="en-US" sz="1200" spc="-1" strike="noStrike">
            <a:latin typeface="Times New Roman"/>
          </a:endParaRPr>
        </a:p>
      </xdr:txBody>
    </xdr:sp>
    <xdr:clientData/>
  </xdr:twoCellAnchor>
  <xdr:twoCellAnchor editAs="absolute">
    <xdr:from>
      <xdr:col>15</xdr:col>
      <xdr:colOff>327600</xdr:colOff>
      <xdr:row>12</xdr:row>
      <xdr:rowOff>118080</xdr:rowOff>
    </xdr:from>
    <xdr:to>
      <xdr:col>17</xdr:col>
      <xdr:colOff>51840</xdr:colOff>
      <xdr:row>15</xdr:row>
      <xdr:rowOff>85320</xdr:rowOff>
    </xdr:to>
    <xdr:sp>
      <xdr:nvSpPr>
        <xdr:cNvPr id="49" name="CustomShape 1"/>
        <xdr:cNvSpPr/>
      </xdr:nvSpPr>
      <xdr:spPr>
        <a:xfrm>
          <a:off x="1197828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Demanda Dependientes</a:t>
          </a:r>
          <a:endParaRPr b="0" lang="en-US" sz="900" spc="-1" strike="noStrike">
            <a:latin typeface="Times New Roman"/>
          </a:endParaRPr>
        </a:p>
      </xdr:txBody>
    </xdr:sp>
    <xdr:clientData/>
  </xdr:twoCellAnchor>
  <xdr:twoCellAnchor editAs="absolute">
    <xdr:from>
      <xdr:col>15</xdr:col>
      <xdr:colOff>535680</xdr:colOff>
      <xdr:row>14</xdr:row>
      <xdr:rowOff>156600</xdr:rowOff>
    </xdr:from>
    <xdr:to>
      <xdr:col>17</xdr:col>
      <xdr:colOff>155880</xdr:colOff>
      <xdr:row>15</xdr:row>
      <xdr:rowOff>145440</xdr:rowOff>
    </xdr:to>
    <xdr:sp>
      <xdr:nvSpPr>
        <xdr:cNvPr id="50" name="CustomShape 1"/>
        <xdr:cNvSpPr/>
      </xdr:nvSpPr>
      <xdr:spPr>
        <a:xfrm>
          <a:off x="1218636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16,5%</a:t>
          </a:r>
          <a:endParaRPr b="0" lang="en-US" sz="1200" spc="-1" strike="noStrike">
            <a:latin typeface="Times New Roman"/>
          </a:endParaRPr>
        </a:p>
      </xdr:txBody>
    </xdr:sp>
    <xdr:clientData/>
  </xdr:twoCellAnchor>
  <xdr:twoCellAnchor editAs="absolute">
    <xdr:from>
      <xdr:col>17</xdr:col>
      <xdr:colOff>407520</xdr:colOff>
      <xdr:row>12</xdr:row>
      <xdr:rowOff>118080</xdr:rowOff>
    </xdr:from>
    <xdr:to>
      <xdr:col>19</xdr:col>
      <xdr:colOff>131760</xdr:colOff>
      <xdr:row>15</xdr:row>
      <xdr:rowOff>85320</xdr:rowOff>
    </xdr:to>
    <xdr:sp>
      <xdr:nvSpPr>
        <xdr:cNvPr id="51" name="CustomShape 1"/>
        <xdr:cNvSpPr/>
      </xdr:nvSpPr>
      <xdr:spPr>
        <a:xfrm>
          <a:off x="1337400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Familias Perceptoras Renta Mínima</a:t>
          </a:r>
          <a:endParaRPr b="0" lang="en-US" sz="900" spc="-1" strike="noStrike">
            <a:latin typeface="Times New Roman"/>
          </a:endParaRPr>
        </a:p>
      </xdr:txBody>
    </xdr:sp>
    <xdr:clientData/>
  </xdr:twoCellAnchor>
  <xdr:twoCellAnchor editAs="absolute">
    <xdr:from>
      <xdr:col>17</xdr:col>
      <xdr:colOff>615600</xdr:colOff>
      <xdr:row>14</xdr:row>
      <xdr:rowOff>156600</xdr:rowOff>
    </xdr:from>
    <xdr:to>
      <xdr:col>19</xdr:col>
      <xdr:colOff>235800</xdr:colOff>
      <xdr:row>15</xdr:row>
      <xdr:rowOff>145440</xdr:rowOff>
    </xdr:to>
    <xdr:sp>
      <xdr:nvSpPr>
        <xdr:cNvPr id="52" name="CustomShape 1"/>
        <xdr:cNvSpPr/>
      </xdr:nvSpPr>
      <xdr:spPr>
        <a:xfrm>
          <a:off x="1358208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49,4%</a:t>
          </a:r>
          <a:endParaRPr b="0" lang="en-US" sz="1200" spc="-1" strike="noStrike">
            <a:latin typeface="Times New Roman"/>
          </a:endParaRPr>
        </a:p>
      </xdr:txBody>
    </xdr:sp>
    <xdr:clientData/>
  </xdr:twoCellAnchor>
  <xdr:twoCellAnchor editAs="absolute">
    <xdr:from>
      <xdr:col>19</xdr:col>
      <xdr:colOff>487440</xdr:colOff>
      <xdr:row>12</xdr:row>
      <xdr:rowOff>118080</xdr:rowOff>
    </xdr:from>
    <xdr:to>
      <xdr:col>20</xdr:col>
      <xdr:colOff>712080</xdr:colOff>
      <xdr:row>15</xdr:row>
      <xdr:rowOff>85320</xdr:rowOff>
    </xdr:to>
    <xdr:sp>
      <xdr:nvSpPr>
        <xdr:cNvPr id="53" name="CustomShape 1"/>
        <xdr:cNvSpPr/>
      </xdr:nvSpPr>
      <xdr:spPr>
        <a:xfrm>
          <a:off x="1476972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SAD Dependencia</a:t>
          </a:r>
          <a:endParaRPr b="0" lang="en-US" sz="900" spc="-1" strike="noStrike">
            <a:latin typeface="Times New Roman"/>
          </a:endParaRPr>
        </a:p>
      </xdr:txBody>
    </xdr:sp>
    <xdr:clientData/>
  </xdr:twoCellAnchor>
  <xdr:twoCellAnchor editAs="absolute">
    <xdr:from>
      <xdr:col>19</xdr:col>
      <xdr:colOff>695520</xdr:colOff>
      <xdr:row>14</xdr:row>
      <xdr:rowOff>156600</xdr:rowOff>
    </xdr:from>
    <xdr:to>
      <xdr:col>20</xdr:col>
      <xdr:colOff>816120</xdr:colOff>
      <xdr:row>15</xdr:row>
      <xdr:rowOff>145440</xdr:rowOff>
    </xdr:to>
    <xdr:sp>
      <xdr:nvSpPr>
        <xdr:cNvPr id="54" name="CustomShape 1"/>
        <xdr:cNvSpPr/>
      </xdr:nvSpPr>
      <xdr:spPr>
        <a:xfrm>
          <a:off x="1497780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21,7%</a:t>
          </a:r>
          <a:endParaRPr b="0" lang="en-US" sz="1200" spc="-1" strike="noStrike">
            <a:latin typeface="Times New Roman"/>
          </a:endParaRPr>
        </a:p>
      </xdr:txBody>
    </xdr:sp>
    <xdr:clientData/>
  </xdr:twoCellAnchor>
  <xdr:twoCellAnchor editAs="absolute">
    <xdr:from>
      <xdr:col>20</xdr:col>
      <xdr:colOff>1067400</xdr:colOff>
      <xdr:row>12</xdr:row>
      <xdr:rowOff>118080</xdr:rowOff>
    </xdr:from>
    <xdr:to>
      <xdr:col>21</xdr:col>
      <xdr:colOff>810720</xdr:colOff>
      <xdr:row>15</xdr:row>
      <xdr:rowOff>85320</xdr:rowOff>
    </xdr:to>
    <xdr:sp>
      <xdr:nvSpPr>
        <xdr:cNvPr id="55" name="CustomShape 1"/>
        <xdr:cNvSpPr/>
      </xdr:nvSpPr>
      <xdr:spPr>
        <a:xfrm>
          <a:off x="16165080" y="2583720"/>
          <a:ext cx="1040040" cy="538560"/>
        </a:xfrm>
        <a:custGeom>
          <a:avLst/>
          <a:gdLst/>
          <a:ahLst/>
          <a:rect l="l" t="t" r="r" b="b"/>
          <a:pathLst>
            <a:path w="1028845" h="532690">
              <a:moveTo>
                <a:pt x="0" y="88783"/>
              </a:moveTo>
              <a:cubicBezTo>
                <a:pt x="0" y="39750"/>
                <a:pt x="39750" y="0"/>
                <a:pt x="88783" y="0"/>
              </a:cubicBezTo>
              <a:lnTo>
                <a:pt x="940062" y="0"/>
              </a:lnTo>
              <a:cubicBezTo>
                <a:pt x="989095" y="0"/>
                <a:pt x="1028845" y="39750"/>
                <a:pt x="1028845" y="88783"/>
              </a:cubicBezTo>
              <a:lnTo>
                <a:pt x="1028845" y="443907"/>
              </a:lnTo>
              <a:cubicBezTo>
                <a:pt x="1028845" y="492940"/>
                <a:pt x="989095" y="532690"/>
                <a:pt x="940062" y="532690"/>
              </a:cubicBezTo>
              <a:lnTo>
                <a:pt x="88783" y="532690"/>
              </a:lnTo>
              <a:cubicBezTo>
                <a:pt x="39750" y="532690"/>
                <a:pt x="0" y="492940"/>
                <a:pt x="0" y="443907"/>
              </a:cubicBezTo>
              <a:lnTo>
                <a:pt x="0" y="88783"/>
              </a:lnTo>
              <a:close/>
            </a:path>
          </a:pathLst>
        </a:custGeom>
        <a:solidFill>
          <a:srgbClr val="bdd7ee"/>
        </a:solidFill>
        <a:ln>
          <a:noFill/>
        </a:ln>
      </xdr:spPr>
      <xdr:style>
        <a:lnRef idx="0"/>
        <a:fillRef idx="0"/>
        <a:effectRef idx="0"/>
        <a:fontRef idx="minor"/>
      </xdr:style>
      <xdr:txBody>
        <a:bodyPr lIns="31680" rIns="31680" tIns="31680" bIns="101160" anchor="ctr">
          <a:noAutofit/>
        </a:bodyPr>
        <a:p>
          <a:pPr algn="ctr">
            <a:lnSpc>
              <a:spcPct val="90000"/>
            </a:lnSpc>
            <a:spcAft>
              <a:spcPts val="315"/>
            </a:spcAft>
          </a:pPr>
          <a:r>
            <a:rPr b="1" lang="en-US" sz="900" spc="-1" strike="noStrike">
              <a:solidFill>
                <a:srgbClr val="000000"/>
              </a:solidFill>
              <a:latin typeface="Calibri"/>
            </a:rPr>
            <a:t>Tasa Teleasistencia Dependencia</a:t>
          </a:r>
          <a:endParaRPr b="0" lang="en-US" sz="900" spc="-1" strike="noStrike">
            <a:latin typeface="Times New Roman"/>
          </a:endParaRPr>
        </a:p>
      </xdr:txBody>
    </xdr:sp>
    <xdr:clientData/>
  </xdr:twoCellAnchor>
  <xdr:twoCellAnchor editAs="absolute">
    <xdr:from>
      <xdr:col>20</xdr:col>
      <xdr:colOff>1275480</xdr:colOff>
      <xdr:row>14</xdr:row>
      <xdr:rowOff>156600</xdr:rowOff>
    </xdr:from>
    <xdr:to>
      <xdr:col>21</xdr:col>
      <xdr:colOff>914760</xdr:colOff>
      <xdr:row>15</xdr:row>
      <xdr:rowOff>145440</xdr:rowOff>
    </xdr:to>
    <xdr:sp>
      <xdr:nvSpPr>
        <xdr:cNvPr id="56" name="CustomShape 1"/>
        <xdr:cNvSpPr/>
      </xdr:nvSpPr>
      <xdr:spPr>
        <a:xfrm>
          <a:off x="16373160" y="3003120"/>
          <a:ext cx="936000" cy="17928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12,5%</a:t>
          </a:r>
          <a:endParaRPr b="0" lang="en-US" sz="1200" spc="-1" strike="noStrike">
            <a:latin typeface="Times New Roman"/>
          </a:endParaRPr>
        </a:p>
      </xdr:txBody>
    </xdr:sp>
    <xdr:clientData/>
  </xdr:twoCellAnchor>
  <xdr:twoCellAnchor editAs="twoCell">
    <xdr:from>
      <xdr:col>2</xdr:col>
      <xdr:colOff>49680</xdr:colOff>
      <xdr:row>10</xdr:row>
      <xdr:rowOff>64080</xdr:rowOff>
    </xdr:from>
    <xdr:to>
      <xdr:col>2</xdr:col>
      <xdr:colOff>517320</xdr:colOff>
      <xdr:row>11</xdr:row>
      <xdr:rowOff>53280</xdr:rowOff>
    </xdr:to>
    <xdr:sp>
      <xdr:nvSpPr>
        <xdr:cNvPr id="57" name="CustomShape 1"/>
        <xdr:cNvSpPr/>
      </xdr:nvSpPr>
      <xdr:spPr>
        <a:xfrm>
          <a:off x="3148200" y="2148480"/>
          <a:ext cx="467640" cy="18000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0,92</a:t>
          </a:r>
          <a:endParaRPr b="0" lang="en-US" sz="1200" spc="-1" strike="noStrike">
            <a:latin typeface="Times New Roman"/>
          </a:endParaRPr>
        </a:p>
      </xdr:txBody>
    </xdr:sp>
    <xdr:clientData/>
  </xdr:twoCellAnchor>
  <xdr:twoCellAnchor editAs="twoCell">
    <xdr:from>
      <xdr:col>6</xdr:col>
      <xdr:colOff>201240</xdr:colOff>
      <xdr:row>10</xdr:row>
      <xdr:rowOff>66240</xdr:rowOff>
    </xdr:from>
    <xdr:to>
      <xdr:col>7</xdr:col>
      <xdr:colOff>23040</xdr:colOff>
      <xdr:row>11</xdr:row>
      <xdr:rowOff>55440</xdr:rowOff>
    </xdr:to>
    <xdr:sp>
      <xdr:nvSpPr>
        <xdr:cNvPr id="58" name="CustomShape 1"/>
        <xdr:cNvSpPr/>
      </xdr:nvSpPr>
      <xdr:spPr>
        <a:xfrm>
          <a:off x="5931360" y="2150640"/>
          <a:ext cx="479520" cy="18000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0,76</a:t>
          </a:r>
          <a:endParaRPr b="0" lang="en-US" sz="1200" spc="-1" strike="noStrike">
            <a:latin typeface="Times New Roman"/>
          </a:endParaRPr>
        </a:p>
      </xdr:txBody>
    </xdr:sp>
    <xdr:clientData/>
  </xdr:twoCellAnchor>
  <xdr:twoCellAnchor editAs="twoCell">
    <xdr:from>
      <xdr:col>10</xdr:col>
      <xdr:colOff>354600</xdr:colOff>
      <xdr:row>10</xdr:row>
      <xdr:rowOff>56880</xdr:rowOff>
    </xdr:from>
    <xdr:to>
      <xdr:col>11</xdr:col>
      <xdr:colOff>174960</xdr:colOff>
      <xdr:row>11</xdr:row>
      <xdr:rowOff>46080</xdr:rowOff>
    </xdr:to>
    <xdr:sp>
      <xdr:nvSpPr>
        <xdr:cNvPr id="59" name="CustomShape 1"/>
        <xdr:cNvSpPr/>
      </xdr:nvSpPr>
      <xdr:spPr>
        <a:xfrm>
          <a:off x="8715960" y="2141280"/>
          <a:ext cx="478440" cy="18000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0,97</a:t>
          </a:r>
          <a:endParaRPr b="0" lang="en-US" sz="1200" spc="-1" strike="noStrike">
            <a:latin typeface="Times New Roman"/>
          </a:endParaRPr>
        </a:p>
      </xdr:txBody>
    </xdr:sp>
    <xdr:clientData/>
  </xdr:twoCellAnchor>
  <xdr:twoCellAnchor editAs="twoCell">
    <xdr:from>
      <xdr:col>14</xdr:col>
      <xdr:colOff>552240</xdr:colOff>
      <xdr:row>10</xdr:row>
      <xdr:rowOff>59400</xdr:rowOff>
    </xdr:from>
    <xdr:to>
      <xdr:col>15</xdr:col>
      <xdr:colOff>374040</xdr:colOff>
      <xdr:row>11</xdr:row>
      <xdr:rowOff>48600</xdr:rowOff>
    </xdr:to>
    <xdr:sp>
      <xdr:nvSpPr>
        <xdr:cNvPr id="60" name="CustomShape 1"/>
        <xdr:cNvSpPr/>
      </xdr:nvSpPr>
      <xdr:spPr>
        <a:xfrm>
          <a:off x="11545200" y="2143800"/>
          <a:ext cx="479520" cy="18000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0,71</a:t>
          </a:r>
          <a:endParaRPr b="0" lang="en-US" sz="1200" spc="-1" strike="noStrike">
            <a:latin typeface="Times New Roman"/>
          </a:endParaRPr>
        </a:p>
      </xdr:txBody>
    </xdr:sp>
    <xdr:clientData/>
  </xdr:twoCellAnchor>
  <xdr:twoCellAnchor editAs="twoCell">
    <xdr:from>
      <xdr:col>19</xdr:col>
      <xdr:colOff>739440</xdr:colOff>
      <xdr:row>10</xdr:row>
      <xdr:rowOff>61560</xdr:rowOff>
    </xdr:from>
    <xdr:to>
      <xdr:col>20</xdr:col>
      <xdr:colOff>375840</xdr:colOff>
      <xdr:row>11</xdr:row>
      <xdr:rowOff>50760</xdr:rowOff>
    </xdr:to>
    <xdr:sp>
      <xdr:nvSpPr>
        <xdr:cNvPr id="61" name="CustomShape 1"/>
        <xdr:cNvSpPr/>
      </xdr:nvSpPr>
      <xdr:spPr>
        <a:xfrm>
          <a:off x="15021720" y="2145960"/>
          <a:ext cx="451800" cy="18000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ffc742"/>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0,86</a:t>
          </a:r>
          <a:endParaRPr b="0" lang="en-US" sz="1200" spc="-1" strike="noStrike">
            <a:latin typeface="Times New Roman"/>
          </a:endParaRPr>
        </a:p>
      </xdr:txBody>
    </xdr:sp>
    <xdr:clientData/>
  </xdr:twoCellAnchor>
  <xdr:twoCellAnchor editAs="twoCell">
    <xdr:from>
      <xdr:col>1</xdr:col>
      <xdr:colOff>880920</xdr:colOff>
      <xdr:row>15</xdr:row>
      <xdr:rowOff>63000</xdr:rowOff>
    </xdr:from>
    <xdr:to>
      <xdr:col>1</xdr:col>
      <xdr:colOff>1348560</xdr:colOff>
      <xdr:row>16</xdr:row>
      <xdr:rowOff>52200</xdr:rowOff>
    </xdr:to>
    <xdr:sp>
      <xdr:nvSpPr>
        <xdr:cNvPr id="62" name="CustomShape 1"/>
        <xdr:cNvSpPr/>
      </xdr:nvSpPr>
      <xdr:spPr>
        <a:xfrm>
          <a:off x="1695960" y="3099960"/>
          <a:ext cx="467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0,72</a:t>
          </a:r>
          <a:endParaRPr b="0" lang="en-US" sz="1200" spc="-1" strike="noStrike">
            <a:latin typeface="Times New Roman"/>
          </a:endParaRPr>
        </a:p>
      </xdr:txBody>
    </xdr:sp>
    <xdr:clientData/>
  </xdr:twoCellAnchor>
  <xdr:twoCellAnchor editAs="twoCell">
    <xdr:from>
      <xdr:col>1</xdr:col>
      <xdr:colOff>2245680</xdr:colOff>
      <xdr:row>15</xdr:row>
      <xdr:rowOff>63000</xdr:rowOff>
    </xdr:from>
    <xdr:to>
      <xdr:col>2</xdr:col>
      <xdr:colOff>461880</xdr:colOff>
      <xdr:row>16</xdr:row>
      <xdr:rowOff>52200</xdr:rowOff>
    </xdr:to>
    <xdr:sp>
      <xdr:nvSpPr>
        <xdr:cNvPr id="63" name="CustomShape 1"/>
        <xdr:cNvSpPr/>
      </xdr:nvSpPr>
      <xdr:spPr>
        <a:xfrm>
          <a:off x="3060720" y="3099960"/>
          <a:ext cx="49968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-0,35</a:t>
          </a:r>
          <a:endParaRPr b="0" lang="en-US" sz="1200" spc="-1" strike="noStrike">
            <a:latin typeface="Times New Roman"/>
          </a:endParaRPr>
        </a:p>
      </xdr:txBody>
    </xdr:sp>
    <xdr:clientData/>
  </xdr:twoCellAnchor>
  <xdr:twoCellAnchor editAs="twoCell">
    <xdr:from>
      <xdr:col>4</xdr:col>
      <xdr:colOff>88920</xdr:colOff>
      <xdr:row>15</xdr:row>
      <xdr:rowOff>63000</xdr:rowOff>
    </xdr:from>
    <xdr:to>
      <xdr:col>4</xdr:col>
      <xdr:colOff>556560</xdr:colOff>
      <xdr:row>16</xdr:row>
      <xdr:rowOff>52200</xdr:rowOff>
    </xdr:to>
    <xdr:sp>
      <xdr:nvSpPr>
        <xdr:cNvPr id="64" name="CustomShape 1"/>
        <xdr:cNvSpPr/>
      </xdr:nvSpPr>
      <xdr:spPr>
        <a:xfrm>
          <a:off x="4503240" y="3099960"/>
          <a:ext cx="467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0,93</a:t>
          </a:r>
          <a:endParaRPr b="0" lang="en-US" sz="1200" spc="-1" strike="noStrike">
            <a:latin typeface="Times New Roman"/>
          </a:endParaRPr>
        </a:p>
      </xdr:txBody>
    </xdr:sp>
    <xdr:clientData/>
  </xdr:twoCellAnchor>
  <xdr:twoCellAnchor editAs="twoCell">
    <xdr:from>
      <xdr:col>6</xdr:col>
      <xdr:colOff>159840</xdr:colOff>
      <xdr:row>15</xdr:row>
      <xdr:rowOff>63000</xdr:rowOff>
    </xdr:from>
    <xdr:to>
      <xdr:col>6</xdr:col>
      <xdr:colOff>627480</xdr:colOff>
      <xdr:row>16</xdr:row>
      <xdr:rowOff>52200</xdr:rowOff>
    </xdr:to>
    <xdr:sp>
      <xdr:nvSpPr>
        <xdr:cNvPr id="65" name="CustomShape 1"/>
        <xdr:cNvSpPr/>
      </xdr:nvSpPr>
      <xdr:spPr>
        <a:xfrm>
          <a:off x="5889960" y="3099960"/>
          <a:ext cx="467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-0,77</a:t>
          </a:r>
          <a:endParaRPr b="0" lang="en-US" sz="1200" spc="-1" strike="noStrike">
            <a:latin typeface="Times New Roman"/>
          </a:endParaRPr>
        </a:p>
      </xdr:txBody>
    </xdr:sp>
    <xdr:clientData/>
  </xdr:twoCellAnchor>
  <xdr:twoCellAnchor editAs="twoCell">
    <xdr:from>
      <xdr:col>8</xdr:col>
      <xdr:colOff>254520</xdr:colOff>
      <xdr:row>15</xdr:row>
      <xdr:rowOff>63000</xdr:rowOff>
    </xdr:from>
    <xdr:to>
      <xdr:col>9</xdr:col>
      <xdr:colOff>76320</xdr:colOff>
      <xdr:row>16</xdr:row>
      <xdr:rowOff>52200</xdr:rowOff>
    </xdr:to>
    <xdr:sp>
      <xdr:nvSpPr>
        <xdr:cNvPr id="66" name="CustomShape 1"/>
        <xdr:cNvSpPr/>
      </xdr:nvSpPr>
      <xdr:spPr>
        <a:xfrm>
          <a:off x="7300440" y="3099960"/>
          <a:ext cx="47952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0,92</a:t>
          </a:r>
          <a:endParaRPr b="0" lang="en-US" sz="1200" spc="-1" strike="noStrike">
            <a:latin typeface="Times New Roman"/>
          </a:endParaRPr>
        </a:p>
      </xdr:txBody>
    </xdr:sp>
    <xdr:clientData/>
  </xdr:twoCellAnchor>
  <xdr:twoCellAnchor editAs="twoCell">
    <xdr:from>
      <xdr:col>10</xdr:col>
      <xdr:colOff>338400</xdr:colOff>
      <xdr:row>15</xdr:row>
      <xdr:rowOff>63000</xdr:rowOff>
    </xdr:from>
    <xdr:to>
      <xdr:col>11</xdr:col>
      <xdr:colOff>158760</xdr:colOff>
      <xdr:row>16</xdr:row>
      <xdr:rowOff>52200</xdr:rowOff>
    </xdr:to>
    <xdr:sp>
      <xdr:nvSpPr>
        <xdr:cNvPr id="67" name="CustomShape 1"/>
        <xdr:cNvSpPr/>
      </xdr:nvSpPr>
      <xdr:spPr>
        <a:xfrm>
          <a:off x="8699760" y="3099960"/>
          <a:ext cx="4784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0,91</a:t>
          </a:r>
          <a:endParaRPr b="0" lang="en-US" sz="1200" spc="-1" strike="noStrike">
            <a:latin typeface="Times New Roman"/>
          </a:endParaRPr>
        </a:p>
      </xdr:txBody>
    </xdr:sp>
    <xdr:clientData/>
  </xdr:twoCellAnchor>
  <xdr:twoCellAnchor editAs="twoCell">
    <xdr:from>
      <xdr:col>12</xdr:col>
      <xdr:colOff>433080</xdr:colOff>
      <xdr:row>15</xdr:row>
      <xdr:rowOff>63000</xdr:rowOff>
    </xdr:from>
    <xdr:to>
      <xdr:col>13</xdr:col>
      <xdr:colOff>253440</xdr:colOff>
      <xdr:row>16</xdr:row>
      <xdr:rowOff>52200</xdr:rowOff>
    </xdr:to>
    <xdr:sp>
      <xdr:nvSpPr>
        <xdr:cNvPr id="68" name="CustomShape 1"/>
        <xdr:cNvSpPr/>
      </xdr:nvSpPr>
      <xdr:spPr>
        <a:xfrm>
          <a:off x="10110240" y="3099960"/>
          <a:ext cx="4784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0,90</a:t>
          </a:r>
          <a:endParaRPr b="0" lang="en-US" sz="1200" spc="-1" strike="noStrike">
            <a:latin typeface="Times New Roman"/>
          </a:endParaRPr>
        </a:p>
      </xdr:txBody>
    </xdr:sp>
    <xdr:clientData/>
  </xdr:twoCellAnchor>
  <xdr:twoCellAnchor editAs="twoCell">
    <xdr:from>
      <xdr:col>14</xdr:col>
      <xdr:colOff>492120</xdr:colOff>
      <xdr:row>15</xdr:row>
      <xdr:rowOff>63000</xdr:rowOff>
    </xdr:from>
    <xdr:to>
      <xdr:col>15</xdr:col>
      <xdr:colOff>313920</xdr:colOff>
      <xdr:row>16</xdr:row>
      <xdr:rowOff>52200</xdr:rowOff>
    </xdr:to>
    <xdr:sp>
      <xdr:nvSpPr>
        <xdr:cNvPr id="69" name="CustomShape 1"/>
        <xdr:cNvSpPr/>
      </xdr:nvSpPr>
      <xdr:spPr>
        <a:xfrm>
          <a:off x="11485080" y="3099960"/>
          <a:ext cx="47952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-0,72</a:t>
          </a:r>
          <a:endParaRPr b="0" lang="en-US" sz="1200" spc="-1" strike="noStrike">
            <a:latin typeface="Times New Roman"/>
          </a:endParaRPr>
        </a:p>
      </xdr:txBody>
    </xdr:sp>
    <xdr:clientData/>
  </xdr:twoCellAnchor>
  <xdr:twoCellAnchor editAs="twoCell">
    <xdr:from>
      <xdr:col>16</xdr:col>
      <xdr:colOff>598680</xdr:colOff>
      <xdr:row>15</xdr:row>
      <xdr:rowOff>63000</xdr:rowOff>
    </xdr:from>
    <xdr:to>
      <xdr:col>17</xdr:col>
      <xdr:colOff>420480</xdr:colOff>
      <xdr:row>16</xdr:row>
      <xdr:rowOff>52200</xdr:rowOff>
    </xdr:to>
    <xdr:sp>
      <xdr:nvSpPr>
        <xdr:cNvPr id="70" name="CustomShape 1"/>
        <xdr:cNvSpPr/>
      </xdr:nvSpPr>
      <xdr:spPr>
        <a:xfrm>
          <a:off x="12907440" y="3099960"/>
          <a:ext cx="47952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0,65</a:t>
          </a:r>
          <a:endParaRPr b="0" lang="en-US" sz="1200" spc="-1" strike="noStrike">
            <a:latin typeface="Times New Roman"/>
          </a:endParaRPr>
        </a:p>
      </xdr:txBody>
    </xdr:sp>
    <xdr:clientData/>
  </xdr:twoCellAnchor>
  <xdr:twoCellAnchor editAs="twoCell">
    <xdr:from>
      <xdr:col>19</xdr:col>
      <xdr:colOff>11880</xdr:colOff>
      <xdr:row>15</xdr:row>
      <xdr:rowOff>63000</xdr:rowOff>
    </xdr:from>
    <xdr:to>
      <xdr:col>19</xdr:col>
      <xdr:colOff>479520</xdr:colOff>
      <xdr:row>16</xdr:row>
      <xdr:rowOff>52200</xdr:rowOff>
    </xdr:to>
    <xdr:sp>
      <xdr:nvSpPr>
        <xdr:cNvPr id="71" name="CustomShape 1"/>
        <xdr:cNvSpPr/>
      </xdr:nvSpPr>
      <xdr:spPr>
        <a:xfrm>
          <a:off x="14294160" y="3099960"/>
          <a:ext cx="467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0,88</a:t>
          </a:r>
          <a:endParaRPr b="0" lang="en-US" sz="1200" spc="-1" strike="noStrike">
            <a:latin typeface="Times New Roman"/>
          </a:endParaRPr>
        </a:p>
      </xdr:txBody>
    </xdr:sp>
    <xdr:clientData/>
  </xdr:twoCellAnchor>
  <xdr:twoCellAnchor editAs="twoCell">
    <xdr:from>
      <xdr:col>20</xdr:col>
      <xdr:colOff>579960</xdr:colOff>
      <xdr:row>15</xdr:row>
      <xdr:rowOff>63000</xdr:rowOff>
    </xdr:from>
    <xdr:to>
      <xdr:col>20</xdr:col>
      <xdr:colOff>1047600</xdr:colOff>
      <xdr:row>16</xdr:row>
      <xdr:rowOff>52200</xdr:rowOff>
    </xdr:to>
    <xdr:sp>
      <xdr:nvSpPr>
        <xdr:cNvPr id="72" name="CustomShape 1"/>
        <xdr:cNvSpPr/>
      </xdr:nvSpPr>
      <xdr:spPr>
        <a:xfrm>
          <a:off x="15677640" y="3099960"/>
          <a:ext cx="467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0,74</a:t>
          </a:r>
          <a:endParaRPr b="0" lang="en-US" sz="1200" spc="-1" strike="noStrike">
            <a:latin typeface="Times New Roman"/>
          </a:endParaRPr>
        </a:p>
      </xdr:txBody>
    </xdr:sp>
    <xdr:clientData/>
  </xdr:twoCellAnchor>
  <xdr:twoCellAnchor editAs="twoCell">
    <xdr:from>
      <xdr:col>21</xdr:col>
      <xdr:colOff>686160</xdr:colOff>
      <xdr:row>15</xdr:row>
      <xdr:rowOff>63000</xdr:rowOff>
    </xdr:from>
    <xdr:to>
      <xdr:col>22</xdr:col>
      <xdr:colOff>69120</xdr:colOff>
      <xdr:row>16</xdr:row>
      <xdr:rowOff>52200</xdr:rowOff>
    </xdr:to>
    <xdr:sp>
      <xdr:nvSpPr>
        <xdr:cNvPr id="73" name="CustomShape 1"/>
        <xdr:cNvSpPr/>
      </xdr:nvSpPr>
      <xdr:spPr>
        <a:xfrm>
          <a:off x="17080560" y="3099960"/>
          <a:ext cx="485640" cy="179640"/>
        </a:xfrm>
        <a:custGeom>
          <a:avLst/>
          <a:gdLst/>
          <a:ahLst/>
          <a:rect l="l" t="t" r="r" b="b"/>
          <a:pathLst>
            <a:path w="925961" h="177563">
              <a:moveTo>
                <a:pt x="0" y="29594"/>
              </a:moveTo>
              <a:cubicBezTo>
                <a:pt x="0" y="13250"/>
                <a:pt x="13250" y="0"/>
                <a:pt x="29594" y="0"/>
              </a:cubicBezTo>
              <a:lnTo>
                <a:pt x="896367" y="0"/>
              </a:lnTo>
              <a:cubicBezTo>
                <a:pt x="912711" y="0"/>
                <a:pt x="925961" y="13250"/>
                <a:pt x="925961" y="29594"/>
              </a:cubicBezTo>
              <a:lnTo>
                <a:pt x="925961" y="147969"/>
              </a:lnTo>
              <a:cubicBezTo>
                <a:pt x="925961" y="164313"/>
                <a:pt x="912711" y="177563"/>
                <a:pt x="896367" y="177563"/>
              </a:cubicBezTo>
              <a:lnTo>
                <a:pt x="29594" y="177563"/>
              </a:lnTo>
              <a:cubicBezTo>
                <a:pt x="13250" y="177563"/>
                <a:pt x="0" y="164313"/>
                <a:pt x="0" y="147969"/>
              </a:cubicBezTo>
              <a:lnTo>
                <a:pt x="0" y="29594"/>
              </a:lnTo>
              <a:close/>
            </a:path>
          </a:pathLst>
        </a:custGeom>
        <a:solidFill>
          <a:srgbClr val="ffffff"/>
        </a:solidFill>
        <a:ln w="25560">
          <a:solidFill>
            <a:srgbClr val="bdd7ee"/>
          </a:solidFill>
          <a:miter/>
        </a:ln>
      </xdr:spPr>
      <xdr:style>
        <a:lnRef idx="0"/>
        <a:fillRef idx="0"/>
        <a:effectRef idx="0"/>
        <a:fontRef idx="minor"/>
      </xdr:style>
      <xdr:txBody>
        <a:bodyPr lIns="34200" rIns="34200" tIns="15120" bIns="15120" anchor="ctr">
          <a:noAutofit/>
        </a:bodyPr>
        <a:p>
          <a:pPr algn="ctr">
            <a:lnSpc>
              <a:spcPct val="90000"/>
            </a:lnSpc>
            <a:spcAft>
              <a:spcPts val="420"/>
            </a:spcAft>
          </a:pPr>
          <a:r>
            <a:rPr b="0" lang="en-US" sz="1200" spc="-1" strike="noStrike">
              <a:solidFill>
                <a:srgbClr val="000000"/>
              </a:solidFill>
              <a:latin typeface="Calibri"/>
              <a:ea typeface="Calibri"/>
            </a:rPr>
            <a:t>0,72</a:t>
          </a:r>
          <a:endParaRPr b="0" lang="en-US" sz="12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473760</xdr:colOff>
      <xdr:row>0</xdr:row>
      <xdr:rowOff>76320</xdr:rowOff>
    </xdr:from>
    <xdr:to>
      <xdr:col>17</xdr:col>
      <xdr:colOff>219240</xdr:colOff>
      <xdr:row>12</xdr:row>
      <xdr:rowOff>95400</xdr:rowOff>
    </xdr:to>
    <xdr:graphicFrame>
      <xdr:nvGraphicFramePr>
        <xdr:cNvPr id="74" name="Gráfico 1"/>
        <xdr:cNvGraphicFramePr/>
      </xdr:nvGraphicFramePr>
      <xdr:xfrm>
        <a:off x="12971160" y="76320"/>
        <a:ext cx="1409040" cy="2305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253800</xdr:colOff>
      <xdr:row>13</xdr:row>
      <xdr:rowOff>25920</xdr:rowOff>
    </xdr:from>
    <xdr:to>
      <xdr:col>17</xdr:col>
      <xdr:colOff>247680</xdr:colOff>
      <xdr:row>25</xdr:row>
      <xdr:rowOff>39240</xdr:rowOff>
    </xdr:to>
    <xdr:graphicFrame>
      <xdr:nvGraphicFramePr>
        <xdr:cNvPr id="75" name="Gráfico 3"/>
        <xdr:cNvGraphicFramePr/>
      </xdr:nvGraphicFramePr>
      <xdr:xfrm>
        <a:off x="12751200" y="2502360"/>
        <a:ext cx="1657440" cy="22993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698400</xdr:colOff>
      <xdr:row>0</xdr:row>
      <xdr:rowOff>76320</xdr:rowOff>
    </xdr:from>
    <xdr:to>
      <xdr:col>13</xdr:col>
      <xdr:colOff>444600</xdr:colOff>
      <xdr:row>12</xdr:row>
      <xdr:rowOff>95400</xdr:rowOff>
    </xdr:to>
    <xdr:graphicFrame>
      <xdr:nvGraphicFramePr>
        <xdr:cNvPr id="76" name="Gráfico 4"/>
        <xdr:cNvGraphicFramePr/>
      </xdr:nvGraphicFramePr>
      <xdr:xfrm>
        <a:off x="9868320" y="76320"/>
        <a:ext cx="1409760" cy="2305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586800</xdr:colOff>
      <xdr:row>0</xdr:row>
      <xdr:rowOff>76320</xdr:rowOff>
    </xdr:from>
    <xdr:to>
      <xdr:col>15</xdr:col>
      <xdr:colOff>331560</xdr:colOff>
      <xdr:row>12</xdr:row>
      <xdr:rowOff>95400</xdr:rowOff>
    </xdr:to>
    <xdr:graphicFrame>
      <xdr:nvGraphicFramePr>
        <xdr:cNvPr id="77" name="Gráfico 5"/>
        <xdr:cNvGraphicFramePr/>
      </xdr:nvGraphicFramePr>
      <xdr:xfrm>
        <a:off x="11420280" y="76320"/>
        <a:ext cx="1408680" cy="2305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70560</xdr:colOff>
      <xdr:row>13</xdr:row>
      <xdr:rowOff>25920</xdr:rowOff>
    </xdr:from>
    <xdr:to>
      <xdr:col>1</xdr:col>
      <xdr:colOff>616320</xdr:colOff>
      <xdr:row>25</xdr:row>
      <xdr:rowOff>41040</xdr:rowOff>
    </xdr:to>
    <xdr:graphicFrame>
      <xdr:nvGraphicFramePr>
        <xdr:cNvPr id="78" name="Gráfico 8"/>
        <xdr:cNvGraphicFramePr/>
      </xdr:nvGraphicFramePr>
      <xdr:xfrm>
        <a:off x="70560" y="2502360"/>
        <a:ext cx="1397160" cy="230112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762480</xdr:colOff>
      <xdr:row>0</xdr:row>
      <xdr:rowOff>76320</xdr:rowOff>
    </xdr:from>
    <xdr:to>
      <xdr:col>3</xdr:col>
      <xdr:colOff>508680</xdr:colOff>
      <xdr:row>12</xdr:row>
      <xdr:rowOff>95400</xdr:rowOff>
    </xdr:to>
    <xdr:graphicFrame>
      <xdr:nvGraphicFramePr>
        <xdr:cNvPr id="79" name="Gráfico 9"/>
        <xdr:cNvGraphicFramePr/>
      </xdr:nvGraphicFramePr>
      <xdr:xfrm>
        <a:off x="1613880" y="76320"/>
        <a:ext cx="1409760" cy="230508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74520</xdr:colOff>
      <xdr:row>0</xdr:row>
      <xdr:rowOff>76320</xdr:rowOff>
    </xdr:from>
    <xdr:to>
      <xdr:col>1</xdr:col>
      <xdr:colOff>620280</xdr:colOff>
      <xdr:row>12</xdr:row>
      <xdr:rowOff>95400</xdr:rowOff>
    </xdr:to>
    <xdr:graphicFrame>
      <xdr:nvGraphicFramePr>
        <xdr:cNvPr id="80" name="Gráfico 10"/>
        <xdr:cNvGraphicFramePr/>
      </xdr:nvGraphicFramePr>
      <xdr:xfrm>
        <a:off x="74520" y="76320"/>
        <a:ext cx="1397160" cy="230508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70560</xdr:colOff>
      <xdr:row>26</xdr:row>
      <xdr:rowOff>19080</xdr:rowOff>
    </xdr:from>
    <xdr:to>
      <xdr:col>8</xdr:col>
      <xdr:colOff>323280</xdr:colOff>
      <xdr:row>42</xdr:row>
      <xdr:rowOff>123840</xdr:rowOff>
    </xdr:to>
    <xdr:graphicFrame>
      <xdr:nvGraphicFramePr>
        <xdr:cNvPr id="81" name="Gráfico 11"/>
        <xdr:cNvGraphicFramePr/>
      </xdr:nvGraphicFramePr>
      <xdr:xfrm>
        <a:off x="70560" y="4971960"/>
        <a:ext cx="6927120" cy="315288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xdr:col>
      <xdr:colOff>495000</xdr:colOff>
      <xdr:row>13</xdr:row>
      <xdr:rowOff>25920</xdr:rowOff>
    </xdr:from>
    <xdr:to>
      <xdr:col>6</xdr:col>
      <xdr:colOff>241200</xdr:colOff>
      <xdr:row>25</xdr:row>
      <xdr:rowOff>41040</xdr:rowOff>
    </xdr:to>
    <xdr:graphicFrame>
      <xdr:nvGraphicFramePr>
        <xdr:cNvPr id="82" name="Gráfico 14"/>
        <xdr:cNvGraphicFramePr/>
      </xdr:nvGraphicFramePr>
      <xdr:xfrm>
        <a:off x="3841920" y="2502360"/>
        <a:ext cx="1409760" cy="230112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10</xdr:col>
      <xdr:colOff>779040</xdr:colOff>
      <xdr:row>13</xdr:row>
      <xdr:rowOff>25920</xdr:rowOff>
    </xdr:from>
    <xdr:to>
      <xdr:col>12</xdr:col>
      <xdr:colOff>523800</xdr:colOff>
      <xdr:row>25</xdr:row>
      <xdr:rowOff>41040</xdr:rowOff>
    </xdr:to>
    <xdr:graphicFrame>
      <xdr:nvGraphicFramePr>
        <xdr:cNvPr id="83" name="Gráfico 15"/>
        <xdr:cNvGraphicFramePr/>
      </xdr:nvGraphicFramePr>
      <xdr:xfrm>
        <a:off x="9117000" y="2502360"/>
        <a:ext cx="1408680" cy="230112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7</xdr:col>
      <xdr:colOff>675000</xdr:colOff>
      <xdr:row>0</xdr:row>
      <xdr:rowOff>76320</xdr:rowOff>
    </xdr:from>
    <xdr:to>
      <xdr:col>9</xdr:col>
      <xdr:colOff>420480</xdr:colOff>
      <xdr:row>12</xdr:row>
      <xdr:rowOff>95400</xdr:rowOff>
    </xdr:to>
    <xdr:graphicFrame>
      <xdr:nvGraphicFramePr>
        <xdr:cNvPr id="84" name="Gráfico 16"/>
        <xdr:cNvGraphicFramePr/>
      </xdr:nvGraphicFramePr>
      <xdr:xfrm>
        <a:off x="6517440" y="76320"/>
        <a:ext cx="1409040" cy="230508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5</xdr:col>
      <xdr:colOff>538200</xdr:colOff>
      <xdr:row>0</xdr:row>
      <xdr:rowOff>76320</xdr:rowOff>
    </xdr:from>
    <xdr:to>
      <xdr:col>7</xdr:col>
      <xdr:colOff>532800</xdr:colOff>
      <xdr:row>12</xdr:row>
      <xdr:rowOff>90720</xdr:rowOff>
    </xdr:to>
    <xdr:graphicFrame>
      <xdr:nvGraphicFramePr>
        <xdr:cNvPr id="85" name="Gráfico 17"/>
        <xdr:cNvGraphicFramePr/>
      </xdr:nvGraphicFramePr>
      <xdr:xfrm>
        <a:off x="4717080" y="76320"/>
        <a:ext cx="1658160" cy="23004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xdr:col>
      <xdr:colOff>562680</xdr:colOff>
      <xdr:row>0</xdr:row>
      <xdr:rowOff>76320</xdr:rowOff>
    </xdr:from>
    <xdr:to>
      <xdr:col>11</xdr:col>
      <xdr:colOff>555840</xdr:colOff>
      <xdr:row>12</xdr:row>
      <xdr:rowOff>90720</xdr:rowOff>
    </xdr:to>
    <xdr:graphicFrame>
      <xdr:nvGraphicFramePr>
        <xdr:cNvPr id="86" name="Gráfico 18"/>
        <xdr:cNvGraphicFramePr/>
      </xdr:nvGraphicFramePr>
      <xdr:xfrm>
        <a:off x="8068680" y="76320"/>
        <a:ext cx="1657080" cy="23004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361440</xdr:colOff>
      <xdr:row>0</xdr:row>
      <xdr:rowOff>76320</xdr:rowOff>
    </xdr:from>
    <xdr:to>
      <xdr:col>19</xdr:col>
      <xdr:colOff>356040</xdr:colOff>
      <xdr:row>12</xdr:row>
      <xdr:rowOff>90720</xdr:rowOff>
    </xdr:to>
    <xdr:graphicFrame>
      <xdr:nvGraphicFramePr>
        <xdr:cNvPr id="87" name="Gráfico 20"/>
        <xdr:cNvGraphicFramePr/>
      </xdr:nvGraphicFramePr>
      <xdr:xfrm>
        <a:off x="14522400" y="76320"/>
        <a:ext cx="1658160" cy="230040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2</xdr:col>
      <xdr:colOff>152280</xdr:colOff>
      <xdr:row>13</xdr:row>
      <xdr:rowOff>25920</xdr:rowOff>
    </xdr:from>
    <xdr:to>
      <xdr:col>4</xdr:col>
      <xdr:colOff>146160</xdr:colOff>
      <xdr:row>25</xdr:row>
      <xdr:rowOff>39240</xdr:rowOff>
    </xdr:to>
    <xdr:graphicFrame>
      <xdr:nvGraphicFramePr>
        <xdr:cNvPr id="88" name="Gráfico 21"/>
        <xdr:cNvGraphicFramePr/>
      </xdr:nvGraphicFramePr>
      <xdr:xfrm>
        <a:off x="1835640" y="2502360"/>
        <a:ext cx="1657440" cy="229932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13</xdr:col>
      <xdr:colOff>60480</xdr:colOff>
      <xdr:row>13</xdr:row>
      <xdr:rowOff>25920</xdr:rowOff>
    </xdr:from>
    <xdr:to>
      <xdr:col>15</xdr:col>
      <xdr:colOff>53640</xdr:colOff>
      <xdr:row>25</xdr:row>
      <xdr:rowOff>39240</xdr:rowOff>
    </xdr:to>
    <xdr:graphicFrame>
      <xdr:nvGraphicFramePr>
        <xdr:cNvPr id="89" name="Gráfico 22"/>
        <xdr:cNvGraphicFramePr/>
      </xdr:nvGraphicFramePr>
      <xdr:xfrm>
        <a:off x="10893960" y="2502360"/>
        <a:ext cx="1657080" cy="229932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6</xdr:col>
      <xdr:colOff>590040</xdr:colOff>
      <xdr:row>13</xdr:row>
      <xdr:rowOff>25920</xdr:rowOff>
    </xdr:from>
    <xdr:to>
      <xdr:col>8</xdr:col>
      <xdr:colOff>334800</xdr:colOff>
      <xdr:row>25</xdr:row>
      <xdr:rowOff>41040</xdr:rowOff>
    </xdr:to>
    <xdr:graphicFrame>
      <xdr:nvGraphicFramePr>
        <xdr:cNvPr id="90" name="Gráfico 23"/>
        <xdr:cNvGraphicFramePr/>
      </xdr:nvGraphicFramePr>
      <xdr:xfrm>
        <a:off x="5600520" y="2502360"/>
        <a:ext cx="1408680" cy="230112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oneCell">
    <xdr:from>
      <xdr:col>8</xdr:col>
      <xdr:colOff>684000</xdr:colOff>
      <xdr:row>13</xdr:row>
      <xdr:rowOff>25920</xdr:rowOff>
    </xdr:from>
    <xdr:to>
      <xdr:col>10</xdr:col>
      <xdr:colOff>430200</xdr:colOff>
      <xdr:row>25</xdr:row>
      <xdr:rowOff>41040</xdr:rowOff>
    </xdr:to>
    <xdr:graphicFrame>
      <xdr:nvGraphicFramePr>
        <xdr:cNvPr id="91" name="Gráfico 24"/>
        <xdr:cNvGraphicFramePr/>
      </xdr:nvGraphicFramePr>
      <xdr:xfrm>
        <a:off x="7358400" y="2502360"/>
        <a:ext cx="1409760" cy="230112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650880</xdr:colOff>
      <xdr:row>0</xdr:row>
      <xdr:rowOff>76320</xdr:rowOff>
    </xdr:from>
    <xdr:to>
      <xdr:col>5</xdr:col>
      <xdr:colOff>395640</xdr:colOff>
      <xdr:row>12</xdr:row>
      <xdr:rowOff>95400</xdr:rowOff>
    </xdr:to>
    <xdr:graphicFrame>
      <xdr:nvGraphicFramePr>
        <xdr:cNvPr id="92" name="Gráfico 25"/>
        <xdr:cNvGraphicFramePr/>
      </xdr:nvGraphicFramePr>
      <xdr:xfrm>
        <a:off x="3165840" y="76320"/>
        <a:ext cx="1408680" cy="230508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76320</xdr:colOff>
      <xdr:row>44</xdr:row>
      <xdr:rowOff>146160</xdr:rowOff>
    </xdr:from>
    <xdr:to>
      <xdr:col>19</xdr:col>
      <xdr:colOff>1002960</xdr:colOff>
      <xdr:row>54</xdr:row>
      <xdr:rowOff>128160</xdr:rowOff>
    </xdr:to>
    <xdr:pic>
      <xdr:nvPicPr>
        <xdr:cNvPr id="93" name="Imagen 31" descr=""/>
        <xdr:cNvPicPr/>
      </xdr:nvPicPr>
      <xdr:blipFill>
        <a:blip r:embed="rId20"/>
        <a:stretch/>
      </xdr:blipFill>
      <xdr:spPr>
        <a:xfrm>
          <a:off x="76320" y="8528040"/>
          <a:ext cx="16751160" cy="1887120"/>
        </a:xfrm>
        <a:prstGeom prst="rect">
          <a:avLst/>
        </a:prstGeom>
        <a:ln>
          <a:noFill/>
        </a:ln>
      </xdr:spPr>
    </xdr:pic>
    <xdr:clientData/>
  </xdr:twoCellAnchor>
</xdr:wsDr>
</file>

<file path=xl/tables/table1.xml><?xml version="1.0" encoding="utf-8"?>
<table xmlns="http://schemas.openxmlformats.org/spreadsheetml/2006/main" id="1" name="Tabla2" displayName="Tabla2" ref="A3:S134" headerRowCount="1" totalsRowCount="0" totalsRowShown="0">
  <autoFilter ref="A3:S134"/>
  <tableColumns count="19">
    <tableColumn id="1" name="Ranking Vulnerabilidad"/>
    <tableColumn id="2" name="DISTRICT"/>
    <tableColumn id="3" name="NEIGHBOURHOOD"/>
    <tableColumn id="4" name="Tasa Inmigrantes"/>
    <tableColumn id="5" name="Average household income"/>
    <tableColumn id="6" name="Tasa Paro Absoluto"/>
    <tableColumn id="7" name="Tasa Paro mayores 45"/>
    <tableColumn id="8" name="Tasa de Parados Sin Prestación"/>
    <tableColumn id="9" name="Valor Catastral"/>
    <tableColumn id="10" name="Tasa demanda Dependientes"/>
    <tableColumn id="11" name="Familas perceptoras renta mínima"/>
    <tableColumn id="12" name="Tasa SAD Dependencia"/>
    <tableColumn id="13" name="Tasa Teleasistencia Dependencia"/>
    <tableColumn id="14" name="Población"/>
    <tableColumn id="15" name="Estatus Socio-Económico"/>
    <tableColumn id="16" name="Actividad Económica"/>
    <tableColumn id="17" name="Desarrollo Urbanístico"/>
    <tableColumn id="18" name="Necesidades Asistenciales"/>
    <tableColumn id="19" name="Vulnerabilidad"/>
  </tableColumns>
</table>
</file>

<file path=xl/worksheets/_rels/sheet1.xml.rels><?xml version="1.0" encoding="UTF-8"?>
<Relationships xmlns="http://schemas.openxmlformats.org/package/2006/relationships"><Relationship Id="rId1" Type="http://schemas.openxmlformats.org/officeDocument/2006/relationships/hyperlink" Target="http://www.giaa.inf.uc3m.es/"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table" Target="../tables/table1.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tabColor rgb="FF4472C4"/>
    <pageSetUpPr fitToPage="false"/>
  </sheetPr>
  <dimension ref="A2:U89"/>
  <sheetViews>
    <sheetView showFormulas="false" showGridLines="false" showRowColHeaders="true" showZeros="true" rightToLeft="false" tabSelected="false" showOutlineSymbols="true" defaultGridColor="true" view="normal" topLeftCell="B34" colorId="64" zoomScale="50" zoomScaleNormal="50" zoomScalePageLayoutView="100" workbookViewId="0">
      <selection pane="topLeft" activeCell="Y9" activeCellId="0" sqref="Y9"/>
    </sheetView>
  </sheetViews>
  <sheetFormatPr defaultRowHeight="15" zeroHeight="false" outlineLevelRow="0" outlineLevelCol="0"/>
  <cols>
    <col collapsed="false" customWidth="true" hidden="false" outlineLevel="0" max="1" min="1" style="0" width="10.53"/>
    <col collapsed="false" customWidth="true" hidden="false" outlineLevel="0" max="18" min="2" style="0" width="9.5"/>
    <col collapsed="false" customWidth="true" hidden="false" outlineLevel="0" max="20" min="19" style="0" width="10.53"/>
    <col collapsed="false" customWidth="true" hidden="false" outlineLevel="0" max="21" min="21" style="0" width="14"/>
    <col collapsed="false" customWidth="true" hidden="false" outlineLevel="0" max="1025" min="22" style="0" width="10.53"/>
  </cols>
  <sheetData>
    <row r="2" customFormat="false" ht="22.05" hidden="false" customHeight="false" outlineLevel="0" collapsed="false">
      <c r="M2" s="1" t="s">
        <v>0</v>
      </c>
      <c r="N2" s="2"/>
      <c r="O2" s="2"/>
      <c r="P2" s="2"/>
      <c r="Q2" s="2"/>
      <c r="R2" s="2"/>
      <c r="S2" s="2"/>
    </row>
    <row r="3" customFormat="false" ht="22.05" hidden="false" customHeight="false" outlineLevel="0" collapsed="false">
      <c r="M3" s="2"/>
      <c r="N3" s="2"/>
      <c r="O3" s="2"/>
      <c r="P3" s="3" t="s">
        <v>1</v>
      </c>
      <c r="Q3" s="2"/>
      <c r="R3" s="2"/>
      <c r="S3" s="2"/>
    </row>
    <row r="5" customFormat="false" ht="4.5" hidden="false" customHeight="true" outlineLevel="0" collapsed="false"/>
    <row r="6" s="6" customFormat="true" ht="129.75" hidden="false" customHeight="true" outlineLevel="0" collapsed="false">
      <c r="A6" s="4" t="s">
        <v>2</v>
      </c>
      <c r="B6" s="5" t="s">
        <v>3</v>
      </c>
      <c r="C6" s="5"/>
      <c r="D6" s="5"/>
      <c r="E6" s="5"/>
      <c r="F6" s="5"/>
      <c r="G6" s="5"/>
      <c r="H6" s="5"/>
      <c r="I6" s="5"/>
      <c r="J6" s="5"/>
      <c r="K6" s="5"/>
      <c r="L6" s="5"/>
      <c r="M6" s="5"/>
      <c r="N6" s="5"/>
      <c r="O6" s="5"/>
      <c r="P6" s="5"/>
      <c r="Q6" s="5"/>
      <c r="R6" s="5"/>
      <c r="S6" s="5"/>
    </row>
    <row r="7" customFormat="false" ht="15" hidden="false" customHeight="false" outlineLevel="0" collapsed="false">
      <c r="A7" s="4"/>
      <c r="B7" s="7"/>
      <c r="C7" s="8"/>
      <c r="D7" s="8"/>
      <c r="E7" s="8"/>
      <c r="F7" s="8"/>
      <c r="G7" s="8"/>
      <c r="H7" s="8"/>
      <c r="I7" s="8"/>
      <c r="J7" s="8"/>
      <c r="K7" s="8"/>
      <c r="L7" s="8"/>
      <c r="M7" s="8"/>
      <c r="N7" s="8"/>
      <c r="O7" s="8"/>
      <c r="P7" s="8"/>
      <c r="Q7" s="8"/>
      <c r="R7" s="8"/>
      <c r="S7" s="8"/>
    </row>
    <row r="8" customFormat="false" ht="15" hidden="false" customHeight="false" outlineLevel="0" collapsed="false">
      <c r="A8" s="9"/>
      <c r="P8" s="10"/>
    </row>
    <row r="9" customFormat="false" ht="43.3" hidden="false" customHeight="false" outlineLevel="0" collapsed="false">
      <c r="A9" s="11" t="s">
        <v>4</v>
      </c>
    </row>
    <row r="10" customFormat="false" ht="22.05" hidden="false" customHeight="false" outlineLevel="0" collapsed="false">
      <c r="A10" s="12" t="s">
        <v>5</v>
      </c>
      <c r="B10" s="13"/>
      <c r="C10" s="13"/>
      <c r="D10" s="13"/>
      <c r="E10" s="13"/>
      <c r="F10" s="13"/>
      <c r="G10" s="13"/>
      <c r="H10" s="13"/>
      <c r="I10" s="13"/>
      <c r="J10" s="13"/>
      <c r="K10" s="13"/>
      <c r="L10" s="13"/>
      <c r="M10" s="13"/>
      <c r="N10" s="13"/>
      <c r="O10" s="13"/>
      <c r="P10" s="13"/>
      <c r="Q10" s="13"/>
      <c r="R10" s="13"/>
      <c r="S10" s="13"/>
      <c r="T10" s="13"/>
      <c r="U10" s="13"/>
    </row>
    <row r="11" customFormat="false" ht="17.35" hidden="false" customHeight="false" outlineLevel="0" collapsed="false">
      <c r="A11" s="14" t="s">
        <v>6</v>
      </c>
    </row>
    <row r="12" customFormat="false" ht="17.35" hidden="false" customHeight="false" outlineLevel="0" collapsed="false">
      <c r="A12" s="14" t="s">
        <v>7</v>
      </c>
    </row>
    <row r="13" customFormat="false" ht="17.35" hidden="false" customHeight="false" outlineLevel="0" collapsed="false">
      <c r="A13" s="14" t="s">
        <v>8</v>
      </c>
    </row>
    <row r="14" s="14" customFormat="true" ht="17.35" hidden="false" customHeight="false" outlineLevel="0" collapsed="false"/>
    <row r="15" s="14" customFormat="true" ht="17.35" hidden="false" customHeight="false" outlineLevel="0" collapsed="false">
      <c r="A15" s="14" t="s">
        <v>9</v>
      </c>
    </row>
    <row r="16" customFormat="false" ht="17.35" hidden="false" customHeight="false" outlineLevel="0" collapsed="false">
      <c r="A16" s="14" t="s">
        <v>10</v>
      </c>
    </row>
    <row r="18" customFormat="false" ht="15" hidden="false" customHeight="false" outlineLevel="0" collapsed="false">
      <c r="A18" s="15"/>
      <c r="B18" s="16" t="s">
        <v>11</v>
      </c>
      <c r="C18" s="16"/>
      <c r="D18" s="16"/>
      <c r="E18" s="16"/>
      <c r="F18" s="16"/>
      <c r="G18" s="16"/>
      <c r="H18" s="16"/>
      <c r="I18" s="16"/>
      <c r="J18" s="16"/>
      <c r="K18" s="16"/>
      <c r="L18" s="16"/>
      <c r="M18" s="16"/>
      <c r="N18" s="16"/>
      <c r="O18" s="16"/>
      <c r="P18" s="16"/>
      <c r="Q18" s="16"/>
      <c r="R18" s="16"/>
    </row>
    <row r="19" customFormat="false" ht="15" hidden="false" customHeight="false" outlineLevel="0" collapsed="false">
      <c r="A19" s="17"/>
      <c r="B19" s="18" t="s">
        <v>12</v>
      </c>
      <c r="C19" s="18"/>
      <c r="D19" s="18"/>
      <c r="E19" s="18"/>
      <c r="F19" s="18"/>
      <c r="G19" s="18"/>
      <c r="H19" s="18"/>
      <c r="I19" s="18"/>
      <c r="J19" s="19" t="s">
        <v>13</v>
      </c>
      <c r="K19" s="20" t="s">
        <v>14</v>
      </c>
      <c r="L19" s="20"/>
      <c r="M19" s="20"/>
      <c r="N19" s="20"/>
      <c r="O19" s="20"/>
      <c r="P19" s="20"/>
      <c r="Q19" s="20"/>
      <c r="R19" s="20"/>
    </row>
    <row r="20" customFormat="false" ht="15" hidden="false" customHeight="false" outlineLevel="0" collapsed="false">
      <c r="A20" s="21" t="s">
        <v>15</v>
      </c>
      <c r="B20" s="22" t="s">
        <v>16</v>
      </c>
      <c r="C20" s="23"/>
      <c r="D20" s="23" t="s">
        <v>17</v>
      </c>
      <c r="E20" s="23"/>
      <c r="F20" s="23" t="s">
        <v>18</v>
      </c>
      <c r="G20" s="23"/>
      <c r="H20" s="23" t="s">
        <v>19</v>
      </c>
      <c r="I20" s="24"/>
      <c r="J20" s="25" t="s">
        <v>20</v>
      </c>
      <c r="K20" s="26"/>
      <c r="L20" s="27" t="s">
        <v>19</v>
      </c>
      <c r="M20" s="27"/>
      <c r="N20" s="27" t="s">
        <v>18</v>
      </c>
      <c r="O20" s="27"/>
      <c r="P20" s="27" t="s">
        <v>17</v>
      </c>
      <c r="Q20" s="27"/>
      <c r="R20" s="28" t="s">
        <v>16</v>
      </c>
    </row>
    <row r="21" customFormat="false" ht="24.45" hidden="false" customHeight="false" outlineLevel="0" collapsed="false">
      <c r="A21" s="29" t="s">
        <v>21</v>
      </c>
      <c r="B21" s="30"/>
      <c r="C21" s="31"/>
      <c r="D21" s="31"/>
      <c r="E21" s="31"/>
      <c r="F21" s="31"/>
      <c r="G21" s="31"/>
      <c r="H21" s="31" t="s">
        <v>22</v>
      </c>
      <c r="I21" s="32"/>
      <c r="J21" s="33"/>
      <c r="K21" s="34"/>
      <c r="L21" s="35"/>
      <c r="M21" s="35"/>
      <c r="N21" s="35"/>
      <c r="O21" s="35"/>
      <c r="P21" s="35"/>
      <c r="Q21" s="35"/>
      <c r="R21" s="36"/>
    </row>
    <row r="22" customFormat="false" ht="15.1" hidden="false" customHeight="false" outlineLevel="0" collapsed="false">
      <c r="A22" s="14" t="s">
        <v>23</v>
      </c>
    </row>
    <row r="23" customFormat="false" ht="17.35" hidden="false" customHeight="false" outlineLevel="0" collapsed="false">
      <c r="A23" s="14" t="s">
        <v>24</v>
      </c>
      <c r="M23" s="14"/>
    </row>
    <row r="26" customFormat="false" ht="15" hidden="false" customHeight="false" outlineLevel="0" collapsed="false">
      <c r="B26" s="37" t="s">
        <v>25</v>
      </c>
      <c r="C26" s="38" t="s">
        <v>15</v>
      </c>
      <c r="D26" s="39" t="s">
        <v>26</v>
      </c>
      <c r="E26" s="40" t="s">
        <v>27</v>
      </c>
    </row>
    <row r="27" customFormat="false" ht="15" hidden="false" customHeight="false" outlineLevel="0" collapsed="false">
      <c r="B27" s="41" t="n">
        <v>0.25</v>
      </c>
      <c r="C27" s="42" t="s">
        <v>26</v>
      </c>
      <c r="D27" s="43" t="n">
        <v>1</v>
      </c>
      <c r="E27" s="43" t="n">
        <v>0.333333333333333</v>
      </c>
    </row>
    <row r="28" customFormat="false" ht="15" hidden="false" customHeight="false" outlineLevel="0" collapsed="false">
      <c r="B28" s="41" t="n">
        <v>0.75</v>
      </c>
      <c r="C28" s="44" t="s">
        <v>27</v>
      </c>
      <c r="D28" s="43" t="n">
        <v>3</v>
      </c>
      <c r="E28" s="43" t="n">
        <v>1</v>
      </c>
    </row>
    <row r="29" customFormat="false" ht="17.35" hidden="false" customHeight="false" outlineLevel="0" collapsed="false">
      <c r="A29" s="14" t="s">
        <v>28</v>
      </c>
    </row>
    <row r="30" s="14" customFormat="true" ht="17.35" hidden="false" customHeight="false" outlineLevel="0" collapsed="false">
      <c r="A30" s="14" t="s">
        <v>29</v>
      </c>
      <c r="J30" s="14" t="s">
        <v>30</v>
      </c>
    </row>
    <row r="31" customFormat="false" ht="17.35" hidden="false" customHeight="false" outlineLevel="0" collapsed="false">
      <c r="A31" s="14" t="s">
        <v>31</v>
      </c>
    </row>
    <row r="32" customFormat="false" ht="17.35" hidden="false" customHeight="false" outlineLevel="0" collapsed="false">
      <c r="A32" s="14" t="s">
        <v>32</v>
      </c>
    </row>
    <row r="33" customFormat="false" ht="17.35" hidden="false" customHeight="false" outlineLevel="0" collapsed="false">
      <c r="A33" s="14"/>
    </row>
    <row r="34" customFormat="false" ht="22.05" hidden="false" customHeight="false" outlineLevel="0" collapsed="false">
      <c r="A34" s="12" t="s">
        <v>33</v>
      </c>
      <c r="B34" s="13"/>
      <c r="C34" s="13"/>
      <c r="D34" s="13"/>
      <c r="E34" s="13"/>
      <c r="F34" s="13"/>
      <c r="G34" s="13"/>
      <c r="H34" s="13"/>
      <c r="I34" s="13"/>
      <c r="J34" s="13"/>
      <c r="K34" s="13"/>
      <c r="L34" s="13"/>
      <c r="M34" s="13"/>
      <c r="N34" s="13"/>
      <c r="O34" s="13"/>
      <c r="P34" s="13"/>
      <c r="Q34" s="13"/>
      <c r="R34" s="13"/>
      <c r="S34" s="13"/>
      <c r="T34" s="13"/>
      <c r="U34" s="13"/>
    </row>
    <row r="35" customFormat="false" ht="17.35" hidden="false" customHeight="false" outlineLevel="0" collapsed="false">
      <c r="A35" s="14" t="s">
        <v>34</v>
      </c>
    </row>
    <row r="36" customFormat="false" ht="17.35" hidden="false" customHeight="false" outlineLevel="0" collapsed="false">
      <c r="A36" s="14" t="s">
        <v>35</v>
      </c>
    </row>
    <row r="37" customFormat="false" ht="17.35" hidden="false" customHeight="false" outlineLevel="0" collapsed="false">
      <c r="A37" s="14" t="s">
        <v>36</v>
      </c>
    </row>
    <row r="38" customFormat="false" ht="17.35" hidden="false" customHeight="false" outlineLevel="0" collapsed="false">
      <c r="A38" s="14" t="s">
        <v>37</v>
      </c>
    </row>
    <row r="39" customFormat="false" ht="17.35" hidden="false" customHeight="false" outlineLevel="0" collapsed="false">
      <c r="A39" s="14"/>
    </row>
    <row r="40" customFormat="false" ht="22.05" hidden="false" customHeight="false" outlineLevel="0" collapsed="false">
      <c r="A40" s="12" t="s">
        <v>38</v>
      </c>
      <c r="B40" s="12"/>
      <c r="C40" s="12"/>
      <c r="D40" s="12"/>
      <c r="E40" s="12"/>
      <c r="F40" s="12"/>
      <c r="G40" s="12"/>
      <c r="H40" s="12"/>
      <c r="I40" s="12"/>
      <c r="J40" s="12"/>
      <c r="K40" s="12"/>
      <c r="L40" s="12"/>
      <c r="M40" s="12"/>
      <c r="N40" s="12"/>
      <c r="O40" s="12"/>
      <c r="P40" s="12"/>
      <c r="Q40" s="12"/>
      <c r="R40" s="12"/>
      <c r="S40" s="12"/>
      <c r="T40" s="12"/>
      <c r="U40" s="12"/>
    </row>
    <row r="41" customFormat="false" ht="22.05" hidden="false" customHeight="false" outlineLevel="0" collapsed="false">
      <c r="A41" s="45" t="s">
        <v>39</v>
      </c>
      <c r="B41" s="46"/>
      <c r="C41" s="46"/>
      <c r="D41" s="46"/>
      <c r="E41" s="46"/>
      <c r="F41" s="46"/>
      <c r="G41" s="46"/>
      <c r="H41" s="46"/>
      <c r="I41" s="46"/>
      <c r="J41" s="46"/>
      <c r="K41" s="46"/>
      <c r="L41" s="46"/>
      <c r="M41" s="46"/>
      <c r="N41" s="46"/>
      <c r="O41" s="46"/>
      <c r="P41" s="46"/>
      <c r="Q41" s="46"/>
      <c r="R41" s="46"/>
      <c r="S41" s="46"/>
      <c r="T41" s="46"/>
      <c r="U41" s="46"/>
    </row>
    <row r="42" customFormat="false" ht="17.35" hidden="false" customHeight="false" outlineLevel="0" collapsed="false">
      <c r="A42" s="14"/>
    </row>
    <row r="43" customFormat="false" ht="22.05" hidden="false" customHeight="false" outlineLevel="0" collapsed="false">
      <c r="A43" s="12" t="s">
        <v>40</v>
      </c>
      <c r="B43" s="12"/>
      <c r="C43" s="12"/>
      <c r="D43" s="12"/>
      <c r="E43" s="12"/>
      <c r="F43" s="12"/>
      <c r="G43" s="12"/>
      <c r="H43" s="12"/>
      <c r="I43" s="12"/>
      <c r="J43" s="12"/>
      <c r="K43" s="12"/>
      <c r="L43" s="12"/>
      <c r="M43" s="12"/>
      <c r="N43" s="12"/>
      <c r="O43" s="12"/>
      <c r="P43" s="12"/>
      <c r="Q43" s="12"/>
      <c r="R43" s="12"/>
      <c r="S43" s="12"/>
      <c r="T43" s="12"/>
      <c r="U43" s="12"/>
    </row>
    <row r="44" customFormat="false" ht="17.35" hidden="false" customHeight="false" outlineLevel="0" collapsed="false">
      <c r="A44" s="14" t="s">
        <v>41</v>
      </c>
    </row>
    <row r="45" customFormat="false" ht="17.35" hidden="false" customHeight="false" outlineLevel="0" collapsed="false">
      <c r="A45" s="14"/>
      <c r="B45" s="47"/>
      <c r="C45" s="47"/>
      <c r="D45" s="47"/>
      <c r="E45" s="47"/>
      <c r="F45" s="47"/>
      <c r="G45" s="47"/>
      <c r="H45" s="47"/>
      <c r="I45" s="47"/>
      <c r="J45" s="47"/>
      <c r="K45" s="47"/>
      <c r="L45" s="47"/>
      <c r="M45" s="47"/>
      <c r="N45" s="47"/>
      <c r="O45" s="47"/>
      <c r="P45" s="47"/>
      <c r="Q45" s="47"/>
      <c r="R45" s="47"/>
      <c r="S45" s="47"/>
      <c r="T45" s="47"/>
      <c r="U45" s="47"/>
    </row>
    <row r="46" customFormat="false" ht="22.05" hidden="false" customHeight="false" outlineLevel="0" collapsed="false">
      <c r="A46" s="12" t="s">
        <v>42</v>
      </c>
      <c r="B46" s="13"/>
      <c r="C46" s="13"/>
      <c r="D46" s="13"/>
      <c r="E46" s="13"/>
      <c r="F46" s="13"/>
      <c r="G46" s="13"/>
      <c r="H46" s="13"/>
      <c r="I46" s="13"/>
      <c r="J46" s="13"/>
      <c r="K46" s="13"/>
      <c r="L46" s="13"/>
      <c r="M46" s="13"/>
      <c r="N46" s="13"/>
      <c r="O46" s="13"/>
      <c r="P46" s="13"/>
      <c r="Q46" s="13"/>
      <c r="R46" s="13"/>
      <c r="S46" s="13"/>
      <c r="T46" s="13"/>
      <c r="U46" s="13"/>
    </row>
    <row r="47" customFormat="false" ht="17.35" hidden="false" customHeight="false" outlineLevel="0" collapsed="false">
      <c r="A47" s="14" t="s">
        <v>43</v>
      </c>
    </row>
    <row r="49" customFormat="false" ht="22.05" hidden="false" customHeight="false" outlineLevel="0" collapsed="false">
      <c r="A49" s="12" t="s">
        <v>44</v>
      </c>
      <c r="B49" s="13"/>
      <c r="C49" s="13"/>
      <c r="D49" s="13"/>
      <c r="E49" s="13"/>
      <c r="F49" s="13"/>
      <c r="G49" s="13"/>
      <c r="H49" s="13"/>
      <c r="I49" s="13"/>
      <c r="J49" s="13"/>
      <c r="K49" s="13"/>
      <c r="L49" s="13"/>
      <c r="M49" s="13"/>
      <c r="N49" s="13"/>
      <c r="O49" s="13"/>
      <c r="P49" s="13"/>
      <c r="Q49" s="13"/>
      <c r="R49" s="13"/>
      <c r="S49" s="13"/>
      <c r="T49" s="13"/>
      <c r="U49" s="13"/>
    </row>
    <row r="50" customFormat="false" ht="15" hidden="false" customHeight="false" outlineLevel="0" collapsed="false">
      <c r="A50" s="48" t="s">
        <v>45</v>
      </c>
    </row>
    <row r="51" customFormat="false" ht="15" hidden="false" customHeight="false" outlineLevel="0" collapsed="false">
      <c r="A51" s="48" t="s">
        <v>46</v>
      </c>
    </row>
    <row r="52" customFormat="false" ht="15" hidden="false" customHeight="false" outlineLevel="0" collapsed="false">
      <c r="A52" s="48"/>
    </row>
    <row r="53" customFormat="false" ht="15" hidden="false" customHeight="false" outlineLevel="0" collapsed="false">
      <c r="A53" s="48" t="s">
        <v>47</v>
      </c>
    </row>
    <row r="54" customFormat="false" ht="15" hidden="false" customHeight="false" outlineLevel="0" collapsed="false">
      <c r="A54" s="48"/>
    </row>
    <row r="55" customFormat="false" ht="15" hidden="false" customHeight="false" outlineLevel="0" collapsed="false">
      <c r="A55" s="48" t="s">
        <v>48</v>
      </c>
    </row>
    <row r="56" customFormat="false" ht="15" hidden="false" customHeight="false" outlineLevel="0" collapsed="false">
      <c r="A56" s="48" t="s">
        <v>49</v>
      </c>
    </row>
    <row r="58" customFormat="false" ht="22.05" hidden="false" customHeight="false" outlineLevel="0" collapsed="false">
      <c r="A58" s="12" t="s">
        <v>50</v>
      </c>
      <c r="B58" s="13"/>
      <c r="C58" s="13"/>
      <c r="D58" s="13"/>
      <c r="E58" s="13"/>
      <c r="F58" s="13"/>
      <c r="G58" s="13"/>
      <c r="H58" s="13"/>
      <c r="I58" s="13"/>
      <c r="J58" s="13"/>
      <c r="K58" s="13"/>
      <c r="L58" s="13"/>
      <c r="M58" s="13"/>
      <c r="N58" s="13"/>
      <c r="O58" s="13"/>
      <c r="P58" s="13"/>
      <c r="Q58" s="13"/>
      <c r="R58" s="13"/>
      <c r="S58" s="13"/>
      <c r="T58" s="13"/>
      <c r="U58" s="13"/>
    </row>
    <row r="59" customFormat="false" ht="15" hidden="false" customHeight="false" outlineLevel="0" collapsed="false">
      <c r="A59" s="48" t="s">
        <v>51</v>
      </c>
      <c r="D59" s="0" t="s">
        <v>52</v>
      </c>
      <c r="H59" s="0" t="s">
        <v>53</v>
      </c>
    </row>
    <row r="60" customFormat="false" ht="15" hidden="false" customHeight="false" outlineLevel="0" collapsed="false">
      <c r="A60" s="48" t="s">
        <v>54</v>
      </c>
      <c r="D60" s="0" t="s">
        <v>55</v>
      </c>
      <c r="H60" s="0" t="s">
        <v>56</v>
      </c>
    </row>
    <row r="61" customFormat="false" ht="15" hidden="false" customHeight="false" outlineLevel="0" collapsed="false">
      <c r="A61" s="48" t="s">
        <v>57</v>
      </c>
      <c r="D61" s="0" t="s">
        <v>58</v>
      </c>
    </row>
    <row r="62" customFormat="false" ht="15" hidden="false" customHeight="false" outlineLevel="0" collapsed="false">
      <c r="A62" s="48" t="s">
        <v>59</v>
      </c>
      <c r="D62" s="48" t="s">
        <v>60</v>
      </c>
    </row>
    <row r="63" customFormat="false" ht="15" hidden="false" customHeight="false" outlineLevel="0" collapsed="false">
      <c r="A63" s="48"/>
      <c r="D63" s="48" t="s">
        <v>61</v>
      </c>
    </row>
    <row r="64" customFormat="false" ht="15" hidden="false" customHeight="false" outlineLevel="0" collapsed="false">
      <c r="A64" s="48"/>
      <c r="D64" s="48"/>
    </row>
    <row r="65" customFormat="false" ht="22.05" hidden="false" customHeight="false" outlineLevel="0" collapsed="false">
      <c r="A65" s="12" t="s">
        <v>62</v>
      </c>
      <c r="B65" s="13"/>
      <c r="C65" s="13"/>
      <c r="D65" s="13"/>
      <c r="E65" s="13"/>
      <c r="F65" s="13"/>
      <c r="G65" s="13"/>
      <c r="H65" s="13"/>
      <c r="I65" s="13"/>
      <c r="J65" s="13"/>
      <c r="K65" s="13"/>
      <c r="L65" s="13"/>
      <c r="M65" s="13"/>
      <c r="N65" s="13"/>
      <c r="O65" s="13"/>
      <c r="P65" s="13"/>
      <c r="Q65" s="13"/>
      <c r="R65" s="13"/>
      <c r="S65" s="13"/>
      <c r="T65" s="13"/>
      <c r="U65" s="13"/>
    </row>
    <row r="66" customFormat="false" ht="15" hidden="false" customHeight="false" outlineLevel="0" collapsed="false">
      <c r="A66" s="48" t="s">
        <v>63</v>
      </c>
      <c r="D66" s="48"/>
    </row>
    <row r="67" customFormat="false" ht="15" hidden="false" customHeight="false" outlineLevel="0" collapsed="false">
      <c r="A67" s="48" t="s">
        <v>64</v>
      </c>
      <c r="D67" s="48"/>
    </row>
    <row r="68" customFormat="false" ht="15" hidden="false" customHeight="false" outlineLevel="0" collapsed="false">
      <c r="A68" s="48" t="s">
        <v>65</v>
      </c>
      <c r="D68" s="48"/>
    </row>
    <row r="69" customFormat="false" ht="15" hidden="false" customHeight="false" outlineLevel="0" collapsed="false">
      <c r="A69" s="48"/>
      <c r="D69" s="48"/>
    </row>
    <row r="70" customFormat="false" ht="22.05" hidden="false" customHeight="false" outlineLevel="0" collapsed="false">
      <c r="A70" s="12" t="s">
        <v>66</v>
      </c>
      <c r="B70" s="13"/>
      <c r="C70" s="13"/>
      <c r="D70" s="13"/>
      <c r="E70" s="13"/>
      <c r="F70" s="13"/>
      <c r="G70" s="13"/>
      <c r="H70" s="13"/>
      <c r="I70" s="13"/>
      <c r="J70" s="13"/>
      <c r="K70" s="13"/>
      <c r="L70" s="13"/>
      <c r="M70" s="13"/>
      <c r="N70" s="13"/>
      <c r="O70" s="13"/>
      <c r="P70" s="13"/>
      <c r="Q70" s="13"/>
      <c r="R70" s="13"/>
      <c r="S70" s="13"/>
      <c r="T70" s="13"/>
      <c r="U70" s="13"/>
    </row>
    <row r="71" s="50" customFormat="true" ht="15" hidden="false" customHeight="false" outlineLevel="0" collapsed="false">
      <c r="A71" s="49" t="s">
        <v>67</v>
      </c>
      <c r="D71" s="49"/>
    </row>
    <row r="72" s="50" customFormat="true" ht="15" hidden="false" customHeight="false" outlineLevel="0" collapsed="false">
      <c r="A72" s="49"/>
      <c r="D72" s="49"/>
    </row>
    <row r="73" s="50" customFormat="true" ht="15" hidden="false" customHeight="false" outlineLevel="0" collapsed="false"/>
    <row r="74" s="50" customFormat="true" ht="22.05" hidden="false" customHeight="false" outlineLevel="0" collapsed="false">
      <c r="A74" s="12" t="s">
        <v>68</v>
      </c>
      <c r="B74" s="13"/>
      <c r="C74" s="13"/>
      <c r="D74" s="12"/>
      <c r="E74" s="13"/>
      <c r="F74" s="13"/>
      <c r="G74" s="12"/>
      <c r="H74" s="13"/>
      <c r="I74" s="13"/>
      <c r="J74" s="12"/>
      <c r="K74" s="13"/>
      <c r="L74" s="13"/>
      <c r="M74" s="12"/>
      <c r="N74" s="13"/>
      <c r="O74" s="13"/>
      <c r="P74" s="12"/>
      <c r="Q74" s="13"/>
      <c r="R74" s="13"/>
      <c r="S74" s="12"/>
      <c r="T74" s="13"/>
      <c r="U74" s="13"/>
    </row>
    <row r="75" customFormat="false" ht="15" hidden="false" customHeight="false" outlineLevel="0" collapsed="false">
      <c r="A75" s="49"/>
    </row>
    <row r="76" customFormat="false" ht="15" hidden="false" customHeight="false" outlineLevel="0" collapsed="false">
      <c r="A76" s="49"/>
    </row>
    <row r="77" customFormat="false" ht="15.75" hidden="false" customHeight="true" outlineLevel="0" collapsed="false">
      <c r="A77" s="48"/>
      <c r="D77" s="48"/>
      <c r="F77" s="51"/>
      <c r="G77" s="51"/>
      <c r="H77" s="51"/>
      <c r="I77" s="51"/>
      <c r="J77" s="51"/>
      <c r="K77" s="51"/>
      <c r="L77" s="51"/>
      <c r="M77" s="51"/>
      <c r="N77" s="51"/>
      <c r="O77" s="51"/>
      <c r="P77" s="51"/>
      <c r="Q77" s="51"/>
      <c r="R77" s="51"/>
    </row>
    <row r="78" customFormat="false" ht="15.75" hidden="false" customHeight="true" outlineLevel="0" collapsed="false">
      <c r="A78" s="48"/>
      <c r="D78" s="48"/>
      <c r="F78" s="51"/>
      <c r="G78" s="51"/>
      <c r="H78" s="51"/>
      <c r="I78" s="51"/>
      <c r="J78" s="51"/>
      <c r="K78" s="51"/>
      <c r="L78" s="51"/>
      <c r="M78" s="51"/>
      <c r="N78" s="51"/>
      <c r="O78" s="51"/>
      <c r="P78" s="51"/>
      <c r="Q78" s="51"/>
      <c r="R78" s="51"/>
    </row>
    <row r="79" customFormat="false" ht="15.75" hidden="false" customHeight="true" outlineLevel="0" collapsed="false">
      <c r="A79" s="48"/>
      <c r="D79" s="48"/>
      <c r="F79" s="51"/>
      <c r="G79" s="51"/>
      <c r="H79" s="51"/>
      <c r="I79" s="51"/>
      <c r="J79" s="51"/>
      <c r="K79" s="51"/>
      <c r="L79" s="51"/>
      <c r="M79" s="51"/>
      <c r="N79" s="51"/>
      <c r="O79" s="51"/>
      <c r="P79" s="51"/>
      <c r="Q79" s="51"/>
      <c r="R79" s="51"/>
    </row>
    <row r="80" customFormat="false" ht="15.75" hidden="false" customHeight="true" outlineLevel="0" collapsed="false">
      <c r="A80" s="48"/>
      <c r="D80" s="48"/>
      <c r="F80" s="51"/>
      <c r="G80" s="51"/>
      <c r="H80" s="51"/>
      <c r="I80" s="51"/>
      <c r="J80" s="51"/>
      <c r="K80" s="51"/>
      <c r="L80" s="51"/>
      <c r="M80" s="51"/>
      <c r="N80" s="51"/>
      <c r="O80" s="51"/>
      <c r="P80" s="51"/>
      <c r="Q80" s="51"/>
      <c r="R80" s="51"/>
    </row>
    <row r="81" customFormat="false" ht="15" hidden="false" customHeight="false" outlineLevel="0" collapsed="false">
      <c r="A81" s="48"/>
      <c r="D81" s="48"/>
    </row>
    <row r="82" customFormat="false" ht="15" hidden="false" customHeight="false" outlineLevel="0" collapsed="false">
      <c r="A82" s="48"/>
      <c r="D82" s="48"/>
    </row>
    <row r="83" customFormat="false" ht="15.75" hidden="false" customHeight="true" outlineLevel="0" collapsed="false">
      <c r="A83" s="48"/>
      <c r="D83" s="48"/>
    </row>
    <row r="84" customFormat="false" ht="15" hidden="false" customHeight="false" outlineLevel="0" collapsed="false">
      <c r="A84" s="48"/>
      <c r="D84" s="48"/>
    </row>
    <row r="85" customFormat="false" ht="15" hidden="false" customHeight="false" outlineLevel="0" collapsed="false">
      <c r="A85" s="48"/>
      <c r="D85" s="48"/>
    </row>
    <row r="86" customFormat="false" ht="15" hidden="false" customHeight="false" outlineLevel="0" collapsed="false">
      <c r="A86" s="48"/>
      <c r="D86" s="48"/>
    </row>
    <row r="87" customFormat="false" ht="15" hidden="false" customHeight="false" outlineLevel="0" collapsed="false">
      <c r="A87" s="48"/>
      <c r="D87" s="48"/>
    </row>
    <row r="89" customFormat="false" ht="15" hidden="false" customHeight="false" outlineLevel="0" collapsed="false">
      <c r="D89" s="48"/>
    </row>
  </sheetData>
  <mergeCells count="5">
    <mergeCell ref="B6:S6"/>
    <mergeCell ref="B18:R18"/>
    <mergeCell ref="B19:I19"/>
    <mergeCell ref="K19:R19"/>
    <mergeCell ref="F77:R80"/>
  </mergeCells>
  <conditionalFormatting sqref="B27:B28">
    <cfRule type="dataBar" priority="2">
      <dataBar showValue="1" minLength="10" maxLength="90">
        <cfvo type="num" val="0"/>
        <cfvo type="num" val="1"/>
        <color rgb="FF70AD47"/>
      </dataBar>
      <extLst>
        <ext xmlns:x14="http://schemas.microsoft.com/office/spreadsheetml/2009/9/main" uri="{B025F937-C7B1-47D3-B67F-A62EFF666E3E}">
          <x14:id>{84305B4B-F487-459F-BEF8-EBA033E93900}</x14:id>
        </ext>
      </extLst>
    </cfRule>
  </conditionalFormatting>
  <hyperlinks>
    <hyperlink ref="P3" r:id="rId1" display="www.giaa.inf.uc3m.e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2"/>
  <extLst>
    <ext xmlns:x14="http://schemas.microsoft.com/office/spreadsheetml/2009/9/main" uri="{78C0D931-6437-407d-A8EE-F0AAD7539E65}">
      <x14:conditionalFormattings>
        <x14:conditionalFormatting xmlns:xm="http://schemas.microsoft.com/office/excel/2006/main">
          <x14:cfRule type="dataBar" id="{84305B4B-F487-459F-BEF8-EBA033E93900}">
            <x14:dataBar minLength="10" maxLength="90" axisPosition="automatic" gradient="true">
              <x14:cfvo type="num">
                <xm:f>0</xm:f>
              </x14:cfvo>
              <x14:cfvo type="num">
                <xm:f>1</xm:f>
              </x14:cfvo>
              <x14:negativeFillColor rgb="FFFF0000"/>
              <x14:axisColor rgb="FF000000"/>
            </x14:dataBar>
          </x14:cfRule>
          <xm:sqref>B27:B28</xm:sqref>
        </x14:conditionalFormatting>
      </x14:conditionalFormattings>
    </ext>
  </extLst>
</worksheet>
</file>

<file path=xl/worksheets/sheet2.xml><?xml version="1.0" encoding="utf-8"?>
<worksheet xmlns="http://schemas.openxmlformats.org/spreadsheetml/2006/main" xmlns:r="http://schemas.openxmlformats.org/officeDocument/2006/relationships">
  <sheetPr filterMode="false">
    <pageSetUpPr fitToPage="false"/>
  </sheetPr>
  <dimension ref="A2:AF67"/>
  <sheetViews>
    <sheetView showFormulas="false" showGridLines="false" showRowColHeaders="true" showZeros="true" rightToLeft="false" tabSelected="false" showOutlineSymbols="true" defaultGridColor="true" view="normal" topLeftCell="A1" colorId="64" zoomScale="50" zoomScaleNormal="50" zoomScalePageLayoutView="100" workbookViewId="0">
      <selection pane="topLeft" activeCell="AH34" activeCellId="0" sqref="AH34"/>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29.5"/>
    <col collapsed="false" customWidth="true" hidden="false" outlineLevel="0" max="19" min="3" style="0" width="8.5"/>
    <col collapsed="false" customWidth="true" hidden="false" outlineLevel="0" max="20" min="20" style="0" width="10.53"/>
    <col collapsed="false" customWidth="true" hidden="false" outlineLevel="0" max="21" min="21" style="0" width="16.75"/>
    <col collapsed="false" customWidth="true" hidden="false" outlineLevel="0" max="27" min="22" style="0" width="14.25"/>
    <col collapsed="false" customWidth="true" hidden="false" outlineLevel="0" max="29" min="28" style="0" width="12.25"/>
    <col collapsed="false" customWidth="true" hidden="false" outlineLevel="0" max="30" min="30" style="0" width="11.25"/>
    <col collapsed="false" customWidth="true" hidden="false" outlineLevel="0" max="31" min="31" style="0" width="3.5"/>
    <col collapsed="false" customWidth="true" hidden="false" outlineLevel="0" max="32" min="32" style="0" width="16.5"/>
    <col collapsed="false" customWidth="true" hidden="false" outlineLevel="0" max="1025" min="33" style="0" width="10.53"/>
  </cols>
  <sheetData>
    <row r="2" customFormat="false" ht="29.15" hidden="false" customHeight="false" outlineLevel="0" collapsed="false">
      <c r="B2" s="52" t="s">
        <v>4</v>
      </c>
    </row>
    <row r="16" customFormat="false" ht="15" hidden="false" customHeight="false" outlineLevel="0" collapsed="false">
      <c r="A16" s="53"/>
      <c r="B16" s="53"/>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row>
    <row r="17" customFormat="false" ht="15" hidden="false" customHeight="false" outlineLevel="0" collapsed="false">
      <c r="A17" s="53"/>
      <c r="B17" s="53"/>
      <c r="C17" s="53"/>
      <c r="D17" s="53"/>
      <c r="E17" s="53"/>
      <c r="F17" s="53"/>
      <c r="G17" s="53"/>
      <c r="H17" s="53"/>
      <c r="I17" s="53"/>
      <c r="J17" s="53"/>
      <c r="K17" s="53"/>
      <c r="L17" s="53"/>
      <c r="M17" s="53"/>
      <c r="N17" s="53"/>
      <c r="O17" s="53"/>
      <c r="P17" s="53"/>
      <c r="Q17" s="53"/>
      <c r="R17" s="53"/>
      <c r="S17" s="53"/>
      <c r="T17" s="53"/>
      <c r="U17" s="53"/>
      <c r="V17" s="53"/>
      <c r="W17" s="53"/>
      <c r="X17" s="53"/>
      <c r="Y17" s="53"/>
      <c r="Z17" s="53"/>
      <c r="AA17" s="53"/>
      <c r="AB17" s="53"/>
      <c r="AC17" s="53"/>
      <c r="AD17" s="53"/>
    </row>
    <row r="18" customFormat="false" ht="15" hidden="false" customHeight="false" outlineLevel="0" collapsed="false">
      <c r="A18" s="53"/>
      <c r="B18" s="53"/>
      <c r="C18" s="53"/>
      <c r="D18" s="53"/>
      <c r="E18" s="53"/>
      <c r="F18" s="53"/>
      <c r="G18" s="53"/>
      <c r="H18" s="53"/>
      <c r="I18" s="53"/>
      <c r="J18" s="53"/>
      <c r="K18" s="53"/>
      <c r="L18" s="53"/>
      <c r="M18" s="53"/>
      <c r="N18" s="53"/>
      <c r="O18" s="53"/>
      <c r="P18" s="53"/>
      <c r="Q18" s="53"/>
      <c r="R18" s="53"/>
      <c r="S18" s="53"/>
      <c r="T18" s="53"/>
      <c r="U18" s="53"/>
      <c r="V18" s="53"/>
      <c r="W18" s="53"/>
      <c r="X18" s="53"/>
      <c r="Y18" s="53"/>
      <c r="Z18" s="53"/>
      <c r="AA18" s="53"/>
      <c r="AB18" s="53"/>
      <c r="AC18" s="53"/>
      <c r="AD18" s="53"/>
    </row>
    <row r="19" customFormat="false" ht="15" hidden="false" customHeight="false" outlineLevel="0" collapsed="false">
      <c r="A19" s="53"/>
      <c r="B19" s="53"/>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row>
    <row r="20" customFormat="false" ht="15" hidden="false" customHeight="false" outlineLevel="0" collapsed="false">
      <c r="A20" s="53"/>
      <c r="B20" s="54"/>
      <c r="C20" s="16" t="s">
        <v>11</v>
      </c>
      <c r="D20" s="16"/>
      <c r="E20" s="16"/>
      <c r="F20" s="16"/>
      <c r="G20" s="16"/>
      <c r="H20" s="16"/>
      <c r="I20" s="16"/>
      <c r="J20" s="16"/>
      <c r="K20" s="16"/>
      <c r="L20" s="16"/>
      <c r="M20" s="16"/>
      <c r="N20" s="16"/>
      <c r="O20" s="16"/>
      <c r="P20" s="16"/>
      <c r="Q20" s="16"/>
      <c r="R20" s="16"/>
      <c r="S20" s="16"/>
      <c r="T20" s="53"/>
      <c r="U20" s="55"/>
      <c r="V20" s="53"/>
      <c r="W20" s="53"/>
      <c r="X20" s="53"/>
      <c r="Y20" s="53"/>
      <c r="Z20" s="53"/>
      <c r="AA20" s="53"/>
      <c r="AB20" s="53"/>
      <c r="AC20" s="53"/>
      <c r="AD20" s="53"/>
    </row>
    <row r="21" customFormat="false" ht="15" hidden="false" customHeight="false" outlineLevel="0" collapsed="false">
      <c r="A21" s="53"/>
      <c r="B21" s="56"/>
      <c r="C21" s="57" t="s">
        <v>12</v>
      </c>
      <c r="D21" s="57"/>
      <c r="E21" s="57"/>
      <c r="F21" s="57"/>
      <c r="G21" s="57"/>
      <c r="H21" s="57"/>
      <c r="I21" s="57"/>
      <c r="J21" s="57"/>
      <c r="K21" s="58" t="s">
        <v>13</v>
      </c>
      <c r="L21" s="59" t="s">
        <v>14</v>
      </c>
      <c r="M21" s="59"/>
      <c r="N21" s="59"/>
      <c r="O21" s="59"/>
      <c r="P21" s="59"/>
      <c r="Q21" s="59"/>
      <c r="R21" s="59"/>
      <c r="S21" s="59"/>
      <c r="T21" s="53"/>
      <c r="U21" s="53"/>
      <c r="V21" s="53"/>
      <c r="W21" s="53"/>
      <c r="X21" s="53"/>
      <c r="Y21" s="53"/>
      <c r="Z21" s="53"/>
      <c r="AA21" s="53"/>
      <c r="AB21" s="53"/>
      <c r="AC21" s="53"/>
      <c r="AD21" s="53"/>
    </row>
    <row r="22" customFormat="false" ht="23.65" hidden="false" customHeight="false" outlineLevel="0" collapsed="false">
      <c r="A22" s="53"/>
      <c r="B22" s="60" t="s">
        <v>69</v>
      </c>
      <c r="C22" s="61" t="s">
        <v>16</v>
      </c>
      <c r="D22" s="62"/>
      <c r="E22" s="62" t="s">
        <v>17</v>
      </c>
      <c r="F22" s="62"/>
      <c r="G22" s="62" t="s">
        <v>18</v>
      </c>
      <c r="H22" s="62"/>
      <c r="I22" s="62" t="s">
        <v>19</v>
      </c>
      <c r="J22" s="63"/>
      <c r="K22" s="64" t="s">
        <v>20</v>
      </c>
      <c r="L22" s="65"/>
      <c r="M22" s="66" t="s">
        <v>19</v>
      </c>
      <c r="N22" s="66"/>
      <c r="O22" s="66" t="s">
        <v>18</v>
      </c>
      <c r="P22" s="66"/>
      <c r="Q22" s="66" t="s">
        <v>17</v>
      </c>
      <c r="R22" s="66"/>
      <c r="S22" s="67" t="s">
        <v>16</v>
      </c>
      <c r="T22" s="68"/>
      <c r="U22" s="69"/>
      <c r="V22" s="70" t="s">
        <v>69</v>
      </c>
      <c r="W22" s="71" t="s">
        <v>70</v>
      </c>
      <c r="X22" s="71" t="s">
        <v>71</v>
      </c>
      <c r="Y22" s="71" t="s">
        <v>72</v>
      </c>
      <c r="Z22" s="71" t="s">
        <v>73</v>
      </c>
      <c r="AA22" s="71" t="s">
        <v>74</v>
      </c>
      <c r="AB22" s="72"/>
      <c r="AC22" s="53"/>
      <c r="AD22" s="53"/>
      <c r="AE22" s="68" t="s">
        <v>75</v>
      </c>
    </row>
    <row r="23" customFormat="false" ht="26.3" hidden="false" customHeight="false" outlineLevel="0" collapsed="false">
      <c r="A23" s="73" t="str">
        <f aca="false">IF(T23=0,"Marcar una 'x'",IF(T23&gt;1,"Sobran 'x'",""))</f>
        <v/>
      </c>
      <c r="B23" s="29" t="s">
        <v>76</v>
      </c>
      <c r="C23" s="30"/>
      <c r="D23" s="31"/>
      <c r="E23" s="31"/>
      <c r="F23" s="31"/>
      <c r="G23" s="31"/>
      <c r="H23" s="31"/>
      <c r="I23" s="31" t="s">
        <v>22</v>
      </c>
      <c r="J23" s="32"/>
      <c r="K23" s="33"/>
      <c r="L23" s="34"/>
      <c r="M23" s="35"/>
      <c r="N23" s="35"/>
      <c r="O23" s="35"/>
      <c r="P23" s="35"/>
      <c r="Q23" s="35"/>
      <c r="R23" s="35"/>
      <c r="S23" s="36"/>
      <c r="T23" s="72" t="n">
        <f aca="false">COUNTIF(C23:S23,"x")</f>
        <v>1</v>
      </c>
      <c r="U23" s="74" t="n">
        <f aca="false">AB23/SUM(AB$23:AB$27)</f>
        <v>0.166884948241197</v>
      </c>
      <c r="V23" s="75" t="s">
        <v>70</v>
      </c>
      <c r="W23" s="76" t="n">
        <v>1</v>
      </c>
      <c r="X23" s="77" t="n">
        <f aca="false">IF( OR(C23="X",C23="x"),1/9,IF(OR(D23="x",D23="X"),1/8,IF(OR(E23="x",E23="X"),1/7,IF(OR(F23="x",F23="X"),1/6,IF(OR(G23="x",G23="X"),1/5,IF(OR(H23="x",H23="X"),1/4,IF(OR(I23="x",I23="X"),1/3,IF(OR(J23="x",J23="X"),1/2,IF(OR(K23="x",K23="X"),1,IF(OR(L23="x",L23="X"),2,IF(OR(M23="x",M23="X"),3,IF(OR(N23="x",N23="X"),4,IF(OR(O23="x",O23="X"),5,IF(OR(P23="x",P23="X"),6,IF(OR(Q23="x",Q23="X"),7,IF(OR(R23="x",R23="X"),8,IF(OR(S23="x",S23="X"),9,"???")))))))))))))))))</f>
        <v>0.333333333333333</v>
      </c>
      <c r="Y23" s="77" t="n">
        <f aca="false">IF( OR(C24="X",C24="x"),1/9,IF(OR(D24="x",D24="X"),1/8,IF(OR(E24="x",E24="X"),1/7,IF(OR(F24="x",F24="X"),1/6,IF(OR(G24="x",G24="X"),1/5,IF(OR(H24="x",H24="X"),1/4,IF(OR(I24="x",I24="X"),1/3,IF(OR(J24="x",J24="X"),1/2,IF(OR(K24="x",K24="X"),1,IF(OR(L24="x",L24="X"),2,IF(OR(M24="x",M24="X"),3,IF(OR(N24="x",N24="X"),4,IF(OR(O24="x",O24="X"),5,IF(OR(P24="x",P24="X"),6,IF(OR(Q24="x",Q24="X"),7,IF(OR(R24="x",R24="X"),8,IF(OR(S24="x",S24="X"),9,"???")))))))))))))))))</f>
        <v>0.333333333333333</v>
      </c>
      <c r="Z23" s="77" t="n">
        <f aca="false">IF( OR(C25="X",C25="x"),1/9,IF(OR(D25="x",D25="X"),1/8,IF(OR(E25="x",E25="X"),1/7,IF(OR(F25="x",F25="X"),1/6,IF(OR(G25="x",G25="X"),1/5,IF(OR(H25="x",H25="X"),1/4,IF(OR(I25="x",I25="X"),1/3,IF(OR(J25="x",J25="X"),1/2,IF(OR(K25="x",K25="X"),1,IF(OR(L25="x",L25="X"),2,IF(OR(M25="x",M25="X"),3,IF(OR(N25="x",N25="X"),4,IF(OR(O25="x",O25="X"),5,IF(OR(P25="x",P25="X"),6,IF(OR(Q25="x",Q25="X"),7,IF(OR(R25="x",R25="X"),8,IF(OR(S25="x",S25="X"),9,"???")))))))))))))))))</f>
        <v>3</v>
      </c>
      <c r="AA23" s="78" t="n">
        <f aca="false">IF( OR(C26="X",C26="x"),1/9,IF(OR(D26="x",D26="X"),1/8,IF(OR(E26="x",E26="X"),1/7,IF(OR(F26="x",F26="X"),1/6,IF(OR(G26="x",G26="X"),1/5,IF(OR(H26="x",H26="X"),1/4,IF(OR(I26="x",I26="X"),1/3,IF(OR(J26="x",J26="X"),1/2,IF(OR(K26="x",K26="X"),1,IF(OR(L26="x",L26="X"),2,IF(OR(M26="x",M26="X"),3,IF(OR(N26="x",N26="X"),4,IF(OR(O26="x",O26="X"),5,IF(OR(P26="x",P26="X"),6,IF(OR(Q26="x",Q26="X"),7,IF(OR(R26="x",R26="X"),8,IF(OR(S26="x",S26="X"),9,"???")))))))))))))))))</f>
        <v>3</v>
      </c>
      <c r="AB23" s="79" t="n">
        <f aca="false">POWER(W23*X23*Y23*Z23*AA23,1/5)</f>
        <v>1</v>
      </c>
      <c r="AC23" s="53"/>
      <c r="AD23" s="53"/>
      <c r="AE23" s="68" t="s">
        <v>77</v>
      </c>
    </row>
    <row r="24" customFormat="false" ht="26.3" hidden="false" customHeight="false" outlineLevel="0" collapsed="false">
      <c r="A24" s="73" t="str">
        <f aca="false">IF(T24=0,"Marcar una 'x'",IF(T24&gt;1,"Sobran 'x'",""))</f>
        <v/>
      </c>
      <c r="B24" s="80" t="s">
        <v>78</v>
      </c>
      <c r="C24" s="81"/>
      <c r="D24" s="82"/>
      <c r="E24" s="82"/>
      <c r="F24" s="82"/>
      <c r="G24" s="82"/>
      <c r="H24" s="82"/>
      <c r="I24" s="82" t="s">
        <v>22</v>
      </c>
      <c r="J24" s="83"/>
      <c r="K24" s="84"/>
      <c r="L24" s="85"/>
      <c r="M24" s="86"/>
      <c r="N24" s="86"/>
      <c r="O24" s="86"/>
      <c r="P24" s="86"/>
      <c r="Q24" s="86"/>
      <c r="R24" s="86"/>
      <c r="S24" s="87"/>
      <c r="T24" s="72" t="n">
        <f aca="false">COUNTIF(C24:S24,"x")</f>
        <v>1</v>
      </c>
      <c r="U24" s="74" t="n">
        <f aca="false">AB24/SUM(AB$23:AB$27)</f>
        <v>0.322618985509248</v>
      </c>
      <c r="V24" s="75" t="s">
        <v>71</v>
      </c>
      <c r="W24" s="76" t="n">
        <f aca="false">1/X23</f>
        <v>3</v>
      </c>
      <c r="X24" s="77" t="n">
        <v>1</v>
      </c>
      <c r="Y24" s="77" t="n">
        <f aca="false">IF( OR(C27="X",C27="x"),1/9,IF(OR(D27="x",D27="X"),1/8,IF(OR(E27="x",E27="X"),1/7,IF(OR(F27="x",F27="X"),1/6,IF(OR(G27="x",G27="X"),1/5,IF(OR(H27="x",H27="X"),1/4,IF(OR(I27="x",I27="X"),1/3,IF(OR(J27="x",J27="X"),1/2,IF(OR(K27="x",K27="X"),1,IF(OR(L27="x",L27="X"),2,IF(OR(M27="x",M27="X"),3,IF(OR(N27="x",N27="X"),4,IF(OR(O27="x",O27="X"),5,IF(OR(P27="x",P27="X"),6,IF(OR(Q27="x",Q27="X"),7,IF(OR(R27="x",R27="X"),8,IF(OR(S27="x",S27="X"),9,"???")))))))))))))))))</f>
        <v>1</v>
      </c>
      <c r="Z24" s="77" t="n">
        <f aca="false">IF( OR(C28="X",C28="x"),1/9,IF(OR(D28="x",D28="X"),1/8,IF(OR(E28="x",E28="X"),1/7,IF(OR(F28="x",F28="X"),1/6,IF(OR(G28="x",G28="X"),1/5,IF(OR(H28="x",H28="X"),1/4,IF(OR(I28="x",I28="X"),1/3,IF(OR(J28="x",J28="X"),1/2,IF(OR(K28="x",K28="X"),1,IF(OR(L28="x",L28="X"),2,IF(OR(M28="x",M28="X"),3,IF(OR(N28="x",N28="X"),4,IF(OR(O28="x",O28="X"),5,IF(OR(P28="x",P28="X"),6,IF(OR(Q28="x",Q28="X"),7,IF(OR(R28="x",R28="X"),8,IF(OR(S28="x",S28="X"),9,"???")))))))))))))))))</f>
        <v>3</v>
      </c>
      <c r="AA24" s="78" t="n">
        <f aca="false">IF( OR(C29="X",C29="x"),1/9,IF(OR(D29="x",D29="X"),1/8,IF(OR(E29="x",E29="X"),1/7,IF(OR(F29="x",F29="X"),1/6,IF(OR(G29="x",G29="X"),1/5,IF(OR(H29="x",H29="X"),1/4,IF(OR(I29="x",I29="X"),1/3,IF(OR(J29="x",J29="X"),1/2,IF(OR(K29="x",K29="X"),1,IF(OR(L29="x",L29="X"),2,IF(OR(M29="x",M29="X"),3,IF(OR(N29="x",N29="X"),4,IF(OR(O29="x",O29="X"),5,IF(OR(P29="x",P29="X"),6,IF(OR(Q29="x",Q29="X"),7,IF(OR(R29="x",R29="X"),8,IF(OR(S29="x",S29="X"),9,"???")))))))))))))))))</f>
        <v>3</v>
      </c>
      <c r="AB24" s="79" t="n">
        <f aca="false">POWER(W24*X24*Y24*Z24*AA24,1/5)</f>
        <v>1.93318204493176</v>
      </c>
      <c r="AC24" s="53"/>
      <c r="AD24" s="53"/>
      <c r="AE24" s="68" t="n">
        <v>0</v>
      </c>
    </row>
    <row r="25" customFormat="false" ht="26.3" hidden="false" customHeight="false" outlineLevel="0" collapsed="false">
      <c r="A25" s="73" t="str">
        <f aca="false">IF(T25=0,"Marcar una 'x'",IF(T25&gt;1,"Sobran 'x'",""))</f>
        <v/>
      </c>
      <c r="B25" s="80" t="s">
        <v>79</v>
      </c>
      <c r="C25" s="81"/>
      <c r="D25" s="82"/>
      <c r="E25" s="82"/>
      <c r="F25" s="82"/>
      <c r="G25" s="82"/>
      <c r="H25" s="82"/>
      <c r="I25" s="82"/>
      <c r="J25" s="83"/>
      <c r="K25" s="84"/>
      <c r="L25" s="85"/>
      <c r="M25" s="86" t="s">
        <v>22</v>
      </c>
      <c r="N25" s="86"/>
      <c r="O25" s="86"/>
      <c r="P25" s="86"/>
      <c r="Q25" s="86"/>
      <c r="R25" s="86"/>
      <c r="S25" s="87"/>
      <c r="T25" s="72" t="n">
        <f aca="false">COUNTIF(C25:S25,"x")</f>
        <v>1</v>
      </c>
      <c r="U25" s="74" t="n">
        <f aca="false">AB25/SUM(AB$23:AB$27)</f>
        <v>0.341725721026377</v>
      </c>
      <c r="V25" s="75" t="s">
        <v>72</v>
      </c>
      <c r="W25" s="76" t="n">
        <f aca="false">1/Y23</f>
        <v>3</v>
      </c>
      <c r="X25" s="77" t="n">
        <f aca="false">1/Y24</f>
        <v>1</v>
      </c>
      <c r="Y25" s="77" t="n">
        <v>1</v>
      </c>
      <c r="Z25" s="77" t="n">
        <f aca="false">IF( OR(C30="X",C30="x"),1/9,IF(OR(D30="x",D30="X"),1/8,IF(OR(E30="x",E30="X"),1/7,IF(OR(F30="x",F30="X"),1/6,IF(OR(G30="x",G30="X"),1/5,IF(OR(H30="x",H30="X"),1/4,IF(OR(I30="x",I30="X"),1/3,IF(OR(J30="x",J30="X"),1/2,IF(OR(K30="x",K30="X"),1,IF(OR(L30="x",L30="X"),2,IF(OR(M30="x",M30="X"),3,IF(OR(N30="x",N30="X"),4,IF(OR(O30="x",O30="X"),5,IF(OR(P30="x",P30="X"),6,IF(OR(Q30="x",Q30="X"),7,IF(OR(R30="x",R30="X"),8,IF(OR(S30="x",S30="X"),9,"???")))))))))))))))))</f>
        <v>3</v>
      </c>
      <c r="AA25" s="78" t="n">
        <f aca="false">IF( OR(C31="X",C31="x"),1/9,IF(OR(D31="x",D31="X"),1/8,IF(OR(E31="x",E31="X"),1/7,IF(OR(F31="x",F31="X"),1/6,IF(OR(G31="x",G31="X"),1/5,IF(OR(H31="x",H31="X"),1/4,IF(OR(I31="x",I31="X"),1/3,IF(OR(J31="x",J31="X"),1/2,IF(OR(K31="x",K31="X"),1,IF(OR(L31="x",L31="X"),2,IF(OR(M31="x",M31="X"),3,IF(OR(N31="x",N31="X"),4,IF(OR(O31="x",O31="X"),5,IF(OR(P31="x",P31="X"),6,IF(OR(Q31="x",Q31="X"),7,IF(OR(R31="x",R31="X"),8,IF(OR(S31="x",S31="X"),9,"???")))))))))))))))))</f>
        <v>4</v>
      </c>
      <c r="AB25" s="79" t="n">
        <f aca="false">POWER(W25*X25*Y25*Z25*AA25,1/5)</f>
        <v>2.04767251107922</v>
      </c>
      <c r="AC25" s="53"/>
      <c r="AD25" s="53"/>
      <c r="AE25" s="68" t="n">
        <v>0</v>
      </c>
    </row>
    <row r="26" customFormat="false" ht="26.3" hidden="false" customHeight="false" outlineLevel="0" collapsed="false">
      <c r="A26" s="73" t="str">
        <f aca="false">IF(T26=0,"Marcar una 'x'",IF(T26&gt;1,"Sobran 'x'",""))</f>
        <v/>
      </c>
      <c r="B26" s="80" t="s">
        <v>80</v>
      </c>
      <c r="C26" s="81"/>
      <c r="D26" s="82"/>
      <c r="E26" s="82"/>
      <c r="F26" s="82"/>
      <c r="G26" s="82"/>
      <c r="H26" s="82"/>
      <c r="I26" s="82"/>
      <c r="J26" s="83"/>
      <c r="K26" s="84"/>
      <c r="L26" s="85"/>
      <c r="M26" s="86" t="s">
        <v>22</v>
      </c>
      <c r="N26" s="86"/>
      <c r="O26" s="86"/>
      <c r="P26" s="86"/>
      <c r="Q26" s="86"/>
      <c r="R26" s="86"/>
      <c r="S26" s="87"/>
      <c r="T26" s="72" t="n">
        <f aca="false">COUNTIF(C26:S26,"x")</f>
        <v>1</v>
      </c>
      <c r="U26" s="74" t="n">
        <f aca="false">AB26/SUM(AB$23:AB$27)</f>
        <v>0.0751516320348125</v>
      </c>
      <c r="V26" s="75" t="s">
        <v>81</v>
      </c>
      <c r="W26" s="76" t="n">
        <f aca="false">1/Z23</f>
        <v>0.333333333333333</v>
      </c>
      <c r="X26" s="77" t="n">
        <f aca="false">1/Z24</f>
        <v>0.333333333333333</v>
      </c>
      <c r="Y26" s="77" t="n">
        <f aca="false">1/Z25</f>
        <v>0.333333333333333</v>
      </c>
      <c r="Z26" s="77" t="n">
        <v>1</v>
      </c>
      <c r="AA26" s="78" t="n">
        <f aca="false">IF( OR(C32="X",C32="x"),1/9,IF(OR(D32="x",D32="X"),1/8,IF(OR(E32="x",E32="X"),1/7,IF(OR(F32="x",F32="X"),1/6,IF(OR(G32="x",G32="X"),1/5,IF(OR(H32="x",H32="X"),1/4,IF(OR(I32="x",I32="X"),1/3,IF(OR(J32="x",J32="X"),1/2,IF(OR(K32="x",K32="X"),1,IF(OR(L32="x",L32="X"),2,IF(OR(M32="x",M32="X"),3,IF(OR(N32="x",N32="X"),4,IF(OR(O32="x",O32="X"),5,IF(OR(P32="x",P32="X"),6,IF(OR(Q32="x",Q32="X"),7,IF(OR(R32="x",R32="X"),8,IF(OR(S32="x",S32="X"),9,"???")))))))))))))))))</f>
        <v>0.5</v>
      </c>
      <c r="AB26" s="79" t="n">
        <f aca="false">POWER(W26*X26*Y26*Z26*AA26,1/5)</f>
        <v>0.450320012840204</v>
      </c>
      <c r="AC26" s="53"/>
      <c r="AD26" s="53"/>
      <c r="AE26" s="68" t="n">
        <v>0.58</v>
      </c>
    </row>
    <row r="27" customFormat="false" ht="26.3" hidden="false" customHeight="false" outlineLevel="0" collapsed="false">
      <c r="A27" s="73" t="str">
        <f aca="false">IF(T27=0,"Marcar una 'x'",IF(T27&gt;1,"Sobran 'x'",""))</f>
        <v/>
      </c>
      <c r="B27" s="80" t="s">
        <v>82</v>
      </c>
      <c r="C27" s="81"/>
      <c r="D27" s="82"/>
      <c r="E27" s="82"/>
      <c r="F27" s="82"/>
      <c r="G27" s="82"/>
      <c r="H27" s="82"/>
      <c r="I27" s="82"/>
      <c r="J27" s="83"/>
      <c r="K27" s="84" t="s">
        <v>22</v>
      </c>
      <c r="L27" s="85"/>
      <c r="M27" s="86"/>
      <c r="N27" s="86"/>
      <c r="O27" s="86"/>
      <c r="P27" s="86"/>
      <c r="Q27" s="86"/>
      <c r="R27" s="86"/>
      <c r="S27" s="87"/>
      <c r="T27" s="72" t="n">
        <f aca="false">COUNTIF(C27:S27,"x")</f>
        <v>1</v>
      </c>
      <c r="U27" s="74" t="n">
        <f aca="false">AB27/SUM(AB$23:AB$27)</f>
        <v>0.0936187131883666</v>
      </c>
      <c r="V27" s="75" t="s">
        <v>74</v>
      </c>
      <c r="W27" s="76" t="n">
        <f aca="false">1/AA23</f>
        <v>0.333333333333333</v>
      </c>
      <c r="X27" s="77" t="n">
        <f aca="false">1/AA24</f>
        <v>0.333333333333333</v>
      </c>
      <c r="Y27" s="77" t="n">
        <f aca="false">1/AA25</f>
        <v>0.25</v>
      </c>
      <c r="Z27" s="77" t="n">
        <f aca="false">1/AA26</f>
        <v>2</v>
      </c>
      <c r="AA27" s="78" t="n">
        <v>1</v>
      </c>
      <c r="AB27" s="79" t="n">
        <f aca="false">POWER(W27*X27*Y27*Z27*AA27,1/5)</f>
        <v>0.5609775727231</v>
      </c>
      <c r="AD27" s="53"/>
      <c r="AE27" s="68" t="n">
        <v>4</v>
      </c>
      <c r="AF27" s="68" t="n">
        <v>0.9</v>
      </c>
    </row>
    <row r="28" customFormat="false" ht="26.3" hidden="false" customHeight="false" outlineLevel="0" collapsed="false">
      <c r="A28" s="73" t="str">
        <f aca="false">IF(T28=0,"Marcar una 'x'",IF(T28&gt;1,"Sobran 'x'",""))</f>
        <v/>
      </c>
      <c r="B28" s="80" t="s">
        <v>83</v>
      </c>
      <c r="C28" s="81"/>
      <c r="D28" s="82"/>
      <c r="E28" s="82"/>
      <c r="F28" s="82"/>
      <c r="G28" s="82"/>
      <c r="H28" s="82"/>
      <c r="I28" s="82"/>
      <c r="J28" s="83"/>
      <c r="K28" s="84"/>
      <c r="L28" s="85"/>
      <c r="M28" s="86" t="s">
        <v>22</v>
      </c>
      <c r="N28" s="86"/>
      <c r="O28" s="86"/>
      <c r="P28" s="86"/>
      <c r="Q28" s="86"/>
      <c r="R28" s="86"/>
      <c r="S28" s="87"/>
      <c r="T28" s="72" t="n">
        <f aca="false">COUNTIF(C28:S28,"x")</f>
        <v>1</v>
      </c>
      <c r="U28" s="88" t="s">
        <v>84</v>
      </c>
      <c r="V28" s="89" t="n">
        <f aca="false">AB30/1.12</f>
        <v>0.0496524625270421</v>
      </c>
      <c r="W28" s="90" t="n">
        <f aca="false">SUM(W23:W27)</f>
        <v>7.66666666666667</v>
      </c>
      <c r="X28" s="90" t="n">
        <f aca="false">SUM(X23:X27)</f>
        <v>3</v>
      </c>
      <c r="Y28" s="90" t="n">
        <f aca="false">SUM(Y23:Y27)</f>
        <v>2.91666666666667</v>
      </c>
      <c r="Z28" s="90" t="n">
        <f aca="false">SUM(Z23:Z27)</f>
        <v>12</v>
      </c>
      <c r="AA28" s="90" t="n">
        <f aca="false">SUM(AA23:AA27)</f>
        <v>11.5</v>
      </c>
      <c r="AB28" s="68"/>
      <c r="AD28" s="53"/>
      <c r="AE28" s="68" t="n">
        <v>5</v>
      </c>
      <c r="AF28" s="68" t="n">
        <v>1.12</v>
      </c>
    </row>
    <row r="29" customFormat="false" ht="31.9" hidden="false" customHeight="true" outlineLevel="0" collapsed="false">
      <c r="A29" s="73" t="str">
        <f aca="false">IF(T29=0,"Marcar una 'x'",IF(T29&gt;1,"Sobran 'x'",""))</f>
        <v/>
      </c>
      <c r="B29" s="80" t="s">
        <v>85</v>
      </c>
      <c r="C29" s="81"/>
      <c r="D29" s="82"/>
      <c r="E29" s="82"/>
      <c r="F29" s="82"/>
      <c r="G29" s="82"/>
      <c r="H29" s="82"/>
      <c r="I29" s="82"/>
      <c r="J29" s="83"/>
      <c r="K29" s="84"/>
      <c r="L29" s="85"/>
      <c r="M29" s="86" t="s">
        <v>22</v>
      </c>
      <c r="N29" s="86"/>
      <c r="O29" s="86"/>
      <c r="P29" s="86"/>
      <c r="Q29" s="86"/>
      <c r="R29" s="86"/>
      <c r="S29" s="87"/>
      <c r="T29" s="72" t="n">
        <f aca="false">COUNTIF(C29:S29,"x")</f>
        <v>1</v>
      </c>
      <c r="U29" s="91" t="s">
        <v>86</v>
      </c>
      <c r="V29" s="91"/>
      <c r="W29" s="68" t="n">
        <f aca="false">W28*U23</f>
        <v>1.27945126984917</v>
      </c>
      <c r="X29" s="68" t="n">
        <f aca="false">X28*U24</f>
        <v>0.967856956527744</v>
      </c>
      <c r="Y29" s="68" t="n">
        <f aca="false">Y28*U25</f>
        <v>0.996700019660265</v>
      </c>
      <c r="Z29" s="68" t="n">
        <f aca="false">Z28*U26</f>
        <v>0.90181958441775</v>
      </c>
      <c r="AA29" s="68" t="n">
        <f aca="false">AA28*U27</f>
        <v>1.07661520166622</v>
      </c>
      <c r="AB29" s="92" t="n">
        <f aca="false">SUM(W29:AA29)</f>
        <v>5.22244303212115</v>
      </c>
      <c r="AD29" s="53"/>
      <c r="AE29" s="68" t="n">
        <v>6</v>
      </c>
      <c r="AF29" s="68" t="n">
        <v>1.24</v>
      </c>
    </row>
    <row r="30" customFormat="false" ht="26.3" hidden="false" customHeight="false" outlineLevel="0" collapsed="false">
      <c r="A30" s="73" t="str">
        <f aca="false">IF(T30=0,"Marcar una 'x'",IF(T30&gt;1,"Sobran 'x'",""))</f>
        <v/>
      </c>
      <c r="B30" s="80" t="s">
        <v>87</v>
      </c>
      <c r="C30" s="81"/>
      <c r="D30" s="82"/>
      <c r="E30" s="82"/>
      <c r="F30" s="82"/>
      <c r="G30" s="82"/>
      <c r="H30" s="82"/>
      <c r="I30" s="82"/>
      <c r="J30" s="83"/>
      <c r="K30" s="84"/>
      <c r="L30" s="85"/>
      <c r="M30" s="86" t="s">
        <v>22</v>
      </c>
      <c r="N30" s="86"/>
      <c r="O30" s="86"/>
      <c r="P30" s="86"/>
      <c r="Q30" s="86"/>
      <c r="R30" s="86"/>
      <c r="S30" s="87"/>
      <c r="T30" s="72" t="n">
        <f aca="false">COUNTIF(C30:S30,"x")</f>
        <v>1</v>
      </c>
      <c r="U30" s="91"/>
      <c r="V30" s="91"/>
      <c r="W30" s="68"/>
      <c r="X30" s="68"/>
      <c r="Y30" s="68"/>
      <c r="Z30" s="68"/>
      <c r="AA30" s="68"/>
      <c r="AB30" s="68" t="n">
        <f aca="false">(AB29-5)/4</f>
        <v>0.0556107580302871</v>
      </c>
      <c r="AD30" s="53"/>
      <c r="AE30" s="68"/>
      <c r="AF30" s="68"/>
    </row>
    <row r="31" customFormat="false" ht="26.3" hidden="false" customHeight="false" outlineLevel="0" collapsed="false">
      <c r="A31" s="73" t="str">
        <f aca="false">IF(T31=0,"Marcar una 'x'",IF(T31&gt;1,"Sobran 'x'",""))</f>
        <v/>
      </c>
      <c r="B31" s="80" t="s">
        <v>88</v>
      </c>
      <c r="C31" s="81"/>
      <c r="D31" s="82"/>
      <c r="E31" s="82"/>
      <c r="F31" s="82"/>
      <c r="G31" s="82"/>
      <c r="H31" s="82"/>
      <c r="I31" s="82"/>
      <c r="J31" s="83"/>
      <c r="K31" s="84"/>
      <c r="L31" s="85"/>
      <c r="M31" s="86"/>
      <c r="N31" s="86" t="s">
        <v>22</v>
      </c>
      <c r="O31" s="86"/>
      <c r="P31" s="86"/>
      <c r="Q31" s="86"/>
      <c r="R31" s="86"/>
      <c r="S31" s="87"/>
      <c r="T31" s="72" t="n">
        <f aca="false">COUNTIF(C31:S31,"x")</f>
        <v>1</v>
      </c>
      <c r="U31" s="93"/>
      <c r="V31" s="53"/>
      <c r="W31" s="53"/>
      <c r="X31" s="53"/>
      <c r="Y31" s="53"/>
      <c r="Z31" s="53"/>
      <c r="AA31" s="53"/>
      <c r="AB31" s="53"/>
      <c r="AD31" s="53"/>
      <c r="AE31" s="68"/>
      <c r="AF31" s="68"/>
    </row>
    <row r="32" customFormat="false" ht="26.3" hidden="false" customHeight="false" outlineLevel="0" collapsed="false">
      <c r="A32" s="73" t="str">
        <f aca="false">IF(T32=0,"Marcar una 'x'",IF(T32&gt;1,"Sobran 'x'",""))</f>
        <v/>
      </c>
      <c r="B32" s="80" t="s">
        <v>89</v>
      </c>
      <c r="C32" s="81"/>
      <c r="D32" s="82"/>
      <c r="E32" s="82"/>
      <c r="F32" s="82"/>
      <c r="G32" s="82"/>
      <c r="H32" s="82"/>
      <c r="I32" s="82"/>
      <c r="J32" s="83" t="s">
        <v>22</v>
      </c>
      <c r="K32" s="84"/>
      <c r="L32" s="85"/>
      <c r="M32" s="86"/>
      <c r="N32" s="86"/>
      <c r="O32" s="86"/>
      <c r="P32" s="86"/>
      <c r="Q32" s="86"/>
      <c r="R32" s="86"/>
      <c r="S32" s="87"/>
      <c r="T32" s="72" t="n">
        <f aca="false">COUNTIF(C32:S32,"x")</f>
        <v>1</v>
      </c>
      <c r="U32" s="93"/>
      <c r="V32" s="53"/>
      <c r="W32" s="53"/>
      <c r="X32" s="53"/>
      <c r="Y32" s="53"/>
      <c r="Z32" s="53"/>
      <c r="AA32" s="53"/>
      <c r="AB32" s="53"/>
      <c r="AC32" s="53"/>
      <c r="AD32" s="53"/>
      <c r="AE32" s="68" t="n">
        <v>7</v>
      </c>
      <c r="AF32" s="68" t="n">
        <v>1.32</v>
      </c>
    </row>
    <row r="33" customFormat="false" ht="57" hidden="false" customHeight="true" outlineLevel="0" collapsed="false">
      <c r="A33" s="53"/>
      <c r="B33" s="53"/>
      <c r="C33" s="53"/>
      <c r="D33" s="53"/>
      <c r="E33" s="53"/>
      <c r="F33" s="53"/>
      <c r="G33" s="53"/>
      <c r="H33" s="53"/>
      <c r="I33" s="53"/>
      <c r="J33" s="53"/>
      <c r="K33" s="53"/>
      <c r="L33" s="53"/>
      <c r="M33" s="53"/>
      <c r="N33" s="53"/>
      <c r="O33" s="53"/>
      <c r="P33" s="53"/>
      <c r="Q33" s="53"/>
      <c r="R33" s="53"/>
      <c r="S33" s="53"/>
      <c r="T33" s="72"/>
      <c r="U33" s="53"/>
      <c r="V33" s="53"/>
      <c r="W33" s="53"/>
      <c r="X33" s="53"/>
      <c r="Y33" s="53"/>
      <c r="Z33" s="53"/>
      <c r="AA33" s="53"/>
      <c r="AB33" s="53"/>
      <c r="AC33" s="53"/>
      <c r="AD33" s="53"/>
    </row>
    <row r="34" customFormat="false" ht="15" hidden="false" customHeight="false" outlineLevel="0" collapsed="false">
      <c r="A34" s="53"/>
      <c r="B34" s="15"/>
      <c r="C34" s="16" t="s">
        <v>11</v>
      </c>
      <c r="D34" s="16"/>
      <c r="E34" s="16"/>
      <c r="F34" s="16"/>
      <c r="G34" s="16"/>
      <c r="H34" s="16"/>
      <c r="I34" s="16"/>
      <c r="J34" s="16"/>
      <c r="K34" s="16"/>
      <c r="L34" s="16"/>
      <c r="M34" s="16"/>
      <c r="N34" s="16"/>
      <c r="O34" s="16"/>
      <c r="P34" s="16"/>
      <c r="Q34" s="16"/>
      <c r="R34" s="16"/>
      <c r="S34" s="16"/>
      <c r="T34" s="72"/>
      <c r="U34" s="53"/>
      <c r="V34" s="53"/>
      <c r="W34" s="53"/>
      <c r="X34" s="53"/>
      <c r="Y34" s="53"/>
      <c r="Z34" s="53"/>
      <c r="AA34" s="53"/>
      <c r="AB34" s="94"/>
      <c r="AC34" s="53"/>
      <c r="AD34" s="95"/>
      <c r="AE34" s="68" t="n">
        <v>1.51</v>
      </c>
    </row>
    <row r="35" customFormat="false" ht="15" hidden="false" customHeight="false" outlineLevel="0" collapsed="false">
      <c r="A35" s="53"/>
      <c r="B35" s="17"/>
      <c r="C35" s="57" t="s">
        <v>12</v>
      </c>
      <c r="D35" s="57"/>
      <c r="E35" s="57"/>
      <c r="F35" s="57"/>
      <c r="G35" s="57"/>
      <c r="H35" s="57"/>
      <c r="I35" s="57"/>
      <c r="J35" s="57"/>
      <c r="K35" s="58" t="s">
        <v>13</v>
      </c>
      <c r="L35" s="59" t="s">
        <v>14</v>
      </c>
      <c r="M35" s="59"/>
      <c r="N35" s="59"/>
      <c r="O35" s="59"/>
      <c r="P35" s="59"/>
      <c r="Q35" s="59"/>
      <c r="R35" s="59"/>
      <c r="S35" s="59"/>
      <c r="T35" s="72"/>
      <c r="U35" s="53"/>
      <c r="V35" s="53"/>
      <c r="W35" s="53"/>
      <c r="X35" s="53"/>
      <c r="Y35" s="53"/>
      <c r="Z35" s="53"/>
      <c r="AA35" s="53"/>
      <c r="AB35" s="53"/>
      <c r="AC35" s="53"/>
      <c r="AD35" s="95"/>
    </row>
    <row r="36" customFormat="false" ht="23.65" hidden="false" customHeight="false" outlineLevel="0" collapsed="false">
      <c r="A36" s="53"/>
      <c r="B36" s="96" t="s">
        <v>70</v>
      </c>
      <c r="C36" s="61" t="s">
        <v>16</v>
      </c>
      <c r="D36" s="62"/>
      <c r="E36" s="62" t="s">
        <v>17</v>
      </c>
      <c r="F36" s="62"/>
      <c r="G36" s="62" t="s">
        <v>18</v>
      </c>
      <c r="H36" s="62"/>
      <c r="I36" s="62" t="s">
        <v>19</v>
      </c>
      <c r="J36" s="63"/>
      <c r="K36" s="64" t="s">
        <v>20</v>
      </c>
      <c r="L36" s="65"/>
      <c r="M36" s="66" t="s">
        <v>19</v>
      </c>
      <c r="N36" s="66"/>
      <c r="O36" s="66" t="s">
        <v>18</v>
      </c>
      <c r="P36" s="66"/>
      <c r="Q36" s="66" t="s">
        <v>17</v>
      </c>
      <c r="R36" s="66"/>
      <c r="S36" s="67" t="s">
        <v>16</v>
      </c>
      <c r="T36" s="72"/>
      <c r="U36" s="69"/>
      <c r="V36" s="97" t="s">
        <v>70</v>
      </c>
      <c r="W36" s="98" t="s">
        <v>90</v>
      </c>
      <c r="X36" s="98" t="s">
        <v>91</v>
      </c>
      <c r="Y36" s="98" t="s">
        <v>92</v>
      </c>
      <c r="Z36" s="99"/>
      <c r="AA36" s="53"/>
      <c r="AB36" s="53"/>
      <c r="AC36" s="95"/>
    </row>
    <row r="37" customFormat="false" ht="26.3" hidden="false" customHeight="false" outlineLevel="0" collapsed="false">
      <c r="A37" s="73" t="str">
        <f aca="false">IF(T37=0,"Marcar una 'x'",IF(T37&gt;1,"Sobran 'x'",""))</f>
        <v/>
      </c>
      <c r="B37" s="29" t="s">
        <v>93</v>
      </c>
      <c r="C37" s="30"/>
      <c r="D37" s="31"/>
      <c r="E37" s="31"/>
      <c r="F37" s="31"/>
      <c r="G37" s="31"/>
      <c r="H37" s="31"/>
      <c r="I37" s="31"/>
      <c r="J37" s="32"/>
      <c r="K37" s="33"/>
      <c r="L37" s="34"/>
      <c r="M37" s="35" t="s">
        <v>22</v>
      </c>
      <c r="N37" s="35"/>
      <c r="O37" s="35"/>
      <c r="P37" s="35"/>
      <c r="Q37" s="35"/>
      <c r="R37" s="35"/>
      <c r="S37" s="36"/>
      <c r="T37" s="72" t="n">
        <f aca="false">COUNTIF(C37:S37,"x")</f>
        <v>1</v>
      </c>
      <c r="U37" s="74" t="n">
        <f aca="false">Z37/SUM(Z$37:Z$39)</f>
        <v>0.3</v>
      </c>
      <c r="V37" s="100" t="s">
        <v>90</v>
      </c>
      <c r="W37" s="76" t="n">
        <v>1</v>
      </c>
      <c r="X37" s="77" t="n">
        <f aca="false">IF( OR(C37="X",C37="x"),1/9,IF(OR(D37="x",D37="X"),1/8,IF(OR(E37="x",E37="X"),1/7,IF(OR(F37="x",F37="X"),1/6,IF(OR(G37="x",G37="X"),1/5,IF(OR(H37="x",H37="X"),1/4,IF(OR(I37="x",I37="X"),1/3,IF(OR(J37="x",J37="X"),1/2,IF(OR(K37="x",K37="X"),1,IF(OR(L37="x",L37="X"),2,IF(OR(M37="x",M37="X"),3,IF(OR(N37="x",N37="X"),4,IF(OR(O37="x",O37="X"),5,IF(OR(P37="x",P37="X"),6,IF(OR(Q37="x",Q37="X"),7,IF(OR(R37="x",R37="X"),8,IF(OR(S37="x",S37="X"),9,"???")))))))))))))))))</f>
        <v>3</v>
      </c>
      <c r="Y37" s="78" t="n">
        <f aca="false">IF( OR(C38="X",C38="x"),1/9,IF(OR(D38="x",D38="X"),1/8,IF(OR(E38="x",E38="X"),1/7,IF(OR(F38="x",F38="X"),1/6,IF(OR(G38="x",G38="X"),1/5,IF(OR(H38="x",H38="X"),1/4,IF(OR(I38="x",I38="X"),1/3,IF(OR(J38="x",J38="X"),1/2,IF(OR(K38="x",K38="X"),1,IF(OR(L38="x",L38="X"),2,IF(OR(M38="x",M38="X"),3,IF(OR(N38="x",N38="X"),4,IF(OR(O38="x",O38="X"),5,IF(OR(P38="x",P38="X"),6,IF(OR(Q38="x",Q38="X"),7,IF(OR(R38="x",R38="X"),8,IF(OR(S38="x",S38="X"),9,"???")))))))))))))))))</f>
        <v>0.5</v>
      </c>
      <c r="Z37" s="79" t="n">
        <f aca="false">POWER(W37*X37*Y37,1/3)</f>
        <v>1.14471424255333</v>
      </c>
      <c r="AA37" s="77"/>
      <c r="AB37" s="101"/>
      <c r="AC37" s="53"/>
      <c r="AD37" s="47"/>
    </row>
    <row r="38" customFormat="false" ht="26.3" hidden="false" customHeight="false" outlineLevel="0" collapsed="false">
      <c r="A38" s="73" t="str">
        <f aca="false">IF(T38=0,"Marcar una 'x'",IF(T38&gt;1,"Sobran 'x'",""))</f>
        <v/>
      </c>
      <c r="B38" s="29" t="s">
        <v>94</v>
      </c>
      <c r="C38" s="30"/>
      <c r="D38" s="31"/>
      <c r="E38" s="31"/>
      <c r="F38" s="31"/>
      <c r="G38" s="31"/>
      <c r="H38" s="31"/>
      <c r="I38" s="31"/>
      <c r="J38" s="32" t="s">
        <v>22</v>
      </c>
      <c r="K38" s="33"/>
      <c r="L38" s="34"/>
      <c r="M38" s="35"/>
      <c r="N38" s="35"/>
      <c r="O38" s="35"/>
      <c r="P38" s="35"/>
      <c r="Q38" s="35"/>
      <c r="R38" s="35"/>
      <c r="S38" s="36"/>
      <c r="T38" s="72" t="n">
        <f aca="false">COUNTIF(C38:S38,"x")</f>
        <v>1</v>
      </c>
      <c r="U38" s="74" t="n">
        <f aca="false">Z38/SUM(Z$37:Z$39)</f>
        <v>0.1</v>
      </c>
      <c r="V38" s="100" t="s">
        <v>91</v>
      </c>
      <c r="W38" s="76" t="n">
        <f aca="false">1/X37</f>
        <v>0.333333333333333</v>
      </c>
      <c r="X38" s="77" t="n">
        <v>1</v>
      </c>
      <c r="Y38" s="78" t="n">
        <f aca="false">IF( OR(C39="X",C39="x"),1/9,IF(OR(D39="x",D39="X"),1/8,IF(OR(E39="x",E39="X"),1/7,IF(OR(F39="x",F39="X"),1/6,IF(OR(G39="x",G39="X"),1/5,IF(OR(H39="x",H39="X"),1/4,IF(OR(I39="x",I39="X"),1/3,IF(OR(J39="x",J39="X"),1/2,IF(OR(K39="x",K39="X"),1,IF(OR(L39="x",L39="X"),2,IF(OR(M39="x",M39="X"),3,IF(OR(N39="x",N39="X"),4,IF(OR(O39="x",O39="X"),5,IF(OR(P39="x",P39="X"),6,IF(OR(Q39="x",Q39="X"),7,IF(OR(R39="x",R39="X"),8,IF(OR(S39="x",S39="X"),9,"???")))))))))))))))))</f>
        <v>0.166666666666667</v>
      </c>
      <c r="Z38" s="79" t="n">
        <f aca="false">POWER(W38*X38*Y38,1/3)</f>
        <v>0.381571414184444</v>
      </c>
      <c r="AA38" s="77"/>
      <c r="AB38" s="101"/>
      <c r="AC38" s="53"/>
      <c r="AD38" s="47"/>
    </row>
    <row r="39" customFormat="false" ht="26.3" hidden="false" customHeight="false" outlineLevel="0" collapsed="false">
      <c r="A39" s="73" t="str">
        <f aca="false">IF(T39=0,"Marcar una 'x'",IF(T39&gt;1,"Sobran 'x'",""))</f>
        <v/>
      </c>
      <c r="B39" s="29" t="s">
        <v>95</v>
      </c>
      <c r="C39" s="30"/>
      <c r="D39" s="31"/>
      <c r="E39" s="31"/>
      <c r="F39" s="31" t="s">
        <v>22</v>
      </c>
      <c r="G39" s="31"/>
      <c r="H39" s="31"/>
      <c r="I39" s="31"/>
      <c r="J39" s="32"/>
      <c r="K39" s="33"/>
      <c r="L39" s="34"/>
      <c r="M39" s="35"/>
      <c r="N39" s="35"/>
      <c r="O39" s="35"/>
      <c r="P39" s="35"/>
      <c r="Q39" s="35"/>
      <c r="R39" s="35"/>
      <c r="S39" s="36"/>
      <c r="T39" s="72" t="n">
        <f aca="false">COUNTIF(C39:S39,"x")</f>
        <v>1</v>
      </c>
      <c r="U39" s="74" t="n">
        <f aca="false">Z39/SUM(Z$37:Z$39)</f>
        <v>0.6</v>
      </c>
      <c r="V39" s="100" t="s">
        <v>92</v>
      </c>
      <c r="W39" s="76" t="n">
        <f aca="false">1/Y37</f>
        <v>2</v>
      </c>
      <c r="X39" s="77" t="n">
        <f aca="false">1/Y38</f>
        <v>6</v>
      </c>
      <c r="Y39" s="78" t="n">
        <v>1</v>
      </c>
      <c r="Z39" s="79" t="n">
        <f aca="false">POWER(W39*X39*Y39,1/3)</f>
        <v>2.28942848510666</v>
      </c>
      <c r="AA39" s="77"/>
      <c r="AB39" s="101"/>
      <c r="AC39" s="53"/>
      <c r="AD39" s="47"/>
    </row>
    <row r="40" customFormat="false" ht="24.45" hidden="false" customHeight="false" outlineLevel="0" collapsed="false">
      <c r="A40" s="53"/>
      <c r="B40" s="102"/>
      <c r="C40" s="103"/>
      <c r="D40" s="103"/>
      <c r="E40" s="103"/>
      <c r="F40" s="103"/>
      <c r="G40" s="103"/>
      <c r="H40" s="103"/>
      <c r="I40" s="103"/>
      <c r="J40" s="103"/>
      <c r="K40" s="104"/>
      <c r="L40" s="104"/>
      <c r="M40" s="103"/>
      <c r="N40" s="103"/>
      <c r="O40" s="103"/>
      <c r="P40" s="103"/>
      <c r="Q40" s="103"/>
      <c r="R40" s="103"/>
      <c r="S40" s="103"/>
      <c r="T40" s="105"/>
      <c r="U40" s="88" t="s">
        <v>84</v>
      </c>
      <c r="V40" s="89" t="n">
        <f aca="false">Z42/0.58</f>
        <v>0</v>
      </c>
      <c r="W40" s="106" t="n">
        <f aca="false">SUM(W37:W39)</f>
        <v>3.33333333333333</v>
      </c>
      <c r="X40" s="106" t="n">
        <f aca="false">SUM(X37:X39)</f>
        <v>10</v>
      </c>
      <c r="Y40" s="106" t="n">
        <f aca="false">SUM(Y37:Y39)</f>
        <v>1.66666666666667</v>
      </c>
      <c r="Z40" s="68"/>
      <c r="AA40" s="107"/>
      <c r="AB40" s="101"/>
      <c r="AC40" s="53"/>
      <c r="AD40" s="47"/>
    </row>
    <row r="41" customFormat="false" ht="24.45" hidden="false" customHeight="true" outlineLevel="0" collapsed="false">
      <c r="A41" s="53"/>
      <c r="B41" s="102"/>
      <c r="C41" s="103"/>
      <c r="D41" s="103"/>
      <c r="E41" s="103"/>
      <c r="F41" s="103"/>
      <c r="G41" s="103"/>
      <c r="H41" s="103"/>
      <c r="I41" s="103"/>
      <c r="J41" s="103"/>
      <c r="K41" s="104"/>
      <c r="L41" s="104"/>
      <c r="M41" s="103"/>
      <c r="N41" s="103"/>
      <c r="O41" s="103"/>
      <c r="P41" s="103"/>
      <c r="Q41" s="103"/>
      <c r="R41" s="103"/>
      <c r="S41" s="103"/>
      <c r="T41" s="105"/>
      <c r="U41" s="91" t="s">
        <v>86</v>
      </c>
      <c r="V41" s="91"/>
      <c r="W41" s="68" t="n">
        <f aca="false">W40*U37</f>
        <v>1</v>
      </c>
      <c r="X41" s="68" t="n">
        <f aca="false">X40*U38</f>
        <v>1</v>
      </c>
      <c r="Y41" s="68" t="n">
        <f aca="false">Y40*U39</f>
        <v>1</v>
      </c>
      <c r="Z41" s="92" t="n">
        <f aca="false">SUM(W41:Y41)</f>
        <v>3</v>
      </c>
      <c r="AA41" s="108"/>
      <c r="AB41" s="101"/>
      <c r="AC41" s="53"/>
      <c r="AD41" s="47"/>
    </row>
    <row r="42" customFormat="false" ht="24.45" hidden="false" customHeight="false" outlineLevel="0" collapsed="false">
      <c r="A42" s="53"/>
      <c r="B42" s="102"/>
      <c r="C42" s="103"/>
      <c r="D42" s="103"/>
      <c r="E42" s="103"/>
      <c r="F42" s="103"/>
      <c r="G42" s="103"/>
      <c r="H42" s="103"/>
      <c r="I42" s="103"/>
      <c r="J42" s="103"/>
      <c r="K42" s="104"/>
      <c r="L42" s="104"/>
      <c r="M42" s="103"/>
      <c r="N42" s="103"/>
      <c r="O42" s="103"/>
      <c r="P42" s="103"/>
      <c r="Q42" s="103"/>
      <c r="R42" s="103"/>
      <c r="S42" s="103"/>
      <c r="T42" s="105"/>
      <c r="U42" s="91"/>
      <c r="V42" s="91"/>
      <c r="W42" s="68"/>
      <c r="X42" s="68"/>
      <c r="Y42" s="68"/>
      <c r="Z42" s="68" t="n">
        <f aca="false">(Z41-3)/2</f>
        <v>0</v>
      </c>
      <c r="AA42" s="108"/>
    </row>
    <row r="43" customFormat="false" ht="24.45" hidden="false" customHeight="false" outlineLevel="0" collapsed="false">
      <c r="A43" s="53"/>
      <c r="B43" s="102"/>
      <c r="C43" s="103"/>
      <c r="D43" s="103"/>
      <c r="E43" s="103"/>
      <c r="F43" s="103"/>
      <c r="G43" s="103"/>
      <c r="H43" s="103"/>
      <c r="I43" s="103"/>
      <c r="J43" s="103"/>
      <c r="K43" s="104"/>
      <c r="L43" s="104"/>
      <c r="M43" s="103"/>
      <c r="N43" s="103"/>
      <c r="O43" s="103"/>
      <c r="P43" s="103"/>
      <c r="Q43" s="103"/>
      <c r="R43" s="103"/>
      <c r="S43" s="103"/>
      <c r="T43" s="53"/>
      <c r="U43" s="109"/>
      <c r="V43" s="53"/>
      <c r="W43" s="53"/>
      <c r="X43" s="53"/>
      <c r="Y43" s="101"/>
      <c r="Z43" s="53"/>
      <c r="AA43" s="53"/>
      <c r="AB43" s="101"/>
      <c r="AC43" s="53"/>
      <c r="AD43" s="68" t="n">
        <v>3</v>
      </c>
      <c r="AE43" s="68" t="n">
        <v>0.58</v>
      </c>
    </row>
    <row r="44" customFormat="false" ht="16.15" hidden="false" customHeight="true" outlineLevel="0" collapsed="false">
      <c r="A44" s="53"/>
      <c r="B44" s="15"/>
      <c r="C44" s="16" t="s">
        <v>11</v>
      </c>
      <c r="D44" s="16"/>
      <c r="E44" s="16"/>
      <c r="F44" s="16"/>
      <c r="G44" s="16"/>
      <c r="H44" s="16"/>
      <c r="I44" s="16"/>
      <c r="J44" s="16"/>
      <c r="K44" s="16"/>
      <c r="L44" s="16"/>
      <c r="M44" s="16"/>
      <c r="N44" s="16"/>
      <c r="O44" s="16"/>
      <c r="P44" s="16"/>
      <c r="Q44" s="16"/>
      <c r="R44" s="16"/>
      <c r="S44" s="16"/>
      <c r="T44" s="72"/>
      <c r="U44" s="93"/>
      <c r="V44" s="53"/>
      <c r="W44" s="53"/>
      <c r="X44" s="53"/>
      <c r="Y44" s="53"/>
      <c r="Z44" s="53"/>
      <c r="AA44" s="53"/>
      <c r="AB44" s="77"/>
      <c r="AC44" s="101"/>
      <c r="AD44" s="53"/>
      <c r="AE44" s="47"/>
    </row>
    <row r="45" customFormat="false" ht="22.05" hidden="false" customHeight="false" outlineLevel="0" collapsed="false">
      <c r="A45" s="53"/>
      <c r="B45" s="17"/>
      <c r="C45" s="57" t="s">
        <v>12</v>
      </c>
      <c r="D45" s="57"/>
      <c r="E45" s="57"/>
      <c r="F45" s="57"/>
      <c r="G45" s="57"/>
      <c r="H45" s="57"/>
      <c r="I45" s="57"/>
      <c r="J45" s="57"/>
      <c r="K45" s="58" t="s">
        <v>13</v>
      </c>
      <c r="L45" s="59" t="s">
        <v>14</v>
      </c>
      <c r="M45" s="59"/>
      <c r="N45" s="59"/>
      <c r="O45" s="59"/>
      <c r="P45" s="59"/>
      <c r="Q45" s="59"/>
      <c r="R45" s="59"/>
      <c r="S45" s="59"/>
      <c r="T45" s="72"/>
      <c r="U45" s="53"/>
      <c r="V45" s="53"/>
      <c r="W45" s="53"/>
      <c r="X45" s="53"/>
      <c r="Y45" s="53"/>
      <c r="Z45" s="53"/>
      <c r="AA45" s="53"/>
      <c r="AB45" s="77"/>
      <c r="AC45" s="101"/>
      <c r="AD45" s="53"/>
      <c r="AE45" s="47"/>
    </row>
    <row r="46" customFormat="false" ht="26.3" hidden="false" customHeight="false" outlineLevel="0" collapsed="false">
      <c r="A46" s="53"/>
      <c r="B46" s="96" t="s">
        <v>72</v>
      </c>
      <c r="C46" s="61" t="s">
        <v>16</v>
      </c>
      <c r="D46" s="62"/>
      <c r="E46" s="62" t="s">
        <v>17</v>
      </c>
      <c r="F46" s="62"/>
      <c r="G46" s="62" t="s">
        <v>18</v>
      </c>
      <c r="H46" s="62"/>
      <c r="I46" s="62" t="s">
        <v>19</v>
      </c>
      <c r="J46" s="63"/>
      <c r="K46" s="64" t="s">
        <v>20</v>
      </c>
      <c r="L46" s="65"/>
      <c r="M46" s="66" t="s">
        <v>19</v>
      </c>
      <c r="N46" s="66"/>
      <c r="O46" s="66" t="s">
        <v>18</v>
      </c>
      <c r="P46" s="66"/>
      <c r="Q46" s="66" t="s">
        <v>17</v>
      </c>
      <c r="R46" s="66"/>
      <c r="S46" s="67" t="s">
        <v>16</v>
      </c>
      <c r="T46" s="72"/>
      <c r="U46" s="69"/>
      <c r="V46" s="110" t="s">
        <v>72</v>
      </c>
      <c r="W46" s="98" t="s">
        <v>96</v>
      </c>
      <c r="X46" s="98" t="s">
        <v>97</v>
      </c>
      <c r="Y46" s="98" t="s">
        <v>98</v>
      </c>
      <c r="Z46" s="107"/>
      <c r="AA46" s="53"/>
      <c r="AB46" s="53"/>
      <c r="AC46" s="53"/>
      <c r="AD46" s="53"/>
    </row>
    <row r="47" customFormat="false" ht="26.3" hidden="false" customHeight="false" outlineLevel="0" collapsed="false">
      <c r="A47" s="73" t="str">
        <f aca="false">IF(T47=0,"Marcar una 'x'",IF(T47&gt;1,"Sobran 'x'",""))</f>
        <v/>
      </c>
      <c r="B47" s="29" t="s">
        <v>99</v>
      </c>
      <c r="C47" s="30"/>
      <c r="D47" s="31"/>
      <c r="E47" s="31"/>
      <c r="F47" s="31"/>
      <c r="G47" s="31"/>
      <c r="H47" s="31"/>
      <c r="I47" s="31" t="s">
        <v>22</v>
      </c>
      <c r="J47" s="32"/>
      <c r="K47" s="33"/>
      <c r="L47" s="34"/>
      <c r="M47" s="35"/>
      <c r="N47" s="35"/>
      <c r="O47" s="35"/>
      <c r="P47" s="35"/>
      <c r="Q47" s="35"/>
      <c r="R47" s="35"/>
      <c r="S47" s="36"/>
      <c r="T47" s="72" t="n">
        <f aca="false">COUNTIF(C47:S47,"x")</f>
        <v>1</v>
      </c>
      <c r="U47" s="74" t="n">
        <f aca="false">Z47/SUM(Z$47:Z$49)</f>
        <v>0.169199874186325</v>
      </c>
      <c r="V47" s="111" t="s">
        <v>96</v>
      </c>
      <c r="W47" s="76" t="n">
        <v>1</v>
      </c>
      <c r="X47" s="77" t="n">
        <f aca="false">IF( OR(C47="X",C47="x"),1/9,IF(OR(D47="x",D47="X"),1/8,IF(OR(E47="x",E47="X"),1/7,IF(OR(F47="x",F47="X"),1/6,IF(OR(G47="x",G47="X"),1/5,IF(OR(H47="x",H47="X"),1/4,IF(OR(I47="x",I47="X"),1/3,IF(OR(J47="x",J47="X"),1/2,IF(OR(K47="x",K47="X"),1,IF(OR(L47="x",L47="X"),2,IF(OR(M47="x",M47="X"),3,IF(OR(N47="x",N47="X"),4,IF(OR(O47="x",O47="X"),5,IF(OR(P47="x",P47="X"),6,IF(OR(Q47="x",Q47="X"),7,IF(OR(R47="x",R47="X"),8,IF(OR(S47="x",S47="X"),9,"???")))))))))))))))))</f>
        <v>0.333333333333333</v>
      </c>
      <c r="Y47" s="78" t="n">
        <f aca="false">IF( OR(C48="X",C48="x"),1/9,IF(OR(D48="x",D48="X"),1/8,IF(OR(E48="x",E48="X"),1/7,IF(OR(F48="x",F48="X"),1/6,IF(OR(G48="x",G48="X"),1/5,IF(OR(H48="x",H48="X"),1/4,IF(OR(I48="x",I48="X"),1/3,IF(OR(J48="x",J48="X"),1/2,IF(OR(K48="x",K48="X"),1,IF(OR(L48="x",L48="X"),2,IF(OR(M48="x",M48="X"),3,IF(OR(N48="x",N48="X"),4,IF(OR(O48="x",O48="X"),5,IF(OR(P48="x",P48="X"),6,IF(OR(Q48="x",Q48="X"),7,IF(OR(R48="x",R48="X"),8,IF(OR(S48="x",S48="X"),9,"???")))))))))))))))))</f>
        <v>0.5</v>
      </c>
      <c r="Z47" s="79" t="n">
        <f aca="false">POWER(W47*X47*Y47,1/3)</f>
        <v>0.550321208149104</v>
      </c>
      <c r="AA47" s="112" t="n">
        <v>1</v>
      </c>
      <c r="AB47" s="53"/>
      <c r="AC47" s="53"/>
      <c r="AD47" s="53"/>
    </row>
    <row r="48" customFormat="false" ht="26.3" hidden="false" customHeight="false" outlineLevel="0" collapsed="false">
      <c r="A48" s="73" t="str">
        <f aca="false">IF(T48=0,"Marcar una 'x'",IF(T48&gt;1,"Sobran 'x'",""))</f>
        <v/>
      </c>
      <c r="B48" s="80" t="s">
        <v>100</v>
      </c>
      <c r="C48" s="81"/>
      <c r="D48" s="82"/>
      <c r="E48" s="82"/>
      <c r="F48" s="82"/>
      <c r="G48" s="82"/>
      <c r="H48" s="82"/>
      <c r="I48" s="82"/>
      <c r="J48" s="83" t="s">
        <v>22</v>
      </c>
      <c r="K48" s="84"/>
      <c r="L48" s="85"/>
      <c r="M48" s="86"/>
      <c r="N48" s="86"/>
      <c r="O48" s="86"/>
      <c r="P48" s="86"/>
      <c r="Q48" s="86"/>
      <c r="R48" s="86"/>
      <c r="S48" s="87"/>
      <c r="T48" s="72" t="n">
        <f aca="false">COUNTIF(C48:S48,"x")</f>
        <v>1</v>
      </c>
      <c r="U48" s="74" t="n">
        <f aca="false">Z48/SUM(Z$47:Z$49)</f>
        <v>0.443429114175039</v>
      </c>
      <c r="V48" s="100" t="s">
        <v>97</v>
      </c>
      <c r="W48" s="76" t="n">
        <f aca="false">1/X47</f>
        <v>3</v>
      </c>
      <c r="X48" s="77" t="n">
        <v>1</v>
      </c>
      <c r="Y48" s="78" t="n">
        <f aca="false">IF( OR(C49="X",C49="x"),1/9,IF(OR(D49="x",D49="X"),1/8,IF(OR(E49="x",E49="X"),1/7,IF(OR(F49="x",F49="X"),1/6,IF(OR(G49="x",G49="X"),1/5,IF(OR(H49="x",H49="X"),1/4,IF(OR(I49="x",I49="X"),1/3,IF(OR(J49="x",J49="X"),1/2,IF(OR(K49="x",K49="X"),1,IF(OR(L49="x",L49="X"),2,IF(OR(M49="x",M49="X"),3,IF(OR(N49="x",N49="X"),4,IF(OR(O49="x",O49="X"),5,IF(OR(P49="x",P49="X"),6,IF(OR(Q49="x",Q49="X"),7,IF(OR(R49="x",R49="X"),8,IF(OR(S49="x",S49="X"),9,"???")))))))))))))))))</f>
        <v>1</v>
      </c>
      <c r="Z48" s="79" t="n">
        <f aca="false">POWER(W48*X48*Y48,1/3)</f>
        <v>1.44224957030741</v>
      </c>
      <c r="AA48" s="68"/>
      <c r="AB48" s="105"/>
      <c r="AC48" s="53"/>
      <c r="AD48" s="68"/>
      <c r="AE48" s="68" t="s">
        <v>75</v>
      </c>
    </row>
    <row r="49" customFormat="false" ht="26.3" hidden="false" customHeight="false" outlineLevel="0" collapsed="false">
      <c r="A49" s="73" t="str">
        <f aca="false">IF(T49=0,"Marcar una 'x'",IF(T49&gt;1,"Sobran 'x'",""))</f>
        <v/>
      </c>
      <c r="B49" s="80" t="s">
        <v>101</v>
      </c>
      <c r="C49" s="81"/>
      <c r="D49" s="82"/>
      <c r="E49" s="82"/>
      <c r="F49" s="82"/>
      <c r="G49" s="82"/>
      <c r="H49" s="82"/>
      <c r="I49" s="82"/>
      <c r="J49" s="83"/>
      <c r="K49" s="84" t="s">
        <v>22</v>
      </c>
      <c r="L49" s="85"/>
      <c r="M49" s="86"/>
      <c r="N49" s="86"/>
      <c r="O49" s="86"/>
      <c r="P49" s="86"/>
      <c r="Q49" s="86"/>
      <c r="R49" s="86"/>
      <c r="S49" s="87"/>
      <c r="T49" s="72" t="n">
        <f aca="false">COUNTIF(C49:S49,"x")</f>
        <v>1</v>
      </c>
      <c r="U49" s="74" t="n">
        <f aca="false">Z49/SUM(Z$47:Z$49)</f>
        <v>0.387371011638636</v>
      </c>
      <c r="V49" s="100" t="s">
        <v>102</v>
      </c>
      <c r="W49" s="76" t="n">
        <f aca="false">1/Y47</f>
        <v>2</v>
      </c>
      <c r="X49" s="77" t="n">
        <f aca="false">1/Y48</f>
        <v>1</v>
      </c>
      <c r="Y49" s="78" t="n">
        <v>1</v>
      </c>
      <c r="Z49" s="79" t="n">
        <f aca="false">POWER(W49*X49*Y49,1/3)</f>
        <v>1.25992104989487</v>
      </c>
      <c r="AA49" s="68"/>
      <c r="AB49" s="53"/>
      <c r="AC49" s="53"/>
      <c r="AD49" s="68" t="s">
        <v>103</v>
      </c>
      <c r="AE49" s="68" t="s">
        <v>77</v>
      </c>
    </row>
    <row r="50" customFormat="false" ht="24.45" hidden="false" customHeight="false" outlineLevel="0" collapsed="false">
      <c r="A50" s="53"/>
      <c r="B50" s="102"/>
      <c r="C50" s="103"/>
      <c r="D50" s="103"/>
      <c r="E50" s="103"/>
      <c r="F50" s="103"/>
      <c r="G50" s="103"/>
      <c r="H50" s="103"/>
      <c r="I50" s="103"/>
      <c r="J50" s="103"/>
      <c r="K50" s="104"/>
      <c r="L50" s="104"/>
      <c r="M50" s="103"/>
      <c r="N50" s="103"/>
      <c r="O50" s="103"/>
      <c r="P50" s="103"/>
      <c r="Q50" s="103"/>
      <c r="R50" s="103"/>
      <c r="S50" s="103"/>
      <c r="T50" s="53"/>
      <c r="U50" s="88" t="s">
        <v>84</v>
      </c>
      <c r="V50" s="89" t="n">
        <f aca="false">Z52/0.58</f>
        <v>0.0157712993876132</v>
      </c>
      <c r="W50" s="106" t="n">
        <f aca="false">SUM(W47:W49)</f>
        <v>6</v>
      </c>
      <c r="X50" s="106" t="n">
        <f aca="false">SUM(X47:X49)</f>
        <v>2.33333333333333</v>
      </c>
      <c r="Y50" s="106" t="n">
        <f aca="false">SUM(Y47:Y49)</f>
        <v>2.5</v>
      </c>
      <c r="Z50" s="68"/>
      <c r="AA50" s="113"/>
      <c r="AB50" s="53"/>
      <c r="AC50" s="53"/>
      <c r="AD50" s="68" t="n">
        <v>1</v>
      </c>
      <c r="AE50" s="68" t="n">
        <v>0</v>
      </c>
    </row>
    <row r="51" customFormat="false" ht="31.9" hidden="false" customHeight="true" outlineLevel="0" collapsed="false">
      <c r="A51" s="53"/>
      <c r="B51" s="102"/>
      <c r="C51" s="103"/>
      <c r="D51" s="103"/>
      <c r="E51" s="103"/>
      <c r="F51" s="103"/>
      <c r="G51" s="103"/>
      <c r="H51" s="103"/>
      <c r="I51" s="103"/>
      <c r="J51" s="103"/>
      <c r="K51" s="104"/>
      <c r="L51" s="104"/>
      <c r="M51" s="103"/>
      <c r="N51" s="103"/>
      <c r="O51" s="103"/>
      <c r="P51" s="103"/>
      <c r="Q51" s="103"/>
      <c r="R51" s="103"/>
      <c r="S51" s="103"/>
      <c r="T51" s="53"/>
      <c r="U51" s="91" t="s">
        <v>86</v>
      </c>
      <c r="V51" s="91"/>
      <c r="W51" s="68" t="n">
        <f aca="false">W50*U47</f>
        <v>1.01519924511795</v>
      </c>
      <c r="X51" s="68" t="n">
        <f aca="false">X50*U48</f>
        <v>1.03466793307509</v>
      </c>
      <c r="Y51" s="68" t="n">
        <f aca="false">Y50*U49</f>
        <v>0.96842752909659</v>
      </c>
      <c r="Z51" s="92" t="n">
        <f aca="false">SUM(W51:Y51)</f>
        <v>3.01829470728963</v>
      </c>
      <c r="AA51" s="79"/>
      <c r="AB51" s="53"/>
      <c r="AC51" s="53"/>
      <c r="AD51" s="68" t="n">
        <v>2</v>
      </c>
      <c r="AE51" s="68" t="n">
        <v>0</v>
      </c>
    </row>
    <row r="52" customFormat="false" ht="24.45" hidden="false" customHeight="false" outlineLevel="0" collapsed="false">
      <c r="A52" s="53"/>
      <c r="B52" s="102"/>
      <c r="C52" s="103"/>
      <c r="D52" s="103"/>
      <c r="E52" s="103"/>
      <c r="F52" s="103"/>
      <c r="G52" s="103"/>
      <c r="H52" s="103"/>
      <c r="I52" s="103"/>
      <c r="J52" s="103"/>
      <c r="K52" s="104"/>
      <c r="L52" s="104"/>
      <c r="M52" s="103"/>
      <c r="N52" s="103"/>
      <c r="O52" s="103"/>
      <c r="P52" s="103"/>
      <c r="Q52" s="103"/>
      <c r="R52" s="103"/>
      <c r="S52" s="103"/>
      <c r="T52" s="53"/>
      <c r="U52" s="91"/>
      <c r="V52" s="91"/>
      <c r="W52" s="68"/>
      <c r="X52" s="68"/>
      <c r="Y52" s="68"/>
      <c r="Z52" s="68" t="n">
        <f aca="false">(Z51-3)/2</f>
        <v>0.00914735364481567</v>
      </c>
      <c r="AA52" s="79"/>
      <c r="AB52" s="53"/>
      <c r="AC52" s="101"/>
      <c r="AD52" s="53"/>
      <c r="AE52" s="68" t="n">
        <v>3</v>
      </c>
      <c r="AF52" s="68" t="n">
        <v>0.58</v>
      </c>
    </row>
    <row r="53" s="53" customFormat="true" ht="16.15" hidden="false" customHeight="true" outlineLevel="0" collapsed="false">
      <c r="B53" s="54"/>
      <c r="C53" s="16" t="s">
        <v>11</v>
      </c>
      <c r="D53" s="16"/>
      <c r="E53" s="16"/>
      <c r="F53" s="16"/>
      <c r="G53" s="16"/>
      <c r="H53" s="16"/>
      <c r="I53" s="16"/>
      <c r="J53" s="16"/>
      <c r="K53" s="16"/>
      <c r="L53" s="16"/>
      <c r="M53" s="16"/>
      <c r="N53" s="16"/>
      <c r="O53" s="16"/>
      <c r="P53" s="16"/>
      <c r="Q53" s="16"/>
      <c r="R53" s="16"/>
      <c r="S53" s="16"/>
      <c r="T53" s="105"/>
      <c r="U53" s="93"/>
      <c r="AB53" s="77"/>
      <c r="AC53" s="101"/>
      <c r="AE53" s="95"/>
    </row>
    <row r="54" s="53" customFormat="true" ht="22.05" hidden="false" customHeight="false" outlineLevel="0" collapsed="false">
      <c r="B54" s="56"/>
      <c r="C54" s="57" t="s">
        <v>12</v>
      </c>
      <c r="D54" s="57"/>
      <c r="E54" s="57"/>
      <c r="F54" s="57"/>
      <c r="G54" s="57"/>
      <c r="H54" s="57"/>
      <c r="I54" s="57"/>
      <c r="J54" s="57"/>
      <c r="K54" s="58" t="s">
        <v>13</v>
      </c>
      <c r="L54" s="59" t="s">
        <v>14</v>
      </c>
      <c r="M54" s="59"/>
      <c r="N54" s="59"/>
      <c r="O54" s="59"/>
      <c r="P54" s="59"/>
      <c r="Q54" s="59"/>
      <c r="R54" s="59"/>
      <c r="S54" s="59"/>
      <c r="T54" s="105"/>
      <c r="AB54" s="77"/>
      <c r="AC54" s="101"/>
      <c r="AE54" s="95"/>
    </row>
    <row r="55" s="53" customFormat="true" ht="38.15" hidden="false" customHeight="false" outlineLevel="0" collapsed="false">
      <c r="B55" s="114" t="s">
        <v>74</v>
      </c>
      <c r="C55" s="61" t="s">
        <v>16</v>
      </c>
      <c r="D55" s="62"/>
      <c r="E55" s="62" t="s">
        <v>17</v>
      </c>
      <c r="F55" s="62"/>
      <c r="G55" s="62" t="s">
        <v>18</v>
      </c>
      <c r="H55" s="62"/>
      <c r="I55" s="62" t="s">
        <v>19</v>
      </c>
      <c r="J55" s="63"/>
      <c r="K55" s="64" t="s">
        <v>20</v>
      </c>
      <c r="L55" s="65"/>
      <c r="M55" s="66" t="s">
        <v>19</v>
      </c>
      <c r="N55" s="66"/>
      <c r="O55" s="66" t="s">
        <v>18</v>
      </c>
      <c r="P55" s="66"/>
      <c r="Q55" s="66" t="s">
        <v>17</v>
      </c>
      <c r="R55" s="66"/>
      <c r="S55" s="67" t="s">
        <v>16</v>
      </c>
      <c r="T55" s="105"/>
      <c r="U55" s="69"/>
      <c r="V55" s="110" t="s">
        <v>74</v>
      </c>
      <c r="W55" s="98" t="s">
        <v>104</v>
      </c>
      <c r="X55" s="98" t="s">
        <v>105</v>
      </c>
      <c r="Y55" s="98" t="s">
        <v>106</v>
      </c>
      <c r="Z55" s="98" t="s">
        <v>107</v>
      </c>
      <c r="AA55" s="107"/>
    </row>
    <row r="56" s="53" customFormat="true" ht="38.8" hidden="false" customHeight="false" outlineLevel="0" collapsed="false">
      <c r="A56" s="73" t="str">
        <f aca="false">IF(T56=0,"Marcar una 'x'",IF(T56&gt;1,"Sobran 'x'",""))</f>
        <v/>
      </c>
      <c r="B56" s="29" t="s">
        <v>108</v>
      </c>
      <c r="C56" s="30"/>
      <c r="D56" s="31"/>
      <c r="E56" s="31"/>
      <c r="F56" s="31"/>
      <c r="G56" s="31"/>
      <c r="H56" s="31"/>
      <c r="I56" s="31" t="s">
        <v>22</v>
      </c>
      <c r="J56" s="32"/>
      <c r="K56" s="33"/>
      <c r="L56" s="34"/>
      <c r="M56" s="35"/>
      <c r="N56" s="35"/>
      <c r="O56" s="35"/>
      <c r="P56" s="35"/>
      <c r="Q56" s="35"/>
      <c r="R56" s="35"/>
      <c r="S56" s="36"/>
      <c r="T56" s="72" t="n">
        <f aca="false">COUNTIF(C56:S56,"x")</f>
        <v>1</v>
      </c>
      <c r="U56" s="74" t="n">
        <f aca="false">AA56/SUM(AA$56:AA$59)</f>
        <v>0.16458440786731</v>
      </c>
      <c r="V56" s="111" t="s">
        <v>104</v>
      </c>
      <c r="W56" s="76" t="n">
        <v>1</v>
      </c>
      <c r="X56" s="77" t="n">
        <f aca="false">IF( OR(C56="X",C56="x"),1/9,IF(OR(D56="x",D56="X"),1/8,IF(OR(E56="x",E56="X"),1/7,IF(OR(F56="x",F56="X"),1/6,IF(OR(G56="x",G56="X"),1/5,IF(OR(H56="x",H56="X"),1/4,IF(OR(I56="x",I56="X"),1/3,IF(OR(J56="x",J56="X"),1/2,IF(OR(K56="x",K56="X"),1,IF(OR(L56="x",L56="X"),2,IF(OR(M56="x",M56="X"),3,IF(OR(N56="x",N56="X"),4,IF(OR(O56="x",O56="X"),5,IF(OR(P56="x",P56="X"),6,IF(OR(Q56="x",Q56="X"),7,IF(OR(R56="x",R56="X"),8,IF(OR(S56="x",S56="X"),9,"???")))))))))))))))))</f>
        <v>0.333333333333333</v>
      </c>
      <c r="Y56" s="77" t="n">
        <f aca="false">IF( OR(C57="X",C57="x"),1/9,IF(OR(D57="x",D57="X"),1/8,IF(OR(E57="x",E57="X"),1/7,IF(OR(F57="x",F57="X"),1/6,IF(OR(G57="x",G57="X"),1/5,IF(OR(H57="x",H57="X"),1/4,IF(OR(I57="x",I57="X"),1/3,IF(OR(J57="x",J57="X"),1/2,IF(OR(K57="x",K57="X"),1,IF(OR(L57="x",L57="X"),2,IF(OR(M57="x",M57="X"),3,IF(OR(N57="x",N57="X"),4,IF(OR(O57="x",O57="X"),5,IF(OR(P57="x",P57="X"),6,IF(OR(Q57="x",Q57="X"),7,IF(OR(R57="x",R57="X"),8,IF(OR(S57="x",S57="X"),9,"???")))))))))))))))))</f>
        <v>1</v>
      </c>
      <c r="Z56" s="78" t="n">
        <f aca="false">IF( OR(C58="X",C58="x"),1/9,IF(OR(D58="x",D58="X"),1/8,IF(OR(E58="x",E58="X"),1/7,IF(OR(F58="x",F58="X"),1/6,IF(OR(G58="x",G58="X"),1/5,IF(OR(H58="x",H58="X"),1/4,IF(OR(I58="x",I58="X"),1/3,IF(OR(J58="x",J58="X"),1/2,IF(OR(K58="x",K58="X"),1,IF(OR(L58="x",L58="X"),2,IF(OR(M58="x",M58="X"),3,IF(OR(N58="x",N58="X"),4,IF(OR(O58="x",O58="X"),5,IF(OR(P58="x",P58="X"),6,IF(OR(Q58="x",Q58="X"),7,IF(OR(R58="x",R58="X"),8,IF(OR(S58="x",S58="X"),9,"???")))))))))))))))))</f>
        <v>1</v>
      </c>
      <c r="AA56" s="79" t="n">
        <f aca="false">POWER(W56*X56*Y56*Z56,1/4)</f>
        <v>0.759835685651593</v>
      </c>
      <c r="AB56" s="68"/>
      <c r="AC56" s="115" t="s">
        <v>109</v>
      </c>
      <c r="AD56" s="68"/>
    </row>
    <row r="57" s="53" customFormat="true" ht="34.85" hidden="false" customHeight="false" outlineLevel="0" collapsed="false">
      <c r="A57" s="73" t="str">
        <f aca="false">IF(T57=0,"Marcar una 'x'",IF(T57&gt;1,"Sobran 'x'",""))</f>
        <v/>
      </c>
      <c r="B57" s="80" t="s">
        <v>110</v>
      </c>
      <c r="C57" s="81"/>
      <c r="D57" s="82"/>
      <c r="E57" s="82"/>
      <c r="F57" s="82"/>
      <c r="G57" s="82"/>
      <c r="H57" s="82"/>
      <c r="I57" s="82"/>
      <c r="J57" s="83"/>
      <c r="K57" s="84" t="s">
        <v>22</v>
      </c>
      <c r="L57" s="85"/>
      <c r="M57" s="86"/>
      <c r="N57" s="86"/>
      <c r="O57" s="86"/>
      <c r="P57" s="86"/>
      <c r="Q57" s="86"/>
      <c r="R57" s="86"/>
      <c r="S57" s="87"/>
      <c r="T57" s="72" t="n">
        <f aca="false">COUNTIF(C57:S57,"x")</f>
        <v>1</v>
      </c>
      <c r="U57" s="74" t="n">
        <f aca="false">AA57/SUM(AA$56:AA$59)</f>
        <v>0.49375322360193</v>
      </c>
      <c r="V57" s="100" t="s">
        <v>105</v>
      </c>
      <c r="W57" s="76" t="n">
        <f aca="false">1/X56</f>
        <v>3</v>
      </c>
      <c r="X57" s="77" t="n">
        <v>1</v>
      </c>
      <c r="Y57" s="77" t="n">
        <f aca="false">IF( OR(C59="X",C59="x"),1/9,IF(OR(D59="x",D59="X"),1/8,IF(OR(E59="x",E59="X"),1/7,IF(OR(F59="x",F59="X"),1/6,IF(OR(G59="x",G59="X"),1/5,IF(OR(H59="x",H59="X"),1/4,IF(OR(I59="x",I59="X"),1/3,IF(OR(J59="x",J59="X"),1/2,IF(OR(K59="x",K59="X"),1,IF(OR(L59="x",L59="X"),2,IF(OR(M59="x",M59="X"),3,IF(OR(N59="x",N59="X"),4,IF(OR(O59="x",O59="X"),5,IF(OR(P59="x",P59="X"),6,IF(OR(Q59="x",Q59="X"),7,IF(OR(R59="x",R59="X"),8,IF(OR(S59="x",S59="X"),9,"???")))))))))))))))))</f>
        <v>3</v>
      </c>
      <c r="Z57" s="78" t="n">
        <f aca="false">IF( OR(C60="X",C60="x"),1/9,IF(OR(D60="x",D60="X"),1/8,IF(OR(E60="x",E60="X"),1/7,IF(OR(F60="x",F60="X"),1/6,IF(OR(G60="x",G60="X"),1/5,IF(OR(H60="x",H60="X"),1/4,IF(OR(I60="x",I60="X"),1/3,IF(OR(J60="x",J60="X"),1/2,IF(OR(K60="x",K60="X"),1,IF(OR(L60="x",L60="X"),2,IF(OR(M60="x",M60="X"),3,IF(OR(N60="x",N60="X"),4,IF(OR(O60="x",O60="X"),5,IF(OR(P60="x",P60="X"),6,IF(OR(Q60="x",Q60="X"),7,IF(OR(R60="x",R60="X"),8,IF(OR(S60="x",S60="X"),9,"???")))))))))))))))))</f>
        <v>3</v>
      </c>
      <c r="AA57" s="79" t="n">
        <f aca="false">POWER(W57*X57*Y57*Z57,1/4)</f>
        <v>2.27950705695478</v>
      </c>
      <c r="AB57" s="68"/>
      <c r="AC57" s="116" t="n">
        <v>1</v>
      </c>
      <c r="AD57" s="68"/>
    </row>
    <row r="58" s="53" customFormat="true" ht="49.9" hidden="false" customHeight="true" outlineLevel="0" collapsed="false">
      <c r="A58" s="73" t="str">
        <f aca="false">IF(T58=0,"Marcar una 'x'",IF(T58&gt;1,"Sobran 'x'",""))</f>
        <v/>
      </c>
      <c r="B58" s="80" t="s">
        <v>111</v>
      </c>
      <c r="C58" s="81"/>
      <c r="D58" s="82"/>
      <c r="E58" s="82"/>
      <c r="F58" s="82"/>
      <c r="G58" s="82"/>
      <c r="H58" s="82"/>
      <c r="I58" s="82"/>
      <c r="J58" s="83"/>
      <c r="K58" s="84" t="s">
        <v>22</v>
      </c>
      <c r="L58" s="85"/>
      <c r="M58" s="86"/>
      <c r="N58" s="86"/>
      <c r="O58" s="86"/>
      <c r="P58" s="86"/>
      <c r="Q58" s="86"/>
      <c r="R58" s="86"/>
      <c r="S58" s="87"/>
      <c r="T58" s="72" t="n">
        <f aca="false">COUNTIF(C58:S58,"x")</f>
        <v>1</v>
      </c>
      <c r="U58" s="74" t="n">
        <f aca="false">AA58/SUM(AA$56:AA$59)</f>
        <v>0.216605262131341</v>
      </c>
      <c r="V58" s="100" t="s">
        <v>106</v>
      </c>
      <c r="W58" s="76" t="n">
        <f aca="false">1/Y56</f>
        <v>1</v>
      </c>
      <c r="X58" s="77" t="n">
        <f aca="false">1/Y57</f>
        <v>0.333333333333333</v>
      </c>
      <c r="Y58" s="77" t="n">
        <v>1</v>
      </c>
      <c r="Z58" s="78" t="n">
        <f aca="false">IF( OR(C61="X",C61="x"),1/9,IF(OR(D61="x",D61="X"),1/8,IF(OR(E61="x",E61="X"),1/7,IF(OR(F61="x",F61="X"),1/6,IF(OR(G61="x",G61="X"),1/5,IF(OR(H61="x",H61="X"),1/4,IF(OR(I61="x",I61="X"),1/3,IF(OR(J61="x",J61="X"),1/2,IF(OR(K61="x",K61="X"),1,IF(OR(L61="x",L61="X"),2,IF(OR(M61="x",M61="X"),3,IF(OR(N61="x",N61="X"),4,IF(OR(O61="x",O61="X"),5,IF(OR(P61="x",P61="X"),6,IF(OR(Q61="x",Q61="X"),7,IF(OR(R61="x",R61="X"),8,IF(OR(S61="x",S61="X"),9,"???")))))))))))))))))</f>
        <v>3</v>
      </c>
      <c r="AA58" s="79" t="n">
        <f aca="false">POWER(W58*X58*Y58*Z58,1/4)</f>
        <v>1</v>
      </c>
      <c r="AB58" s="68"/>
      <c r="AC58" s="68"/>
      <c r="AD58" s="68"/>
    </row>
    <row r="59" s="53" customFormat="true" ht="49.9" hidden="false" customHeight="true" outlineLevel="0" collapsed="false">
      <c r="A59" s="73" t="str">
        <f aca="false">IF(T59=0,"Marcar una 'x'",IF(T59&gt;1,"Sobran 'x'",""))</f>
        <v/>
      </c>
      <c r="B59" s="80" t="s">
        <v>112</v>
      </c>
      <c r="C59" s="81"/>
      <c r="D59" s="82"/>
      <c r="E59" s="82"/>
      <c r="F59" s="82"/>
      <c r="G59" s="82"/>
      <c r="H59" s="82"/>
      <c r="I59" s="82"/>
      <c r="J59" s="83"/>
      <c r="K59" s="84"/>
      <c r="L59" s="85"/>
      <c r="M59" s="86" t="s">
        <v>22</v>
      </c>
      <c r="N59" s="86"/>
      <c r="O59" s="86"/>
      <c r="P59" s="86"/>
      <c r="Q59" s="86"/>
      <c r="R59" s="86"/>
      <c r="S59" s="87"/>
      <c r="T59" s="72" t="n">
        <f aca="false">COUNTIF(C59:S59,"x")</f>
        <v>1</v>
      </c>
      <c r="U59" s="74" t="n">
        <f aca="false">AA59/SUM(AA$56:AA$59)</f>
        <v>0.125057106399419</v>
      </c>
      <c r="V59" s="117" t="s">
        <v>107</v>
      </c>
      <c r="W59" s="76" t="n">
        <f aca="false">1/Z56</f>
        <v>1</v>
      </c>
      <c r="X59" s="77" t="n">
        <f aca="false">1/Z57</f>
        <v>0.333333333333333</v>
      </c>
      <c r="Y59" s="77" t="n">
        <f aca="false">1/Z58</f>
        <v>0.333333333333333</v>
      </c>
      <c r="Z59" s="78" t="n">
        <v>1</v>
      </c>
      <c r="AA59" s="79" t="n">
        <f aca="false">POWER(W59*X59*Y59*Z59,1/4)</f>
        <v>0.577350269189626</v>
      </c>
      <c r="AB59" s="68"/>
      <c r="AC59" s="68"/>
      <c r="AD59" s="68"/>
    </row>
    <row r="60" s="53" customFormat="true" ht="49.9" hidden="false" customHeight="true" outlineLevel="0" collapsed="false">
      <c r="A60" s="73" t="str">
        <f aca="false">IF(T60=0,"Marcar una 'x'",IF(T60&gt;1,"Sobran 'x'",""))</f>
        <v/>
      </c>
      <c r="B60" s="80" t="s">
        <v>113</v>
      </c>
      <c r="C60" s="81"/>
      <c r="D60" s="82"/>
      <c r="E60" s="82"/>
      <c r="F60" s="82"/>
      <c r="G60" s="82"/>
      <c r="H60" s="82"/>
      <c r="I60" s="82"/>
      <c r="J60" s="83"/>
      <c r="K60" s="84"/>
      <c r="L60" s="85"/>
      <c r="M60" s="86" t="s">
        <v>22</v>
      </c>
      <c r="N60" s="86"/>
      <c r="O60" s="86"/>
      <c r="P60" s="86"/>
      <c r="Q60" s="86"/>
      <c r="R60" s="86"/>
      <c r="S60" s="87"/>
      <c r="T60" s="72" t="n">
        <f aca="false">COUNTIF(C60:S60,"x")</f>
        <v>1</v>
      </c>
      <c r="U60" s="88" t="s">
        <v>84</v>
      </c>
      <c r="V60" s="89" t="n">
        <f aca="false">AA62/0.9</f>
        <v>0.0484065964087242</v>
      </c>
      <c r="W60" s="106" t="n">
        <f aca="false">SUM(W56:W59)</f>
        <v>6</v>
      </c>
      <c r="X60" s="106" t="n">
        <f aca="false">SUM(X56:X59)</f>
        <v>2</v>
      </c>
      <c r="Y60" s="106" t="n">
        <f aca="false">SUM(Y56:Y59)</f>
        <v>5.33333333333333</v>
      </c>
      <c r="Z60" s="106" t="n">
        <f aca="false">SUM(Z56:Z59)</f>
        <v>8</v>
      </c>
      <c r="AA60" s="68"/>
      <c r="AB60" s="113"/>
      <c r="AC60" s="68"/>
      <c r="AD60" s="68"/>
    </row>
    <row r="61" s="53" customFormat="true" ht="26.3" hidden="false" customHeight="true" outlineLevel="0" collapsed="false">
      <c r="A61" s="73" t="str">
        <f aca="false">IF(T61=0,"Marcar una 'x'",IF(T61&gt;1,"Sobran 'x'",""))</f>
        <v/>
      </c>
      <c r="B61" s="80" t="s">
        <v>114</v>
      </c>
      <c r="C61" s="81"/>
      <c r="D61" s="82"/>
      <c r="E61" s="82"/>
      <c r="F61" s="82"/>
      <c r="G61" s="82"/>
      <c r="H61" s="82"/>
      <c r="I61" s="82"/>
      <c r="J61" s="83"/>
      <c r="K61" s="84"/>
      <c r="L61" s="85"/>
      <c r="M61" s="86" t="s">
        <v>22</v>
      </c>
      <c r="N61" s="86"/>
      <c r="O61" s="86"/>
      <c r="P61" s="86"/>
      <c r="Q61" s="86"/>
      <c r="R61" s="86"/>
      <c r="S61" s="87"/>
      <c r="T61" s="72" t="n">
        <f aca="false">COUNTIF(C61:S61,"x")</f>
        <v>1</v>
      </c>
      <c r="U61" s="91" t="s">
        <v>86</v>
      </c>
      <c r="V61" s="91"/>
      <c r="W61" s="68" t="n">
        <f aca="false">W60*U56</f>
        <v>0.987506447203861</v>
      </c>
      <c r="X61" s="68" t="n">
        <f aca="false">X60*U57</f>
        <v>0.98750644720386</v>
      </c>
      <c r="Y61" s="68" t="n">
        <f aca="false">Y60*U58</f>
        <v>1.15522806470048</v>
      </c>
      <c r="Z61" s="68" t="n">
        <f aca="false">Z60*U59</f>
        <v>1.00045685119535</v>
      </c>
      <c r="AA61" s="92" t="n">
        <f aca="false">SUM(W61:Z61)</f>
        <v>4.13069781030356</v>
      </c>
      <c r="AB61" s="79"/>
      <c r="AC61" s="68"/>
      <c r="AD61" s="92"/>
    </row>
    <row r="62" customFormat="false" ht="15" hidden="false" customHeight="false" outlineLevel="0" collapsed="false">
      <c r="U62" s="91"/>
      <c r="V62" s="91"/>
      <c r="W62" s="68"/>
      <c r="X62" s="68"/>
      <c r="Y62" s="68"/>
      <c r="Z62" s="68"/>
      <c r="AA62" s="68" t="n">
        <f aca="false">(AA61-4)/3</f>
        <v>0.0435659367678518</v>
      </c>
      <c r="AB62" s="79"/>
      <c r="AC62" s="68"/>
      <c r="AD62" s="68"/>
      <c r="AE62" s="118"/>
    </row>
    <row r="63" customFormat="false" ht="15" hidden="false" customHeight="false" outlineLevel="0" collapsed="false">
      <c r="U63" s="118"/>
      <c r="V63" s="118"/>
      <c r="W63" s="118"/>
      <c r="X63" s="118"/>
      <c r="Y63" s="118"/>
      <c r="Z63" s="118"/>
      <c r="AA63" s="53"/>
      <c r="AB63" s="53"/>
      <c r="AC63" s="118"/>
      <c r="AD63" s="118"/>
    </row>
    <row r="64" customFormat="false" ht="15" hidden="false" customHeight="false" outlineLevel="0" collapsed="false">
      <c r="AA64" s="53"/>
      <c r="AB64" s="118"/>
      <c r="AC64" s="118"/>
      <c r="AD64" s="118"/>
    </row>
    <row r="65" customFormat="false" ht="15" hidden="false" customHeight="false" outlineLevel="0" collapsed="false">
      <c r="AA65" s="53"/>
      <c r="AB65" s="118"/>
    </row>
    <row r="66" customFormat="false" ht="15" hidden="false" customHeight="false" outlineLevel="0" collapsed="false">
      <c r="AA66" s="118"/>
    </row>
    <row r="67" customFormat="false" ht="15" hidden="false" customHeight="false" outlineLevel="0" collapsed="false">
      <c r="AA67" s="118"/>
    </row>
  </sheetData>
  <mergeCells count="16">
    <mergeCell ref="C20:S20"/>
    <mergeCell ref="C21:J21"/>
    <mergeCell ref="L21:S21"/>
    <mergeCell ref="U29:V30"/>
    <mergeCell ref="C34:S34"/>
    <mergeCell ref="C35:J35"/>
    <mergeCell ref="L35:S35"/>
    <mergeCell ref="U41:V42"/>
    <mergeCell ref="C44:S44"/>
    <mergeCell ref="C45:J45"/>
    <mergeCell ref="L45:S45"/>
    <mergeCell ref="U51:V52"/>
    <mergeCell ref="C53:S53"/>
    <mergeCell ref="C54:J54"/>
    <mergeCell ref="L54:S54"/>
    <mergeCell ref="U61:V62"/>
  </mergeCells>
  <conditionalFormatting sqref="U37:U39">
    <cfRule type="dataBar" priority="2">
      <dataBar showValue="1" minLength="10" maxLength="90">
        <cfvo type="num" val="0"/>
        <cfvo type="num" val="1"/>
        <color rgb="FF70AD47"/>
      </dataBar>
      <extLst>
        <ext xmlns:x14="http://schemas.microsoft.com/office/spreadsheetml/2009/9/main" uri="{B025F937-C7B1-47D3-B67F-A62EFF666E3E}">
          <x14:id>{3CB0C8ED-35D1-4622-B940-B3E8859FDF5A}</x14:id>
        </ext>
      </extLst>
    </cfRule>
  </conditionalFormatting>
  <conditionalFormatting sqref="U47:U49">
    <cfRule type="dataBar" priority="3">
      <dataBar showValue="1" minLength="10" maxLength="90">
        <cfvo type="num" val="0"/>
        <cfvo type="num" val="1"/>
        <color rgb="FF70AD47"/>
      </dataBar>
      <extLst>
        <ext xmlns:x14="http://schemas.microsoft.com/office/spreadsheetml/2009/9/main" uri="{B025F937-C7B1-47D3-B67F-A62EFF666E3E}">
          <x14:id>{C0312EAD-A086-41A6-8C7C-77B7129AFBB2}</x14:id>
        </ext>
      </extLst>
    </cfRule>
  </conditionalFormatting>
  <conditionalFormatting sqref="U23:U27">
    <cfRule type="dataBar" priority="4">
      <dataBar showValue="1" minLength="10" maxLength="90">
        <cfvo type="num" val="0"/>
        <cfvo type="num" val="1"/>
        <color rgb="FF70AD47"/>
      </dataBar>
      <extLst>
        <ext xmlns:x14="http://schemas.microsoft.com/office/spreadsheetml/2009/9/main" uri="{B025F937-C7B1-47D3-B67F-A62EFF666E3E}">
          <x14:id>{3BC96E69-C934-4564-B9CB-4F30986CB630}</x14:id>
        </ext>
      </extLst>
    </cfRule>
  </conditionalFormatting>
  <conditionalFormatting sqref="V28">
    <cfRule type="cellIs" priority="5" operator="greaterThan" aboveAverage="0" equalAverage="0" bottom="0" percent="0" rank="0" text="" dxfId="0">
      <formula>0.1</formula>
    </cfRule>
  </conditionalFormatting>
  <conditionalFormatting sqref="V50">
    <cfRule type="cellIs" priority="6" operator="greaterThan" aboveAverage="0" equalAverage="0" bottom="0" percent="0" rank="0" text="" dxfId="1">
      <formula>0.1</formula>
    </cfRule>
  </conditionalFormatting>
  <conditionalFormatting sqref="U56:U59">
    <cfRule type="dataBar" priority="7">
      <dataBar showValue="1" minLength="10" maxLength="90">
        <cfvo type="num" val="0"/>
        <cfvo type="num" val="1"/>
        <color rgb="FF70AD47"/>
      </dataBar>
      <extLst>
        <ext xmlns:x14="http://schemas.microsoft.com/office/spreadsheetml/2009/9/main" uri="{B025F937-C7B1-47D3-B67F-A62EFF666E3E}">
          <x14:id>{96A084E0-92CE-4182-ADD8-95CB43FDB9E8}</x14:id>
        </ext>
      </extLst>
    </cfRule>
  </conditionalFormatting>
  <conditionalFormatting sqref="V60">
    <cfRule type="cellIs" priority="8" operator="greaterThan" aboveAverage="0" equalAverage="0" bottom="0" percent="0" rank="0" text="" dxfId="2">
      <formula>0.1</formula>
    </cfRule>
  </conditionalFormatting>
  <conditionalFormatting sqref="V40">
    <cfRule type="cellIs" priority="9" operator="greaterThan" aboveAverage="0" equalAverage="0" bottom="0" percent="0" rank="0" text="" dxfId="3">
      <formula>0.1</formula>
    </cfRule>
  </conditionalFormatting>
  <printOptions headings="false" gridLines="false" gridLinesSet="true" horizontalCentered="false" verticalCentered="false"/>
  <pageMargins left="0.708333333333333" right="0.708333333333333" top="0.747916666666667" bottom="0.747916666666667" header="0.511805555555555" footer="0.511805555555555"/>
  <pageSetup paperSize="9" scale="4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extLst>
    <ext xmlns:x14="http://schemas.microsoft.com/office/spreadsheetml/2009/9/main" uri="{78C0D931-6437-407d-A8EE-F0AAD7539E65}">
      <x14:conditionalFormattings>
        <x14:conditionalFormatting xmlns:xm="http://schemas.microsoft.com/office/excel/2006/main">
          <x14:cfRule type="dataBar" id="{3CB0C8ED-35D1-4622-B940-B3E8859FDF5A}">
            <x14:dataBar minLength="10" maxLength="90" axisPosition="automatic" gradient="true">
              <x14:cfvo type="num">
                <xm:f>0</xm:f>
              </x14:cfvo>
              <x14:cfvo type="num">
                <xm:f>1</xm:f>
              </x14:cfvo>
              <x14:negativeFillColor rgb="FFFF0000"/>
              <x14:axisColor rgb="FF000000"/>
            </x14:dataBar>
          </x14:cfRule>
          <xm:sqref>U37:U39</xm:sqref>
        </x14:conditionalFormatting>
        <x14:conditionalFormatting xmlns:xm="http://schemas.microsoft.com/office/excel/2006/main">
          <x14:cfRule type="dataBar" id="{C0312EAD-A086-41A6-8C7C-77B7129AFBB2}">
            <x14:dataBar minLength="10" maxLength="90" axisPosition="automatic" gradient="true">
              <x14:cfvo type="num">
                <xm:f>0</xm:f>
              </x14:cfvo>
              <x14:cfvo type="num">
                <xm:f>1</xm:f>
              </x14:cfvo>
              <x14:negativeFillColor rgb="FFFF0000"/>
              <x14:axisColor rgb="FF000000"/>
            </x14:dataBar>
          </x14:cfRule>
          <xm:sqref>U47:U49</xm:sqref>
        </x14:conditionalFormatting>
        <x14:conditionalFormatting xmlns:xm="http://schemas.microsoft.com/office/excel/2006/main">
          <x14:cfRule type="dataBar" id="{3BC96E69-C934-4564-B9CB-4F30986CB630}">
            <x14:dataBar minLength="10" maxLength="90" axisPosition="automatic" gradient="true">
              <x14:cfvo type="num">
                <xm:f>0</xm:f>
              </x14:cfvo>
              <x14:cfvo type="num">
                <xm:f>1</xm:f>
              </x14:cfvo>
              <x14:negativeFillColor rgb="FFFF0000"/>
              <x14:axisColor rgb="FF000000"/>
            </x14:dataBar>
          </x14:cfRule>
          <xm:sqref>U23:U27</xm:sqref>
        </x14:conditionalFormatting>
        <x14:conditionalFormatting xmlns:xm="http://schemas.microsoft.com/office/excel/2006/main">
          <x14:cfRule type="dataBar" id="{96A084E0-92CE-4182-ADD8-95CB43FDB9E8}">
            <x14:dataBar minLength="10" maxLength="90" axisPosition="automatic" gradient="true">
              <x14:cfvo type="num">
                <xm:f>0</xm:f>
              </x14:cfvo>
              <x14:cfvo type="num">
                <xm:f>1</xm:f>
              </x14:cfvo>
              <x14:negativeFillColor rgb="FFFF0000"/>
              <x14:axisColor rgb="FF000000"/>
            </x14:dataBar>
          </x14:cfRule>
          <xm:sqref>U56:U59</xm:sqref>
        </x14:conditionalFormatting>
      </x14:conditionalFormattings>
    </ext>
  </extLst>
</worksheet>
</file>

<file path=xl/worksheets/sheet3.xml><?xml version="1.0" encoding="utf-8"?>
<worksheet xmlns="http://schemas.openxmlformats.org/spreadsheetml/2006/main" xmlns:r="http://schemas.openxmlformats.org/officeDocument/2006/relationships">
  <sheetPr filterMode="false">
    <tabColor rgb="FF4472C4"/>
    <pageSetUpPr fitToPage="false"/>
  </sheetPr>
  <dimension ref="A1:AMJ157"/>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3" ySplit="3" topLeftCell="D4" activePane="bottomRight" state="frozen"/>
      <selection pane="topLeft" activeCell="A1" activeCellId="0" sqref="A1"/>
      <selection pane="topRight" activeCell="D1" activeCellId="0" sqref="D1"/>
      <selection pane="bottomLeft" activeCell="A4" activeCellId="0" sqref="A4"/>
      <selection pane="bottomRight" activeCell="E7" activeCellId="0" sqref="E7"/>
    </sheetView>
  </sheetViews>
  <sheetFormatPr defaultRowHeight="15" zeroHeight="false" outlineLevelRow="0" outlineLevelCol="0"/>
  <cols>
    <col collapsed="false" customWidth="true" hidden="false" outlineLevel="0" max="1" min="1" style="0" width="18.74"/>
    <col collapsed="false" customWidth="true" hidden="false" outlineLevel="0" max="2" min="2" style="0" width="20"/>
    <col collapsed="false" customWidth="true" hidden="false" outlineLevel="0" max="3" min="3" style="0" width="21.18"/>
    <col collapsed="false" customWidth="true" hidden="true" outlineLevel="0" max="4" min="4" style="0" width="13.25"/>
    <col collapsed="false" customWidth="true" hidden="false" outlineLevel="0" max="5" min="5" style="0" width="13.52"/>
    <col collapsed="false" customWidth="true" hidden="false" outlineLevel="0" max="6" min="6" style="0" width="12.75"/>
    <col collapsed="false" customWidth="true" hidden="false" outlineLevel="0" max="7" min="7" style="0" width="10.75"/>
    <col collapsed="false" customWidth="true" hidden="false" outlineLevel="0" max="8" min="8" style="0" width="12.75"/>
    <col collapsed="false" customWidth="true" hidden="false" outlineLevel="0" max="9" min="9" style="0" width="19.5"/>
    <col collapsed="false" customWidth="true" hidden="false" outlineLevel="0" max="10" min="10" style="0" width="14.75"/>
    <col collapsed="false" customWidth="true" hidden="false" outlineLevel="0" max="12" min="11" style="0" width="12.75"/>
    <col collapsed="false" customWidth="true" hidden="false" outlineLevel="0" max="13" min="13" style="0" width="13.75"/>
    <col collapsed="false" customWidth="true" hidden="false" outlineLevel="0" max="15" min="14" style="0" width="12.75"/>
    <col collapsed="false" customWidth="true" hidden="false" outlineLevel="0" max="16" min="16" style="0" width="11.75"/>
    <col collapsed="false" customWidth="true" hidden="false" outlineLevel="0" max="17" min="17" style="0" width="12.25"/>
    <col collapsed="false" customWidth="true" hidden="false" outlineLevel="0" max="18" min="18" style="0" width="12"/>
    <col collapsed="false" customWidth="true" hidden="false" outlineLevel="0" max="19" min="19" style="0" width="17.74"/>
    <col collapsed="false" customWidth="true" hidden="false" outlineLevel="0" max="20" min="20" style="0" width="10.53"/>
    <col collapsed="false" customWidth="true" hidden="false" outlineLevel="0" max="21" min="21" style="0" width="11.25"/>
    <col collapsed="false" customWidth="true" hidden="false" outlineLevel="0" max="1022" min="22" style="0" width="10.53"/>
    <col collapsed="false" customWidth="true" hidden="false" outlineLevel="0" max="1025" min="1023" style="0" width="10.5"/>
  </cols>
  <sheetData>
    <row r="1" customFormat="false" ht="31.9" hidden="false" customHeight="true" outlineLevel="0" collapsed="false">
      <c r="A1" s="119" t="s">
        <v>4</v>
      </c>
      <c r="B1" s="119"/>
      <c r="C1" s="119"/>
    </row>
    <row r="2" s="125" customFormat="true" ht="34.15" hidden="false" customHeight="true" outlineLevel="0" collapsed="false">
      <c r="A2" s="119"/>
      <c r="B2" s="119"/>
      <c r="C2" s="119"/>
      <c r="D2" s="120" t="s">
        <v>70</v>
      </c>
      <c r="E2" s="121" t="s">
        <v>115</v>
      </c>
      <c r="F2" s="122" t="s">
        <v>72</v>
      </c>
      <c r="G2" s="122"/>
      <c r="H2" s="122"/>
      <c r="I2" s="123" t="s">
        <v>81</v>
      </c>
      <c r="J2" s="124" t="s">
        <v>74</v>
      </c>
      <c r="K2" s="124"/>
      <c r="L2" s="124"/>
      <c r="M2" s="124"/>
      <c r="AMI2" s="0"/>
      <c r="AMJ2" s="0"/>
    </row>
    <row r="3" s="137" customFormat="true" ht="51.3" hidden="false" customHeight="false" outlineLevel="0" collapsed="false">
      <c r="A3" s="126" t="s">
        <v>116</v>
      </c>
      <c r="B3" s="127" t="s">
        <v>117</v>
      </c>
      <c r="C3" s="128" t="s">
        <v>118</v>
      </c>
      <c r="D3" s="129" t="s">
        <v>90</v>
      </c>
      <c r="E3" s="130" t="s">
        <v>119</v>
      </c>
      <c r="F3" s="129" t="s">
        <v>120</v>
      </c>
      <c r="G3" s="131" t="s">
        <v>97</v>
      </c>
      <c r="H3" s="132" t="s">
        <v>121</v>
      </c>
      <c r="I3" s="133" t="s">
        <v>122</v>
      </c>
      <c r="J3" s="129" t="s">
        <v>123</v>
      </c>
      <c r="K3" s="131" t="s">
        <v>105</v>
      </c>
      <c r="L3" s="131" t="s">
        <v>106</v>
      </c>
      <c r="M3" s="132" t="s">
        <v>107</v>
      </c>
      <c r="N3" s="134" t="s">
        <v>70</v>
      </c>
      <c r="O3" s="135" t="s">
        <v>71</v>
      </c>
      <c r="P3" s="135" t="s">
        <v>72</v>
      </c>
      <c r="Q3" s="135" t="s">
        <v>81</v>
      </c>
      <c r="R3" s="135" t="s">
        <v>74</v>
      </c>
      <c r="S3" s="136" t="s">
        <v>69</v>
      </c>
      <c r="AMI3" s="0"/>
      <c r="AMJ3" s="0"/>
    </row>
    <row r="4" customFormat="false" ht="15" hidden="false" customHeight="false" outlineLevel="0" collapsed="false">
      <c r="A4" s="138" t="n">
        <f aca="false">_xlfn.RANK.EQ(S4,S$4:S$134)</f>
        <v>58</v>
      </c>
      <c r="B4" s="139" t="s">
        <v>124</v>
      </c>
      <c r="C4" s="140" t="s">
        <v>125</v>
      </c>
      <c r="D4" s="141" t="n">
        <v>0.0772373972906951</v>
      </c>
      <c r="E4" s="142" t="n">
        <v>34675.8479134597</v>
      </c>
      <c r="F4" s="143" t="n">
        <v>8.21</v>
      </c>
      <c r="G4" s="144" t="n">
        <v>10.76</v>
      </c>
      <c r="H4" s="145" t="n">
        <v>0.0474973847268045</v>
      </c>
      <c r="I4" s="146" t="n">
        <v>124121.57</v>
      </c>
      <c r="J4" s="147" t="n">
        <v>0.0347185691741189</v>
      </c>
      <c r="K4" s="148" t="n">
        <v>897</v>
      </c>
      <c r="L4" s="147" t="n">
        <v>0.028845844977675</v>
      </c>
      <c r="M4" s="147" t="n">
        <v>0.0276322355289421</v>
      </c>
      <c r="N4" s="149" t="n">
        <f aca="false">('Modelo AHP'!$U$37*aux!P5)+('Modelo AHP'!$U$38*aux!R5)+('Modelo AHP'!$U$39*aux!S5)</f>
        <v>0.00616310611922197</v>
      </c>
      <c r="O4" s="150" t="n">
        <f aca="false">aux!U5</f>
        <v>0.00764438089300479</v>
      </c>
      <c r="P4" s="149" t="n">
        <f aca="false">('Modelo AHP'!$U$47*aux!V5)+('Modelo AHP'!$U$48*aux!W5)+('Modelo AHP'!$U$49*aux!X5)</f>
        <v>0.00831628083217811</v>
      </c>
      <c r="Q4" s="150" t="n">
        <f aca="false">aux!Z5</f>
        <v>0.00762053900263163</v>
      </c>
      <c r="R4" s="151" t="n">
        <f aca="false">('Modelo AHP'!$U$56*aux!AA5)+('Modelo AHP'!$U$57*aux!AB5)+('Modelo AHP'!$U$58*aux!AC5)+('Modelo AHP'!$U$59*aux!AD5)</f>
        <v>0.00650164045983393</v>
      </c>
      <c r="S4" s="152" t="n">
        <f aca="false">('Modelo AHP'!$U$23*aux!AE5)+('Modelo AHP'!$U$24*aux!AF5)+('Modelo AHP'!$U$25*aux!AG5)+('Modelo AHP'!$U$26*aux!AH5)+('Modelo AHP'!$U$27*aux!AI5)</f>
        <v>0.00751801027438852</v>
      </c>
    </row>
    <row r="5" customFormat="false" ht="15" hidden="false" customHeight="false" outlineLevel="0" collapsed="false">
      <c r="A5" s="138" t="n">
        <f aca="false">_xlfn.RANK.EQ(S5,S$4:S$134)</f>
        <v>44</v>
      </c>
      <c r="B5" s="153" t="s">
        <v>124</v>
      </c>
      <c r="C5" s="154" t="s">
        <v>126</v>
      </c>
      <c r="D5" s="155" t="n">
        <v>0.163634326686086</v>
      </c>
      <c r="E5" s="156" t="n">
        <v>25999.8327430822</v>
      </c>
      <c r="F5" s="157" t="n">
        <v>8.94</v>
      </c>
      <c r="G5" s="158" t="n">
        <v>11.99</v>
      </c>
      <c r="H5" s="159" t="n">
        <v>0.0474973847268045</v>
      </c>
      <c r="I5" s="160" t="n">
        <v>86821.52</v>
      </c>
      <c r="J5" s="147" t="n">
        <v>0.0347185691741189</v>
      </c>
      <c r="K5" s="148" t="n">
        <v>897</v>
      </c>
      <c r="L5" s="147" t="n">
        <v>0.028845844977675</v>
      </c>
      <c r="M5" s="147" t="n">
        <v>0.0276322355289421</v>
      </c>
      <c r="N5" s="161" t="n">
        <f aca="false">('Modelo AHP'!$U$37*aux!P6)+('Modelo AHP'!$U$38*aux!R6)+('Modelo AHP'!$U$39*aux!S6)</f>
        <v>0.00957116923175682</v>
      </c>
      <c r="O5" s="162" t="n">
        <f aca="false">aux!U6</f>
        <v>0.00765637234131363</v>
      </c>
      <c r="P5" s="161" t="n">
        <f aca="false">('Modelo AHP'!$U$47*aux!V6)+('Modelo AHP'!$U$48*aux!W6)+('Modelo AHP'!$U$49*aux!X6)</f>
        <v>0.00889346433610586</v>
      </c>
      <c r="Q5" s="162" t="n">
        <f aca="false">aux!Z6</f>
        <v>0.00764210637173074</v>
      </c>
      <c r="R5" s="163" t="n">
        <f aca="false">('Modelo AHP'!$U$56*aux!AA6)+('Modelo AHP'!$U$57*aux!AB6)+('Modelo AHP'!$U$58*aux!AC6)+('Modelo AHP'!$U$59*aux!AD6)</f>
        <v>0.00650164045983393</v>
      </c>
      <c r="S5" s="164" t="n">
        <f aca="false">('Modelo AHP'!$U$23*aux!AE6)+('Modelo AHP'!$U$24*aux!AF6)+('Modelo AHP'!$U$25*aux!AG6)+('Modelo AHP'!$U$26*aux!AH6)+('Modelo AHP'!$U$27*aux!AI6)</f>
        <v>0.00828949265144555</v>
      </c>
    </row>
    <row r="6" customFormat="false" ht="15" hidden="false" customHeight="false" outlineLevel="0" collapsed="false">
      <c r="A6" s="138" t="n">
        <f aca="false">_xlfn.RANK.EQ(S6,S$4:S$134)</f>
        <v>71</v>
      </c>
      <c r="B6" s="153" t="s">
        <v>124</v>
      </c>
      <c r="C6" s="154" t="s">
        <v>127</v>
      </c>
      <c r="D6" s="155" t="n">
        <v>0.092678757952711</v>
      </c>
      <c r="E6" s="156" t="n">
        <v>34952.6798046567</v>
      </c>
      <c r="F6" s="157" t="n">
        <v>6.88</v>
      </c>
      <c r="G6" s="158" t="n">
        <v>9.04</v>
      </c>
      <c r="H6" s="159" t="n">
        <v>0.0474973847268045</v>
      </c>
      <c r="I6" s="160" t="n">
        <v>147344.7</v>
      </c>
      <c r="J6" s="147" t="n">
        <v>0.0347185691741189</v>
      </c>
      <c r="K6" s="148" t="n">
        <v>897</v>
      </c>
      <c r="L6" s="147" t="n">
        <v>0.028845844977675</v>
      </c>
      <c r="M6" s="147" t="n">
        <v>0.0276322355289421</v>
      </c>
      <c r="N6" s="161" t="n">
        <f aca="false">('Modelo AHP'!$U$37*aux!P7)+('Modelo AHP'!$U$38*aux!R7)+('Modelo AHP'!$U$39*aux!S7)</f>
        <v>0.00619937682646509</v>
      </c>
      <c r="O6" s="162" t="n">
        <f aca="false">aux!U7</f>
        <v>0.00764399827319047</v>
      </c>
      <c r="P6" s="161" t="n">
        <f aca="false">('Modelo AHP'!$U$47*aux!V7)+('Modelo AHP'!$U$48*aux!W7)+('Modelo AHP'!$U$49*aux!X7)</f>
        <v>0.00745600009700326</v>
      </c>
      <c r="Q6" s="162" t="n">
        <f aca="false">aux!Z7</f>
        <v>0.00760711108989836</v>
      </c>
      <c r="R6" s="163" t="n">
        <f aca="false">('Modelo AHP'!$U$56*aux!AA7)+('Modelo AHP'!$U$57*aux!AB7)+('Modelo AHP'!$U$58*aux!AC7)+('Modelo AHP'!$U$59*aux!AD7)</f>
        <v>0.00650164045983393</v>
      </c>
      <c r="S6" s="164" t="n">
        <f aca="false">('Modelo AHP'!$U$23*aux!AE7)+('Modelo AHP'!$U$24*aux!AF7)+('Modelo AHP'!$U$25*aux!AG7)+('Modelo AHP'!$U$26*aux!AH7)+('Modelo AHP'!$U$27*aux!AI7)</f>
        <v>0.00722895068500368</v>
      </c>
    </row>
    <row r="7" customFormat="false" ht="15" hidden="false" customHeight="false" outlineLevel="0" collapsed="false">
      <c r="A7" s="138" t="n">
        <f aca="false">_xlfn.RANK.EQ(S7,S$4:S$134)</f>
        <v>70</v>
      </c>
      <c r="B7" s="153" t="s">
        <v>124</v>
      </c>
      <c r="C7" s="154" t="s">
        <v>128</v>
      </c>
      <c r="D7" s="155" t="n">
        <v>0.0969356979128966</v>
      </c>
      <c r="E7" s="156" t="n">
        <v>40314.882263767</v>
      </c>
      <c r="F7" s="157" t="n">
        <v>6.63</v>
      </c>
      <c r="G7" s="158" t="n">
        <v>9.39</v>
      </c>
      <c r="H7" s="159" t="n">
        <v>0.0474973847268045</v>
      </c>
      <c r="I7" s="160" t="n">
        <v>158945.04</v>
      </c>
      <c r="J7" s="147" t="n">
        <v>0.0347185691741189</v>
      </c>
      <c r="K7" s="148" t="n">
        <v>897</v>
      </c>
      <c r="L7" s="147" t="n">
        <v>0.028845844977675</v>
      </c>
      <c r="M7" s="147" t="n">
        <v>0.0276322355289421</v>
      </c>
      <c r="N7" s="161" t="n">
        <f aca="false">('Modelo AHP'!$U$37*aux!P8)+('Modelo AHP'!$U$38*aux!R8)+('Modelo AHP'!$U$39*aux!S8)</f>
        <v>0.00609990960472867</v>
      </c>
      <c r="O7" s="162" t="n">
        <f aca="false">aux!U8</f>
        <v>0.0076365869706112</v>
      </c>
      <c r="P7" s="161" t="n">
        <f aca="false">('Modelo AHP'!$U$47*aux!V8)+('Modelo AHP'!$U$48*aux!W8)+('Modelo AHP'!$U$49*aux!X8)</f>
        <v>0.00754153723574599</v>
      </c>
      <c r="Q7" s="162" t="n">
        <f aca="false">aux!Z8</f>
        <v>0.00760040362397123</v>
      </c>
      <c r="R7" s="163" t="n">
        <f aca="false">('Modelo AHP'!$U$56*aux!AA8)+('Modelo AHP'!$U$57*aux!AB8)+('Modelo AHP'!$U$58*aux!AC8)+('Modelo AHP'!$U$59*aux!AD8)</f>
        <v>0.00650164045983393</v>
      </c>
      <c r="S7" s="164" t="n">
        <f aca="false">('Modelo AHP'!$U$23*aux!AE8)+('Modelo AHP'!$U$24*aux!AF8)+('Modelo AHP'!$U$25*aux!AG8)+('Modelo AHP'!$U$26*aux!AH8)+('Modelo AHP'!$U$27*aux!AI8)</f>
        <v>0.00723868623933323</v>
      </c>
    </row>
    <row r="8" customFormat="false" ht="15" hidden="false" customHeight="false" outlineLevel="0" collapsed="false">
      <c r="A8" s="138" t="n">
        <f aca="false">_xlfn.RANK.EQ(S8,S$4:S$134)</f>
        <v>59</v>
      </c>
      <c r="B8" s="153" t="s">
        <v>124</v>
      </c>
      <c r="C8" s="154" t="s">
        <v>129</v>
      </c>
      <c r="D8" s="155" t="n">
        <v>0.112308638379131</v>
      </c>
      <c r="E8" s="156" t="n">
        <v>30701.6520392922</v>
      </c>
      <c r="F8" s="157" t="n">
        <v>7.06</v>
      </c>
      <c r="G8" s="158" t="n">
        <v>9.92</v>
      </c>
      <c r="H8" s="159" t="n">
        <v>0.0474973847268045</v>
      </c>
      <c r="I8" s="160" t="n">
        <v>106883.32</v>
      </c>
      <c r="J8" s="147" t="n">
        <v>0.0347185691741189</v>
      </c>
      <c r="K8" s="148" t="n">
        <v>897</v>
      </c>
      <c r="L8" s="147" t="n">
        <v>0.028845844977675</v>
      </c>
      <c r="M8" s="147" t="n">
        <v>0.0276322355289421</v>
      </c>
      <c r="N8" s="161" t="n">
        <f aca="false">('Modelo AHP'!$U$37*aux!P9)+('Modelo AHP'!$U$38*aux!R9)+('Modelo AHP'!$U$39*aux!S9)</f>
        <v>0.00705980526225095</v>
      </c>
      <c r="O8" s="162" t="n">
        <f aca="false">aux!U9</f>
        <v>0.00764987377925019</v>
      </c>
      <c r="P8" s="161" t="n">
        <f aca="false">('Modelo AHP'!$U$47*aux!V9)+('Modelo AHP'!$U$48*aux!W9)+('Modelo AHP'!$U$49*aux!X9)</f>
        <v>0.00781009257839268</v>
      </c>
      <c r="Q8" s="162" t="n">
        <f aca="false">aux!Z9</f>
        <v>0.00763050638070144</v>
      </c>
      <c r="R8" s="163" t="n">
        <f aca="false">('Modelo AHP'!$U$56*aux!AA9)+('Modelo AHP'!$U$57*aux!AB9)+('Modelo AHP'!$U$58*aux!AC9)+('Modelo AHP'!$U$59*aux!AD9)</f>
        <v>0.00650164045983393</v>
      </c>
      <c r="S8" s="164" t="n">
        <f aca="false">('Modelo AHP'!$U$23*aux!AE9)+('Modelo AHP'!$U$24*aux!AF9)+('Modelo AHP'!$U$25*aux!AG9)+('Modelo AHP'!$U$26*aux!AH9)+('Modelo AHP'!$U$27*aux!AI9)</f>
        <v>0.007497199492578</v>
      </c>
    </row>
    <row r="9" customFormat="false" ht="15" hidden="false" customHeight="false" outlineLevel="0" collapsed="false">
      <c r="A9" s="138" t="n">
        <f aca="false">_xlfn.RANK.EQ(S9,S$4:S$134)</f>
        <v>54</v>
      </c>
      <c r="B9" s="153" t="s">
        <v>124</v>
      </c>
      <c r="C9" s="154" t="s">
        <v>130</v>
      </c>
      <c r="D9" s="155" t="n">
        <v>0.117900291626163</v>
      </c>
      <c r="E9" s="156" t="n">
        <v>30935.8043113426</v>
      </c>
      <c r="F9" s="157" t="n">
        <v>7.9</v>
      </c>
      <c r="G9" s="158" t="n">
        <v>11.45</v>
      </c>
      <c r="H9" s="159" t="n">
        <v>0.0474973847268045</v>
      </c>
      <c r="I9" s="160" t="n">
        <v>171610.78</v>
      </c>
      <c r="J9" s="147" t="n">
        <v>0.0347185691741189</v>
      </c>
      <c r="K9" s="148" t="n">
        <v>897</v>
      </c>
      <c r="L9" s="147" t="n">
        <v>0.028845844977675</v>
      </c>
      <c r="M9" s="147" t="n">
        <v>0.0276322355289421</v>
      </c>
      <c r="N9" s="161" t="n">
        <f aca="false">('Modelo AHP'!$U$37*aux!P10)+('Modelo AHP'!$U$38*aux!R10)+('Modelo AHP'!$U$39*aux!S10)</f>
        <v>0.00726248580593931</v>
      </c>
      <c r="O9" s="162" t="n">
        <f aca="false">aux!U10</f>
        <v>0.00764955014854974</v>
      </c>
      <c r="P9" s="161" t="n">
        <f aca="false">('Modelo AHP'!$U$47*aux!V10)+('Modelo AHP'!$U$48*aux!W10)+('Modelo AHP'!$U$49*aux!X10)</f>
        <v>0.00851635207913848</v>
      </c>
      <c r="Q9" s="162" t="n">
        <f aca="false">aux!Z10</f>
        <v>0.00759308013004847</v>
      </c>
      <c r="R9" s="163" t="n">
        <f aca="false">('Modelo AHP'!$U$56*aux!AA10)+('Modelo AHP'!$U$57*aux!AB10)+('Modelo AHP'!$U$58*aux!AC10)+('Modelo AHP'!$U$59*aux!AD10)</f>
        <v>0.00650164045983393</v>
      </c>
      <c r="S9" s="164" t="n">
        <f aca="false">('Modelo AHP'!$U$23*aux!AE10)+('Modelo AHP'!$U$24*aux!AF10)+('Modelo AHP'!$U$25*aux!AG10)+('Modelo AHP'!$U$26*aux!AH10)+('Modelo AHP'!$U$27*aux!AI10)</f>
        <v>0.00776945380851924</v>
      </c>
    </row>
    <row r="10" customFormat="false" ht="15" hidden="false" customHeight="false" outlineLevel="0" collapsed="false">
      <c r="A10" s="138" t="n">
        <f aca="false">_xlfn.RANK.EQ(S10,S$4:S$134)</f>
        <v>89</v>
      </c>
      <c r="B10" s="153" t="s">
        <v>131</v>
      </c>
      <c r="C10" s="154" t="s">
        <v>132</v>
      </c>
      <c r="D10" s="155" t="n">
        <v>0.0367533782296756</v>
      </c>
      <c r="E10" s="156" t="n">
        <v>41950.8120458648</v>
      </c>
      <c r="F10" s="157" t="n">
        <v>6.83</v>
      </c>
      <c r="G10" s="158" t="n">
        <v>8.06</v>
      </c>
      <c r="H10" s="159" t="n">
        <v>0.0396706228899877</v>
      </c>
      <c r="I10" s="160" t="n">
        <v>87446.56</v>
      </c>
      <c r="J10" s="147" t="n">
        <v>0.0352446081009995</v>
      </c>
      <c r="K10" s="148" t="n">
        <v>266</v>
      </c>
      <c r="L10" s="147" t="n">
        <v>0.0352381870161575</v>
      </c>
      <c r="M10" s="147" t="n">
        <v>0.0392028443113772</v>
      </c>
      <c r="N10" s="161" t="n">
        <f aca="false">('Modelo AHP'!$U$37*aux!P11)+('Modelo AHP'!$U$38*aux!R11)+('Modelo AHP'!$U$39*aux!S11)</f>
        <v>0.00504772171802032</v>
      </c>
      <c r="O10" s="162" t="n">
        <f aca="false">aux!U11</f>
        <v>0.00763432589026109</v>
      </c>
      <c r="P10" s="161" t="n">
        <f aca="false">('Modelo AHP'!$U$47*aux!V11)+('Modelo AHP'!$U$48*aux!W11)+('Modelo AHP'!$U$49*aux!X11)</f>
        <v>0.0066008563178744</v>
      </c>
      <c r="Q10" s="162" t="n">
        <f aca="false">aux!Z11</f>
        <v>0.00764174496555618</v>
      </c>
      <c r="R10" s="163" t="n">
        <f aca="false">('Modelo AHP'!$U$56*aux!AA11)+('Modelo AHP'!$U$57*aux!AB11)+('Modelo AHP'!$U$58*aux!AC11)+('Modelo AHP'!$U$59*aux!AD11)</f>
        <v>0.00402242391382511</v>
      </c>
      <c r="S10" s="164" t="n">
        <f aca="false">('Modelo AHP'!$U$23*aux!AE11)+('Modelo AHP'!$U$24*aux!AF11)+('Modelo AHP'!$U$25*aux!AG11)+('Modelo AHP'!$U$26*aux!AH11)+('Modelo AHP'!$U$27*aux!AI11)</f>
        <v>0.00651191339249372</v>
      </c>
    </row>
    <row r="11" customFormat="false" ht="15" hidden="false" customHeight="false" outlineLevel="0" collapsed="false">
      <c r="A11" s="138" t="n">
        <f aca="false">_xlfn.RANK.EQ(S11,S$4:S$134)</f>
        <v>90</v>
      </c>
      <c r="B11" s="153" t="s">
        <v>131</v>
      </c>
      <c r="C11" s="154" t="s">
        <v>133</v>
      </c>
      <c r="D11" s="155" t="n">
        <v>0.0379581507986177</v>
      </c>
      <c r="E11" s="156" t="n">
        <v>44669.1824389435</v>
      </c>
      <c r="F11" s="157" t="n">
        <v>6.57</v>
      </c>
      <c r="G11" s="158" t="n">
        <v>7.67</v>
      </c>
      <c r="H11" s="159" t="n">
        <v>0.0396706228899877</v>
      </c>
      <c r="I11" s="160" t="n">
        <v>83248.38</v>
      </c>
      <c r="J11" s="147" t="n">
        <v>0.0352446081009995</v>
      </c>
      <c r="K11" s="148" t="n">
        <v>266</v>
      </c>
      <c r="L11" s="147" t="n">
        <v>0.0352381870161575</v>
      </c>
      <c r="M11" s="147" t="n">
        <v>0.0392028443113772</v>
      </c>
      <c r="N11" s="161" t="n">
        <f aca="false">('Modelo AHP'!$U$37*aux!P12)+('Modelo AHP'!$U$38*aux!R12)+('Modelo AHP'!$U$39*aux!S12)</f>
        <v>0.00504635420020352</v>
      </c>
      <c r="O11" s="162" t="n">
        <f aca="false">aux!U12</f>
        <v>0.00763056872785269</v>
      </c>
      <c r="P11" s="161" t="n">
        <f aca="false">('Modelo AHP'!$U$47*aux!V12)+('Modelo AHP'!$U$48*aux!W12)+('Modelo AHP'!$U$49*aux!X12)</f>
        <v>0.00641294026650582</v>
      </c>
      <c r="Q11" s="162" t="n">
        <f aca="false">aux!Z12</f>
        <v>0.00764417240727823</v>
      </c>
      <c r="R11" s="163" t="n">
        <f aca="false">('Modelo AHP'!$U$56*aux!AA12)+('Modelo AHP'!$U$57*aux!AB12)+('Modelo AHP'!$U$58*aux!AC12)+('Modelo AHP'!$U$59*aux!AD12)</f>
        <v>0.00402242391382511</v>
      </c>
      <c r="S11" s="164" t="n">
        <f aca="false">('Modelo AHP'!$U$23*aux!AE12)+('Modelo AHP'!$U$24*aux!AF12)+('Modelo AHP'!$U$25*aux!AG12)+('Modelo AHP'!$U$26*aux!AH12)+('Modelo AHP'!$U$27*aux!AI12)</f>
        <v>0.00644643972048978</v>
      </c>
    </row>
    <row r="12" customFormat="false" ht="15" hidden="false" customHeight="false" outlineLevel="0" collapsed="false">
      <c r="A12" s="138" t="n">
        <f aca="false">_xlfn.RANK.EQ(S12,S$4:S$134)</f>
        <v>65</v>
      </c>
      <c r="B12" s="153" t="s">
        <v>131</v>
      </c>
      <c r="C12" s="154" t="s">
        <v>134</v>
      </c>
      <c r="D12" s="155" t="n">
        <v>0.100409111571291</v>
      </c>
      <c r="E12" s="156" t="n">
        <v>31933.91199662</v>
      </c>
      <c r="F12" s="157" t="n">
        <v>7.87</v>
      </c>
      <c r="G12" s="158" t="n">
        <v>9.81</v>
      </c>
      <c r="H12" s="159" t="n">
        <v>0.0396706228899877</v>
      </c>
      <c r="I12" s="160" t="n">
        <v>79471.76</v>
      </c>
      <c r="J12" s="147" t="n">
        <v>0.0352446081009995</v>
      </c>
      <c r="K12" s="148" t="n">
        <v>266</v>
      </c>
      <c r="L12" s="147" t="n">
        <v>0.0352381870161575</v>
      </c>
      <c r="M12" s="147" t="n">
        <v>0.0392028443113772</v>
      </c>
      <c r="N12" s="161" t="n">
        <f aca="false">('Modelo AHP'!$U$37*aux!P13)+('Modelo AHP'!$U$38*aux!R13)+('Modelo AHP'!$U$39*aux!S13)</f>
        <v>0.00838293717387186</v>
      </c>
      <c r="O12" s="162" t="n">
        <f aca="false">aux!U13</f>
        <v>0.00764817062621378</v>
      </c>
      <c r="P12" s="161" t="n">
        <f aca="false">('Modelo AHP'!$U$47*aux!V13)+('Modelo AHP'!$U$48*aux!W13)+('Modelo AHP'!$U$49*aux!X13)</f>
        <v>0.00742229000395296</v>
      </c>
      <c r="Q12" s="162" t="n">
        <f aca="false">aux!Z13</f>
        <v>0.00764635609758124</v>
      </c>
      <c r="R12" s="163" t="n">
        <f aca="false">('Modelo AHP'!$U$56*aux!AA13)+('Modelo AHP'!$U$57*aux!AB13)+('Modelo AHP'!$U$58*aux!AC13)+('Modelo AHP'!$U$59*aux!AD13)</f>
        <v>0.00402242391382511</v>
      </c>
      <c r="S12" s="164" t="n">
        <f aca="false">('Modelo AHP'!$U$23*aux!AE13)+('Modelo AHP'!$U$24*aux!AF13)+('Modelo AHP'!$U$25*aux!AG13)+('Modelo AHP'!$U$26*aux!AH13)+('Modelo AHP'!$U$27*aux!AI13)</f>
        <v>0.00735402877863221</v>
      </c>
    </row>
    <row r="13" customFormat="false" ht="15" hidden="false" customHeight="false" outlineLevel="0" collapsed="false">
      <c r="A13" s="138" t="n">
        <f aca="false">_xlfn.RANK.EQ(S13,S$4:S$134)</f>
        <v>108</v>
      </c>
      <c r="B13" s="153" t="s">
        <v>131</v>
      </c>
      <c r="C13" s="154" t="s">
        <v>135</v>
      </c>
      <c r="D13" s="155" t="n">
        <v>0.0397361313110326</v>
      </c>
      <c r="E13" s="156" t="n">
        <v>48935.036576627</v>
      </c>
      <c r="F13" s="157" t="n">
        <v>4.94</v>
      </c>
      <c r="G13" s="158" t="n">
        <v>6.22</v>
      </c>
      <c r="H13" s="159" t="n">
        <v>0.0396706228899877</v>
      </c>
      <c r="I13" s="160" t="n">
        <v>90178.67</v>
      </c>
      <c r="J13" s="147" t="n">
        <v>0.0352446081009995</v>
      </c>
      <c r="K13" s="148" t="n">
        <v>266</v>
      </c>
      <c r="L13" s="147" t="n">
        <v>0.0352381870161575</v>
      </c>
      <c r="M13" s="147" t="n">
        <v>0.0392028443113772</v>
      </c>
      <c r="N13" s="161" t="n">
        <f aca="false">('Modelo AHP'!$U$37*aux!P14)+('Modelo AHP'!$U$38*aux!R14)+('Modelo AHP'!$U$39*aux!S14)</f>
        <v>0.00399143919108486</v>
      </c>
      <c r="O13" s="162" t="n">
        <f aca="false">aux!U14</f>
        <v>0.0076246727297037</v>
      </c>
      <c r="P13" s="161" t="n">
        <f aca="false">('Modelo AHP'!$U$47*aux!V14)+('Modelo AHP'!$U$48*aux!W14)+('Modelo AHP'!$U$49*aux!X14)</f>
        <v>0.00560022292892417</v>
      </c>
      <c r="Q13" s="162" t="n">
        <f aca="false">aux!Z14</f>
        <v>0.00764016522438185</v>
      </c>
      <c r="R13" s="163" t="n">
        <f aca="false">('Modelo AHP'!$U$56*aux!AA14)+('Modelo AHP'!$U$57*aux!AB14)+('Modelo AHP'!$U$58*aux!AC14)+('Modelo AHP'!$U$59*aux!AD14)</f>
        <v>0.00402242391382511</v>
      </c>
      <c r="S13" s="164" t="n">
        <f aca="false">('Modelo AHP'!$U$23*aux!AE14)+('Modelo AHP'!$U$24*aux!AF14)+('Modelo AHP'!$U$25*aux!AG14)+('Modelo AHP'!$U$26*aux!AH14)+('Modelo AHP'!$U$27*aux!AI14)</f>
        <v>0.00599046055834251</v>
      </c>
    </row>
    <row r="14" customFormat="false" ht="15" hidden="false" customHeight="false" outlineLevel="0" collapsed="false">
      <c r="A14" s="138" t="n">
        <f aca="false">_xlfn.RANK.EQ(S14,S$4:S$134)</f>
        <v>85</v>
      </c>
      <c r="B14" s="153" t="s">
        <v>131</v>
      </c>
      <c r="C14" s="154" t="s">
        <v>136</v>
      </c>
      <c r="D14" s="155" t="n">
        <v>0.0754559021584829</v>
      </c>
      <c r="E14" s="156" t="n">
        <v>39647.6886525592</v>
      </c>
      <c r="F14" s="157" t="n">
        <v>6.42</v>
      </c>
      <c r="G14" s="158" t="n">
        <v>7.8</v>
      </c>
      <c r="H14" s="159" t="n">
        <v>0.0396706228899877</v>
      </c>
      <c r="I14" s="160" t="n">
        <v>83583.65</v>
      </c>
      <c r="J14" s="147" t="n">
        <v>0.0352446081009995</v>
      </c>
      <c r="K14" s="148" t="n">
        <v>266</v>
      </c>
      <c r="L14" s="147" t="n">
        <v>0.0352381870161575</v>
      </c>
      <c r="M14" s="147" t="n">
        <v>0.0392028443113772</v>
      </c>
      <c r="N14" s="161" t="n">
        <f aca="false">('Modelo AHP'!$U$37*aux!P15)+('Modelo AHP'!$U$38*aux!R15)+('Modelo AHP'!$U$39*aux!S15)</f>
        <v>0.00638406593091196</v>
      </c>
      <c r="O14" s="162" t="n">
        <f aca="false">aux!U15</f>
        <v>0.0076375091241049</v>
      </c>
      <c r="P14" s="161" t="n">
        <f aca="false">('Modelo AHP'!$U$47*aux!V15)+('Modelo AHP'!$U$48*aux!W15)+('Modelo AHP'!$U$49*aux!X15)</f>
        <v>0.00643488592633915</v>
      </c>
      <c r="Q14" s="162" t="n">
        <f aca="false">aux!Z15</f>
        <v>0.00764397854984806</v>
      </c>
      <c r="R14" s="163" t="n">
        <f aca="false">('Modelo AHP'!$U$56*aux!AA15)+('Modelo AHP'!$U$57*aux!AB15)+('Modelo AHP'!$U$58*aux!AC15)+('Modelo AHP'!$U$59*aux!AD15)</f>
        <v>0.00402242391382511</v>
      </c>
      <c r="S14" s="164" t="n">
        <f aca="false">('Modelo AHP'!$U$23*aux!AE15)+('Modelo AHP'!$U$24*aux!AF15)+('Modelo AHP'!$U$25*aux!AG15)+('Modelo AHP'!$U$26*aux!AH15)+('Modelo AHP'!$U$27*aux!AI15)</f>
        <v>0.00667940760475631</v>
      </c>
    </row>
    <row r="15" customFormat="false" ht="15" hidden="false" customHeight="false" outlineLevel="0" collapsed="false">
      <c r="A15" s="138" t="n">
        <f aca="false">_xlfn.RANK.EQ(S15,S$4:S$134)</f>
        <v>75</v>
      </c>
      <c r="B15" s="153" t="s">
        <v>131</v>
      </c>
      <c r="C15" s="154" t="s">
        <v>137</v>
      </c>
      <c r="D15" s="155" t="n">
        <v>0.0974444617057636</v>
      </c>
      <c r="E15" s="156" t="n">
        <v>33938.3690529766</v>
      </c>
      <c r="F15" s="157" t="n">
        <v>7.21</v>
      </c>
      <c r="G15" s="158" t="n">
        <v>9.23</v>
      </c>
      <c r="H15" s="159" t="n">
        <v>0.0396706228899877</v>
      </c>
      <c r="I15" s="160" t="n">
        <v>81739.38</v>
      </c>
      <c r="J15" s="147" t="n">
        <v>0.0352446081009995</v>
      </c>
      <c r="K15" s="148" t="n">
        <v>266</v>
      </c>
      <c r="L15" s="147" t="n">
        <v>0.0352381870161575</v>
      </c>
      <c r="M15" s="147" t="n">
        <v>0.0392028443113772</v>
      </c>
      <c r="N15" s="161" t="n">
        <f aca="false">('Modelo AHP'!$U$37*aux!P16)+('Modelo AHP'!$U$38*aux!R16)+('Modelo AHP'!$U$39*aux!S16)</f>
        <v>0.00741498738076248</v>
      </c>
      <c r="O15" s="162" t="n">
        <f aca="false">aux!U16</f>
        <v>0.00764540019039658</v>
      </c>
      <c r="P15" s="161" t="n">
        <f aca="false">('Modelo AHP'!$U$47*aux!V16)+('Modelo AHP'!$U$48*aux!W16)+('Modelo AHP'!$U$49*aux!X16)</f>
        <v>0.00709582753008234</v>
      </c>
      <c r="Q15" s="162" t="n">
        <f aca="false">aux!Z16</f>
        <v>0.00764504493050462</v>
      </c>
      <c r="R15" s="163" t="n">
        <f aca="false">('Modelo AHP'!$U$56*aux!AA16)+('Modelo AHP'!$U$57*aux!AB16)+('Modelo AHP'!$U$58*aux!AC16)+('Modelo AHP'!$U$59*aux!AD16)</f>
        <v>0.00402242391382511</v>
      </c>
      <c r="S15" s="164" t="n">
        <f aca="false">('Modelo AHP'!$U$23*aux!AE16)+('Modelo AHP'!$U$24*aux!AF16)+('Modelo AHP'!$U$25*aux!AG16)+('Modelo AHP'!$U$26*aux!AH16)+('Modelo AHP'!$U$27*aux!AI16)</f>
        <v>0.00707993957169914</v>
      </c>
    </row>
    <row r="16" customFormat="false" ht="15" hidden="false" customHeight="false" outlineLevel="0" collapsed="false">
      <c r="A16" s="138" t="n">
        <f aca="false">_xlfn.RANK.EQ(S16,S$4:S$134)</f>
        <v>88</v>
      </c>
      <c r="B16" s="153" t="s">
        <v>131</v>
      </c>
      <c r="C16" s="154" t="s">
        <v>138</v>
      </c>
      <c r="D16" s="155" t="n">
        <v>0.0334763948497854</v>
      </c>
      <c r="E16" s="156" t="n">
        <v>37939.2847228916</v>
      </c>
      <c r="F16" s="157" t="n">
        <v>7.96</v>
      </c>
      <c r="G16" s="158" t="n">
        <v>7.42</v>
      </c>
      <c r="H16" s="159" t="n">
        <v>0.0396706228899877</v>
      </c>
      <c r="I16" s="160" t="n">
        <v>127649.25</v>
      </c>
      <c r="J16" s="147" t="n">
        <v>0.0352446081009995</v>
      </c>
      <c r="K16" s="148" t="n">
        <v>266</v>
      </c>
      <c r="L16" s="147" t="n">
        <v>0.0352381870161575</v>
      </c>
      <c r="M16" s="147" t="n">
        <v>0.0392028443113772</v>
      </c>
      <c r="N16" s="161" t="n">
        <f aca="false">('Modelo AHP'!$U$37*aux!P17)+('Modelo AHP'!$U$38*aux!R17)+('Modelo AHP'!$U$39*aux!S17)</f>
        <v>0.00525473757666009</v>
      </c>
      <c r="O16" s="162" t="n">
        <f aca="false">aux!U17</f>
        <v>0.00763987037371212</v>
      </c>
      <c r="P16" s="161" t="n">
        <f aca="false">('Modelo AHP'!$U$47*aux!V17)+('Modelo AHP'!$U$48*aux!W17)+('Modelo AHP'!$U$49*aux!X17)</f>
        <v>0.0065601381914372</v>
      </c>
      <c r="Q16" s="162" t="n">
        <f aca="false">aux!Z17</f>
        <v>0.00761849925264139</v>
      </c>
      <c r="R16" s="163" t="n">
        <f aca="false">('Modelo AHP'!$U$56*aux!AA17)+('Modelo AHP'!$U$57*aux!AB17)+('Modelo AHP'!$U$58*aux!AC17)+('Modelo AHP'!$U$59*aux!AD17)</f>
        <v>0.00402242391382511</v>
      </c>
      <c r="S16" s="164" t="n">
        <f aca="false">('Modelo AHP'!$U$23*aux!AE17)+('Modelo AHP'!$U$24*aux!AF17)+('Modelo AHP'!$U$25*aux!AG17)+('Modelo AHP'!$U$26*aux!AH17)+('Modelo AHP'!$U$27*aux!AI17)</f>
        <v>0.00653258859459512</v>
      </c>
    </row>
    <row r="17" customFormat="false" ht="15" hidden="false" customHeight="false" outlineLevel="0" collapsed="false">
      <c r="A17" s="138" t="n">
        <f aca="false">_xlfn.RANK.EQ(S17,S$4:S$134)</f>
        <v>102</v>
      </c>
      <c r="B17" s="153" t="s">
        <v>139</v>
      </c>
      <c r="C17" s="154" t="s">
        <v>140</v>
      </c>
      <c r="D17" s="155" t="n">
        <v>0.0506830153864468</v>
      </c>
      <c r="E17" s="156" t="n">
        <v>41948.887029967</v>
      </c>
      <c r="F17" s="157" t="n">
        <v>6.1</v>
      </c>
      <c r="G17" s="158" t="n">
        <v>7.59</v>
      </c>
      <c r="H17" s="159" t="n">
        <v>0.0330983715655516</v>
      </c>
      <c r="I17" s="160" t="n">
        <v>95321.7</v>
      </c>
      <c r="J17" s="147" t="n">
        <v>0.0201648255304226</v>
      </c>
      <c r="K17" s="148" t="n">
        <v>121</v>
      </c>
      <c r="L17" s="147" t="n">
        <v>0.016607240371334</v>
      </c>
      <c r="M17" s="147" t="n">
        <v>0.0261664171656687</v>
      </c>
      <c r="N17" s="161" t="n">
        <f aca="false">('Modelo AHP'!$U$37*aux!P18)+('Modelo AHP'!$U$38*aux!R18)+('Modelo AHP'!$U$39*aux!S18)</f>
        <v>0.00530923565057456</v>
      </c>
      <c r="O17" s="162" t="n">
        <f aca="false">aux!U18</f>
        <v>0.00763432855089829</v>
      </c>
      <c r="P17" s="161" t="n">
        <f aca="false">('Modelo AHP'!$U$47*aux!V18)+('Modelo AHP'!$U$48*aux!W18)+('Modelo AHP'!$U$49*aux!X18)</f>
        <v>0.00589407557546863</v>
      </c>
      <c r="Q17" s="162" t="n">
        <f aca="false">aux!Z18</f>
        <v>0.0076371914582261</v>
      </c>
      <c r="R17" s="163" t="n">
        <f aca="false">('Modelo AHP'!$U$56*aux!AA18)+('Modelo AHP'!$U$57*aux!AB18)+('Modelo AHP'!$U$58*aux!AC18)+('Modelo AHP'!$U$59*aux!AD18)</f>
        <v>0.00211121505282198</v>
      </c>
      <c r="S17" s="164" t="n">
        <f aca="false">('Modelo AHP'!$U$23*aux!AE18)+('Modelo AHP'!$U$24*aux!AF18)+('Modelo AHP'!$U$25*aux!AG18)+('Modelo AHP'!$U$26*aux!AH18)+('Modelo AHP'!$U$27*aux!AI18)</f>
        <v>0.00613476471344964</v>
      </c>
    </row>
    <row r="18" customFormat="false" ht="15" hidden="false" customHeight="false" outlineLevel="0" collapsed="false">
      <c r="A18" s="138" t="n">
        <f aca="false">_xlfn.RANK.EQ(S18,S$4:S$134)</f>
        <v>92</v>
      </c>
      <c r="B18" s="153" t="s">
        <v>139</v>
      </c>
      <c r="C18" s="154" t="s">
        <v>141</v>
      </c>
      <c r="D18" s="155" t="n">
        <v>0.0385936222403925</v>
      </c>
      <c r="E18" s="156" t="n">
        <v>45842.9286514838</v>
      </c>
      <c r="F18" s="157" t="n">
        <v>6.73</v>
      </c>
      <c r="G18" s="158" t="n">
        <v>8.78</v>
      </c>
      <c r="H18" s="159" t="n">
        <v>0.0330983715655516</v>
      </c>
      <c r="I18" s="160" t="n">
        <v>89195.73</v>
      </c>
      <c r="J18" s="147" t="n">
        <v>0.0201648255304226</v>
      </c>
      <c r="K18" s="148" t="n">
        <v>121</v>
      </c>
      <c r="L18" s="147" t="n">
        <v>0.016607240371334</v>
      </c>
      <c r="M18" s="147" t="n">
        <v>0.0261664171656687</v>
      </c>
      <c r="N18" s="161" t="n">
        <f aca="false">('Modelo AHP'!$U$37*aux!P19)+('Modelo AHP'!$U$38*aux!R19)+('Modelo AHP'!$U$39*aux!S19)</f>
        <v>0.00503798899521663</v>
      </c>
      <c r="O18" s="162" t="n">
        <f aca="false">aux!U19</f>
        <v>0.00762894644887334</v>
      </c>
      <c r="P18" s="161" t="n">
        <f aca="false">('Modelo AHP'!$U$47*aux!V19)+('Modelo AHP'!$U$48*aux!W19)+('Modelo AHP'!$U$49*aux!X19)</f>
        <v>0.00643937653221578</v>
      </c>
      <c r="Q18" s="162" t="n">
        <f aca="false">aux!Z19</f>
        <v>0.00764073357294391</v>
      </c>
      <c r="R18" s="163" t="n">
        <f aca="false">('Modelo AHP'!$U$56*aux!AA19)+('Modelo AHP'!$U$57*aux!AB19)+('Modelo AHP'!$U$58*aux!AC19)+('Modelo AHP'!$U$59*aux!AD19)</f>
        <v>0.00211121505282198</v>
      </c>
      <c r="S18" s="164" t="n">
        <f aca="false">('Modelo AHP'!$U$23*aux!AE19)+('Modelo AHP'!$U$24*aux!AF19)+('Modelo AHP'!$U$25*aux!AG19)+('Modelo AHP'!$U$26*aux!AH19)+('Modelo AHP'!$U$27*aux!AI19)</f>
        <v>0.00627437091943713</v>
      </c>
    </row>
    <row r="19" customFormat="false" ht="15" hidden="false" customHeight="false" outlineLevel="0" collapsed="false">
      <c r="A19" s="138" t="n">
        <f aca="false">_xlfn.RANK.EQ(S19,S$4:S$134)</f>
        <v>118</v>
      </c>
      <c r="B19" s="153" t="s">
        <v>139</v>
      </c>
      <c r="C19" s="154" t="s">
        <v>142</v>
      </c>
      <c r="D19" s="155" t="n">
        <v>0.0198381960581806</v>
      </c>
      <c r="E19" s="156" t="n">
        <v>58249.1444892188</v>
      </c>
      <c r="F19" s="157" t="n">
        <v>5.21</v>
      </c>
      <c r="G19" s="158" t="n">
        <v>6.64</v>
      </c>
      <c r="H19" s="159" t="n">
        <v>0.0330983715655516</v>
      </c>
      <c r="I19" s="160" t="n">
        <v>124451.81</v>
      </c>
      <c r="J19" s="147" t="n">
        <v>0.0201648255304226</v>
      </c>
      <c r="K19" s="148" t="n">
        <v>121</v>
      </c>
      <c r="L19" s="147" t="n">
        <v>0.016607240371334</v>
      </c>
      <c r="M19" s="147" t="n">
        <v>0.0261664171656687</v>
      </c>
      <c r="N19" s="161" t="n">
        <f aca="false">('Modelo AHP'!$U$37*aux!P20)+('Modelo AHP'!$U$38*aux!R20)+('Modelo AHP'!$U$39*aux!S20)</f>
        <v>0.00383177275201822</v>
      </c>
      <c r="O19" s="162" t="n">
        <f aca="false">aux!U20</f>
        <v>0.00761179934931149</v>
      </c>
      <c r="P19" s="161" t="n">
        <f aca="false">('Modelo AHP'!$U$47*aux!V20)+('Modelo AHP'!$U$48*aux!W20)+('Modelo AHP'!$U$49*aux!X20)</f>
        <v>0.00539219947672485</v>
      </c>
      <c r="Q19" s="162" t="n">
        <f aca="false">aux!Z20</f>
        <v>0.00762034805361222</v>
      </c>
      <c r="R19" s="163" t="n">
        <f aca="false">('Modelo AHP'!$U$56*aux!AA20)+('Modelo AHP'!$U$57*aux!AB20)+('Modelo AHP'!$U$58*aux!AC20)+('Modelo AHP'!$U$59*aux!AD20)</f>
        <v>0.00211121505282198</v>
      </c>
      <c r="S19" s="164" t="n">
        <f aca="false">('Modelo AHP'!$U$23*aux!AE20)+('Modelo AHP'!$U$24*aux!AF20)+('Modelo AHP'!$U$25*aux!AG20)+('Modelo AHP'!$U$26*aux!AH20)+('Modelo AHP'!$U$27*aux!AI20)</f>
        <v>0.00570816026488063</v>
      </c>
    </row>
    <row r="20" customFormat="false" ht="15" hidden="false" customHeight="false" outlineLevel="0" collapsed="false">
      <c r="A20" s="138" t="n">
        <f aca="false">_xlfn.RANK.EQ(S20,S$4:S$134)</f>
        <v>106</v>
      </c>
      <c r="B20" s="153" t="s">
        <v>139</v>
      </c>
      <c r="C20" s="154" t="s">
        <v>143</v>
      </c>
      <c r="D20" s="155" t="n">
        <v>0.0521143815201192</v>
      </c>
      <c r="E20" s="156" t="n">
        <v>45561.1376637797</v>
      </c>
      <c r="F20" s="157" t="n">
        <v>5.73</v>
      </c>
      <c r="G20" s="158" t="n">
        <v>7.45</v>
      </c>
      <c r="H20" s="159" t="n">
        <v>0.0330983715655516</v>
      </c>
      <c r="I20" s="160" t="n">
        <v>160287.21</v>
      </c>
      <c r="J20" s="147" t="n">
        <v>0.0201648255304226</v>
      </c>
      <c r="K20" s="148" t="n">
        <v>121</v>
      </c>
      <c r="L20" s="147" t="n">
        <v>0.016607240371334</v>
      </c>
      <c r="M20" s="147" t="n">
        <v>0.0261664171656687</v>
      </c>
      <c r="N20" s="161" t="n">
        <f aca="false">('Modelo AHP'!$U$37*aux!P21)+('Modelo AHP'!$U$38*aux!R21)+('Modelo AHP'!$U$39*aux!S21)</f>
        <v>0.0050731823892786</v>
      </c>
      <c r="O20" s="162" t="n">
        <f aca="false">aux!U21</f>
        <v>0.00762933592284228</v>
      </c>
      <c r="P20" s="161" t="n">
        <f aca="false">('Modelo AHP'!$U$47*aux!V21)+('Modelo AHP'!$U$48*aux!W21)+('Modelo AHP'!$U$49*aux!X21)</f>
        <v>0.00577904781324162</v>
      </c>
      <c r="Q20" s="162" t="n">
        <f aca="false">aux!Z21</f>
        <v>0.00759962756399855</v>
      </c>
      <c r="R20" s="163" t="n">
        <f aca="false">('Modelo AHP'!$U$56*aux!AA21)+('Modelo AHP'!$U$57*aux!AB21)+('Modelo AHP'!$U$58*aux!AC21)+('Modelo AHP'!$U$59*aux!AD21)</f>
        <v>0.00211121505282198</v>
      </c>
      <c r="S20" s="164" t="n">
        <f aca="false">('Modelo AHP'!$U$23*aux!AE21)+('Modelo AHP'!$U$24*aux!AF21)+('Modelo AHP'!$U$25*aux!AG21)+('Modelo AHP'!$U$26*aux!AH21)+('Modelo AHP'!$U$27*aux!AI21)</f>
        <v>0.00605162932761579</v>
      </c>
    </row>
    <row r="21" customFormat="false" ht="15" hidden="false" customHeight="false" outlineLevel="0" collapsed="false">
      <c r="A21" s="138" t="n">
        <f aca="false">_xlfn.RANK.EQ(S21,S$4:S$134)</f>
        <v>126</v>
      </c>
      <c r="B21" s="153" t="s">
        <v>139</v>
      </c>
      <c r="C21" s="154" t="s">
        <v>144</v>
      </c>
      <c r="D21" s="155" t="n">
        <v>0.0371731448763251</v>
      </c>
      <c r="E21" s="156" t="n">
        <v>84955.302447994</v>
      </c>
      <c r="F21" s="157" t="n">
        <v>4.15</v>
      </c>
      <c r="G21" s="158" t="n">
        <v>5.03</v>
      </c>
      <c r="H21" s="159" t="n">
        <v>0.0330983715655516</v>
      </c>
      <c r="I21" s="160" t="n">
        <v>329936.75</v>
      </c>
      <c r="J21" s="147" t="n">
        <v>0.0201648255304226</v>
      </c>
      <c r="K21" s="148" t="n">
        <v>121</v>
      </c>
      <c r="L21" s="147" t="n">
        <v>0.016607240371334</v>
      </c>
      <c r="M21" s="147" t="n">
        <v>0.0261664171656687</v>
      </c>
      <c r="N21" s="161" t="n">
        <f aca="false">('Modelo AHP'!$U$37*aux!P22)+('Modelo AHP'!$U$38*aux!R22)+('Modelo AHP'!$U$39*aux!S22)</f>
        <v>0.00410177374720784</v>
      </c>
      <c r="O21" s="162" t="n">
        <f aca="false">aux!U22</f>
        <v>0.00757488775955495</v>
      </c>
      <c r="P21" s="161" t="n">
        <f aca="false">('Modelo AHP'!$U$47*aux!V22)+('Modelo AHP'!$U$48*aux!W22)+('Modelo AHP'!$U$49*aux!X22)</f>
        <v>0.00461873603452294</v>
      </c>
      <c r="Q21" s="162" t="n">
        <f aca="false">aux!Z22</f>
        <v>0.00750153401595572</v>
      </c>
      <c r="R21" s="163" t="n">
        <f aca="false">('Modelo AHP'!$U$56*aux!AA22)+('Modelo AHP'!$U$57*aux!AB22)+('Modelo AHP'!$U$58*aux!AC22)+('Modelo AHP'!$U$59*aux!AD22)</f>
        <v>0.00211121505282198</v>
      </c>
      <c r="S21" s="164" t="n">
        <f aca="false">('Modelo AHP'!$U$23*aux!AE22)+('Modelo AHP'!$U$24*aux!AF22)+('Modelo AHP'!$U$25*aux!AG22)+('Modelo AHP'!$U$26*aux!AH22)+('Modelo AHP'!$U$27*aux!AI22)</f>
        <v>0.00546806956603461</v>
      </c>
    </row>
    <row r="22" customFormat="false" ht="15" hidden="false" customHeight="false" outlineLevel="0" collapsed="false">
      <c r="A22" s="138" t="n">
        <f aca="false">_xlfn.RANK.EQ(S22,S$4:S$134)</f>
        <v>125</v>
      </c>
      <c r="B22" s="153" t="s">
        <v>139</v>
      </c>
      <c r="C22" s="154" t="s">
        <v>145</v>
      </c>
      <c r="D22" s="155" t="n">
        <v>0.0246727748691099</v>
      </c>
      <c r="E22" s="156" t="n">
        <v>69100.1609099165</v>
      </c>
      <c r="F22" s="157" t="n">
        <v>4.81</v>
      </c>
      <c r="G22" s="158" t="n">
        <v>5.71</v>
      </c>
      <c r="H22" s="159" t="n">
        <v>0.0330983715655516</v>
      </c>
      <c r="I22" s="160" t="n">
        <v>205637.32</v>
      </c>
      <c r="J22" s="147" t="n">
        <v>0.0201648255304226</v>
      </c>
      <c r="K22" s="148" t="n">
        <v>121</v>
      </c>
      <c r="L22" s="147" t="n">
        <v>0.016607240371334</v>
      </c>
      <c r="M22" s="147" t="n">
        <v>0.0261664171656687</v>
      </c>
      <c r="N22" s="161" t="n">
        <f aca="false">('Modelo AHP'!$U$37*aux!P23)+('Modelo AHP'!$U$38*aux!R23)+('Modelo AHP'!$U$39*aux!S23)</f>
        <v>0.00341644822884498</v>
      </c>
      <c r="O22" s="162" t="n">
        <f aca="false">aux!U23</f>
        <v>0.00759680174961255</v>
      </c>
      <c r="P22" s="161" t="n">
        <f aca="false">('Modelo AHP'!$U$47*aux!V23)+('Modelo AHP'!$U$48*aux!W23)+('Modelo AHP'!$U$49*aux!X23)</f>
        <v>0.00498191928765894</v>
      </c>
      <c r="Q22" s="162" t="n">
        <f aca="false">aux!Z23</f>
        <v>0.0075734055465735</v>
      </c>
      <c r="R22" s="163" t="n">
        <f aca="false">('Modelo AHP'!$U$56*aux!AA23)+('Modelo AHP'!$U$57*aux!AB23)+('Modelo AHP'!$U$58*aux!AC23)+('Modelo AHP'!$U$59*aux!AD23)</f>
        <v>0.00211121505282198</v>
      </c>
      <c r="S22" s="164" t="n">
        <f aca="false">('Modelo AHP'!$U$23*aux!AE23)+('Modelo AHP'!$U$24*aux!AF23)+('Modelo AHP'!$U$25*aux!AG23)+('Modelo AHP'!$U$26*aux!AH23)+('Modelo AHP'!$U$27*aux!AI23)</f>
        <v>0.00549027924348047</v>
      </c>
    </row>
    <row r="23" customFormat="false" ht="15" hidden="false" customHeight="false" outlineLevel="0" collapsed="false">
      <c r="A23" s="138" t="n">
        <f aca="false">_xlfn.RANK.EQ(S23,S$4:S$134)</f>
        <v>124</v>
      </c>
      <c r="B23" s="153" t="s">
        <v>146</v>
      </c>
      <c r="C23" s="154" t="s">
        <v>147</v>
      </c>
      <c r="D23" s="155" t="n">
        <v>0.0713379030210713</v>
      </c>
      <c r="E23" s="156" t="n">
        <v>84705.7178808273</v>
      </c>
      <c r="F23" s="157" t="n">
        <v>3.89</v>
      </c>
      <c r="G23" s="158" t="n">
        <v>5</v>
      </c>
      <c r="H23" s="159" t="n">
        <v>0.0290463058593043</v>
      </c>
      <c r="I23" s="160" t="n">
        <v>261448.85</v>
      </c>
      <c r="J23" s="147" t="n">
        <v>0.037816353965749</v>
      </c>
      <c r="K23" s="148" t="n">
        <v>111</v>
      </c>
      <c r="L23" s="147" t="n">
        <v>0.0251196556487103</v>
      </c>
      <c r="M23" s="147" t="n">
        <v>0.0288173652694611</v>
      </c>
      <c r="N23" s="161" t="n">
        <f aca="false">('Modelo AHP'!$U$37*aux!P24)+('Modelo AHP'!$U$38*aux!R24)+('Modelo AHP'!$U$39*aux!S24)</f>
        <v>0.00451350302285774</v>
      </c>
      <c r="O23" s="162" t="n">
        <f aca="false">aux!U24</f>
        <v>0.00757523271981344</v>
      </c>
      <c r="P23" s="161" t="n">
        <f aca="false">('Modelo AHP'!$U$47*aux!V24)+('Modelo AHP'!$U$48*aux!W24)+('Modelo AHP'!$U$49*aux!X24)</f>
        <v>0.00431104959078511</v>
      </c>
      <c r="Q23" s="162" t="n">
        <f aca="false">aux!Z24</f>
        <v>0.00754113460142741</v>
      </c>
      <c r="R23" s="163" t="n">
        <f aca="false">('Modelo AHP'!$U$56*aux!AA24)+('Modelo AHP'!$U$57*aux!AB24)+('Modelo AHP'!$U$58*aux!AC24)+('Modelo AHP'!$U$59*aux!AD24)</f>
        <v>0.00283890156482223</v>
      </c>
      <c r="S23" s="164" t="n">
        <f aca="false">('Modelo AHP'!$U$23*aux!AE24)+('Modelo AHP'!$U$24*aux!AF24)+('Modelo AHP'!$U$25*aux!AG24)+('Modelo AHP'!$U$26*aux!AH24)+('Modelo AHP'!$U$27*aux!AI24)</f>
        <v>0.00550284902726884</v>
      </c>
    </row>
    <row r="24" customFormat="false" ht="15" hidden="false" customHeight="false" outlineLevel="0" collapsed="false">
      <c r="A24" s="138" t="n">
        <f aca="false">_xlfn.RANK.EQ(S24,S$4:S$134)</f>
        <v>109</v>
      </c>
      <c r="B24" s="153" t="s">
        <v>146</v>
      </c>
      <c r="C24" s="154" t="s">
        <v>148</v>
      </c>
      <c r="D24" s="155" t="n">
        <v>0.067828671801108</v>
      </c>
      <c r="E24" s="156" t="n">
        <v>48814.7378325123</v>
      </c>
      <c r="F24" s="157" t="n">
        <v>5.24</v>
      </c>
      <c r="G24" s="158" t="n">
        <v>7.17</v>
      </c>
      <c r="H24" s="159" t="n">
        <v>0.0290463058593043</v>
      </c>
      <c r="I24" s="160" t="n">
        <v>157508.54</v>
      </c>
      <c r="J24" s="147" t="n">
        <v>0.037816353965749</v>
      </c>
      <c r="K24" s="148" t="n">
        <v>111</v>
      </c>
      <c r="L24" s="147" t="n">
        <v>0.0251196556487103</v>
      </c>
      <c r="M24" s="147" t="n">
        <v>0.0288173652694611</v>
      </c>
      <c r="N24" s="161" t="n">
        <f aca="false">('Modelo AHP'!$U$37*aux!P25)+('Modelo AHP'!$U$38*aux!R25)+('Modelo AHP'!$U$39*aux!S25)</f>
        <v>0.00509968661122876</v>
      </c>
      <c r="O24" s="162" t="n">
        <f aca="false">aux!U25</f>
        <v>0.0076248389991423</v>
      </c>
      <c r="P24" s="161" t="n">
        <f aca="false">('Modelo AHP'!$U$47*aux!V25)+('Modelo AHP'!$U$48*aux!W25)+('Modelo AHP'!$U$49*aux!X25)</f>
        <v>0.00534001267974909</v>
      </c>
      <c r="Q24" s="162" t="n">
        <f aca="false">aux!Z25</f>
        <v>0.00760123422676428</v>
      </c>
      <c r="R24" s="163" t="n">
        <f aca="false">('Modelo AHP'!$U$56*aux!AA25)+('Modelo AHP'!$U$57*aux!AB25)+('Modelo AHP'!$U$58*aux!AC25)+('Modelo AHP'!$U$59*aux!AD25)</f>
        <v>0.00283890156482223</v>
      </c>
      <c r="S24" s="164" t="n">
        <f aca="false">('Modelo AHP'!$U$23*aux!AE25)+('Modelo AHP'!$U$24*aux!AF25)+('Modelo AHP'!$U$25*aux!AG25)+('Modelo AHP'!$U$26*aux!AH25)+('Modelo AHP'!$U$27*aux!AI25)</f>
        <v>0.00597281791100044</v>
      </c>
    </row>
    <row r="25" customFormat="false" ht="15" hidden="false" customHeight="false" outlineLevel="0" collapsed="false">
      <c r="A25" s="138" t="n">
        <f aca="false">_xlfn.RANK.EQ(S25,S$4:S$134)</f>
        <v>95</v>
      </c>
      <c r="B25" s="153" t="s">
        <v>146</v>
      </c>
      <c r="C25" s="154" t="s">
        <v>149</v>
      </c>
      <c r="D25" s="155" t="n">
        <v>0.0620812647611703</v>
      </c>
      <c r="E25" s="156" t="n">
        <v>40503.5590024741</v>
      </c>
      <c r="F25" s="157" t="n">
        <v>6.05</v>
      </c>
      <c r="G25" s="158" t="n">
        <v>8.13</v>
      </c>
      <c r="H25" s="159" t="n">
        <v>0.0290463058593043</v>
      </c>
      <c r="I25" s="160" t="n">
        <v>109738.52</v>
      </c>
      <c r="J25" s="147" t="n">
        <v>0.037816353965749</v>
      </c>
      <c r="K25" s="148" t="n">
        <v>111</v>
      </c>
      <c r="L25" s="147" t="n">
        <v>0.0251196556487103</v>
      </c>
      <c r="M25" s="147" t="n">
        <v>0.0288173652694611</v>
      </c>
      <c r="N25" s="161" t="n">
        <f aca="false">('Modelo AHP'!$U$37*aux!P26)+('Modelo AHP'!$U$38*aux!R26)+('Modelo AHP'!$U$39*aux!S26)</f>
        <v>0.00563298339982597</v>
      </c>
      <c r="O25" s="162" t="n">
        <f aca="false">aux!U26</f>
        <v>0.00763632619336325</v>
      </c>
      <c r="P25" s="161" t="n">
        <f aca="false">('Modelo AHP'!$U$47*aux!V26)+('Modelo AHP'!$U$48*aux!W26)+('Modelo AHP'!$U$49*aux!X26)</f>
        <v>0.00583180546803986</v>
      </c>
      <c r="Q25" s="162" t="n">
        <f aca="false">aux!Z26</f>
        <v>0.00762885546730449</v>
      </c>
      <c r="R25" s="163" t="n">
        <f aca="false">('Modelo AHP'!$U$56*aux!AA26)+('Modelo AHP'!$U$57*aux!AB26)+('Modelo AHP'!$U$58*aux!AC26)+('Modelo AHP'!$U$59*aux!AD26)</f>
        <v>0.00283890156482223</v>
      </c>
      <c r="S25" s="164" t="n">
        <f aca="false">('Modelo AHP'!$U$23*aux!AE26)+('Modelo AHP'!$U$24*aux!AF26)+('Modelo AHP'!$U$25*aux!AG26)+('Modelo AHP'!$U$26*aux!AH26)+('Modelo AHP'!$U$27*aux!AI26)</f>
        <v>0.00623565713138824</v>
      </c>
    </row>
    <row r="26" customFormat="false" ht="15" hidden="false" customHeight="false" outlineLevel="0" collapsed="false">
      <c r="A26" s="138" t="n">
        <f aca="false">_xlfn.RANK.EQ(S26,S$4:S$134)</f>
        <v>104</v>
      </c>
      <c r="B26" s="153" t="s">
        <v>146</v>
      </c>
      <c r="C26" s="154" t="s">
        <v>150</v>
      </c>
      <c r="D26" s="155" t="n">
        <v>0.0599142005380644</v>
      </c>
      <c r="E26" s="156" t="n">
        <v>46340.8740988493</v>
      </c>
      <c r="F26" s="157" t="n">
        <v>5.85</v>
      </c>
      <c r="G26" s="158" t="n">
        <v>7.62</v>
      </c>
      <c r="H26" s="159" t="n">
        <v>0.0290463058593043</v>
      </c>
      <c r="I26" s="160" t="n">
        <v>114996.92</v>
      </c>
      <c r="J26" s="147" t="n">
        <v>0.037816353965749</v>
      </c>
      <c r="K26" s="148" t="n">
        <v>111</v>
      </c>
      <c r="L26" s="147" t="n">
        <v>0.0251196556487103</v>
      </c>
      <c r="M26" s="147" t="n">
        <v>0.0288173652694611</v>
      </c>
      <c r="N26" s="161" t="n">
        <f aca="false">('Modelo AHP'!$U$37*aux!P27)+('Modelo AHP'!$U$38*aux!R27)+('Modelo AHP'!$U$39*aux!S27)</f>
        <v>0.00508742366311718</v>
      </c>
      <c r="O26" s="162" t="n">
        <f aca="false">aux!U27</f>
        <v>0.00762825821966034</v>
      </c>
      <c r="P26" s="161" t="n">
        <f aca="false">('Modelo AHP'!$U$47*aux!V27)+('Modelo AHP'!$U$48*aux!W27)+('Modelo AHP'!$U$49*aux!X27)</f>
        <v>0.00561014102283748</v>
      </c>
      <c r="Q26" s="162" t="n">
        <f aca="false">aux!Z27</f>
        <v>0.0076258149927295</v>
      </c>
      <c r="R26" s="163" t="n">
        <f aca="false">('Modelo AHP'!$U$56*aux!AA27)+('Modelo AHP'!$U$57*aux!AB27)+('Modelo AHP'!$U$58*aux!AC27)+('Modelo AHP'!$U$59*aux!AD27)</f>
        <v>0.00283890156482223</v>
      </c>
      <c r="S26" s="164" t="n">
        <f aca="false">('Modelo AHP'!$U$23*aux!AE27)+('Modelo AHP'!$U$24*aux!AF27)+('Modelo AHP'!$U$25*aux!AG27)+('Modelo AHP'!$U$26*aux!AH27)+('Modelo AHP'!$U$27*aux!AI27)</f>
        <v>0.0060660316024848</v>
      </c>
    </row>
    <row r="27" customFormat="false" ht="15" hidden="false" customHeight="false" outlineLevel="0" collapsed="false">
      <c r="A27" s="138" t="n">
        <f aca="false">_xlfn.RANK.EQ(S27,S$4:S$134)</f>
        <v>107</v>
      </c>
      <c r="B27" s="153" t="s">
        <v>146</v>
      </c>
      <c r="C27" s="154" t="s">
        <v>151</v>
      </c>
      <c r="D27" s="155" t="n">
        <v>0.073153273525482</v>
      </c>
      <c r="E27" s="156" t="n">
        <v>47375.4245291166</v>
      </c>
      <c r="F27" s="157" t="n">
        <v>5.45</v>
      </c>
      <c r="G27" s="158" t="n">
        <v>7.35</v>
      </c>
      <c r="H27" s="159" t="n">
        <v>0.0290463058593043</v>
      </c>
      <c r="I27" s="160" t="n">
        <v>152904.34</v>
      </c>
      <c r="J27" s="147" t="n">
        <v>0.037816353965749</v>
      </c>
      <c r="K27" s="148" t="n">
        <v>111</v>
      </c>
      <c r="L27" s="147" t="n">
        <v>0.0251196556487103</v>
      </c>
      <c r="M27" s="147" t="n">
        <v>0.0288173652694611</v>
      </c>
      <c r="N27" s="161" t="n">
        <f aca="false">('Modelo AHP'!$U$37*aux!P28)+('Modelo AHP'!$U$38*aux!R28)+('Modelo AHP'!$U$39*aux!S28)</f>
        <v>0.00512441780124876</v>
      </c>
      <c r="O27" s="162" t="n">
        <f aca="false">aux!U28</f>
        <v>0.00762682832842988</v>
      </c>
      <c r="P27" s="161" t="n">
        <f aca="false">('Modelo AHP'!$U$47*aux!V28)+('Modelo AHP'!$U$48*aux!W28)+('Modelo AHP'!$U$49*aux!X28)</f>
        <v>0.00544221797692313</v>
      </c>
      <c r="Q27" s="162" t="n">
        <f aca="false">aux!Z28</f>
        <v>0.0076038964344773</v>
      </c>
      <c r="R27" s="163" t="n">
        <f aca="false">('Modelo AHP'!$U$56*aux!AA28)+('Modelo AHP'!$U$57*aux!AB28)+('Modelo AHP'!$U$58*aux!AC28)+('Modelo AHP'!$U$59*aux!AD28)</f>
        <v>0.00283890156482223</v>
      </c>
      <c r="S27" s="164" t="n">
        <f aca="false">('Modelo AHP'!$U$23*aux!AE28)+('Modelo AHP'!$U$24*aux!AF28)+('Modelo AHP'!$U$25*aux!AG28)+('Modelo AHP'!$U$26*aux!AH28)+('Modelo AHP'!$U$27*aux!AI28)</f>
        <v>0.00601271321788743</v>
      </c>
    </row>
    <row r="28" customFormat="false" ht="15" hidden="false" customHeight="false" outlineLevel="0" collapsed="false">
      <c r="A28" s="138" t="n">
        <f aca="false">_xlfn.RANK.EQ(S28,S$4:S$134)</f>
        <v>119</v>
      </c>
      <c r="B28" s="153" t="s">
        <v>146</v>
      </c>
      <c r="C28" s="154" t="s">
        <v>152</v>
      </c>
      <c r="D28" s="155" t="n">
        <v>0.0800188835123333</v>
      </c>
      <c r="E28" s="156" t="n">
        <v>82811.1790116372</v>
      </c>
      <c r="F28" s="157" t="n">
        <v>3.75</v>
      </c>
      <c r="G28" s="158" t="n">
        <v>5.68</v>
      </c>
      <c r="H28" s="159" t="n">
        <v>0.0290463058593043</v>
      </c>
      <c r="I28" s="160" t="n">
        <v>261652.21</v>
      </c>
      <c r="J28" s="147" t="n">
        <v>0.037816353965749</v>
      </c>
      <c r="K28" s="148" t="n">
        <v>111</v>
      </c>
      <c r="L28" s="147" t="n">
        <v>0.0251196556487103</v>
      </c>
      <c r="M28" s="147" t="n">
        <v>0.0288173652694611</v>
      </c>
      <c r="N28" s="161" t="n">
        <f aca="false">('Modelo AHP'!$U$37*aux!P29)+('Modelo AHP'!$U$38*aux!R29)+('Modelo AHP'!$U$39*aux!S29)</f>
        <v>0.00498822821635708</v>
      </c>
      <c r="O28" s="162" t="n">
        <f aca="false">aux!U29</f>
        <v>0.00757785123355193</v>
      </c>
      <c r="P28" s="161" t="n">
        <f aca="false">('Modelo AHP'!$U$47*aux!V29)+('Modelo AHP'!$U$48*aux!W29)+('Modelo AHP'!$U$49*aux!X29)</f>
        <v>0.00453667896012551</v>
      </c>
      <c r="Q28" s="162" t="n">
        <f aca="false">aux!Z29</f>
        <v>0.00754101701605742</v>
      </c>
      <c r="R28" s="163" t="n">
        <f aca="false">('Modelo AHP'!$U$56*aux!AA29)+('Modelo AHP'!$U$57*aux!AB29)+('Modelo AHP'!$U$58*aux!AC29)+('Modelo AHP'!$U$59*aux!AD29)</f>
        <v>0.00283890156482223</v>
      </c>
      <c r="S28" s="164" t="n">
        <f aca="false">('Modelo AHP'!$U$23*aux!AE29)+('Modelo AHP'!$U$24*aux!AF29)+('Modelo AHP'!$U$25*aux!AG29)+('Modelo AHP'!$U$26*aux!AH29)+('Modelo AHP'!$U$27*aux!AI29)</f>
        <v>0.00566001282105074</v>
      </c>
    </row>
    <row r="29" customFormat="false" ht="15" hidden="false" customHeight="false" outlineLevel="0" collapsed="false">
      <c r="A29" s="138" t="n">
        <f aca="false">_xlfn.RANK.EQ(S29,S$4:S$134)</f>
        <v>129</v>
      </c>
      <c r="B29" s="153" t="s">
        <v>153</v>
      </c>
      <c r="C29" s="154" t="s">
        <v>154</v>
      </c>
      <c r="D29" s="155" t="n">
        <v>0.057742782152231</v>
      </c>
      <c r="E29" s="156" t="n">
        <v>103573.082656006</v>
      </c>
      <c r="F29" s="157" t="n">
        <v>3.41</v>
      </c>
      <c r="G29" s="158" t="n">
        <v>4.37</v>
      </c>
      <c r="H29" s="159" t="n">
        <v>0.028481565612441</v>
      </c>
      <c r="I29" s="160" t="n">
        <v>315478.28</v>
      </c>
      <c r="J29" s="147" t="n">
        <v>0.0243146881758139</v>
      </c>
      <c r="K29" s="148" t="n">
        <v>147</v>
      </c>
      <c r="L29" s="147" t="n">
        <v>0.0227426038354052</v>
      </c>
      <c r="M29" s="147" t="n">
        <v>0.029815369261477</v>
      </c>
      <c r="N29" s="161" t="n">
        <f aca="false">('Modelo AHP'!$U$37*aux!P30)+('Modelo AHP'!$U$38*aux!R30)+('Modelo AHP'!$U$39*aux!S30)</f>
        <v>0.0043495161016037</v>
      </c>
      <c r="O29" s="162" t="n">
        <f aca="false">aux!U30</f>
        <v>0.00754915542223123</v>
      </c>
      <c r="P29" s="161" t="n">
        <f aca="false">('Modelo AHP'!$U$47*aux!V30)+('Modelo AHP'!$U$48*aux!W30)+('Modelo AHP'!$U$49*aux!X30)</f>
        <v>0.00396205972216689</v>
      </c>
      <c r="Q29" s="162" t="n">
        <f aca="false">aux!Z30</f>
        <v>0.00750989408944352</v>
      </c>
      <c r="R29" s="163" t="n">
        <f aca="false">('Modelo AHP'!$U$56*aux!AA30)+('Modelo AHP'!$U$57*aux!AB30)+('Modelo AHP'!$U$58*aux!AC30)+('Modelo AHP'!$U$59*aux!AD30)</f>
        <v>0.00260707961328015</v>
      </c>
      <c r="S29" s="164" t="n">
        <f aca="false">('Modelo AHP'!$U$23*aux!AE30)+('Modelo AHP'!$U$24*aux!AF30)+('Modelo AHP'!$U$25*aux!AG30)+('Modelo AHP'!$U$26*aux!AH30)+('Modelo AHP'!$U$27*aux!AI30)</f>
        <v>0.00532375958437449</v>
      </c>
    </row>
    <row r="30" customFormat="false" ht="15" hidden="false" customHeight="false" outlineLevel="0" collapsed="false">
      <c r="A30" s="138" t="n">
        <f aca="false">_xlfn.RANK.EQ(S30,S$4:S$134)</f>
        <v>98</v>
      </c>
      <c r="B30" s="153" t="s">
        <v>153</v>
      </c>
      <c r="C30" s="154" t="s">
        <v>155</v>
      </c>
      <c r="D30" s="155" t="n">
        <v>0.0613328952412245</v>
      </c>
      <c r="E30" s="156" t="n">
        <v>43701.5220015745</v>
      </c>
      <c r="F30" s="157" t="n">
        <v>6.39</v>
      </c>
      <c r="G30" s="158" t="n">
        <v>8.54</v>
      </c>
      <c r="H30" s="159" t="n">
        <v>0.028481565612441</v>
      </c>
      <c r="I30" s="160" t="n">
        <v>101729.75</v>
      </c>
      <c r="J30" s="147" t="n">
        <v>0.0243146881758139</v>
      </c>
      <c r="K30" s="148" t="n">
        <v>147</v>
      </c>
      <c r="L30" s="147" t="n">
        <v>0.0227426038354052</v>
      </c>
      <c r="M30" s="147" t="n">
        <v>0.029815369261477</v>
      </c>
      <c r="N30" s="161" t="n">
        <f aca="false">('Modelo AHP'!$U$37*aux!P31)+('Modelo AHP'!$U$38*aux!R31)+('Modelo AHP'!$U$39*aux!S31)</f>
        <v>0.00525067907704949</v>
      </c>
      <c r="O30" s="162" t="n">
        <f aca="false">aux!U31</f>
        <v>0.00763190616789715</v>
      </c>
      <c r="P30" s="161" t="n">
        <f aca="false">('Modelo AHP'!$U$47*aux!V31)+('Modelo AHP'!$U$48*aux!W31)+('Modelo AHP'!$U$49*aux!X31)</f>
        <v>0.00600570443467216</v>
      </c>
      <c r="Q30" s="162" t="n">
        <f aca="false">aux!Z31</f>
        <v>0.00763348624122088</v>
      </c>
      <c r="R30" s="163" t="n">
        <f aca="false">('Modelo AHP'!$U$56*aux!AA31)+('Modelo AHP'!$U$57*aux!AB31)+('Modelo AHP'!$U$58*aux!AC31)+('Modelo AHP'!$U$59*aux!AD31)</f>
        <v>0.00260707961328015</v>
      </c>
      <c r="S30" s="164" t="n">
        <f aca="false">('Modelo AHP'!$U$23*aux!AE31)+('Modelo AHP'!$U$24*aux!AF31)+('Modelo AHP'!$U$25*aux!AG31)+('Modelo AHP'!$U$26*aux!AH31)+('Modelo AHP'!$U$27*aux!AI31)</f>
        <v>0.00620850119732088</v>
      </c>
    </row>
    <row r="31" customFormat="false" ht="15" hidden="false" customHeight="false" outlineLevel="0" collapsed="false">
      <c r="A31" s="138" t="n">
        <f aca="false">_xlfn.RANK.EQ(S31,S$4:S$134)</f>
        <v>97</v>
      </c>
      <c r="B31" s="153" t="s">
        <v>153</v>
      </c>
      <c r="C31" s="154" t="s">
        <v>156</v>
      </c>
      <c r="D31" s="155" t="n">
        <v>0.0718342619137772</v>
      </c>
      <c r="E31" s="156" t="n">
        <v>43706.9826198041</v>
      </c>
      <c r="F31" s="157" t="n">
        <v>6.32</v>
      </c>
      <c r="G31" s="158" t="n">
        <v>7.98</v>
      </c>
      <c r="H31" s="159" t="n">
        <v>0.028481565612441</v>
      </c>
      <c r="I31" s="160" t="n">
        <v>114722.5</v>
      </c>
      <c r="J31" s="147" t="n">
        <v>0.0243146881758139</v>
      </c>
      <c r="K31" s="148" t="n">
        <v>147</v>
      </c>
      <c r="L31" s="147" t="n">
        <v>0.0227426038354052</v>
      </c>
      <c r="M31" s="147" t="n">
        <v>0.029815369261477</v>
      </c>
      <c r="N31" s="161" t="n">
        <f aca="false">('Modelo AHP'!$U$37*aux!P32)+('Modelo AHP'!$U$38*aux!R32)+('Modelo AHP'!$U$39*aux!S32)</f>
        <v>0.00577486649408437</v>
      </c>
      <c r="O31" s="162" t="n">
        <f aca="false">aux!U32</f>
        <v>0.00763189862057042</v>
      </c>
      <c r="P31" s="161" t="n">
        <f aca="false">('Modelo AHP'!$U$47*aux!V32)+('Modelo AHP'!$U$48*aux!W32)+('Modelo AHP'!$U$49*aux!X32)</f>
        <v>0.00578803210595387</v>
      </c>
      <c r="Q31" s="162" t="n">
        <f aca="false">aux!Z32</f>
        <v>0.0076259736659063</v>
      </c>
      <c r="R31" s="163" t="n">
        <f aca="false">('Modelo AHP'!$U$56*aux!AA32)+('Modelo AHP'!$U$57*aux!AB32)+('Modelo AHP'!$U$58*aux!AC32)+('Modelo AHP'!$U$59*aux!AD32)</f>
        <v>0.00260707961328015</v>
      </c>
      <c r="S31" s="164" t="n">
        <f aca="false">('Modelo AHP'!$U$23*aux!AE32)+('Modelo AHP'!$U$24*aux!AF32)+('Modelo AHP'!$U$25*aux!AG32)+('Modelo AHP'!$U$26*aux!AH32)+('Modelo AHP'!$U$27*aux!AI32)</f>
        <v>0.00622102893659612</v>
      </c>
    </row>
    <row r="32" customFormat="false" ht="15" hidden="false" customHeight="false" outlineLevel="0" collapsed="false">
      <c r="A32" s="138" t="n">
        <f aca="false">_xlfn.RANK.EQ(S32,S$4:S$134)</f>
        <v>121</v>
      </c>
      <c r="B32" s="153" t="s">
        <v>153</v>
      </c>
      <c r="C32" s="154" t="s">
        <v>157</v>
      </c>
      <c r="D32" s="155" t="n">
        <v>0.0351894941510216</v>
      </c>
      <c r="E32" s="156" t="n">
        <v>62635.3503539972</v>
      </c>
      <c r="F32" s="157" t="n">
        <v>4.88</v>
      </c>
      <c r="G32" s="158" t="n">
        <v>6.49</v>
      </c>
      <c r="H32" s="159" t="n">
        <v>0.028481565612441</v>
      </c>
      <c r="I32" s="160" t="n">
        <v>156270.15</v>
      </c>
      <c r="J32" s="147" t="n">
        <v>0.0243146881758139</v>
      </c>
      <c r="K32" s="148" t="n">
        <v>147</v>
      </c>
      <c r="L32" s="147" t="n">
        <v>0.0227426038354052</v>
      </c>
      <c r="M32" s="147" t="n">
        <v>0.029815369261477</v>
      </c>
      <c r="N32" s="161" t="n">
        <f aca="false">('Modelo AHP'!$U$37*aux!P33)+('Modelo AHP'!$U$38*aux!R33)+('Modelo AHP'!$U$39*aux!S33)</f>
        <v>0.00383947971382756</v>
      </c>
      <c r="O32" s="162" t="n">
        <f aca="false">aux!U33</f>
        <v>0.00760573700849413</v>
      </c>
      <c r="P32" s="161" t="n">
        <f aca="false">('Modelo AHP'!$U$47*aux!V33)+('Modelo AHP'!$U$48*aux!W33)+('Modelo AHP'!$U$49*aux!X33)</f>
        <v>0.00499329550406752</v>
      </c>
      <c r="Q32" s="162" t="n">
        <f aca="false">aux!Z33</f>
        <v>0.00760195027980492</v>
      </c>
      <c r="R32" s="163" t="n">
        <f aca="false">('Modelo AHP'!$U$56*aux!AA33)+('Modelo AHP'!$U$57*aux!AB33)+('Modelo AHP'!$U$58*aux!AC33)+('Modelo AHP'!$U$59*aux!AD33)</f>
        <v>0.00260707961328015</v>
      </c>
      <c r="S32" s="164" t="n">
        <f aca="false">('Modelo AHP'!$U$23*aux!AE33)+('Modelo AHP'!$U$24*aux!AF33)+('Modelo AHP'!$U$25*aux!AG33)+('Modelo AHP'!$U$26*aux!AH33)+('Modelo AHP'!$U$27*aux!AI33)</f>
        <v>0.00561621444622074</v>
      </c>
    </row>
    <row r="33" customFormat="false" ht="15" hidden="false" customHeight="false" outlineLevel="0" collapsed="false">
      <c r="A33" s="138" t="n">
        <f aca="false">_xlfn.RANK.EQ(S33,S$4:S$134)</f>
        <v>128</v>
      </c>
      <c r="B33" s="153" t="s">
        <v>153</v>
      </c>
      <c r="C33" s="154" t="s">
        <v>158</v>
      </c>
      <c r="D33" s="155" t="n">
        <v>0.048824297844546</v>
      </c>
      <c r="E33" s="156" t="n">
        <v>80248.3920255963</v>
      </c>
      <c r="F33" s="157" t="n">
        <v>3.75</v>
      </c>
      <c r="G33" s="158" t="n">
        <v>5.22</v>
      </c>
      <c r="H33" s="159" t="n">
        <v>0.028481565612441</v>
      </c>
      <c r="I33" s="160" t="n">
        <v>201904.31</v>
      </c>
      <c r="J33" s="147" t="n">
        <v>0.0243146881758139</v>
      </c>
      <c r="K33" s="148" t="n">
        <v>147</v>
      </c>
      <c r="L33" s="147" t="n">
        <v>0.0227426038354052</v>
      </c>
      <c r="M33" s="147" t="n">
        <v>0.029815369261477</v>
      </c>
      <c r="N33" s="161" t="n">
        <f aca="false">('Modelo AHP'!$U$37*aux!P34)+('Modelo AHP'!$U$38*aux!R34)+('Modelo AHP'!$U$39*aux!S34)</f>
        <v>0.0038417545660778</v>
      </c>
      <c r="O33" s="162" t="n">
        <f aca="false">aux!U34</f>
        <v>0.00758139335825621</v>
      </c>
      <c r="P33" s="161" t="n">
        <f aca="false">('Modelo AHP'!$U$47*aux!V34)+('Modelo AHP'!$U$48*aux!W34)+('Modelo AHP'!$U$49*aux!X34)</f>
        <v>0.00433264674653581</v>
      </c>
      <c r="Q33" s="162" t="n">
        <f aca="false">aux!Z34</f>
        <v>0.00757556402101309</v>
      </c>
      <c r="R33" s="163" t="n">
        <f aca="false">('Modelo AHP'!$U$56*aux!AA34)+('Modelo AHP'!$U$57*aux!AB34)+('Modelo AHP'!$U$58*aux!AC34)+('Modelo AHP'!$U$59*aux!AD34)</f>
        <v>0.00260707961328015</v>
      </c>
      <c r="S33" s="164" t="n">
        <f aca="false">('Modelo AHP'!$U$23*aux!AE34)+('Modelo AHP'!$U$24*aux!AF34)+('Modelo AHP'!$U$25*aux!AG34)+('Modelo AHP'!$U$26*aux!AH34)+('Modelo AHP'!$U$27*aux!AI34)</f>
        <v>0.00538099671765323</v>
      </c>
    </row>
    <row r="34" customFormat="false" ht="15" hidden="false" customHeight="false" outlineLevel="0" collapsed="false">
      <c r="A34" s="138" t="n">
        <f aca="false">_xlfn.RANK.EQ(S34,S$4:S$134)</f>
        <v>115</v>
      </c>
      <c r="B34" s="153" t="s">
        <v>153</v>
      </c>
      <c r="C34" s="154" t="s">
        <v>159</v>
      </c>
      <c r="D34" s="155" t="n">
        <v>0.0480706537846008</v>
      </c>
      <c r="E34" s="156" t="n">
        <v>54869.9650135588</v>
      </c>
      <c r="F34" s="157" t="n">
        <v>5.09</v>
      </c>
      <c r="G34" s="158" t="n">
        <v>7.29</v>
      </c>
      <c r="H34" s="159" t="n">
        <v>0.028481565612441</v>
      </c>
      <c r="I34" s="160" t="n">
        <v>106610.94</v>
      </c>
      <c r="J34" s="147" t="n">
        <v>0.0243146881758139</v>
      </c>
      <c r="K34" s="148" t="n">
        <v>147</v>
      </c>
      <c r="L34" s="147" t="n">
        <v>0.0227426038354052</v>
      </c>
      <c r="M34" s="147" t="n">
        <v>0.029815369261477</v>
      </c>
      <c r="N34" s="161" t="n">
        <f aca="false">('Modelo AHP'!$U$37*aux!P35)+('Modelo AHP'!$U$38*aux!R35)+('Modelo AHP'!$U$39*aux!S35)</f>
        <v>0.00432685055922036</v>
      </c>
      <c r="O34" s="162" t="n">
        <f aca="false">aux!U35</f>
        <v>0.00761646984091541</v>
      </c>
      <c r="P34" s="161" t="n">
        <f aca="false">('Modelo AHP'!$U$47*aux!V35)+('Modelo AHP'!$U$48*aux!W35)+('Modelo AHP'!$U$49*aux!X35)</f>
        <v>0.00532316963268696</v>
      </c>
      <c r="Q34" s="162" t="n">
        <f aca="false">aux!Z35</f>
        <v>0.00763066387432397</v>
      </c>
      <c r="R34" s="163" t="n">
        <f aca="false">('Modelo AHP'!$U$56*aux!AA35)+('Modelo AHP'!$U$57*aux!AB35)+('Modelo AHP'!$U$58*aux!AC35)+('Modelo AHP'!$U$59*aux!AD35)</f>
        <v>0.00260707961328015</v>
      </c>
      <c r="S34" s="164" t="n">
        <f aca="false">('Modelo AHP'!$U$23*aux!AE35)+('Modelo AHP'!$U$24*aux!AF35)+('Modelo AHP'!$U$25*aux!AG35)+('Modelo AHP'!$U$26*aux!AH35)+('Modelo AHP'!$U$27*aux!AI35)</f>
        <v>0.0058158962679759</v>
      </c>
    </row>
    <row r="35" customFormat="false" ht="15" hidden="false" customHeight="false" outlineLevel="0" collapsed="false">
      <c r="A35" s="138" t="n">
        <f aca="false">_xlfn.RANK.EQ(S35,S$4:S$134)</f>
        <v>48</v>
      </c>
      <c r="B35" s="153" t="s">
        <v>160</v>
      </c>
      <c r="C35" s="154" t="s">
        <v>161</v>
      </c>
      <c r="D35" s="155" t="n">
        <v>0.181669565217391</v>
      </c>
      <c r="E35" s="156" t="n">
        <v>31125.2299026959</v>
      </c>
      <c r="F35" s="157" t="n">
        <v>7.27</v>
      </c>
      <c r="G35" s="158" t="n">
        <v>9.52</v>
      </c>
      <c r="H35" s="159" t="n">
        <v>0.0469339163786954</v>
      </c>
      <c r="I35" s="160" t="n">
        <v>78564.54</v>
      </c>
      <c r="J35" s="147" t="n">
        <v>0.0362966859547607</v>
      </c>
      <c r="K35" s="148" t="n">
        <v>873</v>
      </c>
      <c r="L35" s="147" t="n">
        <v>0.0459670424978317</v>
      </c>
      <c r="M35" s="147" t="n">
        <v>0.0464071856287425</v>
      </c>
      <c r="N35" s="161" t="n">
        <f aca="false">('Modelo AHP'!$U$37*aux!P36)+('Modelo AHP'!$U$38*aux!R36)+('Modelo AHP'!$U$39*aux!S36)</f>
        <v>0.010998338887415</v>
      </c>
      <c r="O35" s="162" t="n">
        <f aca="false">aux!U36</f>
        <v>0.00764928833628427</v>
      </c>
      <c r="P35" s="161" t="n">
        <f aca="false">('Modelo AHP'!$U$47*aux!V36)+('Modelo AHP'!$U$48*aux!W36)+('Modelo AHP'!$U$49*aux!X36)</f>
        <v>0.00766427981595639</v>
      </c>
      <c r="Q35" s="162" t="n">
        <f aca="false">aux!Z36</f>
        <v>0.00764688066386451</v>
      </c>
      <c r="R35" s="163" t="n">
        <f aca="false">('Modelo AHP'!$U$56*aux!AA36)+('Modelo AHP'!$U$57*aux!AB36)+('Modelo AHP'!$U$58*aux!AC36)+('Modelo AHP'!$U$59*aux!AD36)</f>
        <v>0.00735020169213565</v>
      </c>
      <c r="S35" s="164" t="n">
        <f aca="false">('Modelo AHP'!$U$23*aux!AE36)+('Modelo AHP'!$U$24*aux!AF36)+('Modelo AHP'!$U$25*aux!AG36)+('Modelo AHP'!$U$26*aux!AH36)+('Modelo AHP'!$U$27*aux!AI36)</f>
        <v>0.0081851363910983</v>
      </c>
    </row>
    <row r="36" customFormat="false" ht="15" hidden="false" customHeight="false" outlineLevel="0" collapsed="false">
      <c r="A36" s="138" t="n">
        <f aca="false">_xlfn.RANK.EQ(S36,S$4:S$134)</f>
        <v>68</v>
      </c>
      <c r="B36" s="153" t="s">
        <v>160</v>
      </c>
      <c r="C36" s="154" t="s">
        <v>162</v>
      </c>
      <c r="D36" s="155" t="n">
        <v>0.104454954165937</v>
      </c>
      <c r="E36" s="156" t="n">
        <v>43306.0232761758</v>
      </c>
      <c r="F36" s="157" t="n">
        <v>6.14</v>
      </c>
      <c r="G36" s="158" t="n">
        <v>8.4</v>
      </c>
      <c r="H36" s="159" t="n">
        <v>0.0469339163786954</v>
      </c>
      <c r="I36" s="160" t="n">
        <v>119218.39</v>
      </c>
      <c r="J36" s="147" t="n">
        <v>0.0362966859547607</v>
      </c>
      <c r="K36" s="148" t="n">
        <v>873</v>
      </c>
      <c r="L36" s="147" t="n">
        <v>0.0459670424978317</v>
      </c>
      <c r="M36" s="147" t="n">
        <v>0.0464071856287425</v>
      </c>
      <c r="N36" s="161" t="n">
        <f aca="false">('Modelo AHP'!$U$37*aux!P37)+('Modelo AHP'!$U$38*aux!R37)+('Modelo AHP'!$U$39*aux!S37)</f>
        <v>0.00699805943815826</v>
      </c>
      <c r="O36" s="162" t="n">
        <f aca="false">aux!U37</f>
        <v>0.00763245280162573</v>
      </c>
      <c r="P36" s="161" t="n">
        <f aca="false">('Modelo AHP'!$U$47*aux!V37)+('Modelo AHP'!$U$48*aux!W37)+('Modelo AHP'!$U$49*aux!X37)</f>
        <v>0.00705871222732276</v>
      </c>
      <c r="Q36" s="162" t="n">
        <f aca="false">aux!Z37</f>
        <v>0.00762337408442963</v>
      </c>
      <c r="R36" s="163" t="n">
        <f aca="false">('Modelo AHP'!$U$56*aux!AA37)+('Modelo AHP'!$U$57*aux!AB37)+('Modelo AHP'!$U$58*aux!AC37)+('Modelo AHP'!$U$59*aux!AD37)</f>
        <v>0.00735020169213565</v>
      </c>
      <c r="S36" s="164" t="n">
        <f aca="false">('Modelo AHP'!$U$23*aux!AE37)+('Modelo AHP'!$U$24*aux!AF37)+('Modelo AHP'!$U$25*aux!AG37)+('Modelo AHP'!$U$26*aux!AH37)+('Modelo AHP'!$U$27*aux!AI37)</f>
        <v>0.00730341392048262</v>
      </c>
    </row>
    <row r="37" customFormat="false" ht="15" hidden="false" customHeight="false" outlineLevel="0" collapsed="false">
      <c r="A37" s="138" t="n">
        <f aca="false">_xlfn.RANK.EQ(S37,S$4:S$134)</f>
        <v>69</v>
      </c>
      <c r="B37" s="153" t="s">
        <v>160</v>
      </c>
      <c r="C37" s="154" t="s">
        <v>163</v>
      </c>
      <c r="D37" s="155" t="n">
        <v>0.105289004567107</v>
      </c>
      <c r="E37" s="156" t="n">
        <v>45025.3268859599</v>
      </c>
      <c r="F37" s="157" t="n">
        <v>6</v>
      </c>
      <c r="G37" s="158" t="n">
        <v>8.17</v>
      </c>
      <c r="H37" s="159" t="n">
        <v>0.0469339163786954</v>
      </c>
      <c r="I37" s="160" t="n">
        <v>114667.38</v>
      </c>
      <c r="J37" s="147" t="n">
        <v>0.0362966859547607</v>
      </c>
      <c r="K37" s="148" t="n">
        <v>873</v>
      </c>
      <c r="L37" s="147" t="n">
        <v>0.0459670424978317</v>
      </c>
      <c r="M37" s="147" t="n">
        <v>0.0464071856287425</v>
      </c>
      <c r="N37" s="161" t="n">
        <f aca="false">('Modelo AHP'!$U$37*aux!P38)+('Modelo AHP'!$U$38*aux!R38)+('Modelo AHP'!$U$39*aux!S38)</f>
        <v>0.00688294947577286</v>
      </c>
      <c r="O37" s="162" t="n">
        <f aca="false">aux!U38</f>
        <v>0.00763007648715889</v>
      </c>
      <c r="P37" s="161" t="n">
        <f aca="false">('Modelo AHP'!$U$47*aux!V38)+('Modelo AHP'!$U$48*aux!W38)+('Modelo AHP'!$U$49*aux!X38)</f>
        <v>0.00695018250534814</v>
      </c>
      <c r="Q37" s="162" t="n">
        <f aca="false">aux!Z38</f>
        <v>0.0076260055369999</v>
      </c>
      <c r="R37" s="163" t="n">
        <f aca="false">('Modelo AHP'!$U$56*aux!AA38)+('Modelo AHP'!$U$57*aux!AB38)+('Modelo AHP'!$U$58*aux!AC38)+('Modelo AHP'!$U$59*aux!AD38)</f>
        <v>0.00735020169213565</v>
      </c>
      <c r="S37" s="164" t="n">
        <f aca="false">('Modelo AHP'!$U$23*aux!AE38)+('Modelo AHP'!$U$24*aux!AF38)+('Modelo AHP'!$U$25*aux!AG38)+('Modelo AHP'!$U$26*aux!AH38)+('Modelo AHP'!$U$27*aux!AI38)</f>
        <v>0.00724654751666605</v>
      </c>
    </row>
    <row r="38" customFormat="false" ht="15" hidden="false" customHeight="false" outlineLevel="0" collapsed="false">
      <c r="A38" s="138" t="n">
        <f aca="false">_xlfn.RANK.EQ(S38,S$4:S$134)</f>
        <v>36</v>
      </c>
      <c r="B38" s="153" t="s">
        <v>160</v>
      </c>
      <c r="C38" s="154" t="s">
        <v>164</v>
      </c>
      <c r="D38" s="155" t="n">
        <v>0.103742027563445</v>
      </c>
      <c r="E38" s="156" t="n">
        <v>28746.7033662579</v>
      </c>
      <c r="F38" s="157" t="n">
        <v>10.69</v>
      </c>
      <c r="G38" s="158" t="n">
        <v>13.3</v>
      </c>
      <c r="H38" s="159" t="n">
        <v>0.0469339163786954</v>
      </c>
      <c r="I38" s="160" t="n">
        <v>82364.88</v>
      </c>
      <c r="J38" s="147" t="n">
        <v>0.0362966859547607</v>
      </c>
      <c r="K38" s="148" t="n">
        <v>873</v>
      </c>
      <c r="L38" s="147" t="n">
        <v>0.0459670424978317</v>
      </c>
      <c r="M38" s="147" t="n">
        <v>0.0464071856287425</v>
      </c>
      <c r="N38" s="161" t="n">
        <f aca="false">('Modelo AHP'!$U$37*aux!P39)+('Modelo AHP'!$U$38*aux!R39)+('Modelo AHP'!$U$39*aux!S39)</f>
        <v>0.00956718233781061</v>
      </c>
      <c r="O38" s="162" t="n">
        <f aca="false">aux!U39</f>
        <v>0.00765257578766059</v>
      </c>
      <c r="P38" s="161" t="n">
        <f aca="false">('Modelo AHP'!$U$47*aux!V39)+('Modelo AHP'!$U$48*aux!W39)+('Modelo AHP'!$U$49*aux!X39)</f>
        <v>0.00964036812541422</v>
      </c>
      <c r="Q38" s="162" t="n">
        <f aca="false">aux!Z39</f>
        <v>0.00764468325835213</v>
      </c>
      <c r="R38" s="163" t="n">
        <f aca="false">('Modelo AHP'!$U$56*aux!AA39)+('Modelo AHP'!$U$57*aux!AB39)+('Modelo AHP'!$U$58*aux!AC39)+('Modelo AHP'!$U$59*aux!AD39)</f>
        <v>0.00735020169213565</v>
      </c>
      <c r="S38" s="164" t="n">
        <f aca="false">('Modelo AHP'!$U$23*aux!AE39)+('Modelo AHP'!$U$24*aux!AF39)+('Modelo AHP'!$U$25*aux!AG39)+('Modelo AHP'!$U$26*aux!AH39)+('Modelo AHP'!$U$27*aux!AI39)</f>
        <v>0.00862247356237125</v>
      </c>
    </row>
    <row r="39" customFormat="false" ht="15" hidden="false" customHeight="false" outlineLevel="0" collapsed="false">
      <c r="A39" s="138" t="n">
        <f aca="false">_xlfn.RANK.EQ(S39,S$4:S$134)</f>
        <v>41</v>
      </c>
      <c r="B39" s="153" t="s">
        <v>160</v>
      </c>
      <c r="C39" s="154" t="s">
        <v>165</v>
      </c>
      <c r="D39" s="155" t="n">
        <v>0.1692151265105</v>
      </c>
      <c r="E39" s="156" t="n">
        <v>28242.0523623145</v>
      </c>
      <c r="F39" s="157" t="n">
        <v>7.93</v>
      </c>
      <c r="G39" s="158" t="n">
        <v>10.57</v>
      </c>
      <c r="H39" s="159" t="n">
        <v>0.0469339163786954</v>
      </c>
      <c r="I39" s="160" t="n">
        <v>56778.23</v>
      </c>
      <c r="J39" s="147" t="n">
        <v>0.0362966859547607</v>
      </c>
      <c r="K39" s="148" t="n">
        <v>873</v>
      </c>
      <c r="L39" s="147" t="n">
        <v>0.0459670424978317</v>
      </c>
      <c r="M39" s="147" t="n">
        <v>0.0464071856287425</v>
      </c>
      <c r="N39" s="161" t="n">
        <f aca="false">('Modelo AHP'!$U$37*aux!P40)+('Modelo AHP'!$U$38*aux!R40)+('Modelo AHP'!$U$39*aux!S40)</f>
        <v>0.0113043535894316</v>
      </c>
      <c r="O39" s="162" t="n">
        <f aca="false">aux!U40</f>
        <v>0.00765327328487665</v>
      </c>
      <c r="P39" s="161" t="n">
        <f aca="false">('Modelo AHP'!$U$47*aux!V40)+('Modelo AHP'!$U$48*aux!W40)+('Modelo AHP'!$U$49*aux!X40)</f>
        <v>0.00816332995237432</v>
      </c>
      <c r="Q39" s="162" t="n">
        <f aca="false">aux!Z40</f>
        <v>0.00765947778877661</v>
      </c>
      <c r="R39" s="163" t="n">
        <f aca="false">('Modelo AHP'!$U$56*aux!AA40)+('Modelo AHP'!$U$57*aux!AB40)+('Modelo AHP'!$U$58*aux!AC40)+('Modelo AHP'!$U$59*aux!AD40)</f>
        <v>0.00735020169213565</v>
      </c>
      <c r="S39" s="164" t="n">
        <f aca="false">('Modelo AHP'!$U$23*aux!AE40)+('Modelo AHP'!$U$24*aux!AF40)+('Modelo AHP'!$U$25*aux!AG40)+('Modelo AHP'!$U$26*aux!AH40)+('Modelo AHP'!$U$27*aux!AI40)</f>
        <v>0.0084089762210694</v>
      </c>
    </row>
    <row r="40" customFormat="false" ht="15" hidden="false" customHeight="false" outlineLevel="0" collapsed="false">
      <c r="A40" s="138" t="n">
        <f aca="false">_xlfn.RANK.EQ(S40,S$4:S$134)</f>
        <v>42</v>
      </c>
      <c r="B40" s="153" t="s">
        <v>160</v>
      </c>
      <c r="C40" s="154" t="s">
        <v>166</v>
      </c>
      <c r="D40" s="155" t="n">
        <v>0.187865734720416</v>
      </c>
      <c r="E40" s="156" t="n">
        <v>28945.5254772727</v>
      </c>
      <c r="F40" s="157" t="n">
        <v>7.36</v>
      </c>
      <c r="G40" s="158" t="n">
        <v>10.31</v>
      </c>
      <c r="H40" s="159" t="n">
        <v>0.0469339163786954</v>
      </c>
      <c r="I40" s="160" t="n">
        <v>70355.9</v>
      </c>
      <c r="J40" s="147" t="n">
        <v>0.0362966859547607</v>
      </c>
      <c r="K40" s="148" t="n">
        <v>873</v>
      </c>
      <c r="L40" s="147" t="n">
        <v>0.0459670424978317</v>
      </c>
      <c r="M40" s="147" t="n">
        <v>0.0464071856287425</v>
      </c>
      <c r="N40" s="161" t="n">
        <f aca="false">('Modelo AHP'!$U$37*aux!P41)+('Modelo AHP'!$U$38*aux!R41)+('Modelo AHP'!$U$39*aux!S41)</f>
        <v>0.0114606775801864</v>
      </c>
      <c r="O40" s="162" t="n">
        <f aca="false">aux!U41</f>
        <v>0.00765230098811033</v>
      </c>
      <c r="P40" s="161" t="n">
        <f aca="false">('Modelo AHP'!$U$47*aux!V41)+('Modelo AHP'!$U$48*aux!W41)+('Modelo AHP'!$U$49*aux!X41)</f>
        <v>0.00796984878407995</v>
      </c>
      <c r="Q40" s="162" t="n">
        <f aca="false">aux!Z41</f>
        <v>0.00765162700518796</v>
      </c>
      <c r="R40" s="163" t="n">
        <f aca="false">('Modelo AHP'!$U$56*aux!AA41)+('Modelo AHP'!$U$57*aux!AB41)+('Modelo AHP'!$U$58*aux!AC41)+('Modelo AHP'!$U$59*aux!AD41)</f>
        <v>0.00735020169213565</v>
      </c>
      <c r="S40" s="164" t="n">
        <f aca="false">('Modelo AHP'!$U$23*aux!AE41)+('Modelo AHP'!$U$24*aux!AF41)+('Modelo AHP'!$U$25*aux!AG41)+('Modelo AHP'!$U$26*aux!AH41)+('Modelo AHP'!$U$27*aux!AI41)</f>
        <v>0.00836804316983915</v>
      </c>
    </row>
    <row r="41" customFormat="false" ht="15" hidden="false" customHeight="false" outlineLevel="0" collapsed="false">
      <c r="A41" s="138" t="n">
        <f aca="false">_xlfn.RANK.EQ(S41,S$4:S$134)</f>
        <v>96</v>
      </c>
      <c r="B41" s="153" t="s">
        <v>167</v>
      </c>
      <c r="C41" s="154" t="s">
        <v>168</v>
      </c>
      <c r="D41" s="155" t="n">
        <v>0.0614576899320568</v>
      </c>
      <c r="E41" s="156" t="n">
        <v>42607.6365402033</v>
      </c>
      <c r="F41" s="157" t="n">
        <v>6.15</v>
      </c>
      <c r="G41" s="158" t="n">
        <v>8.02</v>
      </c>
      <c r="H41" s="159" t="n">
        <v>0.0301465596866271</v>
      </c>
      <c r="I41" s="160" t="n">
        <v>112274.14</v>
      </c>
      <c r="J41" s="147" t="n">
        <v>0.0414401776842598</v>
      </c>
      <c r="K41" s="148" t="n">
        <v>154</v>
      </c>
      <c r="L41" s="147" t="n">
        <v>0.0323793003758312</v>
      </c>
      <c r="M41" s="147" t="n">
        <v>0.032559880239521</v>
      </c>
      <c r="N41" s="161" t="n">
        <f aca="false">('Modelo AHP'!$U$37*aux!P42)+('Modelo AHP'!$U$38*aux!R42)+('Modelo AHP'!$U$39*aux!S42)</f>
        <v>0.0051786606089977</v>
      </c>
      <c r="O41" s="162" t="n">
        <f aca="false">aux!U42</f>
        <v>0.00763341806831552</v>
      </c>
      <c r="P41" s="161" t="n">
        <f aca="false">('Modelo AHP'!$U$47*aux!V42)+('Modelo AHP'!$U$48*aux!W42)+('Modelo AHP'!$U$49*aux!X42)</f>
        <v>0.00587702273422895</v>
      </c>
      <c r="Q41" s="162" t="n">
        <f aca="false">aux!Z42</f>
        <v>0.00762738933917772</v>
      </c>
      <c r="R41" s="163" t="n">
        <f aca="false">('Modelo AHP'!$U$56*aux!AA42)+('Modelo AHP'!$U$57*aux!AB42)+('Modelo AHP'!$U$58*aux!AC42)+('Modelo AHP'!$U$59*aux!AD42)</f>
        <v>0.00343902013570949</v>
      </c>
      <c r="S41" s="164" t="n">
        <f aca="false">('Modelo AHP'!$U$23*aux!AE42)+('Modelo AHP'!$U$24*aux!AF42)+('Modelo AHP'!$U$25*aux!AG42)+('Modelo AHP'!$U$26*aux!AH42)+('Modelo AHP'!$U$27*aux!AI42)</f>
        <v>0.00623042332894016</v>
      </c>
    </row>
    <row r="42" customFormat="false" ht="15" hidden="false" customHeight="false" outlineLevel="0" collapsed="false">
      <c r="A42" s="138" t="n">
        <f aca="false">_xlfn.RANK.EQ(S42,S$4:S$134)</f>
        <v>94</v>
      </c>
      <c r="B42" s="153" t="s">
        <v>167</v>
      </c>
      <c r="C42" s="154" t="s">
        <v>169</v>
      </c>
      <c r="D42" s="155" t="n">
        <v>0.0579412369015821</v>
      </c>
      <c r="E42" s="156" t="n">
        <v>42210.1517765152</v>
      </c>
      <c r="F42" s="157" t="n">
        <v>5.96</v>
      </c>
      <c r="G42" s="158" t="n">
        <v>8.14</v>
      </c>
      <c r="H42" s="159" t="n">
        <v>0.0301465596866271</v>
      </c>
      <c r="I42" s="160" t="n">
        <v>120510.75</v>
      </c>
      <c r="J42" s="147" t="n">
        <v>0.0414401776842598</v>
      </c>
      <c r="K42" s="148" t="n">
        <v>154</v>
      </c>
      <c r="L42" s="147" t="n">
        <v>0.0323793003758312</v>
      </c>
      <c r="M42" s="147" t="n">
        <v>0.032559880239521</v>
      </c>
      <c r="N42" s="161" t="n">
        <f aca="false">('Modelo AHP'!$U$37*aux!P43)+('Modelo AHP'!$U$38*aux!R43)+('Modelo AHP'!$U$39*aux!S43)</f>
        <v>0.00530842174396774</v>
      </c>
      <c r="O42" s="162" t="n">
        <f aca="false">aux!U43</f>
        <v>0.00763396744702264</v>
      </c>
      <c r="P42" s="161" t="n">
        <f aca="false">('Modelo AHP'!$U$47*aux!V43)+('Modelo AHP'!$U$48*aux!W43)+('Modelo AHP'!$U$49*aux!X43)</f>
        <v>0.00588841862194596</v>
      </c>
      <c r="Q42" s="162" t="n">
        <f aca="false">aux!Z43</f>
        <v>0.00762262682524019</v>
      </c>
      <c r="R42" s="163" t="n">
        <f aca="false">('Modelo AHP'!$U$56*aux!AA43)+('Modelo AHP'!$U$57*aux!AB43)+('Modelo AHP'!$U$58*aux!AC43)+('Modelo AHP'!$U$59*aux!AD43)</f>
        <v>0.00343902013570949</v>
      </c>
      <c r="S42" s="164" t="n">
        <f aca="false">('Modelo AHP'!$U$23*aux!AE43)+('Modelo AHP'!$U$24*aux!AF43)+('Modelo AHP'!$U$25*aux!AG43)+('Modelo AHP'!$U$26*aux!AH43)+('Modelo AHP'!$U$27*aux!AI43)</f>
        <v>0.00625579210648634</v>
      </c>
    </row>
    <row r="43" customFormat="false" ht="15" hidden="false" customHeight="false" outlineLevel="0" collapsed="false">
      <c r="A43" s="138" t="n">
        <f aca="false">_xlfn.RANK.EQ(S43,S$4:S$134)</f>
        <v>100</v>
      </c>
      <c r="B43" s="153" t="s">
        <v>167</v>
      </c>
      <c r="C43" s="154" t="s">
        <v>170</v>
      </c>
      <c r="D43" s="155" t="n">
        <v>0.0625535211841944</v>
      </c>
      <c r="E43" s="156" t="n">
        <v>41126.2198025844</v>
      </c>
      <c r="F43" s="157" t="n">
        <v>5.89</v>
      </c>
      <c r="G43" s="158" t="n">
        <v>7.61</v>
      </c>
      <c r="H43" s="159" t="n">
        <v>0.0301465596866271</v>
      </c>
      <c r="I43" s="160" t="n">
        <v>116258.33</v>
      </c>
      <c r="J43" s="147" t="n">
        <v>0.0414401776842598</v>
      </c>
      <c r="K43" s="148" t="n">
        <v>154</v>
      </c>
      <c r="L43" s="147" t="n">
        <v>0.0323793003758312</v>
      </c>
      <c r="M43" s="147" t="n">
        <v>0.032559880239521</v>
      </c>
      <c r="N43" s="161" t="n">
        <f aca="false">('Modelo AHP'!$U$37*aux!P44)+('Modelo AHP'!$U$38*aux!R44)+('Modelo AHP'!$U$39*aux!S44)</f>
        <v>0.00518072708992873</v>
      </c>
      <c r="O43" s="162" t="n">
        <f aca="false">aux!U44</f>
        <v>0.00763546559035002</v>
      </c>
      <c r="P43" s="161" t="n">
        <f aca="false">('Modelo AHP'!$U$47*aux!V44)+('Modelo AHP'!$U$48*aux!W44)+('Modelo AHP'!$U$49*aux!X44)</f>
        <v>0.0056817625270073</v>
      </c>
      <c r="Q43" s="162" t="n">
        <f aca="false">aux!Z44</f>
        <v>0.00762508562922851</v>
      </c>
      <c r="R43" s="163" t="n">
        <f aca="false">('Modelo AHP'!$U$56*aux!AA44)+('Modelo AHP'!$U$57*aux!AB44)+('Modelo AHP'!$U$58*aux!AC44)+('Modelo AHP'!$U$59*aux!AD44)</f>
        <v>0.00343902013570949</v>
      </c>
      <c r="S43" s="164" t="n">
        <f aca="false">('Modelo AHP'!$U$23*aux!AE44)+('Modelo AHP'!$U$24*aux!AF44)+('Modelo AHP'!$U$25*aux!AG44)+('Modelo AHP'!$U$26*aux!AH44)+('Modelo AHP'!$U$27*aux!AI44)</f>
        <v>0.00616453020032195</v>
      </c>
    </row>
    <row r="44" customFormat="false" ht="15" hidden="false" customHeight="false" outlineLevel="0" collapsed="false">
      <c r="A44" s="138" t="n">
        <f aca="false">_xlfn.RANK.EQ(S44,S$4:S$134)</f>
        <v>116</v>
      </c>
      <c r="B44" s="153" t="s">
        <v>167</v>
      </c>
      <c r="C44" s="154" t="s">
        <v>171</v>
      </c>
      <c r="D44" s="155" t="n">
        <v>0.0685893226930653</v>
      </c>
      <c r="E44" s="156" t="n">
        <v>68786.7092139108</v>
      </c>
      <c r="F44" s="157" t="n">
        <v>4.39</v>
      </c>
      <c r="G44" s="158" t="n">
        <v>5.75</v>
      </c>
      <c r="H44" s="159" t="n">
        <v>0.0301465596866271</v>
      </c>
      <c r="I44" s="160" t="n">
        <v>183975.01</v>
      </c>
      <c r="J44" s="147" t="n">
        <v>0.0414401776842598</v>
      </c>
      <c r="K44" s="148" t="n">
        <v>154</v>
      </c>
      <c r="L44" s="147" t="n">
        <v>0.0323793003758312</v>
      </c>
      <c r="M44" s="147" t="n">
        <v>0.032559880239521</v>
      </c>
      <c r="N44" s="161" t="n">
        <f aca="false">('Modelo AHP'!$U$37*aux!P45)+('Modelo AHP'!$U$38*aux!R45)+('Modelo AHP'!$U$39*aux!S45)</f>
        <v>0.00505620129693879</v>
      </c>
      <c r="O44" s="162" t="n">
        <f aca="false">aux!U45</f>
        <v>0.00759723498304244</v>
      </c>
      <c r="P44" s="161" t="n">
        <f aca="false">('Modelo AHP'!$U$47*aux!V45)+('Modelo AHP'!$U$48*aux!W45)+('Modelo AHP'!$U$49*aux!X45)</f>
        <v>0.00474084250055434</v>
      </c>
      <c r="Q44" s="162" t="n">
        <f aca="false">aux!Z45</f>
        <v>0.00758593097308926</v>
      </c>
      <c r="R44" s="163" t="n">
        <f aca="false">('Modelo AHP'!$U$56*aux!AA45)+('Modelo AHP'!$U$57*aux!AB45)+('Modelo AHP'!$U$58*aux!AC45)+('Modelo AHP'!$U$59*aux!AD45)</f>
        <v>0.00343902013570949</v>
      </c>
      <c r="S44" s="164" t="n">
        <f aca="false">('Modelo AHP'!$U$23*aux!AE45)+('Modelo AHP'!$U$24*aux!AF45)+('Modelo AHP'!$U$25*aux!AG45)+('Modelo AHP'!$U$26*aux!AH45)+('Modelo AHP'!$U$27*aux!AI45)</f>
        <v>0.00580693568928074</v>
      </c>
    </row>
    <row r="45" customFormat="false" ht="15" hidden="false" customHeight="false" outlineLevel="0" collapsed="false">
      <c r="A45" s="138" t="n">
        <f aca="false">_xlfn.RANK.EQ(S45,S$4:S$134)</f>
        <v>105</v>
      </c>
      <c r="B45" s="153" t="s">
        <v>167</v>
      </c>
      <c r="C45" s="154" t="s">
        <v>172</v>
      </c>
      <c r="D45" s="155" t="n">
        <v>0.0590409996672705</v>
      </c>
      <c r="E45" s="156" t="n">
        <v>47955.2791667397</v>
      </c>
      <c r="F45" s="157" t="n">
        <v>5.31</v>
      </c>
      <c r="G45" s="158" t="n">
        <v>7.18</v>
      </c>
      <c r="H45" s="159" t="n">
        <v>0.0301465596866271</v>
      </c>
      <c r="I45" s="160" t="n">
        <v>121443.52</v>
      </c>
      <c r="J45" s="147" t="n">
        <v>0.0414401776842598</v>
      </c>
      <c r="K45" s="148" t="n">
        <v>154</v>
      </c>
      <c r="L45" s="147" t="n">
        <v>0.0323793003758312</v>
      </c>
      <c r="M45" s="147" t="n">
        <v>0.032559880239521</v>
      </c>
      <c r="N45" s="161" t="n">
        <f aca="false">('Modelo AHP'!$U$37*aux!P46)+('Modelo AHP'!$U$38*aux!R46)+('Modelo AHP'!$U$39*aux!S46)</f>
        <v>0.0050627658005271</v>
      </c>
      <c r="O45" s="162" t="n">
        <f aca="false">aux!U46</f>
        <v>0.00762602688943086</v>
      </c>
      <c r="P45" s="161" t="n">
        <f aca="false">('Modelo AHP'!$U$47*aux!V46)+('Modelo AHP'!$U$48*aux!W46)+('Modelo AHP'!$U$49*aux!X46)</f>
        <v>0.00542413661041432</v>
      </c>
      <c r="Q45" s="162" t="n">
        <f aca="false">aux!Z46</f>
        <v>0.007622087485618</v>
      </c>
      <c r="R45" s="163" t="n">
        <f aca="false">('Modelo AHP'!$U$56*aux!AA46)+('Modelo AHP'!$U$57*aux!AB46)+('Modelo AHP'!$U$58*aux!AC46)+('Modelo AHP'!$U$59*aux!AD46)</f>
        <v>0.00343902013570949</v>
      </c>
      <c r="S45" s="164" t="n">
        <f aca="false">('Modelo AHP'!$U$23*aux!AE46)+('Modelo AHP'!$U$24*aux!AF46)+('Modelo AHP'!$U$25*aux!AG46)+('Modelo AHP'!$U$26*aux!AH46)+('Modelo AHP'!$U$27*aux!AI46)</f>
        <v>0.00605353641504241</v>
      </c>
    </row>
    <row r="46" customFormat="false" ht="15" hidden="false" customHeight="false" outlineLevel="0" collapsed="false">
      <c r="A46" s="138" t="n">
        <f aca="false">_xlfn.RANK.EQ(S46,S$4:S$134)</f>
        <v>120</v>
      </c>
      <c r="B46" s="153" t="s">
        <v>167</v>
      </c>
      <c r="C46" s="154" t="s">
        <v>173</v>
      </c>
      <c r="D46" s="155" t="n">
        <v>0.0359672752668862</v>
      </c>
      <c r="E46" s="156" t="n">
        <v>59458.5754002255</v>
      </c>
      <c r="F46" s="157" t="n">
        <v>4.63</v>
      </c>
      <c r="G46" s="158" t="n">
        <v>5.92</v>
      </c>
      <c r="H46" s="159" t="n">
        <v>0.0301465596866271</v>
      </c>
      <c r="I46" s="160" t="n">
        <v>177760.6</v>
      </c>
      <c r="J46" s="147" t="n">
        <v>0.0414401776842598</v>
      </c>
      <c r="K46" s="148" t="n">
        <v>154</v>
      </c>
      <c r="L46" s="147" t="n">
        <v>0.0323793003758312</v>
      </c>
      <c r="M46" s="147" t="n">
        <v>0.032559880239521</v>
      </c>
      <c r="N46" s="161" t="n">
        <f aca="false">('Modelo AHP'!$U$37*aux!P47)+('Modelo AHP'!$U$38*aux!R47)+('Modelo AHP'!$U$39*aux!S47)</f>
        <v>0.00386183418932377</v>
      </c>
      <c r="O46" s="162" t="n">
        <f aca="false">aux!U47</f>
        <v>0.00761012774916239</v>
      </c>
      <c r="P46" s="161" t="n">
        <f aca="false">('Modelo AHP'!$U$47*aux!V47)+('Modelo AHP'!$U$48*aux!W47)+('Modelo AHP'!$U$49*aux!X47)</f>
        <v>0.00484453399044418</v>
      </c>
      <c r="Q46" s="162" t="n">
        <f aca="false">aux!Z47</f>
        <v>0.00758952422495362</v>
      </c>
      <c r="R46" s="163" t="n">
        <f aca="false">('Modelo AHP'!$U$56*aux!AA47)+('Modelo AHP'!$U$57*aux!AB47)+('Modelo AHP'!$U$58*aux!AC47)+('Modelo AHP'!$U$59*aux!AD47)</f>
        <v>0.00343902013570949</v>
      </c>
      <c r="S46" s="164" t="n">
        <f aca="false">('Modelo AHP'!$U$23*aux!AE47)+('Modelo AHP'!$U$24*aux!AF47)+('Modelo AHP'!$U$25*aux!AG47)+('Modelo AHP'!$U$26*aux!AH47)+('Modelo AHP'!$U$27*aux!AI47)</f>
        <v>0.00564747733536027</v>
      </c>
    </row>
    <row r="47" customFormat="false" ht="15" hidden="false" customHeight="false" outlineLevel="0" collapsed="false">
      <c r="A47" s="138" t="n">
        <f aca="false">_xlfn.RANK.EQ(S47,S$4:S$134)</f>
        <v>78</v>
      </c>
      <c r="B47" s="153" t="s">
        <v>174</v>
      </c>
      <c r="C47" s="154" t="s">
        <v>175</v>
      </c>
      <c r="D47" s="155" t="n">
        <v>0.0211226851851852</v>
      </c>
      <c r="E47" s="156" t="n">
        <v>39061.7270865533</v>
      </c>
      <c r="F47" s="157" t="n">
        <v>6.21</v>
      </c>
      <c r="G47" s="158" t="n">
        <v>8.12</v>
      </c>
      <c r="H47" s="159" t="n">
        <v>0.0361108345777335</v>
      </c>
      <c r="I47" s="160" t="n">
        <v>94498.3</v>
      </c>
      <c r="J47" s="147" t="n">
        <v>0.0503243906715764</v>
      </c>
      <c r="K47" s="148" t="n">
        <v>475</v>
      </c>
      <c r="L47" s="147" t="n">
        <v>0.0547364363496194</v>
      </c>
      <c r="M47" s="147" t="n">
        <v>0.0542040918163673</v>
      </c>
      <c r="N47" s="161" t="n">
        <f aca="false">('Modelo AHP'!$U$37*aux!P48)+('Modelo AHP'!$U$38*aux!R48)+('Modelo AHP'!$U$39*aux!S48)</f>
        <v>0.00727415888483493</v>
      </c>
      <c r="O47" s="162" t="n">
        <f aca="false">aux!U48</f>
        <v>0.00763831900372034</v>
      </c>
      <c r="P47" s="161" t="n">
        <f aca="false">('Modelo AHP'!$U$47*aux!V48)+('Modelo AHP'!$U$48*aux!W48)+('Modelo AHP'!$U$49*aux!X48)</f>
        <v>0.00629493007791432</v>
      </c>
      <c r="Q47" s="162" t="n">
        <f aca="false">aux!Z48</f>
        <v>0.00763766755870629</v>
      </c>
      <c r="R47" s="163" t="n">
        <f aca="false">('Modelo AHP'!$U$56*aux!AA48)+('Modelo AHP'!$U$57*aux!AB48)+('Modelo AHP'!$U$58*aux!AC48)+('Modelo AHP'!$U$59*aux!AD48)</f>
        <v>0.00629597331263362</v>
      </c>
      <c r="S47" s="164" t="n">
        <f aca="false">('Modelo AHP'!$U$23*aux!AE48)+('Modelo AHP'!$U$24*aux!AF48)+('Modelo AHP'!$U$25*aux!AG48)+('Modelo AHP'!$U$26*aux!AH48)+('Modelo AHP'!$U$27*aux!AI48)</f>
        <v>0.00699275797842926</v>
      </c>
    </row>
    <row r="48" customFormat="false" ht="15" hidden="false" customHeight="false" outlineLevel="0" collapsed="false">
      <c r="A48" s="138" t="n">
        <f aca="false">_xlfn.RANK.EQ(S48,S$4:S$134)</f>
        <v>113</v>
      </c>
      <c r="B48" s="153" t="s">
        <v>174</v>
      </c>
      <c r="C48" s="154" t="s">
        <v>176</v>
      </c>
      <c r="D48" s="155" t="n">
        <v>0.0451453308596166</v>
      </c>
      <c r="E48" s="156" t="n">
        <v>98155.7929422895</v>
      </c>
      <c r="F48" s="157" t="n">
        <v>3.31</v>
      </c>
      <c r="G48" s="158" t="n">
        <v>4.76</v>
      </c>
      <c r="H48" s="159" t="n">
        <v>0.0361108345777335</v>
      </c>
      <c r="I48" s="160" t="n">
        <v>172607.26</v>
      </c>
      <c r="J48" s="147" t="n">
        <v>0.0503243906715764</v>
      </c>
      <c r="K48" s="148" t="n">
        <v>475</v>
      </c>
      <c r="L48" s="147" t="n">
        <v>0.0547364363496194</v>
      </c>
      <c r="M48" s="147" t="n">
        <v>0.0542040918163673</v>
      </c>
      <c r="N48" s="161" t="n">
        <f aca="false">('Modelo AHP'!$U$37*aux!P49)+('Modelo AHP'!$U$38*aux!R49)+('Modelo AHP'!$U$39*aux!S49)</f>
        <v>0.0039884985623505</v>
      </c>
      <c r="O48" s="162" t="n">
        <f aca="false">aux!U49</f>
        <v>0.00755664286298604</v>
      </c>
      <c r="P48" s="161" t="n">
        <f aca="false">('Modelo AHP'!$U$47*aux!V49)+('Modelo AHP'!$U$48*aux!W49)+('Modelo AHP'!$U$49*aux!X49)</f>
        <v>0.00456247906583826</v>
      </c>
      <c r="Q48" s="162" t="n">
        <f aca="false">aux!Z49</f>
        <v>0.0075925039524841</v>
      </c>
      <c r="R48" s="163" t="n">
        <f aca="false">('Modelo AHP'!$U$56*aux!AA49)+('Modelo AHP'!$U$57*aux!AB49)+('Modelo AHP'!$U$58*aux!AC49)+('Modelo AHP'!$U$59*aux!AD49)</f>
        <v>0.00629597331263362</v>
      </c>
      <c r="S48" s="164" t="n">
        <f aca="false">('Modelo AHP'!$U$23*aux!AE49)+('Modelo AHP'!$U$24*aux!AF49)+('Modelo AHP'!$U$25*aux!AG49)+('Modelo AHP'!$U$26*aux!AH49)+('Modelo AHP'!$U$27*aux!AI49)</f>
        <v>0.00582266326194854</v>
      </c>
    </row>
    <row r="49" customFormat="false" ht="15" hidden="false" customHeight="false" outlineLevel="0" collapsed="false">
      <c r="A49" s="138" t="n">
        <f aca="false">_xlfn.RANK.EQ(S49,S$4:S$134)</f>
        <v>80</v>
      </c>
      <c r="B49" s="153" t="s">
        <v>174</v>
      </c>
      <c r="C49" s="154" t="s">
        <v>177</v>
      </c>
      <c r="D49" s="155" t="n">
        <v>0.0489957669098442</v>
      </c>
      <c r="E49" s="156" t="n">
        <v>45508.0580730877</v>
      </c>
      <c r="F49" s="157" t="n">
        <v>6.82</v>
      </c>
      <c r="G49" s="158" t="n">
        <v>8.35</v>
      </c>
      <c r="H49" s="159" t="n">
        <v>0.0361108345777335</v>
      </c>
      <c r="I49" s="160" t="n">
        <v>100133.82</v>
      </c>
      <c r="J49" s="147" t="n">
        <v>0.0503243906715764</v>
      </c>
      <c r="K49" s="148" t="n">
        <v>475</v>
      </c>
      <c r="L49" s="147" t="n">
        <v>0.0547364363496194</v>
      </c>
      <c r="M49" s="147" t="n">
        <v>0.0542040918163673</v>
      </c>
      <c r="N49" s="161" t="n">
        <f aca="false">('Modelo AHP'!$U$37*aux!P50)+('Modelo AHP'!$U$38*aux!R50)+('Modelo AHP'!$U$39*aux!S50)</f>
        <v>0.00647661172462918</v>
      </c>
      <c r="O49" s="162" t="n">
        <f aca="false">aux!U50</f>
        <v>0.00762940928614969</v>
      </c>
      <c r="P49" s="161" t="n">
        <f aca="false">('Modelo AHP'!$U$47*aux!V50)+('Modelo AHP'!$U$48*aux!W50)+('Modelo AHP'!$U$49*aux!X50)</f>
        <v>0.00648427270661886</v>
      </c>
      <c r="Q49" s="162" t="n">
        <f aca="false">aux!Z50</f>
        <v>0.00763440902849238</v>
      </c>
      <c r="R49" s="163" t="n">
        <f aca="false">('Modelo AHP'!$U$56*aux!AA50)+('Modelo AHP'!$U$57*aux!AB50)+('Modelo AHP'!$U$58*aux!AC50)+('Modelo AHP'!$U$59*aux!AD50)</f>
        <v>0.00629597331263362</v>
      </c>
      <c r="S49" s="164" t="n">
        <f aca="false">('Modelo AHP'!$U$23*aux!AE50)+('Modelo AHP'!$U$24*aux!AF50)+('Modelo AHP'!$U$25*aux!AG50)+('Modelo AHP'!$U$26*aux!AH50)+('Modelo AHP'!$U$27*aux!AI50)</f>
        <v>0.00692124328028607</v>
      </c>
    </row>
    <row r="50" customFormat="false" ht="15" hidden="false" customHeight="false" outlineLevel="0" collapsed="false">
      <c r="A50" s="138" t="n">
        <f aca="false">_xlfn.RANK.EQ(S50,S$4:S$134)</f>
        <v>67</v>
      </c>
      <c r="B50" s="153" t="s">
        <v>174</v>
      </c>
      <c r="C50" s="154" t="s">
        <v>178</v>
      </c>
      <c r="D50" s="155" t="n">
        <v>0.0765609406864234</v>
      </c>
      <c r="E50" s="156" t="n">
        <v>33746.0138188456</v>
      </c>
      <c r="F50" s="157" t="n">
        <v>7.08</v>
      </c>
      <c r="G50" s="158" t="n">
        <v>9</v>
      </c>
      <c r="H50" s="159" t="n">
        <v>0.0361108345777335</v>
      </c>
      <c r="I50" s="160" t="n">
        <v>75022.46</v>
      </c>
      <c r="J50" s="147" t="n">
        <v>0.0503243906715764</v>
      </c>
      <c r="K50" s="148" t="n">
        <v>475</v>
      </c>
      <c r="L50" s="147" t="n">
        <v>0.0547364363496194</v>
      </c>
      <c r="M50" s="147" t="n">
        <v>0.0542040918163673</v>
      </c>
      <c r="N50" s="161" t="n">
        <f aca="false">('Modelo AHP'!$U$37*aux!P51)+('Modelo AHP'!$U$38*aux!R51)+('Modelo AHP'!$U$39*aux!S51)</f>
        <v>0.00829798169509673</v>
      </c>
      <c r="O50" s="162" t="n">
        <f aca="false">aux!U51</f>
        <v>0.00764566605183201</v>
      </c>
      <c r="P50" s="161" t="n">
        <f aca="false">('Modelo AHP'!$U$47*aux!V51)+('Modelo AHP'!$U$48*aux!W51)+('Modelo AHP'!$U$49*aux!X51)</f>
        <v>0.00676766278407745</v>
      </c>
      <c r="Q50" s="162" t="n">
        <f aca="false">aux!Z51</f>
        <v>0.00764892874012013</v>
      </c>
      <c r="R50" s="163" t="n">
        <f aca="false">('Modelo AHP'!$U$56*aux!AA51)+('Modelo AHP'!$U$57*aux!AB51)+('Modelo AHP'!$U$58*aux!AC51)+('Modelo AHP'!$U$59*aux!AD51)</f>
        <v>0.00629597331263362</v>
      </c>
      <c r="S50" s="164" t="n">
        <f aca="false">('Modelo AHP'!$U$23*aux!AE51)+('Modelo AHP'!$U$24*aux!AF51)+('Modelo AHP'!$U$25*aux!AG51)+('Modelo AHP'!$U$26*aux!AH51)+('Modelo AHP'!$U$27*aux!AI51)</f>
        <v>0.00732838011336446</v>
      </c>
    </row>
    <row r="51" customFormat="false" ht="15" hidden="false" customHeight="false" outlineLevel="0" collapsed="false">
      <c r="A51" s="138" t="n">
        <f aca="false">_xlfn.RANK.EQ(S51,S$4:S$134)</f>
        <v>93</v>
      </c>
      <c r="B51" s="153" t="s">
        <v>174</v>
      </c>
      <c r="C51" s="154" t="s">
        <v>179</v>
      </c>
      <c r="D51" s="155" t="n">
        <v>0.0281798537726075</v>
      </c>
      <c r="E51" s="156" t="n">
        <v>58457.3752869185</v>
      </c>
      <c r="F51" s="157" t="n">
        <v>5.32</v>
      </c>
      <c r="G51" s="158" t="n">
        <v>6.62</v>
      </c>
      <c r="H51" s="159" t="n">
        <v>0.0361108345777335</v>
      </c>
      <c r="I51" s="160" t="n">
        <v>96815.18</v>
      </c>
      <c r="J51" s="147" t="n">
        <v>0.0503243906715764</v>
      </c>
      <c r="K51" s="148" t="n">
        <v>475</v>
      </c>
      <c r="L51" s="147" t="n">
        <v>0.0547364363496194</v>
      </c>
      <c r="M51" s="147" t="n">
        <v>0.0542040918163673</v>
      </c>
      <c r="N51" s="161" t="n">
        <f aca="false">('Modelo AHP'!$U$37*aux!P52)+('Modelo AHP'!$U$38*aux!R52)+('Modelo AHP'!$U$39*aux!S52)</f>
        <v>0.00443143466143472</v>
      </c>
      <c r="O51" s="162" t="n">
        <f aca="false">aux!U52</f>
        <v>0.00761151154565995</v>
      </c>
      <c r="P51" s="161" t="n">
        <f aca="false">('Modelo AHP'!$U$47*aux!V52)+('Modelo AHP'!$U$48*aux!W52)+('Modelo AHP'!$U$49*aux!X52)</f>
        <v>0.00559108969321091</v>
      </c>
      <c r="Q51" s="162" t="n">
        <f aca="false">aux!Z52</f>
        <v>0.00763632790886351</v>
      </c>
      <c r="R51" s="163" t="n">
        <f aca="false">('Modelo AHP'!$U$56*aux!AA52)+('Modelo AHP'!$U$57*aux!AB52)+('Modelo AHP'!$U$58*aux!AC52)+('Modelo AHP'!$U$59*aux!AD52)</f>
        <v>0.00629597331263362</v>
      </c>
      <c r="S51" s="164" t="n">
        <f aca="false">('Modelo AHP'!$U$23*aux!AE52)+('Modelo AHP'!$U$24*aux!AF52)+('Modelo AHP'!$U$25*aux!AG52)+('Modelo AHP'!$U$26*aux!AH52)+('Modelo AHP'!$U$27*aux!AI52)</f>
        <v>0.00626908045879729</v>
      </c>
    </row>
    <row r="52" customFormat="false" ht="15" hidden="false" customHeight="false" outlineLevel="0" collapsed="false">
      <c r="A52" s="138" t="n">
        <f aca="false">_xlfn.RANK.EQ(S52,S$4:S$134)</f>
        <v>81</v>
      </c>
      <c r="B52" s="153" t="s">
        <v>174</v>
      </c>
      <c r="C52" s="154" t="s">
        <v>180</v>
      </c>
      <c r="D52" s="155" t="n">
        <v>0.07253676886069</v>
      </c>
      <c r="E52" s="156" t="n">
        <v>42537.2500960052</v>
      </c>
      <c r="F52" s="157" t="n">
        <v>6.6</v>
      </c>
      <c r="G52" s="158" t="n">
        <v>8.36</v>
      </c>
      <c r="H52" s="159" t="n">
        <v>0.0361108345777335</v>
      </c>
      <c r="I52" s="160" t="n">
        <v>84332.83</v>
      </c>
      <c r="J52" s="147" t="n">
        <v>0.0503243906715764</v>
      </c>
      <c r="K52" s="148" t="n">
        <v>475</v>
      </c>
      <c r="L52" s="147" t="n">
        <v>0.0547364363496194</v>
      </c>
      <c r="M52" s="147" t="n">
        <v>0.0542040918163673</v>
      </c>
      <c r="N52" s="161" t="n">
        <f aca="false">('Modelo AHP'!$U$37*aux!P53)+('Modelo AHP'!$U$38*aux!R53)+('Modelo AHP'!$U$39*aux!S53)</f>
        <v>0.00650847257884372</v>
      </c>
      <c r="O52" s="162" t="n">
        <f aca="false">aux!U53</f>
        <v>0.00763351535207893</v>
      </c>
      <c r="P52" s="161" t="n">
        <f aca="false">('Modelo AHP'!$U$47*aux!V53)+('Modelo AHP'!$U$48*aux!W53)+('Modelo AHP'!$U$49*aux!X53)</f>
        <v>0.00645011746650161</v>
      </c>
      <c r="Q52" s="162" t="n">
        <f aca="false">aux!Z53</f>
        <v>0.00764354536432736</v>
      </c>
      <c r="R52" s="163" t="n">
        <f aca="false">('Modelo AHP'!$U$56*aux!AA53)+('Modelo AHP'!$U$57*aux!AB53)+('Modelo AHP'!$U$58*aux!AC53)+('Modelo AHP'!$U$59*aux!AD53)</f>
        <v>0.00629597331263362</v>
      </c>
      <c r="S52" s="164" t="n">
        <f aca="false">('Modelo AHP'!$U$23*aux!AE53)+('Modelo AHP'!$U$24*aux!AF53)+('Modelo AHP'!$U$25*aux!AG53)+('Modelo AHP'!$U$26*aux!AH53)+('Modelo AHP'!$U$27*aux!AI53)</f>
        <v>0.00691689995861003</v>
      </c>
    </row>
    <row r="53" customFormat="false" ht="15" hidden="false" customHeight="false" outlineLevel="0" collapsed="false">
      <c r="A53" s="138" t="n">
        <f aca="false">_xlfn.RANK.EQ(S53,S$4:S$134)</f>
        <v>111</v>
      </c>
      <c r="B53" s="153" t="s">
        <v>174</v>
      </c>
      <c r="C53" s="154" t="s">
        <v>181</v>
      </c>
      <c r="D53" s="155" t="n">
        <v>0.0204317175120095</v>
      </c>
      <c r="E53" s="156" t="n">
        <v>78328.1005562156</v>
      </c>
      <c r="F53" s="157" t="n">
        <v>4.14</v>
      </c>
      <c r="G53" s="158" t="n">
        <v>5.62</v>
      </c>
      <c r="H53" s="159" t="n">
        <v>0.0361108345777335</v>
      </c>
      <c r="I53" s="160" t="n">
        <v>137514.56</v>
      </c>
      <c r="J53" s="147" t="n">
        <v>0.0503243906715764</v>
      </c>
      <c r="K53" s="148" t="n">
        <v>475</v>
      </c>
      <c r="L53" s="147" t="n">
        <v>0.0547364363496194</v>
      </c>
      <c r="M53" s="147" t="n">
        <v>0.0542040918163673</v>
      </c>
      <c r="N53" s="161" t="n">
        <f aca="false">('Modelo AHP'!$U$37*aux!P54)+('Modelo AHP'!$U$38*aux!R54)+('Modelo AHP'!$U$39*aux!S54)</f>
        <v>0.00324730212418481</v>
      </c>
      <c r="O53" s="162" t="n">
        <f aca="false">aux!U54</f>
        <v>0.00758404746563625</v>
      </c>
      <c r="P53" s="161" t="n">
        <f aca="false">('Modelo AHP'!$U$47*aux!V54)+('Modelo AHP'!$U$48*aux!W54)+('Modelo AHP'!$U$49*aux!X54)</f>
        <v>0.00502098992195852</v>
      </c>
      <c r="Q53" s="162" t="n">
        <f aca="false">aux!Z54</f>
        <v>0.00761279500339649</v>
      </c>
      <c r="R53" s="163" t="n">
        <f aca="false">('Modelo AHP'!$U$56*aux!AA54)+('Modelo AHP'!$U$57*aux!AB54)+('Modelo AHP'!$U$58*aux!AC54)+('Modelo AHP'!$U$59*aux!AD54)</f>
        <v>0.00629597331263362</v>
      </c>
      <c r="S53" s="164" t="n">
        <f aca="false">('Modelo AHP'!$U$23*aux!AE54)+('Modelo AHP'!$U$24*aux!AF54)+('Modelo AHP'!$U$25*aux!AG54)+('Modelo AHP'!$U$26*aux!AH54)+('Modelo AHP'!$U$27*aux!AI54)</f>
        <v>0.00586601983633187</v>
      </c>
    </row>
    <row r="54" customFormat="false" ht="15" hidden="false" customHeight="false" outlineLevel="0" collapsed="false">
      <c r="A54" s="138" t="n">
        <f aca="false">_xlfn.RANK.EQ(S54,S$4:S$134)</f>
        <v>114</v>
      </c>
      <c r="B54" s="153" t="s">
        <v>174</v>
      </c>
      <c r="C54" s="154" t="s">
        <v>182</v>
      </c>
      <c r="D54" s="155" t="n">
        <v>0.0212813370473538</v>
      </c>
      <c r="E54" s="156" t="n">
        <v>57441.3442330211</v>
      </c>
      <c r="F54" s="157" t="n">
        <v>3.73</v>
      </c>
      <c r="G54" s="158" t="n">
        <v>5.3</v>
      </c>
      <c r="H54" s="159" t="n">
        <v>0.0361108345777335</v>
      </c>
      <c r="I54" s="160" t="n">
        <v>81519.53</v>
      </c>
      <c r="J54" s="147" t="n">
        <v>0.0503243906715764</v>
      </c>
      <c r="K54" s="148" t="n">
        <v>475</v>
      </c>
      <c r="L54" s="147" t="n">
        <v>0.0547364363496194</v>
      </c>
      <c r="M54" s="147" t="n">
        <v>0.0542040918163673</v>
      </c>
      <c r="N54" s="161" t="n">
        <f aca="false">('Modelo AHP'!$U$37*aux!P55)+('Modelo AHP'!$U$38*aux!R55)+('Modelo AHP'!$U$39*aux!S55)</f>
        <v>0.00329422901625656</v>
      </c>
      <c r="O54" s="162" t="n">
        <f aca="false">aux!U55</f>
        <v>0.00761291584056074</v>
      </c>
      <c r="P54" s="161" t="n">
        <f aca="false">('Modelo AHP'!$U$47*aux!V55)+('Modelo AHP'!$U$48*aux!W55)+('Modelo AHP'!$U$49*aux!X55)</f>
        <v>0.00483298706286404</v>
      </c>
      <c r="Q54" s="162" t="n">
        <f aca="false">aux!Z55</f>
        <v>0.0076451720506049</v>
      </c>
      <c r="R54" s="163" t="n">
        <f aca="false">('Modelo AHP'!$U$56*aux!AA55)+('Modelo AHP'!$U$57*aux!AB55)+('Modelo AHP'!$U$58*aux!AC55)+('Modelo AHP'!$U$59*aux!AD55)</f>
        <v>0.00629597331263362</v>
      </c>
      <c r="S54" s="164" t="n">
        <f aca="false">('Modelo AHP'!$U$23*aux!AE55)+('Modelo AHP'!$U$24*aux!AF55)+('Modelo AHP'!$U$25*aux!AG55)+('Modelo AHP'!$U$26*aux!AH55)+('Modelo AHP'!$U$27*aux!AI55)</f>
        <v>0.00582135248947693</v>
      </c>
    </row>
    <row r="55" customFormat="false" ht="15" hidden="false" customHeight="false" outlineLevel="0" collapsed="false">
      <c r="A55" s="138" t="n">
        <f aca="false">_xlfn.RANK.EQ(S55,S$4:S$134)</f>
        <v>87</v>
      </c>
      <c r="B55" s="153" t="s">
        <v>183</v>
      </c>
      <c r="C55" s="154" t="s">
        <v>184</v>
      </c>
      <c r="D55" s="155" t="n">
        <v>0.0427131782945736</v>
      </c>
      <c r="E55" s="156" t="n">
        <v>41436.0838529902</v>
      </c>
      <c r="F55" s="157" t="n">
        <v>7.57</v>
      </c>
      <c r="G55" s="158" t="n">
        <v>9.53</v>
      </c>
      <c r="H55" s="159" t="n">
        <v>0.032221233886064</v>
      </c>
      <c r="I55" s="160" t="n">
        <v>98568.69</v>
      </c>
      <c r="J55" s="147" t="n">
        <v>0.0245484832544275</v>
      </c>
      <c r="K55" s="148" t="n">
        <v>242</v>
      </c>
      <c r="L55" s="147" t="n">
        <v>0.0247663101088947</v>
      </c>
      <c r="M55" s="147" t="n">
        <v>0.0238585329341317</v>
      </c>
      <c r="N55" s="161" t="n">
        <f aca="false">('Modelo AHP'!$U$37*aux!P56)+('Modelo AHP'!$U$38*aux!R56)+('Modelo AHP'!$U$39*aux!S56)</f>
        <v>0.00542470611677854</v>
      </c>
      <c r="O55" s="162" t="n">
        <f aca="false">aux!U56</f>
        <v>0.00763503731554064</v>
      </c>
      <c r="P55" s="161" t="n">
        <f aca="false">('Modelo AHP'!$U$47*aux!V56)+('Modelo AHP'!$U$48*aux!W56)+('Modelo AHP'!$U$49*aux!X56)</f>
        <v>0.00680467185570657</v>
      </c>
      <c r="Q55" s="162" t="n">
        <f aca="false">aux!Z56</f>
        <v>0.00763531400680737</v>
      </c>
      <c r="R55" s="163" t="n">
        <f aca="false">('Modelo AHP'!$U$56*aux!AA56)+('Modelo AHP'!$U$57*aux!AB56)+('Modelo AHP'!$U$58*aux!AC56)+('Modelo AHP'!$U$59*aux!AD56)</f>
        <v>0.00300615430998652</v>
      </c>
      <c r="S55" s="164" t="n">
        <f aca="false">('Modelo AHP'!$U$23*aux!AE56)+('Modelo AHP'!$U$24*aux!AF56)+('Modelo AHP'!$U$25*aux!AG56)+('Modelo AHP'!$U$26*aux!AH56)+('Modelo AHP'!$U$27*aux!AI56)</f>
        <v>0.00654907979568292</v>
      </c>
    </row>
    <row r="56" customFormat="false" ht="15" hidden="false" customHeight="false" outlineLevel="0" collapsed="false">
      <c r="A56" s="138" t="n">
        <f aca="false">_xlfn.RANK.EQ(S56,S$4:S$134)</f>
        <v>101</v>
      </c>
      <c r="B56" s="153" t="s">
        <v>183</v>
      </c>
      <c r="C56" s="154" t="s">
        <v>185</v>
      </c>
      <c r="D56" s="155" t="n">
        <v>0.067189063021007</v>
      </c>
      <c r="E56" s="156" t="n">
        <v>53460.6435623358</v>
      </c>
      <c r="F56" s="157" t="n">
        <v>5.81</v>
      </c>
      <c r="G56" s="158" t="n">
        <v>7.51</v>
      </c>
      <c r="H56" s="159" t="n">
        <v>0.032221233886064</v>
      </c>
      <c r="I56" s="160" t="n">
        <v>202053.54</v>
      </c>
      <c r="J56" s="147" t="n">
        <v>0.0245484832544275</v>
      </c>
      <c r="K56" s="148" t="n">
        <v>242</v>
      </c>
      <c r="L56" s="147" t="n">
        <v>0.0247663101088947</v>
      </c>
      <c r="M56" s="147" t="n">
        <v>0.0238585329341317</v>
      </c>
      <c r="N56" s="161" t="n">
        <f aca="false">('Modelo AHP'!$U$37*aux!P57)+('Modelo AHP'!$U$38*aux!R57)+('Modelo AHP'!$U$39*aux!S57)</f>
        <v>0.00516630966392591</v>
      </c>
      <c r="O56" s="162" t="n">
        <f aca="false">aux!U57</f>
        <v>0.00761841771733114</v>
      </c>
      <c r="P56" s="161" t="n">
        <f aca="false">('Modelo AHP'!$U$47*aux!V57)+('Modelo AHP'!$U$48*aux!W57)+('Modelo AHP'!$U$49*aux!X57)</f>
        <v>0.00576029357019543</v>
      </c>
      <c r="Q56" s="162" t="n">
        <f aca="false">aux!Z57</f>
        <v>0.00757547773430595</v>
      </c>
      <c r="R56" s="163" t="n">
        <f aca="false">('Modelo AHP'!$U$56*aux!AA57)+('Modelo AHP'!$U$57*aux!AB57)+('Modelo AHP'!$U$58*aux!AC57)+('Modelo AHP'!$U$59*aux!AD57)</f>
        <v>0.00300615430998652</v>
      </c>
      <c r="S56" s="164" t="n">
        <f aca="false">('Modelo AHP'!$U$23*aux!AE57)+('Modelo AHP'!$U$24*aux!AF57)+('Modelo AHP'!$U$25*aux!AG57)+('Modelo AHP'!$U$26*aux!AH57)+('Modelo AHP'!$U$27*aux!AI57)</f>
        <v>0.00613920780293503</v>
      </c>
    </row>
    <row r="57" customFormat="false" ht="15" hidden="false" customHeight="false" outlineLevel="0" collapsed="false">
      <c r="A57" s="138" t="n">
        <f aca="false">_xlfn.RANK.EQ(S57,S$4:S$134)</f>
        <v>110</v>
      </c>
      <c r="B57" s="153" t="s">
        <v>183</v>
      </c>
      <c r="C57" s="154" t="s">
        <v>186</v>
      </c>
      <c r="D57" s="155" t="n">
        <v>0.0632415978132571</v>
      </c>
      <c r="E57" s="156" t="n">
        <v>67390.492096167</v>
      </c>
      <c r="F57" s="157" t="n">
        <v>4.86</v>
      </c>
      <c r="G57" s="158" t="n">
        <v>6.66</v>
      </c>
      <c r="H57" s="159" t="n">
        <v>0.032221233886064</v>
      </c>
      <c r="I57" s="160" t="n">
        <v>154344.74</v>
      </c>
      <c r="J57" s="147" t="n">
        <v>0.0245484832544275</v>
      </c>
      <c r="K57" s="148" t="n">
        <v>242</v>
      </c>
      <c r="L57" s="147" t="n">
        <v>0.0247663101088947</v>
      </c>
      <c r="M57" s="147" t="n">
        <v>0.0238585329341317</v>
      </c>
      <c r="N57" s="161" t="n">
        <f aca="false">('Modelo AHP'!$U$37*aux!P58)+('Modelo AHP'!$U$38*aux!R58)+('Modelo AHP'!$U$39*aux!S58)</f>
        <v>0.00475691349572351</v>
      </c>
      <c r="O57" s="162" t="n">
        <f aca="false">aux!U58</f>
        <v>0.00759916474746384</v>
      </c>
      <c r="P57" s="161" t="n">
        <f aca="false">('Modelo AHP'!$U$47*aux!V58)+('Modelo AHP'!$U$48*aux!W58)+('Modelo AHP'!$U$49*aux!X58)</f>
        <v>0.00528482170943236</v>
      </c>
      <c r="Q57" s="162" t="n">
        <f aca="false">aux!Z58</f>
        <v>0.00760306357665404</v>
      </c>
      <c r="R57" s="163" t="n">
        <f aca="false">('Modelo AHP'!$U$56*aux!AA58)+('Modelo AHP'!$U$57*aux!AB58)+('Modelo AHP'!$U$58*aux!AC58)+('Modelo AHP'!$U$59*aux!AD58)</f>
        <v>0.00300615430998652</v>
      </c>
      <c r="S57" s="164" t="n">
        <f aca="false">('Modelo AHP'!$U$23*aux!AE58)+('Modelo AHP'!$U$24*aux!AF58)+('Modelo AHP'!$U$25*aux!AG58)+('Modelo AHP'!$U$26*aux!AH58)+('Modelo AHP'!$U$27*aux!AI58)</f>
        <v>0.0059042665276143</v>
      </c>
    </row>
    <row r="58" customFormat="false" ht="15" hidden="false" customHeight="false" outlineLevel="0" collapsed="false">
      <c r="A58" s="138" t="n">
        <f aca="false">_xlfn.RANK.EQ(S58,S$4:S$134)</f>
        <v>82</v>
      </c>
      <c r="B58" s="153" t="s">
        <v>183</v>
      </c>
      <c r="C58" s="154" t="s">
        <v>187</v>
      </c>
      <c r="D58" s="155" t="n">
        <v>0.0772996124821538</v>
      </c>
      <c r="E58" s="156" t="n">
        <v>34996.9307976869</v>
      </c>
      <c r="F58" s="157" t="n">
        <v>7.36</v>
      </c>
      <c r="G58" s="158" t="n">
        <v>8.85</v>
      </c>
      <c r="H58" s="159" t="n">
        <v>0.032221233886064</v>
      </c>
      <c r="I58" s="160" t="n">
        <v>81625.61</v>
      </c>
      <c r="J58" s="147" t="n">
        <v>0.0245484832544275</v>
      </c>
      <c r="K58" s="148" t="n">
        <v>242</v>
      </c>
      <c r="L58" s="147" t="n">
        <v>0.0247663101088947</v>
      </c>
      <c r="M58" s="147" t="n">
        <v>0.0238585329341317</v>
      </c>
      <c r="N58" s="161" t="n">
        <f aca="false">('Modelo AHP'!$U$37*aux!P59)+('Modelo AHP'!$U$38*aux!R59)+('Modelo AHP'!$U$39*aux!S59)</f>
        <v>0.00780792521169853</v>
      </c>
      <c r="O58" s="162" t="n">
        <f aca="false">aux!U59</f>
        <v>0.00764393711222139</v>
      </c>
      <c r="P58" s="161" t="n">
        <f aca="false">('Modelo AHP'!$U$47*aux!V59)+('Modelo AHP'!$U$48*aux!W59)+('Modelo AHP'!$U$49*aux!X59)</f>
        <v>0.00651886266220559</v>
      </c>
      <c r="Q58" s="162" t="n">
        <f aca="false">aux!Z59</f>
        <v>0.00764511071378326</v>
      </c>
      <c r="R58" s="163" t="n">
        <f aca="false">('Modelo AHP'!$U$56*aux!AA59)+('Modelo AHP'!$U$57*aux!AB59)+('Modelo AHP'!$U$58*aux!AC59)+('Modelo AHP'!$U$59*aux!AD59)</f>
        <v>0.00300615430998652</v>
      </c>
      <c r="S58" s="164" t="n">
        <f aca="false">('Modelo AHP'!$U$23*aux!AE59)+('Modelo AHP'!$U$24*aux!AF59)+('Modelo AHP'!$U$25*aux!AG59)+('Modelo AHP'!$U$26*aux!AH59)+('Modelo AHP'!$U$27*aux!AI59)</f>
        <v>0.00685274232015517</v>
      </c>
    </row>
    <row r="59" customFormat="false" ht="15" hidden="false" customHeight="false" outlineLevel="0" collapsed="false">
      <c r="A59" s="138" t="n">
        <f aca="false">_xlfn.RANK.EQ(S59,S$4:S$134)</f>
        <v>127</v>
      </c>
      <c r="B59" s="153" t="s">
        <v>183</v>
      </c>
      <c r="C59" s="154" t="s">
        <v>188</v>
      </c>
      <c r="D59" s="155" t="n">
        <v>0.0579268292682927</v>
      </c>
      <c r="E59" s="156" t="n">
        <v>112320.748093875</v>
      </c>
      <c r="F59" s="157" t="n">
        <v>3.4</v>
      </c>
      <c r="G59" s="158" t="n">
        <v>4.38</v>
      </c>
      <c r="H59" s="159" t="n">
        <v>0.032221233886064</v>
      </c>
      <c r="I59" s="160" t="n">
        <v>200754.89</v>
      </c>
      <c r="J59" s="147" t="n">
        <v>0.0245484832544275</v>
      </c>
      <c r="K59" s="148" t="n">
        <v>242</v>
      </c>
      <c r="L59" s="147" t="n">
        <v>0.0247663101088947</v>
      </c>
      <c r="M59" s="147" t="n">
        <v>0.0238585329341317</v>
      </c>
      <c r="N59" s="161" t="n">
        <f aca="false">('Modelo AHP'!$U$37*aux!P60)+('Modelo AHP'!$U$38*aux!R60)+('Modelo AHP'!$U$39*aux!S60)</f>
        <v>0.00415041082882376</v>
      </c>
      <c r="O59" s="162" t="n">
        <f aca="false">aux!U60</f>
        <v>0.00753706494338105</v>
      </c>
      <c r="P59" s="161" t="n">
        <f aca="false">('Modelo AHP'!$U$47*aux!V60)+('Modelo AHP'!$U$48*aux!W60)+('Modelo AHP'!$U$49*aux!X60)</f>
        <v>0.00419655210425456</v>
      </c>
      <c r="Q59" s="162" t="n">
        <f aca="false">aux!Z60</f>
        <v>0.00757622863045437</v>
      </c>
      <c r="R59" s="163" t="n">
        <f aca="false">('Modelo AHP'!$U$56*aux!AA60)+('Modelo AHP'!$U$57*aux!AB60)+('Modelo AHP'!$U$58*aux!AC60)+('Modelo AHP'!$U$59*aux!AD60)</f>
        <v>0.00300615430998652</v>
      </c>
      <c r="S59" s="164" t="n">
        <f aca="false">('Modelo AHP'!$U$23*aux!AE60)+('Modelo AHP'!$U$24*aux!AF60)+('Modelo AHP'!$U$25*aux!AG60)+('Modelo AHP'!$U$26*aux!AH60)+('Modelo AHP'!$U$27*aux!AI60)</f>
        <v>0.00540910938014413</v>
      </c>
    </row>
    <row r="60" customFormat="false" ht="15" hidden="false" customHeight="false" outlineLevel="0" collapsed="false">
      <c r="A60" s="138" t="n">
        <f aca="false">_xlfn.RANK.EQ(S60,S$4:S$134)</f>
        <v>131</v>
      </c>
      <c r="B60" s="153" t="s">
        <v>183</v>
      </c>
      <c r="C60" s="154" t="s">
        <v>189</v>
      </c>
      <c r="D60" s="155" t="n">
        <v>0.0466911764705882</v>
      </c>
      <c r="E60" s="156" t="n">
        <v>101419.171710362</v>
      </c>
      <c r="F60" s="157" t="n">
        <v>2.94</v>
      </c>
      <c r="G60" s="158" t="n">
        <v>3.7</v>
      </c>
      <c r="H60" s="159" t="n">
        <v>0.032221233886064</v>
      </c>
      <c r="I60" s="160" t="n">
        <v>386518.19</v>
      </c>
      <c r="J60" s="147" t="n">
        <v>0.0245484832544275</v>
      </c>
      <c r="K60" s="148" t="n">
        <v>242</v>
      </c>
      <c r="L60" s="147" t="n">
        <v>0.0247663101088947</v>
      </c>
      <c r="M60" s="147" t="n">
        <v>0.0238585329341317</v>
      </c>
      <c r="N60" s="161" t="n">
        <f aca="false">('Modelo AHP'!$U$37*aux!P61)+('Modelo AHP'!$U$38*aux!R61)+('Modelo AHP'!$U$39*aux!S61)</f>
        <v>0.00409703444472996</v>
      </c>
      <c r="O60" s="162" t="n">
        <f aca="false">aux!U61</f>
        <v>0.00755213242391453</v>
      </c>
      <c r="P60" s="161" t="n">
        <f aca="false">('Modelo AHP'!$U$47*aux!V61)+('Modelo AHP'!$U$48*aux!W61)+('Modelo AHP'!$U$49*aux!X61)</f>
        <v>0.00386775732206745</v>
      </c>
      <c r="Q60" s="162" t="n">
        <f aca="false">aux!Z61</f>
        <v>0.00746881789893605</v>
      </c>
      <c r="R60" s="163" t="n">
        <f aca="false">('Modelo AHP'!$U$56*aux!AA61)+('Modelo AHP'!$U$57*aux!AB61)+('Modelo AHP'!$U$58*aux!AC61)+('Modelo AHP'!$U$59*aux!AD61)</f>
        <v>0.00300615430998652</v>
      </c>
      <c r="S60" s="164" t="n">
        <f aca="false">('Modelo AHP'!$U$23*aux!AE61)+('Modelo AHP'!$U$24*aux!AF61)+('Modelo AHP'!$U$25*aux!AG61)+('Modelo AHP'!$U$26*aux!AH61)+('Modelo AHP'!$U$27*aux!AI61)</f>
        <v>0.00528463299454697</v>
      </c>
    </row>
    <row r="61" customFormat="false" ht="15" hidden="false" customHeight="false" outlineLevel="0" collapsed="false">
      <c r="A61" s="138" t="n">
        <f aca="false">_xlfn.RANK.EQ(S61,S$4:S$134)</f>
        <v>123</v>
      </c>
      <c r="B61" s="153" t="s">
        <v>183</v>
      </c>
      <c r="C61" s="154" t="s">
        <v>190</v>
      </c>
      <c r="D61" s="155" t="n">
        <v>0.0458161236040997</v>
      </c>
      <c r="E61" s="156" t="n">
        <v>77060.7556397454</v>
      </c>
      <c r="F61" s="157" t="n">
        <v>3.93</v>
      </c>
      <c r="G61" s="158" t="n">
        <v>5.17</v>
      </c>
      <c r="H61" s="159" t="n">
        <v>0.032221233886064</v>
      </c>
      <c r="I61" s="160" t="n">
        <v>147611.65</v>
      </c>
      <c r="J61" s="147" t="n">
        <v>0.0245484832544275</v>
      </c>
      <c r="K61" s="148" t="n">
        <v>242</v>
      </c>
      <c r="L61" s="147" t="n">
        <v>0.0247663101088947</v>
      </c>
      <c r="M61" s="147" t="n">
        <v>0.0238585329341317</v>
      </c>
      <c r="N61" s="161" t="n">
        <f aca="false">('Modelo AHP'!$U$37*aux!P62)+('Modelo AHP'!$U$38*aux!R62)+('Modelo AHP'!$U$39*aux!S62)</f>
        <v>0.00431926671155749</v>
      </c>
      <c r="O61" s="162" t="n">
        <f aca="false">aux!U62</f>
        <v>0.00758579911092004</v>
      </c>
      <c r="P61" s="161" t="n">
        <f aca="false">('Modelo AHP'!$U$47*aux!V62)+('Modelo AHP'!$U$48*aux!W62)+('Modelo AHP'!$U$49*aux!X62)</f>
        <v>0.0045777757084657</v>
      </c>
      <c r="Q61" s="162" t="n">
        <f aca="false">aux!Z62</f>
        <v>0.00760695673597173</v>
      </c>
      <c r="R61" s="163" t="n">
        <f aca="false">('Modelo AHP'!$U$56*aux!AA62)+('Modelo AHP'!$U$57*aux!AB62)+('Modelo AHP'!$U$58*aux!AC62)+('Modelo AHP'!$U$59*aux!AD62)</f>
        <v>0.00300615430998652</v>
      </c>
      <c r="S61" s="164" t="n">
        <f aca="false">('Modelo AHP'!$U$23*aux!AE62)+('Modelo AHP'!$U$24*aux!AF62)+('Modelo AHP'!$U$25*aux!AG62)+('Modelo AHP'!$U$26*aux!AH62)+('Modelo AHP'!$U$27*aux!AI62)</f>
        <v>0.00558559463138573</v>
      </c>
    </row>
    <row r="62" customFormat="false" ht="15" hidden="false" customHeight="false" outlineLevel="0" collapsed="false">
      <c r="A62" s="138" t="n">
        <f aca="false">_xlfn.RANK.EQ(S62,S$4:S$134)</f>
        <v>27</v>
      </c>
      <c r="B62" s="153" t="s">
        <v>191</v>
      </c>
      <c r="C62" s="154" t="s">
        <v>192</v>
      </c>
      <c r="D62" s="155" t="n">
        <v>0.100046533271289</v>
      </c>
      <c r="E62" s="156" t="n">
        <v>29540.9576941288</v>
      </c>
      <c r="F62" s="157" t="n">
        <v>11.07</v>
      </c>
      <c r="G62" s="158" t="n">
        <v>12.1</v>
      </c>
      <c r="H62" s="159" t="n">
        <v>0.0549234017942407</v>
      </c>
      <c r="I62" s="160" t="n">
        <v>64231.31</v>
      </c>
      <c r="J62" s="147" t="n">
        <v>0.105675375533345</v>
      </c>
      <c r="K62" s="148" t="n">
        <v>1230</v>
      </c>
      <c r="L62" s="147" t="n">
        <v>0.0998682984806142</v>
      </c>
      <c r="M62" s="147" t="n">
        <v>0.0830526447105788</v>
      </c>
      <c r="N62" s="161" t="n">
        <f aca="false">('Modelo AHP'!$U$37*aux!P63)+('Modelo AHP'!$U$38*aux!R63)+('Modelo AHP'!$U$39*aux!S63)</f>
        <v>0.00983909104946622</v>
      </c>
      <c r="O62" s="162" t="n">
        <f aca="false">aux!U63</f>
        <v>0.00765147801875059</v>
      </c>
      <c r="P62" s="161" t="n">
        <f aca="false">('Modelo AHP'!$U$47*aux!V63)+('Modelo AHP'!$U$48*aux!W63)+('Modelo AHP'!$U$49*aux!X63)</f>
        <v>0.00976185835705928</v>
      </c>
      <c r="Q62" s="162" t="n">
        <f aca="false">aux!Z63</f>
        <v>0.00765516832197201</v>
      </c>
      <c r="R62" s="163" t="n">
        <f aca="false">('Modelo AHP'!$U$56*aux!AA63)+('Modelo AHP'!$U$57*aux!AB63)+('Modelo AHP'!$U$58*aux!AC63)+('Modelo AHP'!$U$59*aux!AD63)</f>
        <v>0.0132170459988158</v>
      </c>
      <c r="S62" s="164" t="n">
        <f aca="false">('Modelo AHP'!$U$23*aux!AE63)+('Modelo AHP'!$U$24*aux!AF63)+('Modelo AHP'!$U$25*aux!AG63)+('Modelo AHP'!$U$26*aux!AH63)+('Modelo AHP'!$U$27*aux!AI63)</f>
        <v>0.00925904759366763</v>
      </c>
    </row>
    <row r="63" customFormat="false" ht="15" hidden="false" customHeight="false" outlineLevel="0" collapsed="false">
      <c r="A63" s="138" t="n">
        <f aca="false">_xlfn.RANK.EQ(S63,S$4:S$134)</f>
        <v>28</v>
      </c>
      <c r="B63" s="153" t="s">
        <v>191</v>
      </c>
      <c r="C63" s="154" t="s">
        <v>193</v>
      </c>
      <c r="D63" s="155" t="n">
        <v>0.139237142788125</v>
      </c>
      <c r="E63" s="156" t="n">
        <v>27913.6339112542</v>
      </c>
      <c r="F63" s="157" t="n">
        <v>9.61</v>
      </c>
      <c r="G63" s="158" t="n">
        <v>11.76</v>
      </c>
      <c r="H63" s="159" t="n">
        <v>0.0549234017942407</v>
      </c>
      <c r="I63" s="160" t="n">
        <v>69655.86</v>
      </c>
      <c r="J63" s="147" t="n">
        <v>0.105675375533345</v>
      </c>
      <c r="K63" s="148" t="n">
        <v>1230</v>
      </c>
      <c r="L63" s="147" t="n">
        <v>0.0998682984806142</v>
      </c>
      <c r="M63" s="147" t="n">
        <v>0.0830526447105788</v>
      </c>
      <c r="N63" s="161" t="n">
        <f aca="false">('Modelo AHP'!$U$37*aux!P64)+('Modelo AHP'!$U$38*aux!R64)+('Modelo AHP'!$U$39*aux!S64)</f>
        <v>0.0105543118275048</v>
      </c>
      <c r="O63" s="162" t="n">
        <f aca="false">aux!U64</f>
        <v>0.00765372720442407</v>
      </c>
      <c r="P63" s="161" t="n">
        <f aca="false">('Modelo AHP'!$U$47*aux!V64)+('Modelo AHP'!$U$48*aux!W64)+('Modelo AHP'!$U$49*aux!X64)</f>
        <v>0.00938597186962999</v>
      </c>
      <c r="Q63" s="162" t="n">
        <f aca="false">aux!Z64</f>
        <v>0.00765203177732805</v>
      </c>
      <c r="R63" s="163" t="n">
        <f aca="false">('Modelo AHP'!$U$56*aux!AA64)+('Modelo AHP'!$U$57*aux!AB64)+('Modelo AHP'!$U$58*aux!AC64)+('Modelo AHP'!$U$59*aux!AD64)</f>
        <v>0.0132170459988158</v>
      </c>
      <c r="S63" s="164" t="n">
        <f aca="false">('Modelo AHP'!$U$23*aux!AE64)+('Modelo AHP'!$U$24*aux!AF64)+('Modelo AHP'!$U$25*aux!AG64)+('Modelo AHP'!$U$26*aux!AH64)+('Modelo AHP'!$U$27*aux!AI64)</f>
        <v>0.00925044700880204</v>
      </c>
    </row>
    <row r="64" customFormat="false" ht="15" hidden="false" customHeight="false" outlineLevel="0" collapsed="false">
      <c r="A64" s="138" t="n">
        <f aca="false">_xlfn.RANK.EQ(S64,S$4:S$134)</f>
        <v>30</v>
      </c>
      <c r="B64" s="153" t="s">
        <v>191</v>
      </c>
      <c r="C64" s="154" t="s">
        <v>194</v>
      </c>
      <c r="D64" s="155" t="n">
        <v>0.119899684400361</v>
      </c>
      <c r="E64" s="156" t="n">
        <v>30075.7055536143</v>
      </c>
      <c r="F64" s="157" t="n">
        <v>9.63</v>
      </c>
      <c r="G64" s="158" t="n">
        <v>11.24</v>
      </c>
      <c r="H64" s="159" t="n">
        <v>0.0549234017942407</v>
      </c>
      <c r="I64" s="160" t="n">
        <v>63152.23</v>
      </c>
      <c r="J64" s="147" t="n">
        <v>0.105675375533345</v>
      </c>
      <c r="K64" s="148" t="n">
        <v>1230</v>
      </c>
      <c r="L64" s="147" t="n">
        <v>0.0998682984806142</v>
      </c>
      <c r="M64" s="147" t="n">
        <v>0.0830526447105788</v>
      </c>
      <c r="N64" s="161" t="n">
        <f aca="false">('Modelo AHP'!$U$37*aux!P65)+('Modelo AHP'!$U$38*aux!R65)+('Modelo AHP'!$U$39*aux!S65)</f>
        <v>0.0102984724697891</v>
      </c>
      <c r="O64" s="162" t="n">
        <f aca="false">aux!U65</f>
        <v>0.00765073892353357</v>
      </c>
      <c r="P64" s="161" t="n">
        <f aca="false">('Modelo AHP'!$U$47*aux!V65)+('Modelo AHP'!$U$48*aux!W65)+('Modelo AHP'!$U$49*aux!X65)</f>
        <v>0.00919846266454487</v>
      </c>
      <c r="Q64" s="162" t="n">
        <f aca="false">aux!Z65</f>
        <v>0.00765579225991974</v>
      </c>
      <c r="R64" s="163" t="n">
        <f aca="false">('Modelo AHP'!$U$56*aux!AA65)+('Modelo AHP'!$U$57*aux!AB65)+('Modelo AHP'!$U$58*aux!AC65)+('Modelo AHP'!$U$59*aux!AD65)</f>
        <v>0.0132170459988158</v>
      </c>
      <c r="S64" s="164" t="n">
        <f aca="false">('Modelo AHP'!$U$23*aux!AE65)+('Modelo AHP'!$U$24*aux!AF65)+('Modelo AHP'!$U$25*aux!AG65)+('Modelo AHP'!$U$26*aux!AH65)+('Modelo AHP'!$U$27*aux!AI65)</f>
        <v>0.00914299308277949</v>
      </c>
    </row>
    <row r="65" customFormat="false" ht="15" hidden="false" customHeight="false" outlineLevel="0" collapsed="false">
      <c r="A65" s="138" t="n">
        <f aca="false">_xlfn.RANK.EQ(S65,S$4:S$134)</f>
        <v>33</v>
      </c>
      <c r="B65" s="153" t="s">
        <v>191</v>
      </c>
      <c r="C65" s="154" t="s">
        <v>195</v>
      </c>
      <c r="D65" s="155" t="n">
        <v>0.104288897985173</v>
      </c>
      <c r="E65" s="156" t="n">
        <v>31116.5071197473</v>
      </c>
      <c r="F65" s="157" t="n">
        <v>8.38</v>
      </c>
      <c r="G65" s="158" t="n">
        <v>9.69</v>
      </c>
      <c r="H65" s="159" t="n">
        <v>0.0549234017942407</v>
      </c>
      <c r="I65" s="160" t="n">
        <v>58979.22</v>
      </c>
      <c r="J65" s="147" t="n">
        <v>0.105675375533345</v>
      </c>
      <c r="K65" s="148" t="n">
        <v>1230</v>
      </c>
      <c r="L65" s="147" t="n">
        <v>0.0998682984806142</v>
      </c>
      <c r="M65" s="147" t="n">
        <v>0.0830526447105788</v>
      </c>
      <c r="N65" s="161" t="n">
        <f aca="false">('Modelo AHP'!$U$37*aux!P66)+('Modelo AHP'!$U$38*aux!R66)+('Modelo AHP'!$U$39*aux!S66)</f>
        <v>0.00997549187553716</v>
      </c>
      <c r="O65" s="162" t="n">
        <f aca="false">aux!U66</f>
        <v>0.00764930039237209</v>
      </c>
      <c r="P65" s="161" t="n">
        <f aca="false">('Modelo AHP'!$U$47*aux!V66)+('Modelo AHP'!$U$48*aux!W66)+('Modelo AHP'!$U$49*aux!X66)</f>
        <v>0.00841436264250073</v>
      </c>
      <c r="Q65" s="162" t="n">
        <f aca="false">aux!Z66</f>
        <v>0.00765820514802376</v>
      </c>
      <c r="R65" s="163" t="n">
        <f aca="false">('Modelo AHP'!$U$56*aux!AA66)+('Modelo AHP'!$U$57*aux!AB66)+('Modelo AHP'!$U$58*aux!AC66)+('Modelo AHP'!$U$59*aux!AD66)</f>
        <v>0.0132170459988158</v>
      </c>
      <c r="S65" s="164" t="n">
        <f aca="false">('Modelo AHP'!$U$23*aux!AE66)+('Modelo AHP'!$U$24*aux!AF66)+('Modelo AHP'!$U$25*aux!AG66)+('Modelo AHP'!$U$26*aux!AH66)+('Modelo AHP'!$U$27*aux!AI66)</f>
        <v>0.00882086257265001</v>
      </c>
    </row>
    <row r="66" customFormat="false" ht="15" hidden="false" customHeight="false" outlineLevel="0" collapsed="false">
      <c r="A66" s="138" t="n">
        <f aca="false">_xlfn.RANK.EQ(S66,S$4:S$134)</f>
        <v>35</v>
      </c>
      <c r="B66" s="153" t="s">
        <v>191</v>
      </c>
      <c r="C66" s="154" t="s">
        <v>196</v>
      </c>
      <c r="D66" s="155" t="n">
        <v>0.119896749723437</v>
      </c>
      <c r="E66" s="156" t="n">
        <v>31913.206846746</v>
      </c>
      <c r="F66" s="157" t="n">
        <v>7.33</v>
      </c>
      <c r="G66" s="158" t="n">
        <v>8.72</v>
      </c>
      <c r="H66" s="159" t="n">
        <v>0.0549234017942407</v>
      </c>
      <c r="I66" s="160" t="n">
        <v>63522.08</v>
      </c>
      <c r="J66" s="147" t="n">
        <v>0.105675375533345</v>
      </c>
      <c r="K66" s="148" t="n">
        <v>1230</v>
      </c>
      <c r="L66" s="147" t="n">
        <v>0.0998682984806142</v>
      </c>
      <c r="M66" s="147" t="n">
        <v>0.0830526447105788</v>
      </c>
      <c r="N66" s="161" t="n">
        <f aca="false">('Modelo AHP'!$U$37*aux!P67)+('Modelo AHP'!$U$38*aux!R67)+('Modelo AHP'!$U$39*aux!S67)</f>
        <v>0.00993748305746097</v>
      </c>
      <c r="O66" s="162" t="n">
        <f aca="false">aux!U67</f>
        <v>0.00764819924358357</v>
      </c>
      <c r="P66" s="161" t="n">
        <f aca="false">('Modelo AHP'!$U$47*aux!V67)+('Modelo AHP'!$U$48*aux!W67)+('Modelo AHP'!$U$49*aux!X67)</f>
        <v>0.00787763161114475</v>
      </c>
      <c r="Q66" s="162" t="n">
        <f aca="false">aux!Z67</f>
        <v>0.00765557840788841</v>
      </c>
      <c r="R66" s="163" t="n">
        <f aca="false">('Modelo AHP'!$U$56*aux!AA67)+('Modelo AHP'!$U$57*aux!AB67)+('Modelo AHP'!$U$58*aux!AC67)+('Modelo AHP'!$U$59*aux!AD67)</f>
        <v>0.0132170459988158</v>
      </c>
      <c r="S66" s="164" t="n">
        <f aca="false">('Modelo AHP'!$U$23*aux!AE67)+('Modelo AHP'!$U$24*aux!AF67)+('Modelo AHP'!$U$25*aux!AG67)+('Modelo AHP'!$U$26*aux!AH67)+('Modelo AHP'!$U$27*aux!AI67)</f>
        <v>0.00863055201901216</v>
      </c>
    </row>
    <row r="67" customFormat="false" ht="15" hidden="false" customHeight="false" outlineLevel="0" collapsed="false">
      <c r="A67" s="138" t="n">
        <f aca="false">_xlfn.RANK.EQ(S67,S$4:S$134)</f>
        <v>49</v>
      </c>
      <c r="B67" s="153" t="s">
        <v>191</v>
      </c>
      <c r="C67" s="154" t="s">
        <v>197</v>
      </c>
      <c r="D67" s="155" t="n">
        <v>0.0376192158247969</v>
      </c>
      <c r="E67" s="156" t="n">
        <v>35197.13451</v>
      </c>
      <c r="F67" s="157" t="n">
        <v>7.68</v>
      </c>
      <c r="G67" s="158" t="n">
        <v>9.81</v>
      </c>
      <c r="H67" s="159" t="n">
        <v>0.0549234017942407</v>
      </c>
      <c r="I67" s="160" t="n">
        <v>60658.68</v>
      </c>
      <c r="J67" s="147" t="n">
        <v>0.105675375533345</v>
      </c>
      <c r="K67" s="148" t="n">
        <v>1230</v>
      </c>
      <c r="L67" s="147" t="n">
        <v>0.0998682984806142</v>
      </c>
      <c r="M67" s="147" t="n">
        <v>0.0830526447105788</v>
      </c>
      <c r="N67" s="161" t="n">
        <f aca="false">('Modelo AHP'!$U$37*aux!P68)+('Modelo AHP'!$U$38*aux!R68)+('Modelo AHP'!$U$39*aux!S68)</f>
        <v>0.00549783676696208</v>
      </c>
      <c r="O67" s="162" t="n">
        <f aca="false">aux!U68</f>
        <v>0.00764366040310778</v>
      </c>
      <c r="P67" s="161" t="n">
        <f aca="false">('Modelo AHP'!$U$47*aux!V68)+('Modelo AHP'!$U$48*aux!W68)+('Modelo AHP'!$U$49*aux!X68)</f>
        <v>0.00833806792929805</v>
      </c>
      <c r="Q67" s="162" t="n">
        <f aca="false">aux!Z68</f>
        <v>0.00765723406263092</v>
      </c>
      <c r="R67" s="163" t="n">
        <f aca="false">('Modelo AHP'!$U$56*aux!AA68)+('Modelo AHP'!$U$57*aux!AB68)+('Modelo AHP'!$U$58*aux!AC68)+('Modelo AHP'!$U$59*aux!AD68)</f>
        <v>0.0132170459988158</v>
      </c>
      <c r="S67" s="164" t="n">
        <f aca="false">('Modelo AHP'!$U$23*aux!AE68)+('Modelo AHP'!$U$24*aux!AF68)+('Modelo AHP'!$U$25*aux!AG68)+('Modelo AHP'!$U$26*aux!AH68)+('Modelo AHP'!$U$27*aux!AI68)</f>
        <v>0.00804564491946699</v>
      </c>
    </row>
    <row r="68" customFormat="false" ht="15" hidden="false" customHeight="false" outlineLevel="0" collapsed="false">
      <c r="A68" s="138" t="n">
        <f aca="false">_xlfn.RANK.EQ(S68,S$4:S$134)</f>
        <v>34</v>
      </c>
      <c r="B68" s="153" t="s">
        <v>191</v>
      </c>
      <c r="C68" s="154" t="s">
        <v>198</v>
      </c>
      <c r="D68" s="155" t="n">
        <v>0.0700559664983758</v>
      </c>
      <c r="E68" s="156" t="n">
        <v>29910.4549361744</v>
      </c>
      <c r="F68" s="157" t="n">
        <v>8.41</v>
      </c>
      <c r="G68" s="158" t="n">
        <v>9.77</v>
      </c>
      <c r="H68" s="159" t="n">
        <v>0.0549234017942407</v>
      </c>
      <c r="I68" s="160" t="n">
        <v>55535.46</v>
      </c>
      <c r="J68" s="147" t="n">
        <v>0.105675375533345</v>
      </c>
      <c r="K68" s="148" t="n">
        <v>1230</v>
      </c>
      <c r="L68" s="147" t="n">
        <v>0.0998682984806142</v>
      </c>
      <c r="M68" s="147" t="n">
        <v>0.0830526447105788</v>
      </c>
      <c r="N68" s="161" t="n">
        <f aca="false">('Modelo AHP'!$U$37*aux!P69)+('Modelo AHP'!$U$38*aux!R69)+('Modelo AHP'!$U$39*aux!S69)</f>
        <v>0.00930558224525785</v>
      </c>
      <c r="O68" s="162" t="n">
        <f aca="false">aux!U69</f>
        <v>0.00765096732265437</v>
      </c>
      <c r="P68" s="161" t="n">
        <f aca="false">('Modelo AHP'!$U$47*aux!V69)+('Modelo AHP'!$U$48*aux!W69)+('Modelo AHP'!$U$49*aux!X69)</f>
        <v>0.00844889753655538</v>
      </c>
      <c r="Q68" s="162" t="n">
        <f aca="false">aux!Z69</f>
        <v>0.00766019637438964</v>
      </c>
      <c r="R68" s="163" t="n">
        <f aca="false">('Modelo AHP'!$U$56*aux!AA69)+('Modelo AHP'!$U$57*aux!AB69)+('Modelo AHP'!$U$58*aux!AC69)+('Modelo AHP'!$U$59*aux!AD69)</f>
        <v>0.0132170459988158</v>
      </c>
      <c r="S68" s="164" t="n">
        <f aca="false">('Modelo AHP'!$U$23*aux!AE69)+('Modelo AHP'!$U$24*aux!AF69)+('Modelo AHP'!$U$25*aux!AG69)+('Modelo AHP'!$U$26*aux!AH69)+('Modelo AHP'!$U$27*aux!AI69)</f>
        <v>0.00872155362751369</v>
      </c>
    </row>
    <row r="69" customFormat="false" ht="15" hidden="false" customHeight="false" outlineLevel="0" collapsed="false">
      <c r="A69" s="138" t="n">
        <f aca="false">_xlfn.RANK.EQ(S69,S$4:S$134)</f>
        <v>23</v>
      </c>
      <c r="B69" s="153" t="s">
        <v>199</v>
      </c>
      <c r="C69" s="154" t="s">
        <v>200</v>
      </c>
      <c r="D69" s="155" t="n">
        <v>0.122482919813017</v>
      </c>
      <c r="E69" s="156" t="n">
        <v>27579.2279443115</v>
      </c>
      <c r="F69" s="157" t="n">
        <v>9.36</v>
      </c>
      <c r="G69" s="158" t="n">
        <v>11.61</v>
      </c>
      <c r="H69" s="159" t="n">
        <v>0.0622599579699993</v>
      </c>
      <c r="I69" s="160" t="n">
        <v>58639.77</v>
      </c>
      <c r="J69" s="147" t="n">
        <v>0.0940440703723187</v>
      </c>
      <c r="K69" s="148" t="n">
        <v>1964</v>
      </c>
      <c r="L69" s="147" t="n">
        <v>0.101988371719508</v>
      </c>
      <c r="M69" s="147" t="n">
        <v>0.094560878243513</v>
      </c>
      <c r="N69" s="161" t="n">
        <f aca="false">('Modelo AHP'!$U$37*aux!P70)+('Modelo AHP'!$U$38*aux!R70)+('Modelo AHP'!$U$39*aux!S70)</f>
        <v>0.010248343568331</v>
      </c>
      <c r="O69" s="162" t="n">
        <f aca="false">aux!U70</f>
        <v>0.00765418939954338</v>
      </c>
      <c r="P69" s="161" t="n">
        <f aca="false">('Modelo AHP'!$U$47*aux!V70)+('Modelo AHP'!$U$48*aux!W70)+('Modelo AHP'!$U$49*aux!X70)</f>
        <v>0.00974410621080707</v>
      </c>
      <c r="Q69" s="162" t="n">
        <f aca="false">aux!Z70</f>
        <v>0.00765840142238373</v>
      </c>
      <c r="R69" s="163" t="n">
        <f aca="false">('Modelo AHP'!$U$56*aux!AA70)+('Modelo AHP'!$U$57*aux!AB70)+('Modelo AHP'!$U$58*aux!AC70)+('Modelo AHP'!$U$59*aux!AD70)</f>
        <v>0.0166131481063229</v>
      </c>
      <c r="S69" s="164" t="n">
        <f aca="false">('Modelo AHP'!$U$23*aux!AE70)+('Modelo AHP'!$U$24*aux!AF70)+('Modelo AHP'!$U$25*aux!AG70)+('Modelo AHP'!$U$26*aux!AH70)+('Modelo AHP'!$U$27*aux!AI70)</f>
        <v>0.00964033573897244</v>
      </c>
    </row>
    <row r="70" customFormat="false" ht="15" hidden="false" customHeight="false" outlineLevel="0" collapsed="false">
      <c r="A70" s="138" t="n">
        <f aca="false">_xlfn.RANK.EQ(S70,S$4:S$134)</f>
        <v>21</v>
      </c>
      <c r="B70" s="153" t="s">
        <v>199</v>
      </c>
      <c r="C70" s="154" t="s">
        <v>201</v>
      </c>
      <c r="D70" s="155" t="n">
        <v>0.155792195001847</v>
      </c>
      <c r="E70" s="156" t="n">
        <v>28031.4791042033</v>
      </c>
      <c r="F70" s="157" t="n">
        <v>8.62</v>
      </c>
      <c r="G70" s="158" t="n">
        <v>10.41</v>
      </c>
      <c r="H70" s="159" t="n">
        <v>0.0622599579699993</v>
      </c>
      <c r="I70" s="160" t="n">
        <v>54050.37</v>
      </c>
      <c r="J70" s="147" t="n">
        <v>0.0940440703723187</v>
      </c>
      <c r="K70" s="148" t="n">
        <v>1964</v>
      </c>
      <c r="L70" s="147" t="n">
        <v>0.101988371719508</v>
      </c>
      <c r="M70" s="147" t="n">
        <v>0.094560878243513</v>
      </c>
      <c r="N70" s="161" t="n">
        <f aca="false">('Modelo AHP'!$U$37*aux!P71)+('Modelo AHP'!$U$38*aux!R71)+('Modelo AHP'!$U$39*aux!S71)</f>
        <v>0.0115074326515388</v>
      </c>
      <c r="O70" s="162" t="n">
        <f aca="false">aux!U71</f>
        <v>0.00765356432613122</v>
      </c>
      <c r="P70" s="161" t="n">
        <f aca="false">('Modelo AHP'!$U$47*aux!V71)+('Modelo AHP'!$U$48*aux!W71)+('Modelo AHP'!$U$49*aux!X71)</f>
        <v>0.00917621951711149</v>
      </c>
      <c r="Q70" s="162" t="n">
        <f aca="false">aux!Z71</f>
        <v>0.00766105507254623</v>
      </c>
      <c r="R70" s="163" t="n">
        <f aca="false">('Modelo AHP'!$U$56*aux!AA71)+('Modelo AHP'!$U$57*aux!AB71)+('Modelo AHP'!$U$58*aux!AC71)+('Modelo AHP'!$U$59*aux!AD71)</f>
        <v>0.0166131481063229</v>
      </c>
      <c r="S70" s="164" t="n">
        <f aca="false">('Modelo AHP'!$U$23*aux!AE71)+('Modelo AHP'!$U$24*aux!AF71)+('Modelo AHP'!$U$25*aux!AG71)+('Modelo AHP'!$U$26*aux!AH71)+('Modelo AHP'!$U$27*aux!AI71)</f>
        <v>0.00965639503118069</v>
      </c>
    </row>
    <row r="71" customFormat="false" ht="15" hidden="false" customHeight="false" outlineLevel="0" collapsed="false">
      <c r="A71" s="138" t="n">
        <f aca="false">_xlfn.RANK.EQ(S71,S$4:S$134)</f>
        <v>9</v>
      </c>
      <c r="B71" s="153" t="s">
        <v>199</v>
      </c>
      <c r="C71" s="154" t="s">
        <v>202</v>
      </c>
      <c r="D71" s="155" t="n">
        <v>0.140659853711677</v>
      </c>
      <c r="E71" s="156" t="n">
        <v>26282.7243978732</v>
      </c>
      <c r="F71" s="157" t="n">
        <v>11.55</v>
      </c>
      <c r="G71" s="158" t="n">
        <v>13.81</v>
      </c>
      <c r="H71" s="159" t="n">
        <v>0.0622599579699993</v>
      </c>
      <c r="I71" s="160" t="n">
        <v>50492.96</v>
      </c>
      <c r="J71" s="147" t="n">
        <v>0.0940440703723187</v>
      </c>
      <c r="K71" s="148" t="n">
        <v>1964</v>
      </c>
      <c r="L71" s="147" t="n">
        <v>0.101988371719508</v>
      </c>
      <c r="M71" s="147" t="n">
        <v>0.094560878243513</v>
      </c>
      <c r="N71" s="161" t="n">
        <f aca="false">('Modelo AHP'!$U$37*aux!P72)+('Modelo AHP'!$U$38*aux!R72)+('Modelo AHP'!$U$39*aux!S72)</f>
        <v>0.0116247493938959</v>
      </c>
      <c r="O71" s="162" t="n">
        <f aca="false">aux!U72</f>
        <v>0.00765598134607114</v>
      </c>
      <c r="P71" s="161" t="n">
        <f aca="false">('Modelo AHP'!$U$47*aux!V72)+('Modelo AHP'!$U$48*aux!W72)+('Modelo AHP'!$U$49*aux!X72)</f>
        <v>0.0109285171115361</v>
      </c>
      <c r="Q71" s="162" t="n">
        <f aca="false">aux!Z72</f>
        <v>0.0076631120128052</v>
      </c>
      <c r="R71" s="163" t="n">
        <f aca="false">('Modelo AHP'!$U$56*aux!AA72)+('Modelo AHP'!$U$57*aux!AB72)+('Modelo AHP'!$U$58*aux!AC72)+('Modelo AHP'!$U$59*aux!AD72)</f>
        <v>0.0166131481063229</v>
      </c>
      <c r="S71" s="164" t="n">
        <f aca="false">('Modelo AHP'!$U$23*aux!AE72)+('Modelo AHP'!$U$24*aux!AF72)+('Modelo AHP'!$U$25*aux!AG72)+('Modelo AHP'!$U$26*aux!AH72)+('Modelo AHP'!$U$27*aux!AI72)</f>
        <v>0.0102757129475027</v>
      </c>
    </row>
    <row r="72" customFormat="false" ht="15" hidden="false" customHeight="false" outlineLevel="0" collapsed="false">
      <c r="A72" s="138" t="n">
        <f aca="false">_xlfn.RANK.EQ(S72,S$4:S$134)</f>
        <v>14</v>
      </c>
      <c r="B72" s="153" t="s">
        <v>199</v>
      </c>
      <c r="C72" s="154" t="s">
        <v>203</v>
      </c>
      <c r="D72" s="155" t="n">
        <v>0.16321542836829</v>
      </c>
      <c r="E72" s="156" t="n">
        <v>27788.2132821128</v>
      </c>
      <c r="F72" s="157" t="n">
        <v>9.29</v>
      </c>
      <c r="G72" s="158" t="n">
        <v>11.02</v>
      </c>
      <c r="H72" s="159" t="n">
        <v>0.0622599579699993</v>
      </c>
      <c r="I72" s="160" t="n">
        <v>53480.84</v>
      </c>
      <c r="J72" s="147" t="n">
        <v>0.0940440703723187</v>
      </c>
      <c r="K72" s="148" t="n">
        <v>1964</v>
      </c>
      <c r="L72" s="147" t="n">
        <v>0.101988371719508</v>
      </c>
      <c r="M72" s="147" t="n">
        <v>0.094560878243513</v>
      </c>
      <c r="N72" s="161" t="n">
        <f aca="false">('Modelo AHP'!$U$37*aux!P73)+('Modelo AHP'!$U$38*aux!R73)+('Modelo AHP'!$U$39*aux!S73)</f>
        <v>0.0122129555633027</v>
      </c>
      <c r="O72" s="162" t="n">
        <f aca="false">aux!U73</f>
        <v>0.00765390055301345</v>
      </c>
      <c r="P72" s="161" t="n">
        <f aca="false">('Modelo AHP'!$U$47*aux!V73)+('Modelo AHP'!$U$48*aux!W73)+('Modelo AHP'!$U$49*aux!X73)</f>
        <v>0.00951541764830917</v>
      </c>
      <c r="Q72" s="162" t="n">
        <f aca="false">aux!Z73</f>
        <v>0.00766138438212418</v>
      </c>
      <c r="R72" s="163" t="n">
        <f aca="false">('Modelo AHP'!$U$56*aux!AA73)+('Modelo AHP'!$U$57*aux!AB73)+('Modelo AHP'!$U$58*aux!AC73)+('Modelo AHP'!$U$59*aux!AD73)</f>
        <v>0.0166131481063229</v>
      </c>
      <c r="S72" s="164" t="n">
        <f aca="false">('Modelo AHP'!$U$23*aux!AE73)+('Modelo AHP'!$U$24*aux!AF73)+('Modelo AHP'!$U$25*aux!AG73)+('Modelo AHP'!$U$26*aux!AH73)+('Modelo AHP'!$U$27*aux!AI73)</f>
        <v>0.00989018213307559</v>
      </c>
    </row>
    <row r="73" customFormat="false" ht="15" hidden="false" customHeight="false" outlineLevel="0" collapsed="false">
      <c r="A73" s="138" t="n">
        <f aca="false">_xlfn.RANK.EQ(S73,S$4:S$134)</f>
        <v>11</v>
      </c>
      <c r="B73" s="153" t="s">
        <v>199</v>
      </c>
      <c r="C73" s="154" t="s">
        <v>204</v>
      </c>
      <c r="D73" s="155" t="n">
        <v>0.158989773966345</v>
      </c>
      <c r="E73" s="156" t="n">
        <v>25725.1872554806</v>
      </c>
      <c r="F73" s="157" t="n">
        <v>10.58</v>
      </c>
      <c r="G73" s="158" t="n">
        <v>12.1</v>
      </c>
      <c r="H73" s="159" t="n">
        <v>0.0622599579699993</v>
      </c>
      <c r="I73" s="160" t="n">
        <v>50230.98</v>
      </c>
      <c r="J73" s="147" t="n">
        <v>0.0940440703723187</v>
      </c>
      <c r="K73" s="148" t="n">
        <v>1964</v>
      </c>
      <c r="L73" s="147" t="n">
        <v>0.101988371719508</v>
      </c>
      <c r="M73" s="147" t="n">
        <v>0.094560878243513</v>
      </c>
      <c r="N73" s="161" t="n">
        <f aca="false">('Modelo AHP'!$U$37*aux!P74)+('Modelo AHP'!$U$38*aux!R74)+('Modelo AHP'!$U$39*aux!S74)</f>
        <v>0.0125186629170448</v>
      </c>
      <c r="O73" s="162" t="n">
        <f aca="false">aux!U74</f>
        <v>0.00765675193921695</v>
      </c>
      <c r="P73" s="161" t="n">
        <f aca="false">('Modelo AHP'!$U$47*aux!V74)+('Modelo AHP'!$U$48*aux!W74)+('Modelo AHP'!$U$49*aux!X74)</f>
        <v>0.0101338077019958</v>
      </c>
      <c r="Q73" s="162" t="n">
        <f aca="false">aux!Z74</f>
        <v>0.00766326349301385</v>
      </c>
      <c r="R73" s="163" t="n">
        <f aca="false">('Modelo AHP'!$U$56*aux!AA74)+('Modelo AHP'!$U$57*aux!AB74)+('Modelo AHP'!$U$58*aux!AC74)+('Modelo AHP'!$U$59*aux!AD74)</f>
        <v>0.0166131481063229</v>
      </c>
      <c r="S73" s="164" t="n">
        <f aca="false">('Modelo AHP'!$U$23*aux!AE74)+('Modelo AHP'!$U$24*aux!AF74)+('Modelo AHP'!$U$25*aux!AG74)+('Modelo AHP'!$U$26*aux!AH74)+('Modelo AHP'!$U$27*aux!AI74)</f>
        <v>0.0101535810055278</v>
      </c>
    </row>
    <row r="74" customFormat="false" ht="15" hidden="false" customHeight="false" outlineLevel="0" collapsed="false">
      <c r="A74" s="138" t="n">
        <f aca="false">_xlfn.RANK.EQ(S74,S$4:S$134)</f>
        <v>32</v>
      </c>
      <c r="B74" s="153" t="s">
        <v>199</v>
      </c>
      <c r="C74" s="154" t="s">
        <v>205</v>
      </c>
      <c r="D74" s="155" t="n">
        <v>0.0797775662108361</v>
      </c>
      <c r="E74" s="156" t="n">
        <v>31280.5620099041</v>
      </c>
      <c r="F74" s="157" t="n">
        <v>8.25</v>
      </c>
      <c r="G74" s="158" t="n">
        <v>9.22</v>
      </c>
      <c r="H74" s="159" t="n">
        <v>0.0622599579699993</v>
      </c>
      <c r="I74" s="160" t="n">
        <v>53572.15</v>
      </c>
      <c r="J74" s="147" t="n">
        <v>0.0940440703723187</v>
      </c>
      <c r="K74" s="148" t="n">
        <v>1964</v>
      </c>
      <c r="L74" s="147" t="n">
        <v>0.101988371719508</v>
      </c>
      <c r="M74" s="147" t="n">
        <v>0.094560878243513</v>
      </c>
      <c r="N74" s="161" t="n">
        <f aca="false">('Modelo AHP'!$U$37*aux!P75)+('Modelo AHP'!$U$38*aux!R75)+('Modelo AHP'!$U$39*aux!S75)</f>
        <v>0.00852088938788332</v>
      </c>
      <c r="O74" s="162" t="n">
        <f aca="false">aux!U75</f>
        <v>0.00764907364591113</v>
      </c>
      <c r="P74" s="161" t="n">
        <f aca="false">('Modelo AHP'!$U$47*aux!V75)+('Modelo AHP'!$U$48*aux!W75)+('Modelo AHP'!$U$49*aux!X75)</f>
        <v>0.00867562357259792</v>
      </c>
      <c r="Q74" s="162" t="n">
        <f aca="false">aux!Z75</f>
        <v>0.00766133158550668</v>
      </c>
      <c r="R74" s="163" t="n">
        <f aca="false">('Modelo AHP'!$U$56*aux!AA75)+('Modelo AHP'!$U$57*aux!AB75)+('Modelo AHP'!$U$58*aux!AC75)+('Modelo AHP'!$U$59*aux!AD75)</f>
        <v>0.0166131481063229</v>
      </c>
      <c r="S74" s="164" t="n">
        <f aca="false">('Modelo AHP'!$U$23*aux!AE75)+('Modelo AHP'!$U$24*aux!AF75)+('Modelo AHP'!$U$25*aux!AG75)+('Modelo AHP'!$U$26*aux!AH75)+('Modelo AHP'!$U$27*aux!AI75)</f>
        <v>0.00898549140482707</v>
      </c>
    </row>
    <row r="75" customFormat="false" ht="15" hidden="false" customHeight="false" outlineLevel="0" collapsed="false">
      <c r="A75" s="138" t="n">
        <f aca="false">_xlfn.RANK.EQ(S75,S$4:S$134)</f>
        <v>16</v>
      </c>
      <c r="B75" s="153" t="s">
        <v>199</v>
      </c>
      <c r="C75" s="154" t="s">
        <v>206</v>
      </c>
      <c r="D75" s="155" t="n">
        <v>0.138734925593738</v>
      </c>
      <c r="E75" s="156" t="n">
        <v>27997.6117863216</v>
      </c>
      <c r="F75" s="157" t="n">
        <v>9.72</v>
      </c>
      <c r="G75" s="158" t="n">
        <v>11.16</v>
      </c>
      <c r="H75" s="159" t="n">
        <v>0.0622599579699993</v>
      </c>
      <c r="I75" s="160" t="n">
        <v>51026.14</v>
      </c>
      <c r="J75" s="147" t="n">
        <v>0.0940440703723187</v>
      </c>
      <c r="K75" s="148" t="n">
        <v>1964</v>
      </c>
      <c r="L75" s="147" t="n">
        <v>0.101988371719508</v>
      </c>
      <c r="M75" s="147" t="n">
        <v>0.094560878243513</v>
      </c>
      <c r="N75" s="161" t="n">
        <f aca="false">('Modelo AHP'!$U$37*aux!P76)+('Modelo AHP'!$U$38*aux!R76)+('Modelo AHP'!$U$39*aux!S76)</f>
        <v>0.0115145379396538</v>
      </c>
      <c r="O75" s="162" t="n">
        <f aca="false">aux!U76</f>
        <v>0.00765361113543063</v>
      </c>
      <c r="P75" s="161" t="n">
        <f aca="false">('Modelo AHP'!$U$47*aux!V76)+('Modelo AHP'!$U$48*aux!W76)+('Modelo AHP'!$U$49*aux!X76)</f>
        <v>0.00964076195182085</v>
      </c>
      <c r="Q75" s="162" t="n">
        <f aca="false">aux!Z76</f>
        <v>0.00766280372126521</v>
      </c>
      <c r="R75" s="163" t="n">
        <f aca="false">('Modelo AHP'!$U$56*aux!AA76)+('Modelo AHP'!$U$57*aux!AB76)+('Modelo AHP'!$U$58*aux!AC76)+('Modelo AHP'!$U$59*aux!AD76)</f>
        <v>0.0166131481063229</v>
      </c>
      <c r="S75" s="164" t="n">
        <f aca="false">('Modelo AHP'!$U$23*aux!AE76)+('Modelo AHP'!$U$24*aux!AF76)+('Modelo AHP'!$U$25*aux!AG76)+('Modelo AHP'!$U$26*aux!AH76)+('Modelo AHP'!$U$27*aux!AI76)</f>
        <v>0.00981647341064218</v>
      </c>
    </row>
    <row r="76" customFormat="false" ht="15" hidden="false" customHeight="false" outlineLevel="0" collapsed="false">
      <c r="A76" s="138" t="n">
        <f aca="false">_xlfn.RANK.EQ(S76,S$4:S$134)</f>
        <v>25</v>
      </c>
      <c r="B76" s="153" t="s">
        <v>207</v>
      </c>
      <c r="C76" s="154" t="s">
        <v>208</v>
      </c>
      <c r="D76" s="155" t="n">
        <v>0.0504544446907559</v>
      </c>
      <c r="E76" s="156" t="n">
        <v>26857.9425527045</v>
      </c>
      <c r="F76" s="157" t="n">
        <v>10.62</v>
      </c>
      <c r="G76" s="158" t="n">
        <v>11.82</v>
      </c>
      <c r="H76" s="159" t="n">
        <v>0.0661265225089875</v>
      </c>
      <c r="I76" s="160" t="n">
        <v>53708.18</v>
      </c>
      <c r="J76" s="147" t="n">
        <v>0.0576889356479046</v>
      </c>
      <c r="K76" s="148" t="n">
        <v>1540</v>
      </c>
      <c r="L76" s="147" t="n">
        <v>0.0673926311393788</v>
      </c>
      <c r="M76" s="147" t="n">
        <v>0.0644336327345309</v>
      </c>
      <c r="N76" s="161" t="n">
        <f aca="false">('Modelo AHP'!$U$37*aux!P77)+('Modelo AHP'!$U$38*aux!R77)+('Modelo AHP'!$U$39*aux!S77)</f>
        <v>0.00981109593856594</v>
      </c>
      <c r="O76" s="162" t="n">
        <f aca="false">aux!U77</f>
        <v>0.00765518631533012</v>
      </c>
      <c r="P76" s="161" t="n">
        <f aca="false">('Modelo AHP'!$U$47*aux!V77)+('Modelo AHP'!$U$48*aux!W77)+('Modelo AHP'!$U$49*aux!X77)</f>
        <v>0.0102782975944999</v>
      </c>
      <c r="Q76" s="162" t="n">
        <f aca="false">aux!Z77</f>
        <v>0.00766125293120947</v>
      </c>
      <c r="R76" s="163" t="n">
        <f aca="false">('Modelo AHP'!$U$56*aux!AA77)+('Modelo AHP'!$U$57*aux!AB77)+('Modelo AHP'!$U$58*aux!AC77)+('Modelo AHP'!$U$59*aux!AD77)</f>
        <v>0.012024783106609</v>
      </c>
      <c r="S76" s="164" t="n">
        <f aca="false">('Modelo AHP'!$U$23*aux!AE77)+('Modelo AHP'!$U$24*aux!AF77)+('Modelo AHP'!$U$25*aux!AG77)+('Modelo AHP'!$U$26*aux!AH77)+('Modelo AHP'!$U$27*aux!AI77)</f>
        <v>0.00932089171925905</v>
      </c>
    </row>
    <row r="77" customFormat="false" ht="15" hidden="false" customHeight="false" outlineLevel="0" collapsed="false">
      <c r="A77" s="138" t="n">
        <f aca="false">_xlfn.RANK.EQ(S77,S$4:S$134)</f>
        <v>12</v>
      </c>
      <c r="B77" s="153" t="s">
        <v>207</v>
      </c>
      <c r="C77" s="154" t="s">
        <v>209</v>
      </c>
      <c r="D77" s="155" t="n">
        <v>0.108016504568229</v>
      </c>
      <c r="E77" s="156" t="n">
        <v>24995.8694500883</v>
      </c>
      <c r="F77" s="157" t="n">
        <v>13.14</v>
      </c>
      <c r="G77" s="158" t="n">
        <v>14.04</v>
      </c>
      <c r="H77" s="159" t="n">
        <v>0.0661265225089875</v>
      </c>
      <c r="I77" s="160" t="n">
        <v>53439.81</v>
      </c>
      <c r="J77" s="147" t="n">
        <v>0.0576889356479046</v>
      </c>
      <c r="K77" s="148" t="n">
        <v>1540</v>
      </c>
      <c r="L77" s="147" t="n">
        <v>0.0673926311393788</v>
      </c>
      <c r="M77" s="147" t="n">
        <v>0.0644336327345309</v>
      </c>
      <c r="N77" s="161" t="n">
        <f aca="false">('Modelo AHP'!$U$37*aux!P78)+('Modelo AHP'!$U$38*aux!R78)+('Modelo AHP'!$U$39*aux!S78)</f>
        <v>0.0118811971316239</v>
      </c>
      <c r="O77" s="162" t="n">
        <f aca="false">aux!U78</f>
        <v>0.00765775995690622</v>
      </c>
      <c r="P77" s="161" t="n">
        <f aca="false">('Modelo AHP'!$U$47*aux!V78)+('Modelo AHP'!$U$48*aux!W78)+('Modelo AHP'!$U$49*aux!X78)</f>
        <v>0.0115267936281477</v>
      </c>
      <c r="Q77" s="162" t="n">
        <f aca="false">aux!Z78</f>
        <v>0.00766140810619838</v>
      </c>
      <c r="R77" s="163" t="n">
        <f aca="false">('Modelo AHP'!$U$56*aux!AA78)+('Modelo AHP'!$U$57*aux!AB78)+('Modelo AHP'!$U$58*aux!AC78)+('Modelo AHP'!$U$59*aux!AD78)</f>
        <v>0.012024783106609</v>
      </c>
      <c r="S77" s="164" t="n">
        <f aca="false">('Modelo AHP'!$U$23*aux!AE78)+('Modelo AHP'!$U$24*aux!AF78)+('Modelo AHP'!$U$25*aux!AG78)+('Modelo AHP'!$U$26*aux!AH78)+('Modelo AHP'!$U$27*aux!AI78)</f>
        <v>0.0100938456243014</v>
      </c>
    </row>
    <row r="78" customFormat="false" ht="15" hidden="false" customHeight="false" outlineLevel="0" collapsed="false">
      <c r="A78" s="138" t="n">
        <f aca="false">_xlfn.RANK.EQ(S78,S$4:S$134)</f>
        <v>19</v>
      </c>
      <c r="B78" s="153" t="s">
        <v>207</v>
      </c>
      <c r="C78" s="154" t="s">
        <v>210</v>
      </c>
      <c r="D78" s="155" t="n">
        <v>0.139644103580508</v>
      </c>
      <c r="E78" s="156" t="n">
        <v>25440.2477533762</v>
      </c>
      <c r="F78" s="157" t="n">
        <v>10.86</v>
      </c>
      <c r="G78" s="158" t="n">
        <v>12.18</v>
      </c>
      <c r="H78" s="159" t="n">
        <v>0.0661265225089875</v>
      </c>
      <c r="I78" s="160" t="n">
        <v>50304.3</v>
      </c>
      <c r="J78" s="147" t="n">
        <v>0.0576889356479046</v>
      </c>
      <c r="K78" s="148" t="n">
        <v>1540</v>
      </c>
      <c r="L78" s="147" t="n">
        <v>0.0673926311393788</v>
      </c>
      <c r="M78" s="147" t="n">
        <v>0.0644336327345309</v>
      </c>
      <c r="N78" s="161" t="n">
        <f aca="false">('Modelo AHP'!$U$37*aux!P79)+('Modelo AHP'!$U$38*aux!R79)+('Modelo AHP'!$U$39*aux!S79)</f>
        <v>0.0119147381453053</v>
      </c>
      <c r="O78" s="162" t="n">
        <f aca="false">aux!U79</f>
        <v>0.00765714576486658</v>
      </c>
      <c r="P78" s="161" t="n">
        <f aca="false">('Modelo AHP'!$U$47*aux!V79)+('Modelo AHP'!$U$48*aux!W79)+('Modelo AHP'!$U$49*aux!X79)</f>
        <v>0.010451758564994</v>
      </c>
      <c r="Q78" s="162" t="n">
        <f aca="false">aux!Z79</f>
        <v>0.00766322109844595</v>
      </c>
      <c r="R78" s="163" t="n">
        <f aca="false">('Modelo AHP'!$U$56*aux!AA79)+('Modelo AHP'!$U$57*aux!AB79)+('Modelo AHP'!$U$58*aux!AC79)+('Modelo AHP'!$U$59*aux!AD79)</f>
        <v>0.012024783106609</v>
      </c>
      <c r="S78" s="164" t="n">
        <f aca="false">('Modelo AHP'!$U$23*aux!AE79)+('Modelo AHP'!$U$24*aux!AF79)+('Modelo AHP'!$U$25*aux!AG79)+('Modelo AHP'!$U$26*aux!AH79)+('Modelo AHP'!$U$27*aux!AI79)</f>
        <v>0.00973201408186233</v>
      </c>
    </row>
    <row r="79" customFormat="false" ht="15" hidden="false" customHeight="false" outlineLevel="0" collapsed="false">
      <c r="A79" s="138" t="n">
        <f aca="false">_xlfn.RANK.EQ(S79,S$4:S$134)</f>
        <v>13</v>
      </c>
      <c r="B79" s="153" t="s">
        <v>207</v>
      </c>
      <c r="C79" s="154" t="s">
        <v>211</v>
      </c>
      <c r="D79" s="155" t="n">
        <v>0.233346040217288</v>
      </c>
      <c r="E79" s="156" t="n">
        <v>25506.2488443106</v>
      </c>
      <c r="F79" s="157" t="n">
        <v>9.6</v>
      </c>
      <c r="G79" s="158" t="n">
        <v>11.08</v>
      </c>
      <c r="H79" s="159" t="n">
        <v>0.0661265225089875</v>
      </c>
      <c r="I79" s="160" t="n">
        <v>54512.7</v>
      </c>
      <c r="J79" s="147" t="n">
        <v>0.0576889356479046</v>
      </c>
      <c r="K79" s="148" t="n">
        <v>1540</v>
      </c>
      <c r="L79" s="147" t="n">
        <v>0.0673926311393788</v>
      </c>
      <c r="M79" s="147" t="n">
        <v>0.0644336327345309</v>
      </c>
      <c r="N79" s="161" t="n">
        <f aca="false">('Modelo AHP'!$U$37*aux!P80)+('Modelo AHP'!$U$38*aux!R80)+('Modelo AHP'!$U$39*aux!S80)</f>
        <v>0.014718479299445</v>
      </c>
      <c r="O79" s="162" t="n">
        <f aca="false">aux!U80</f>
        <v>0.00765705454226556</v>
      </c>
      <c r="P79" s="161" t="n">
        <f aca="false">('Modelo AHP'!$U$47*aux!V80)+('Modelo AHP'!$U$48*aux!W80)+('Modelo AHP'!$U$49*aux!X80)</f>
        <v>0.00983118262609666</v>
      </c>
      <c r="Q79" s="162" t="n">
        <f aca="false">aux!Z80</f>
        <v>0.00766078774738833</v>
      </c>
      <c r="R79" s="163" t="n">
        <f aca="false">('Modelo AHP'!$U$56*aux!AA80)+('Modelo AHP'!$U$57*aux!AB80)+('Modelo AHP'!$U$58*aux!AC80)+('Modelo AHP'!$U$59*aux!AD80)</f>
        <v>0.012024783106609</v>
      </c>
      <c r="S79" s="164" t="n">
        <f aca="false">('Modelo AHP'!$U$23*aux!AE80)+('Modelo AHP'!$U$24*aux!AF80)+('Modelo AHP'!$U$25*aux!AG80)+('Modelo AHP'!$U$26*aux!AH80)+('Modelo AHP'!$U$27*aux!AI80)</f>
        <v>0.00998763721863504</v>
      </c>
    </row>
    <row r="80" customFormat="false" ht="15" hidden="false" customHeight="false" outlineLevel="0" collapsed="false">
      <c r="A80" s="138" t="n">
        <f aca="false">_xlfn.RANK.EQ(S80,S$4:S$134)</f>
        <v>15</v>
      </c>
      <c r="B80" s="153" t="s">
        <v>207</v>
      </c>
      <c r="C80" s="154" t="s">
        <v>212</v>
      </c>
      <c r="D80" s="155" t="n">
        <v>0.222459768327762</v>
      </c>
      <c r="E80" s="156" t="n">
        <v>26358.1596933887</v>
      </c>
      <c r="F80" s="157" t="n">
        <v>8.84</v>
      </c>
      <c r="G80" s="158" t="n">
        <v>11.02</v>
      </c>
      <c r="H80" s="159" t="n">
        <v>0.0661265225089875</v>
      </c>
      <c r="I80" s="160" t="n">
        <v>51943.63</v>
      </c>
      <c r="J80" s="147" t="n">
        <v>0.0576889356479046</v>
      </c>
      <c r="K80" s="148" t="n">
        <v>1540</v>
      </c>
      <c r="L80" s="147" t="n">
        <v>0.0673926311393788</v>
      </c>
      <c r="M80" s="147" t="n">
        <v>0.0644336327345309</v>
      </c>
      <c r="N80" s="161" t="n">
        <f aca="false">('Modelo AHP'!$U$37*aux!P81)+('Modelo AHP'!$U$38*aux!R81)+('Modelo AHP'!$U$39*aux!S81)</f>
        <v>0.0140316810045087</v>
      </c>
      <c r="O80" s="162" t="n">
        <f aca="false">aux!U81</f>
        <v>0.00765587708409959</v>
      </c>
      <c r="P80" s="161" t="n">
        <f aca="false">('Modelo AHP'!$U$47*aux!V81)+('Modelo AHP'!$U$48*aux!W81)+('Modelo AHP'!$U$49*aux!X81)</f>
        <v>0.00967847396893161</v>
      </c>
      <c r="Q80" s="162" t="n">
        <f aca="false">aux!Z81</f>
        <v>0.00766227321673573</v>
      </c>
      <c r="R80" s="163" t="n">
        <f aca="false">('Modelo AHP'!$U$56*aux!AA81)+('Modelo AHP'!$U$57*aux!AB81)+('Modelo AHP'!$U$58*aux!AC81)+('Modelo AHP'!$U$59*aux!AD81)</f>
        <v>0.012024783106609</v>
      </c>
      <c r="S80" s="164" t="n">
        <f aca="false">('Modelo AHP'!$U$23*aux!AE81)+('Modelo AHP'!$U$24*aux!AF81)+('Modelo AHP'!$U$25*aux!AG81)+('Modelo AHP'!$U$26*aux!AH81)+('Modelo AHP'!$U$27*aux!AI81)</f>
        <v>0.00982056820984257</v>
      </c>
    </row>
    <row r="81" customFormat="false" ht="15" hidden="false" customHeight="false" outlineLevel="0" collapsed="false">
      <c r="A81" s="138" t="n">
        <f aca="false">_xlfn.RANK.EQ(S81,S$4:S$134)</f>
        <v>18</v>
      </c>
      <c r="B81" s="153" t="s">
        <v>207</v>
      </c>
      <c r="C81" s="154" t="s">
        <v>213</v>
      </c>
      <c r="D81" s="155" t="n">
        <v>0.179455355187267</v>
      </c>
      <c r="E81" s="156" t="n">
        <v>25498.3842078898</v>
      </c>
      <c r="F81" s="157" t="n">
        <v>9.24</v>
      </c>
      <c r="G81" s="158" t="n">
        <v>11.17</v>
      </c>
      <c r="H81" s="159" t="n">
        <v>0.0661265225089875</v>
      </c>
      <c r="I81" s="160" t="n">
        <v>42213.74</v>
      </c>
      <c r="J81" s="147" t="n">
        <v>0.0576889356479046</v>
      </c>
      <c r="K81" s="148" t="n">
        <v>1540</v>
      </c>
      <c r="L81" s="147" t="n">
        <v>0.0673926311393788</v>
      </c>
      <c r="M81" s="147" t="n">
        <v>0.0644336327345309</v>
      </c>
      <c r="N81" s="161" t="n">
        <f aca="false">('Modelo AHP'!$U$37*aux!P82)+('Modelo AHP'!$U$38*aux!R82)+('Modelo AHP'!$U$39*aux!S82)</f>
        <v>0.0135360740827223</v>
      </c>
      <c r="O81" s="162" t="n">
        <f aca="false">aux!U82</f>
        <v>0.00765706541227665</v>
      </c>
      <c r="P81" s="161" t="n">
        <f aca="false">('Modelo AHP'!$U$47*aux!V82)+('Modelo AHP'!$U$48*aux!W82)+('Modelo AHP'!$U$49*aux!X82)</f>
        <v>0.00980233207972749</v>
      </c>
      <c r="Q81" s="162" t="n">
        <f aca="false">aux!Z82</f>
        <v>0.00766789916439328</v>
      </c>
      <c r="R81" s="163" t="n">
        <f aca="false">('Modelo AHP'!$U$56*aux!AA82)+('Modelo AHP'!$U$57*aux!AB82)+('Modelo AHP'!$U$58*aux!AC82)+('Modelo AHP'!$U$59*aux!AD82)</f>
        <v>0.012024783106609</v>
      </c>
      <c r="S81" s="164" t="n">
        <f aca="false">('Modelo AHP'!$U$23*aux!AE82)+('Modelo AHP'!$U$24*aux!AF82)+('Modelo AHP'!$U$25*aux!AG82)+('Modelo AHP'!$U$26*aux!AH82)+('Modelo AHP'!$U$27*aux!AI82)</f>
        <v>0.00978099055294808</v>
      </c>
    </row>
    <row r="82" customFormat="false" ht="15" hidden="false" customHeight="false" outlineLevel="0" collapsed="false">
      <c r="A82" s="138" t="n">
        <f aca="false">_xlfn.RANK.EQ(S82,S$4:S$134)</f>
        <v>8</v>
      </c>
      <c r="B82" s="153" t="s">
        <v>207</v>
      </c>
      <c r="C82" s="154" t="s">
        <v>214</v>
      </c>
      <c r="D82" s="155" t="n">
        <v>0.291881854581326</v>
      </c>
      <c r="E82" s="156" t="n">
        <v>23173.8699772727</v>
      </c>
      <c r="F82" s="157" t="n">
        <v>9.48</v>
      </c>
      <c r="G82" s="158" t="n">
        <v>11.76</v>
      </c>
      <c r="H82" s="159" t="n">
        <v>0.0661265225089875</v>
      </c>
      <c r="I82" s="160" t="n">
        <v>44169.38</v>
      </c>
      <c r="J82" s="147" t="n">
        <v>0.0576889356479046</v>
      </c>
      <c r="K82" s="148" t="n">
        <v>1540</v>
      </c>
      <c r="L82" s="147" t="n">
        <v>0.0673926311393788</v>
      </c>
      <c r="M82" s="147" t="n">
        <v>0.0644336327345309</v>
      </c>
      <c r="N82" s="161" t="n">
        <f aca="false">('Modelo AHP'!$U$37*aux!P83)+('Modelo AHP'!$U$38*aux!R83)+('Modelo AHP'!$U$39*aux!S83)</f>
        <v>0.0173604344811844</v>
      </c>
      <c r="O82" s="162" t="n">
        <f aca="false">aux!U83</f>
        <v>0.00766027821120476</v>
      </c>
      <c r="P82" s="161" t="n">
        <f aca="false">('Modelo AHP'!$U$47*aux!V83)+('Modelo AHP'!$U$48*aux!W83)+('Modelo AHP'!$U$49*aux!X83)</f>
        <v>0.010060250842532</v>
      </c>
      <c r="Q82" s="162" t="n">
        <f aca="false">aux!Z83</f>
        <v>0.00766676838816898</v>
      </c>
      <c r="R82" s="163" t="n">
        <f aca="false">('Modelo AHP'!$U$56*aux!AA83)+('Modelo AHP'!$U$57*aux!AB83)+('Modelo AHP'!$U$58*aux!AC83)+('Modelo AHP'!$U$59*aux!AD83)</f>
        <v>0.012024783106609</v>
      </c>
      <c r="S82" s="164" t="n">
        <f aca="false">('Modelo AHP'!$U$23*aux!AE83)+('Modelo AHP'!$U$24*aux!AF83)+('Modelo AHP'!$U$25*aux!AG83)+('Modelo AHP'!$U$26*aux!AH83)+('Modelo AHP'!$U$27*aux!AI83)</f>
        <v>0.0105083077455388</v>
      </c>
    </row>
    <row r="83" customFormat="false" ht="15" hidden="false" customHeight="false" outlineLevel="0" collapsed="false">
      <c r="A83" s="138" t="n">
        <f aca="false">_xlfn.RANK.EQ(S83,S$4:S$134)</f>
        <v>2</v>
      </c>
      <c r="B83" s="153" t="s">
        <v>215</v>
      </c>
      <c r="C83" s="154" t="s">
        <v>216</v>
      </c>
      <c r="D83" s="155" t="n">
        <v>0.102571647148826</v>
      </c>
      <c r="E83" s="156" t="n">
        <v>22055.0909948959</v>
      </c>
      <c r="F83" s="157" t="n">
        <v>13.56</v>
      </c>
      <c r="G83" s="158" t="n">
        <v>14.68</v>
      </c>
      <c r="H83" s="159" t="n">
        <v>0.077258347536777</v>
      </c>
      <c r="I83" s="160" t="n">
        <v>43010.62</v>
      </c>
      <c r="J83" s="147" t="n">
        <v>0.102811385820329</v>
      </c>
      <c r="K83" s="148" t="n">
        <v>3327</v>
      </c>
      <c r="L83" s="147" t="n">
        <v>0.119045324596062</v>
      </c>
      <c r="M83" s="147" t="n">
        <v>0.1156125249501</v>
      </c>
      <c r="N83" s="161" t="n">
        <f aca="false">('Modelo AHP'!$U$37*aux!P84)+('Modelo AHP'!$U$38*aux!R84)+('Modelo AHP'!$U$39*aux!S84)</f>
        <v>0.0125442893088635</v>
      </c>
      <c r="O83" s="162" t="n">
        <f aca="false">aux!U84</f>
        <v>0.00766182451789887</v>
      </c>
      <c r="P83" s="161" t="n">
        <f aca="false">('Modelo AHP'!$U$47*aux!V84)+('Modelo AHP'!$U$48*aux!W84)+('Modelo AHP'!$U$49*aux!X84)</f>
        <v>0.012526220581245</v>
      </c>
      <c r="Q83" s="162" t="n">
        <f aca="false">aux!Z84</f>
        <v>0.0076674383981185</v>
      </c>
      <c r="R83" s="163" t="n">
        <f aca="false">('Modelo AHP'!$U$56*aux!AA84)+('Modelo AHP'!$U$57*aux!AB84)+('Modelo AHP'!$U$58*aux!AC84)+('Modelo AHP'!$U$59*aux!AD84)</f>
        <v>0.0241081267682152</v>
      </c>
      <c r="S83" s="164" t="n">
        <f aca="false">('Modelo AHP'!$U$23*aux!AE84)+('Modelo AHP'!$U$24*aux!AF84)+('Modelo AHP'!$U$25*aux!AG84)+('Modelo AHP'!$U$26*aux!AH84)+('Modelo AHP'!$U$27*aux!AI84)</f>
        <v>0.0116790271995754</v>
      </c>
    </row>
    <row r="84" customFormat="false" ht="15" hidden="false" customHeight="false" outlineLevel="0" collapsed="false">
      <c r="A84" s="138" t="n">
        <f aca="false">_xlfn.RANK.EQ(S84,S$4:S$134)</f>
        <v>1</v>
      </c>
      <c r="B84" s="153" t="s">
        <v>215</v>
      </c>
      <c r="C84" s="154" t="s">
        <v>217</v>
      </c>
      <c r="D84" s="155" t="n">
        <v>0.220006456900191</v>
      </c>
      <c r="E84" s="156" t="n">
        <v>21224.7913612672</v>
      </c>
      <c r="F84" s="157" t="n">
        <v>11.16</v>
      </c>
      <c r="G84" s="158" t="n">
        <v>14.13</v>
      </c>
      <c r="H84" s="159" t="n">
        <v>0.077258347536777</v>
      </c>
      <c r="I84" s="160" t="n">
        <v>45412.27</v>
      </c>
      <c r="J84" s="147" t="n">
        <v>0.102811385820329</v>
      </c>
      <c r="K84" s="148" t="n">
        <v>3327</v>
      </c>
      <c r="L84" s="147" t="n">
        <v>0.119045324596062</v>
      </c>
      <c r="M84" s="147" t="n">
        <v>0.1156125249501</v>
      </c>
      <c r="N84" s="161" t="n">
        <f aca="false">('Modelo AHP'!$U$37*aux!P85)+('Modelo AHP'!$U$38*aux!R85)+('Modelo AHP'!$U$39*aux!S85)</f>
        <v>0.0145730621828461</v>
      </c>
      <c r="O84" s="162" t="n">
        <f aca="false">aux!U85</f>
        <v>0.0076629721063876</v>
      </c>
      <c r="P84" s="161" t="n">
        <f aca="false">('Modelo AHP'!$U$47*aux!V85)+('Modelo AHP'!$U$48*aux!W85)+('Modelo AHP'!$U$49*aux!X85)</f>
        <v>0.0119115946438985</v>
      </c>
      <c r="Q84" s="162" t="n">
        <f aca="false">aux!Z85</f>
        <v>0.00766604973317041</v>
      </c>
      <c r="R84" s="163" t="n">
        <f aca="false">('Modelo AHP'!$U$56*aux!AA85)+('Modelo AHP'!$U$57*aux!AB85)+('Modelo AHP'!$U$58*aux!AC85)+('Modelo AHP'!$U$59*aux!AD85)</f>
        <v>0.0241081267682152</v>
      </c>
      <c r="S84" s="164" t="n">
        <f aca="false">('Modelo AHP'!$U$23*aux!AE85)+('Modelo AHP'!$U$24*aux!AF85)+('Modelo AHP'!$U$25*aux!AG85)+('Modelo AHP'!$U$26*aux!AH85)+('Modelo AHP'!$U$27*aux!AI85)</f>
        <v>0.0118078312374387</v>
      </c>
    </row>
    <row r="85" customFormat="false" ht="15" hidden="false" customHeight="false" outlineLevel="0" collapsed="false">
      <c r="A85" s="138" t="n">
        <f aca="false">_xlfn.RANK.EQ(S85,S$4:S$134)</f>
        <v>7</v>
      </c>
      <c r="B85" s="165" t="s">
        <v>215</v>
      </c>
      <c r="C85" s="166" t="s">
        <v>218</v>
      </c>
      <c r="D85" s="155" t="n">
        <v>0.096977488719151</v>
      </c>
      <c r="E85" s="167" t="n">
        <v>28754.3117819879</v>
      </c>
      <c r="F85" s="157" t="n">
        <v>9.7</v>
      </c>
      <c r="G85" s="158" t="n">
        <v>10.66</v>
      </c>
      <c r="H85" s="159" t="n">
        <v>0.077258347536777</v>
      </c>
      <c r="I85" s="168" t="n">
        <v>44166.15</v>
      </c>
      <c r="J85" s="147" t="n">
        <v>0.102811385820329</v>
      </c>
      <c r="K85" s="148" t="n">
        <v>3327</v>
      </c>
      <c r="L85" s="147" t="n">
        <v>0.119045324596062</v>
      </c>
      <c r="M85" s="147" t="n">
        <v>0.1156125249501</v>
      </c>
      <c r="N85" s="161" t="n">
        <f aca="false">('Modelo AHP'!$U$37*aux!P86)+('Modelo AHP'!$U$38*aux!R86)+('Modelo AHP'!$U$39*aux!S86)</f>
        <v>0.0101070214548302</v>
      </c>
      <c r="O85" s="162" t="n">
        <f aca="false">aux!U86</f>
        <v>0.0076525652717818</v>
      </c>
      <c r="P85" s="161" t="n">
        <f aca="false">('Modelo AHP'!$U$47*aux!V86)+('Modelo AHP'!$U$48*aux!W86)+('Modelo AHP'!$U$49*aux!X86)</f>
        <v>0.0103863477654626</v>
      </c>
      <c r="Q85" s="162" t="n">
        <f aca="false">aux!Z86</f>
        <v>0.00766677025579657</v>
      </c>
      <c r="R85" s="163" t="n">
        <f aca="false">('Modelo AHP'!$U$56*aux!AA86)+('Modelo AHP'!$U$57*aux!AB86)+('Modelo AHP'!$U$58*aux!AC86)+('Modelo AHP'!$U$59*aux!AD86)</f>
        <v>0.0241081267682152</v>
      </c>
      <c r="S85" s="164" t="n">
        <f aca="false">('Modelo AHP'!$U$23*aux!AE86)+('Modelo AHP'!$U$24*aux!AF86)+('Modelo AHP'!$U$25*aux!AG86)+('Modelo AHP'!$U$26*aux!AH86)+('Modelo AHP'!$U$27*aux!AI86)</f>
        <v>0.0105379968784524</v>
      </c>
    </row>
    <row r="86" customFormat="false" ht="15" hidden="false" customHeight="false" outlineLevel="0" collapsed="false">
      <c r="A86" s="138" t="n">
        <f aca="false">_xlfn.RANK.EQ(S86,S$4:S$134)</f>
        <v>6</v>
      </c>
      <c r="B86" s="165" t="s">
        <v>215</v>
      </c>
      <c r="C86" s="166" t="s">
        <v>219</v>
      </c>
      <c r="D86" s="155" t="n">
        <v>0.0742165242165242</v>
      </c>
      <c r="E86" s="167" t="n">
        <v>26632.0903675335</v>
      </c>
      <c r="F86" s="157" t="n">
        <v>10.87</v>
      </c>
      <c r="G86" s="158" t="n">
        <v>11.93</v>
      </c>
      <c r="H86" s="159" t="n">
        <v>0.077258347536777</v>
      </c>
      <c r="I86" s="168" t="n">
        <v>42372.63</v>
      </c>
      <c r="J86" s="147" t="n">
        <v>0.102811385820329</v>
      </c>
      <c r="K86" s="148" t="n">
        <v>3327</v>
      </c>
      <c r="L86" s="147" t="n">
        <v>0.119045324596062</v>
      </c>
      <c r="M86" s="147" t="n">
        <v>0.1156125249501</v>
      </c>
      <c r="N86" s="161" t="n">
        <f aca="false">('Modelo AHP'!$U$37*aux!P87)+('Modelo AHP'!$U$38*aux!R87)+('Modelo AHP'!$U$39*aux!S87)</f>
        <v>0.0104857934152029</v>
      </c>
      <c r="O86" s="162" t="n">
        <f aca="false">aux!U87</f>
        <v>0.00765549847416695</v>
      </c>
      <c r="P86" s="161" t="n">
        <f aca="false">('Modelo AHP'!$U$47*aux!V87)+('Modelo AHP'!$U$48*aux!W87)+('Modelo AHP'!$U$49*aux!X87)</f>
        <v>0.0110538742171841</v>
      </c>
      <c r="Q86" s="162" t="n">
        <f aca="false">aux!Z87</f>
        <v>0.00766780729214978</v>
      </c>
      <c r="R86" s="163" t="n">
        <f aca="false">('Modelo AHP'!$U$56*aux!AA87)+('Modelo AHP'!$U$57*aux!AB87)+('Modelo AHP'!$U$58*aux!AC87)+('Modelo AHP'!$U$59*aux!AD87)</f>
        <v>0.0241081267682152</v>
      </c>
      <c r="S86" s="164" t="n">
        <f aca="false">('Modelo AHP'!$U$23*aux!AE87)+('Modelo AHP'!$U$24*aux!AF87)+('Modelo AHP'!$U$25*aux!AG87)+('Modelo AHP'!$U$26*aux!AH87)+('Modelo AHP'!$U$27*aux!AI87)</f>
        <v>0.0108303434172253</v>
      </c>
    </row>
    <row r="87" customFormat="false" ht="15" hidden="false" customHeight="false" outlineLevel="0" collapsed="false">
      <c r="A87" s="138" t="n">
        <f aca="false">_xlfn.RANK.EQ(S87,S$4:S$134)</f>
        <v>4</v>
      </c>
      <c r="B87" s="165" t="s">
        <v>215</v>
      </c>
      <c r="C87" s="166" t="s">
        <v>220</v>
      </c>
      <c r="D87" s="155" t="n">
        <v>0.0975705890784005</v>
      </c>
      <c r="E87" s="167" t="n">
        <v>23824.7011850072</v>
      </c>
      <c r="F87" s="157" t="n">
        <v>12.19</v>
      </c>
      <c r="G87" s="158" t="n">
        <v>13.76</v>
      </c>
      <c r="H87" s="159" t="n">
        <v>0.077258347536777</v>
      </c>
      <c r="I87" s="168" t="n">
        <v>39888.36</v>
      </c>
      <c r="J87" s="147" t="n">
        <v>0.102811385820329</v>
      </c>
      <c r="K87" s="148" t="n">
        <v>3327</v>
      </c>
      <c r="L87" s="147" t="n">
        <v>0.119045324596062</v>
      </c>
      <c r="M87" s="147" t="n">
        <v>0.1156125249501</v>
      </c>
      <c r="N87" s="161" t="n">
        <f aca="false">('Modelo AHP'!$U$37*aux!P88)+('Modelo AHP'!$U$38*aux!R88)+('Modelo AHP'!$U$39*aux!S88)</f>
        <v>0.0117075516365523</v>
      </c>
      <c r="O87" s="162" t="n">
        <f aca="false">aux!U88</f>
        <v>0.00765937867280699</v>
      </c>
      <c r="P87" s="161" t="n">
        <f aca="false">('Modelo AHP'!$U$47*aux!V88)+('Modelo AHP'!$U$48*aux!W88)+('Modelo AHP'!$U$49*aux!X88)</f>
        <v>0.0119528283860034</v>
      </c>
      <c r="Q87" s="162" t="n">
        <f aca="false">aux!Z88</f>
        <v>0.00766924372904549</v>
      </c>
      <c r="R87" s="163" t="n">
        <f aca="false">('Modelo AHP'!$U$56*aux!AA88)+('Modelo AHP'!$U$57*aux!AB88)+('Modelo AHP'!$U$58*aux!AC88)+('Modelo AHP'!$U$59*aux!AD88)</f>
        <v>0.0241081267682152</v>
      </c>
      <c r="S87" s="164" t="n">
        <f aca="false">('Modelo AHP'!$U$23*aux!AE88)+('Modelo AHP'!$U$24*aux!AF88)+('Modelo AHP'!$U$25*aux!AG88)+('Modelo AHP'!$U$26*aux!AH88)+('Modelo AHP'!$U$27*aux!AI88)</f>
        <v>0.0113427920125937</v>
      </c>
    </row>
    <row r="88" customFormat="false" ht="15" hidden="false" customHeight="false" outlineLevel="0" collapsed="false">
      <c r="A88" s="138" t="n">
        <f aca="false">_xlfn.RANK.EQ(S88,S$4:S$134)</f>
        <v>5</v>
      </c>
      <c r="B88" s="165" t="s">
        <v>215</v>
      </c>
      <c r="C88" s="166" t="s">
        <v>221</v>
      </c>
      <c r="D88" s="155" t="n">
        <v>0.153401521337402</v>
      </c>
      <c r="E88" s="167" t="n">
        <v>24872.5386984291</v>
      </c>
      <c r="F88" s="157" t="n">
        <v>11.28</v>
      </c>
      <c r="G88" s="158" t="n">
        <v>12.91</v>
      </c>
      <c r="H88" s="159" t="n">
        <v>0.077258347536777</v>
      </c>
      <c r="I88" s="168" t="n">
        <v>46440.28</v>
      </c>
      <c r="J88" s="147" t="n">
        <v>0.102811385820329</v>
      </c>
      <c r="K88" s="148" t="n">
        <v>3327</v>
      </c>
      <c r="L88" s="147" t="n">
        <v>0.119045324596062</v>
      </c>
      <c r="M88" s="147" t="n">
        <v>0.1156125249501</v>
      </c>
      <c r="N88" s="161" t="n">
        <f aca="false">('Modelo AHP'!$U$37*aux!P89)+('Modelo AHP'!$U$38*aux!R89)+('Modelo AHP'!$U$39*aux!S89)</f>
        <v>0.0123355579324783</v>
      </c>
      <c r="O88" s="162" t="n">
        <f aca="false">aux!U89</f>
        <v>0.00765793041699698</v>
      </c>
      <c r="P88" s="161" t="n">
        <f aca="false">('Modelo AHP'!$U$47*aux!V89)+('Modelo AHP'!$U$48*aux!W89)+('Modelo AHP'!$U$49*aux!X89)</f>
        <v>0.0114842342194302</v>
      </c>
      <c r="Q88" s="162" t="n">
        <f aca="false">aux!Z89</f>
        <v>0.00766545532455413</v>
      </c>
      <c r="R88" s="163" t="n">
        <f aca="false">('Modelo AHP'!$U$56*aux!AA89)+('Modelo AHP'!$U$57*aux!AB89)+('Modelo AHP'!$U$58*aux!AC89)+('Modelo AHP'!$U$59*aux!AD89)</f>
        <v>0.0241081267682152</v>
      </c>
      <c r="S88" s="164" t="n">
        <f aca="false">('Modelo AHP'!$U$23*aux!AE89)+('Modelo AHP'!$U$24*aux!AF89)+('Modelo AHP'!$U$25*aux!AG89)+('Modelo AHP'!$U$26*aux!AH89)+('Modelo AHP'!$U$27*aux!AI89)</f>
        <v>0.011286714191743</v>
      </c>
    </row>
    <row r="89" customFormat="false" ht="15" hidden="false" customHeight="false" outlineLevel="0" collapsed="false">
      <c r="A89" s="138" t="n">
        <f aca="false">_xlfn.RANK.EQ(S89,S$4:S$134)</f>
        <v>51</v>
      </c>
      <c r="B89" s="165" t="s">
        <v>222</v>
      </c>
      <c r="C89" s="166" t="s">
        <v>223</v>
      </c>
      <c r="D89" s="155" t="n">
        <v>0.05065521418346</v>
      </c>
      <c r="E89" s="167" t="n">
        <v>34024.5241388975</v>
      </c>
      <c r="F89" s="157" t="n">
        <v>10.24</v>
      </c>
      <c r="G89" s="158" t="n">
        <v>10.2</v>
      </c>
      <c r="H89" s="159" t="n">
        <v>0.0571078097314979</v>
      </c>
      <c r="I89" s="168" t="n">
        <v>98890.1</v>
      </c>
      <c r="J89" s="147" t="n">
        <v>0.0391606756677772</v>
      </c>
      <c r="K89" s="148" t="n">
        <v>520</v>
      </c>
      <c r="L89" s="147" t="n">
        <v>0.0372940156114484</v>
      </c>
      <c r="M89" s="147" t="n">
        <v>0.0434443612774451</v>
      </c>
      <c r="N89" s="161" t="n">
        <f aca="false">('Modelo AHP'!$U$37*aux!P90)+('Modelo AHP'!$U$38*aux!R90)+('Modelo AHP'!$U$39*aux!S90)</f>
        <v>0.00789554017043979</v>
      </c>
      <c r="O89" s="162" t="n">
        <f aca="false">aux!U90</f>
        <v>0.00764528111219777</v>
      </c>
      <c r="P89" s="161" t="n">
        <f aca="false">('Modelo AHP'!$U$47*aux!V90)+('Modelo AHP'!$U$48*aux!W90)+('Modelo AHP'!$U$49*aux!X90)</f>
        <v>0.00905728206116414</v>
      </c>
      <c r="Q89" s="162" t="n">
        <f aca="false">aux!Z90</f>
        <v>0.00763512816340764</v>
      </c>
      <c r="R89" s="163" t="n">
        <f aca="false">('Modelo AHP'!$U$56*aux!AA90)+('Modelo AHP'!$U$57*aux!AB90)+('Modelo AHP'!$U$58*aux!AC90)+('Modelo AHP'!$U$59*aux!AD90)</f>
        <v>0.0054456690266313</v>
      </c>
      <c r="S89" s="164" t="n">
        <f aca="false">('Modelo AHP'!$U$23*aux!AE90)+('Modelo AHP'!$U$24*aux!AF90)+('Modelo AHP'!$U$25*aux!AG90)+('Modelo AHP'!$U$26*aux!AH90)+('Modelo AHP'!$U$27*aux!AI90)</f>
        <v>0.00796287476091899</v>
      </c>
    </row>
    <row r="90" customFormat="false" ht="15" hidden="false" customHeight="false" outlineLevel="0" collapsed="false">
      <c r="A90" s="138" t="n">
        <f aca="false">_xlfn.RANK.EQ(S90,S$4:S$134)</f>
        <v>72</v>
      </c>
      <c r="B90" s="165" t="s">
        <v>222</v>
      </c>
      <c r="C90" s="166" t="s">
        <v>224</v>
      </c>
      <c r="D90" s="155" t="n">
        <v>0.0192854884603225</v>
      </c>
      <c r="E90" s="167" t="n">
        <v>45040.7301922175</v>
      </c>
      <c r="F90" s="157" t="n">
        <v>8.38</v>
      </c>
      <c r="G90" s="158" t="n">
        <v>9.24</v>
      </c>
      <c r="H90" s="159" t="n">
        <v>0.0571078097314979</v>
      </c>
      <c r="I90" s="168" t="n">
        <v>96989.93</v>
      </c>
      <c r="J90" s="147" t="n">
        <v>0.0391606756677772</v>
      </c>
      <c r="K90" s="148" t="n">
        <v>520</v>
      </c>
      <c r="L90" s="147" t="n">
        <v>0.0372940156114484</v>
      </c>
      <c r="M90" s="147" t="n">
        <v>0.0434443612774451</v>
      </c>
      <c r="N90" s="161" t="n">
        <f aca="false">('Modelo AHP'!$U$37*aux!P91)+('Modelo AHP'!$U$38*aux!R91)+('Modelo AHP'!$U$39*aux!S91)</f>
        <v>0.00486849344371197</v>
      </c>
      <c r="O90" s="162" t="n">
        <f aca="false">aux!U91</f>
        <v>0.00763005519766744</v>
      </c>
      <c r="P90" s="161" t="n">
        <f aca="false">('Modelo AHP'!$U$47*aux!V91)+('Modelo AHP'!$U$48*aux!W91)+('Modelo AHP'!$U$49*aux!X91)</f>
        <v>0.00838494980039165</v>
      </c>
      <c r="Q90" s="162" t="n">
        <f aca="false">aux!Z91</f>
        <v>0.00763622686616383</v>
      </c>
      <c r="R90" s="163" t="n">
        <f aca="false">('Modelo AHP'!$U$56*aux!AA91)+('Modelo AHP'!$U$57*aux!AB91)+('Modelo AHP'!$U$58*aux!AC91)+('Modelo AHP'!$U$59*aux!AD91)</f>
        <v>0.0054456690266313</v>
      </c>
      <c r="S90" s="164" t="n">
        <f aca="false">('Modelo AHP'!$U$23*aux!AE91)+('Modelo AHP'!$U$24*aux!AF91)+('Modelo AHP'!$U$25*aux!AG91)+('Modelo AHP'!$U$26*aux!AH91)+('Modelo AHP'!$U$27*aux!AI91)</f>
        <v>0.00722312339822958</v>
      </c>
    </row>
    <row r="91" customFormat="false" ht="15" hidden="false" customHeight="false" outlineLevel="0" collapsed="false">
      <c r="A91" s="138" t="n">
        <f aca="false">_xlfn.RANK.EQ(S91,S$4:S$134)</f>
        <v>64</v>
      </c>
      <c r="B91" s="165" t="s">
        <v>222</v>
      </c>
      <c r="C91" s="166" t="s">
        <v>225</v>
      </c>
      <c r="D91" s="155" t="n">
        <v>0.0365622032288699</v>
      </c>
      <c r="E91" s="167" t="n">
        <v>40428.4098530513</v>
      </c>
      <c r="F91" s="157" t="n">
        <v>7.71</v>
      </c>
      <c r="G91" s="158" t="n">
        <v>8.79</v>
      </c>
      <c r="H91" s="159" t="n">
        <v>0.0571078097314979</v>
      </c>
      <c r="I91" s="168" t="n">
        <v>81953.86</v>
      </c>
      <c r="J91" s="147" t="n">
        <v>0.0391606756677772</v>
      </c>
      <c r="K91" s="148" t="n">
        <v>520</v>
      </c>
      <c r="L91" s="147" t="n">
        <v>0.0372940156114484</v>
      </c>
      <c r="M91" s="147" t="n">
        <v>0.0434443612774451</v>
      </c>
      <c r="N91" s="161" t="n">
        <f aca="false">('Modelo AHP'!$U$37*aux!P92)+('Modelo AHP'!$U$38*aux!R92)+('Modelo AHP'!$U$39*aux!S92)</f>
        <v>0.00648199427296364</v>
      </c>
      <c r="O91" s="162" t="n">
        <f aca="false">aux!U92</f>
        <v>0.00763643005984147</v>
      </c>
      <c r="P91" s="161" t="n">
        <f aca="false">('Modelo AHP'!$U$47*aux!V92)+('Modelo AHP'!$U$48*aux!W92)+('Modelo AHP'!$U$49*aux!X92)</f>
        <v>0.00810450491601859</v>
      </c>
      <c r="Q91" s="162" t="n">
        <f aca="false">aux!Z92</f>
        <v>0.00764492091540747</v>
      </c>
      <c r="R91" s="163" t="n">
        <f aca="false">('Modelo AHP'!$U$56*aux!AA92)+('Modelo AHP'!$U$57*aux!AB92)+('Modelo AHP'!$U$58*aux!AC92)+('Modelo AHP'!$U$59*aux!AD92)</f>
        <v>0.0054456690266313</v>
      </c>
      <c r="S91" s="164" t="n">
        <f aca="false">('Modelo AHP'!$U$23*aux!AE92)+('Modelo AHP'!$U$24*aux!AF92)+('Modelo AHP'!$U$25*aux!AG92)+('Modelo AHP'!$U$26*aux!AH92)+('Modelo AHP'!$U$27*aux!AI92)</f>
        <v>0.00739926719384283</v>
      </c>
    </row>
    <row r="92" customFormat="false" ht="15" hidden="false" customHeight="false" outlineLevel="0" collapsed="false">
      <c r="A92" s="138" t="n">
        <f aca="false">_xlfn.RANK.EQ(S92,S$4:S$134)</f>
        <v>50</v>
      </c>
      <c r="B92" s="165" t="s">
        <v>222</v>
      </c>
      <c r="C92" s="166" t="s">
        <v>226</v>
      </c>
      <c r="D92" s="155" t="n">
        <v>0.0566537140282705</v>
      </c>
      <c r="E92" s="167" t="n">
        <v>35438.8711740488</v>
      </c>
      <c r="F92" s="157" t="n">
        <v>9.62</v>
      </c>
      <c r="G92" s="158" t="n">
        <v>10.73</v>
      </c>
      <c r="H92" s="159" t="n">
        <v>0.0571078097314979</v>
      </c>
      <c r="I92" s="168" t="n">
        <v>87817.15</v>
      </c>
      <c r="J92" s="147" t="n">
        <v>0.0391606756677772</v>
      </c>
      <c r="K92" s="148" t="n">
        <v>520</v>
      </c>
      <c r="L92" s="147" t="n">
        <v>0.0372940156114484</v>
      </c>
      <c r="M92" s="147" t="n">
        <v>0.0434443612774451</v>
      </c>
      <c r="N92" s="161" t="n">
        <f aca="false">('Modelo AHP'!$U$37*aux!P93)+('Modelo AHP'!$U$38*aux!R93)+('Modelo AHP'!$U$39*aux!S93)</f>
        <v>0.00777785711642022</v>
      </c>
      <c r="O92" s="162" t="n">
        <f aca="false">aux!U93</f>
        <v>0.00764332628973265</v>
      </c>
      <c r="P92" s="161" t="n">
        <f aca="false">('Modelo AHP'!$U$47*aux!V93)+('Modelo AHP'!$U$48*aux!W93)+('Modelo AHP'!$U$49*aux!X93)</f>
        <v>0.0091452979313291</v>
      </c>
      <c r="Q92" s="162" t="n">
        <f aca="false">aux!Z93</f>
        <v>0.00764153068564732</v>
      </c>
      <c r="R92" s="163" t="n">
        <f aca="false">('Modelo AHP'!$U$56*aux!AA93)+('Modelo AHP'!$U$57*aux!AB93)+('Modelo AHP'!$U$58*aux!AC93)+('Modelo AHP'!$U$59*aux!AD93)</f>
        <v>0.0054456690266313</v>
      </c>
      <c r="S92" s="164" t="n">
        <f aca="false">('Modelo AHP'!$U$23*aux!AE93)+('Modelo AHP'!$U$24*aux!AF93)+('Modelo AHP'!$U$25*aux!AG93)+('Modelo AHP'!$U$26*aux!AH93)+('Modelo AHP'!$U$27*aux!AI93)</f>
        <v>0.00797316301438885</v>
      </c>
    </row>
    <row r="93" customFormat="false" ht="15" hidden="false" customHeight="false" outlineLevel="0" collapsed="false">
      <c r="A93" s="138" t="n">
        <f aca="false">_xlfn.RANK.EQ(S93,S$4:S$134)</f>
        <v>40</v>
      </c>
      <c r="B93" s="165" t="s">
        <v>222</v>
      </c>
      <c r="C93" s="166" t="s">
        <v>227</v>
      </c>
      <c r="D93" s="155" t="n">
        <v>0.0853745118920838</v>
      </c>
      <c r="E93" s="167" t="n">
        <v>28013.7068747194</v>
      </c>
      <c r="F93" s="157" t="n">
        <v>9.92</v>
      </c>
      <c r="G93" s="158" t="n">
        <v>11.84</v>
      </c>
      <c r="H93" s="159" t="n">
        <v>0.0571078097314979</v>
      </c>
      <c r="I93" s="168" t="n">
        <v>72379.86</v>
      </c>
      <c r="J93" s="147" t="n">
        <v>0.0391606756677772</v>
      </c>
      <c r="K93" s="148" t="n">
        <v>520</v>
      </c>
      <c r="L93" s="147" t="n">
        <v>0.0372940156114484</v>
      </c>
      <c r="M93" s="147" t="n">
        <v>0.0434443612774451</v>
      </c>
      <c r="N93" s="161" t="n">
        <f aca="false">('Modelo AHP'!$U$37*aux!P94)+('Modelo AHP'!$U$38*aux!R94)+('Modelo AHP'!$U$39*aux!S94)</f>
        <v>0.00966604292612756</v>
      </c>
      <c r="O93" s="162" t="n">
        <f aca="false">aux!U94</f>
        <v>0.00765358888980095</v>
      </c>
      <c r="P93" s="161" t="n">
        <f aca="false">('Modelo AHP'!$U$47*aux!V94)+('Modelo AHP'!$U$48*aux!W94)+('Modelo AHP'!$U$49*aux!X94)</f>
        <v>0.00960448128759825</v>
      </c>
      <c r="Q93" s="162" t="n">
        <f aca="false">aux!Z94</f>
        <v>0.00765045672546014</v>
      </c>
      <c r="R93" s="163" t="n">
        <f aca="false">('Modelo AHP'!$U$56*aux!AA94)+('Modelo AHP'!$U$57*aux!AB94)+('Modelo AHP'!$U$58*aux!AC94)+('Modelo AHP'!$U$59*aux!AD94)</f>
        <v>0.0054456690266313</v>
      </c>
      <c r="S93" s="164" t="n">
        <f aca="false">('Modelo AHP'!$U$23*aux!AE94)+('Modelo AHP'!$U$24*aux!AF94)+('Modelo AHP'!$U$25*aux!AG94)+('Modelo AHP'!$U$26*aux!AH94)+('Modelo AHP'!$U$27*aux!AI94)</f>
        <v>0.00844916928509827</v>
      </c>
    </row>
    <row r="94" customFormat="false" ht="15" hidden="false" customHeight="false" outlineLevel="0" collapsed="false">
      <c r="A94" s="138" t="n">
        <f aca="false">_xlfn.RANK.EQ(S94,S$4:S$134)</f>
        <v>52</v>
      </c>
      <c r="B94" s="165" t="s">
        <v>222</v>
      </c>
      <c r="C94" s="166" t="s">
        <v>228</v>
      </c>
      <c r="D94" s="155" t="n">
        <v>0.0662424927157043</v>
      </c>
      <c r="E94" s="167" t="n">
        <v>29156.1159960856</v>
      </c>
      <c r="F94" s="157" t="n">
        <v>8.8</v>
      </c>
      <c r="G94" s="158" t="n">
        <v>9.86</v>
      </c>
      <c r="H94" s="159" t="n">
        <v>0.0571078097314979</v>
      </c>
      <c r="I94" s="168" t="n">
        <v>74639.28</v>
      </c>
      <c r="J94" s="147" t="n">
        <v>0.0391606756677772</v>
      </c>
      <c r="K94" s="148" t="n">
        <v>520</v>
      </c>
      <c r="L94" s="147" t="n">
        <v>0.0372940156114484</v>
      </c>
      <c r="M94" s="147" t="n">
        <v>0.0434443612774451</v>
      </c>
      <c r="N94" s="161" t="n">
        <f aca="false">('Modelo AHP'!$U$37*aux!P95)+('Modelo AHP'!$U$38*aux!R95)+('Modelo AHP'!$U$39*aux!S95)</f>
        <v>0.00850347069236009</v>
      </c>
      <c r="O94" s="162" t="n">
        <f aca="false">aux!U95</f>
        <v>0.00765200992299909</v>
      </c>
      <c r="P94" s="161" t="n">
        <f aca="false">('Modelo AHP'!$U$47*aux!V95)+('Modelo AHP'!$U$48*aux!W95)+('Modelo AHP'!$U$49*aux!X95)</f>
        <v>0.00868483442082974</v>
      </c>
      <c r="Q94" s="162" t="n">
        <f aca="false">aux!Z95</f>
        <v>0.00764915029972907</v>
      </c>
      <c r="R94" s="163" t="n">
        <f aca="false">('Modelo AHP'!$U$56*aux!AA95)+('Modelo AHP'!$U$57*aux!AB95)+('Modelo AHP'!$U$58*aux!AC95)+('Modelo AHP'!$U$59*aux!AD95)</f>
        <v>0.0054456690266313</v>
      </c>
      <c r="S94" s="164" t="n">
        <f aca="false">('Modelo AHP'!$U$23*aux!AE95)+('Modelo AHP'!$U$24*aux!AF95)+('Modelo AHP'!$U$25*aux!AG95)+('Modelo AHP'!$U$26*aux!AH95)+('Modelo AHP'!$U$27*aux!AI95)</f>
        <v>0.00794027890470963</v>
      </c>
    </row>
    <row r="95" customFormat="false" ht="15" hidden="false" customHeight="false" outlineLevel="0" collapsed="false">
      <c r="A95" s="138" t="n">
        <f aca="false">_xlfn.RANK.EQ(S95,S$4:S$134)</f>
        <v>43</v>
      </c>
      <c r="B95" s="165" t="s">
        <v>229</v>
      </c>
      <c r="C95" s="166" t="s">
        <v>230</v>
      </c>
      <c r="D95" s="155" t="n">
        <v>0.114527479892761</v>
      </c>
      <c r="E95" s="167" t="n">
        <v>28196.6239385058</v>
      </c>
      <c r="F95" s="157" t="n">
        <v>8.43</v>
      </c>
      <c r="G95" s="158" t="n">
        <v>10.82</v>
      </c>
      <c r="H95" s="159" t="n">
        <v>0.0464707450449217</v>
      </c>
      <c r="I95" s="168" t="n">
        <v>69508.26</v>
      </c>
      <c r="J95" s="147" t="n">
        <v>0.0730609620667485</v>
      </c>
      <c r="K95" s="148" t="n">
        <v>596</v>
      </c>
      <c r="L95" s="147" t="n">
        <v>0.0646622337862581</v>
      </c>
      <c r="M95" s="147" t="n">
        <v>0.0753804890219561</v>
      </c>
      <c r="N95" s="161" t="n">
        <f aca="false">('Modelo AHP'!$U$37*aux!P96)+('Modelo AHP'!$U$38*aux!R96)+('Modelo AHP'!$U$39*aux!S96)</f>
        <v>0.0100333150033143</v>
      </c>
      <c r="O95" s="162" t="n">
        <f aca="false">aux!U96</f>
        <v>0.00765333607321728</v>
      </c>
      <c r="P95" s="161" t="n">
        <f aca="false">('Modelo AHP'!$U$47*aux!V96)+('Modelo AHP'!$U$48*aux!W96)+('Modelo AHP'!$U$49*aux!X96)</f>
        <v>0.00831230219827111</v>
      </c>
      <c r="Q95" s="162" t="n">
        <f aca="false">aux!Z96</f>
        <v>0.00765211712154821</v>
      </c>
      <c r="R95" s="163" t="n">
        <f aca="false">('Modelo AHP'!$U$56*aux!AA96)+('Modelo AHP'!$U$57*aux!AB96)+('Modelo AHP'!$U$58*aux!AC96)+('Modelo AHP'!$U$59*aux!AD96)</f>
        <v>0.00815726356279664</v>
      </c>
      <c r="S95" s="164" t="n">
        <f aca="false">('Modelo AHP'!$U$23*aux!AE96)+('Modelo AHP'!$U$24*aux!AF96)+('Modelo AHP'!$U$25*aux!AG96)+('Modelo AHP'!$U$26*aux!AH96)+('Modelo AHP'!$U$27*aux!AI96)</f>
        <v>0.008322789844905</v>
      </c>
    </row>
    <row r="96" customFormat="false" ht="15" hidden="false" customHeight="false" outlineLevel="0" collapsed="false">
      <c r="A96" s="138" t="n">
        <f aca="false">_xlfn.RANK.EQ(S96,S$4:S$134)</f>
        <v>46</v>
      </c>
      <c r="B96" s="165" t="s">
        <v>229</v>
      </c>
      <c r="C96" s="166" t="s">
        <v>231</v>
      </c>
      <c r="D96" s="155" t="n">
        <v>0.119391759319817</v>
      </c>
      <c r="E96" s="167" t="n">
        <v>30038.9555432669</v>
      </c>
      <c r="F96" s="157" t="n">
        <v>8.18</v>
      </c>
      <c r="G96" s="158" t="n">
        <v>9.95</v>
      </c>
      <c r="H96" s="159" t="n">
        <v>0.0464707450449217</v>
      </c>
      <c r="I96" s="168" t="n">
        <v>70105.52</v>
      </c>
      <c r="J96" s="147" t="n">
        <v>0.0730609620667485</v>
      </c>
      <c r="K96" s="148" t="n">
        <v>596</v>
      </c>
      <c r="L96" s="147" t="n">
        <v>0.0646622337862581</v>
      </c>
      <c r="M96" s="147" t="n">
        <v>0.0753804890219561</v>
      </c>
      <c r="N96" s="161" t="n">
        <f aca="false">('Modelo AHP'!$U$37*aux!P97)+('Modelo AHP'!$U$38*aux!R97)+('Modelo AHP'!$U$39*aux!S97)</f>
        <v>0.0102886398489101</v>
      </c>
      <c r="O96" s="162" t="n">
        <f aca="false">aux!U97</f>
        <v>0.00765078971711112</v>
      </c>
      <c r="P96" s="161" t="n">
        <f aca="false">('Modelo AHP'!$U$47*aux!V97)+('Modelo AHP'!$U$48*aux!W97)+('Modelo AHP'!$U$49*aux!X97)</f>
        <v>0.00794984582997612</v>
      </c>
      <c r="Q96" s="162" t="n">
        <f aca="false">aux!Z97</f>
        <v>0.00765177177812727</v>
      </c>
      <c r="R96" s="163" t="n">
        <f aca="false">('Modelo AHP'!$U$56*aux!AA97)+('Modelo AHP'!$U$57*aux!AB97)+('Modelo AHP'!$U$58*aux!AC97)+('Modelo AHP'!$U$59*aux!AD97)</f>
        <v>0.00815726356279664</v>
      </c>
      <c r="S96" s="164" t="n">
        <f aca="false">('Modelo AHP'!$U$23*aux!AE97)+('Modelo AHP'!$U$24*aux!AF97)+('Modelo AHP'!$U$25*aux!AG97)+('Modelo AHP'!$U$26*aux!AH97)+('Modelo AHP'!$U$27*aux!AI97)</f>
        <v>0.00824069159880532</v>
      </c>
    </row>
    <row r="97" customFormat="false" ht="15" hidden="false" customHeight="false" outlineLevel="0" collapsed="false">
      <c r="A97" s="138" t="n">
        <f aca="false">_xlfn.RANK.EQ(S97,S$4:S$134)</f>
        <v>45</v>
      </c>
      <c r="B97" s="165" t="s">
        <v>229</v>
      </c>
      <c r="C97" s="166" t="s">
        <v>232</v>
      </c>
      <c r="D97" s="155" t="n">
        <v>0.13387765149961</v>
      </c>
      <c r="E97" s="167" t="n">
        <v>30421.5557167099</v>
      </c>
      <c r="F97" s="157" t="n">
        <v>8.21</v>
      </c>
      <c r="G97" s="158" t="n">
        <v>10.76</v>
      </c>
      <c r="H97" s="159" t="n">
        <v>0.0464707450449217</v>
      </c>
      <c r="I97" s="168" t="n">
        <v>78617.45</v>
      </c>
      <c r="J97" s="147" t="n">
        <v>0.0730609620667485</v>
      </c>
      <c r="K97" s="148" t="n">
        <v>596</v>
      </c>
      <c r="L97" s="147" t="n">
        <v>0.0646622337862581</v>
      </c>
      <c r="M97" s="147" t="n">
        <v>0.0753804890219561</v>
      </c>
      <c r="N97" s="161" t="n">
        <f aca="false">('Modelo AHP'!$U$37*aux!P98)+('Modelo AHP'!$U$38*aux!R98)+('Modelo AHP'!$U$39*aux!S98)</f>
        <v>0.00985264611902382</v>
      </c>
      <c r="O97" s="162" t="n">
        <f aca="false">aux!U98</f>
        <v>0.00765026091095845</v>
      </c>
      <c r="P97" s="161" t="n">
        <f aca="false">('Modelo AHP'!$U$47*aux!V98)+('Modelo AHP'!$U$48*aux!W98)+('Modelo AHP'!$U$49*aux!X98)</f>
        <v>0.00825244241266809</v>
      </c>
      <c r="Q97" s="162" t="n">
        <f aca="false">aux!Z98</f>
        <v>0.00764685007062136</v>
      </c>
      <c r="R97" s="163" t="n">
        <f aca="false">('Modelo AHP'!$U$56*aux!AA98)+('Modelo AHP'!$U$57*aux!AB98)+('Modelo AHP'!$U$58*aux!AC98)+('Modelo AHP'!$U$59*aux!AD98)</f>
        <v>0.00815726356279664</v>
      </c>
      <c r="S97" s="164" t="n">
        <f aca="false">('Modelo AHP'!$U$23*aux!AE98)+('Modelo AHP'!$U$24*aux!AF98)+('Modelo AHP'!$U$25*aux!AG98)+('Modelo AHP'!$U$26*aux!AH98)+('Modelo AHP'!$U$27*aux!AI98)</f>
        <v>0.00827079536590433</v>
      </c>
    </row>
    <row r="98" customFormat="false" ht="15" hidden="false" customHeight="false" outlineLevel="0" collapsed="false">
      <c r="A98" s="138" t="n">
        <f aca="false">_xlfn.RANK.EQ(S98,S$4:S$134)</f>
        <v>55</v>
      </c>
      <c r="B98" s="165" t="s">
        <v>229</v>
      </c>
      <c r="C98" s="166" t="s">
        <v>233</v>
      </c>
      <c r="D98" s="155" t="n">
        <v>0.0872951016680286</v>
      </c>
      <c r="E98" s="167" t="n">
        <v>34263.2416840776</v>
      </c>
      <c r="F98" s="157" t="n">
        <v>7.71</v>
      </c>
      <c r="G98" s="158" t="n">
        <v>9.43</v>
      </c>
      <c r="H98" s="159" t="n">
        <v>0.0464707450449217</v>
      </c>
      <c r="I98" s="168" t="n">
        <v>84627.53</v>
      </c>
      <c r="J98" s="147" t="n">
        <v>0.0730609620667485</v>
      </c>
      <c r="K98" s="148" t="n">
        <v>596</v>
      </c>
      <c r="L98" s="147" t="n">
        <v>0.0646622337862581</v>
      </c>
      <c r="M98" s="147" t="n">
        <v>0.0753804890219561</v>
      </c>
      <c r="N98" s="161" t="n">
        <f aca="false">('Modelo AHP'!$U$37*aux!P99)+('Modelo AHP'!$U$38*aux!R99)+('Modelo AHP'!$U$39*aux!S99)</f>
        <v>0.00760138475353361</v>
      </c>
      <c r="O98" s="162" t="n">
        <f aca="false">aux!U99</f>
        <v>0.00764495117166087</v>
      </c>
      <c r="P98" s="161" t="n">
        <f aca="false">('Modelo AHP'!$U$47*aux!V99)+('Modelo AHP'!$U$48*aux!W99)+('Modelo AHP'!$U$49*aux!X99)</f>
        <v>0.00767808487106619</v>
      </c>
      <c r="Q98" s="162" t="n">
        <f aca="false">aux!Z99</f>
        <v>0.00764337496499348</v>
      </c>
      <c r="R98" s="163" t="n">
        <f aca="false">('Modelo AHP'!$U$56*aux!AA99)+('Modelo AHP'!$U$57*aux!AB99)+('Modelo AHP'!$U$58*aux!AC99)+('Modelo AHP'!$U$59*aux!AD99)</f>
        <v>0.00815726356279664</v>
      </c>
      <c r="S98" s="164" t="n">
        <f aca="false">('Modelo AHP'!$U$23*aux!AE99)+('Modelo AHP'!$U$24*aux!AF99)+('Modelo AHP'!$U$25*aux!AG99)+('Modelo AHP'!$U$26*aux!AH99)+('Modelo AHP'!$U$27*aux!AI99)</f>
        <v>0.00769684680185131</v>
      </c>
    </row>
    <row r="99" customFormat="false" ht="15" hidden="false" customHeight="false" outlineLevel="0" collapsed="false">
      <c r="A99" s="138" t="n">
        <f aca="false">_xlfn.RANK.EQ(S99,S$4:S$134)</f>
        <v>62</v>
      </c>
      <c r="B99" s="165" t="s">
        <v>229</v>
      </c>
      <c r="C99" s="166" t="s">
        <v>234</v>
      </c>
      <c r="D99" s="155" t="n">
        <v>0.0478746955944211</v>
      </c>
      <c r="E99" s="167" t="n">
        <v>42449.9468798582</v>
      </c>
      <c r="F99" s="157" t="n">
        <v>7.46</v>
      </c>
      <c r="G99" s="158" t="n">
        <v>9.14</v>
      </c>
      <c r="H99" s="159" t="n">
        <v>0.0464707450449217</v>
      </c>
      <c r="I99" s="168" t="n">
        <v>94529</v>
      </c>
      <c r="J99" s="147" t="n">
        <v>0.0730609620667485</v>
      </c>
      <c r="K99" s="148" t="n">
        <v>596</v>
      </c>
      <c r="L99" s="147" t="n">
        <v>0.0646622337862581</v>
      </c>
      <c r="M99" s="147" t="n">
        <v>0.0753804890219561</v>
      </c>
      <c r="N99" s="161" t="n">
        <f aca="false">('Modelo AHP'!$U$37*aux!P100)+('Modelo AHP'!$U$38*aux!R100)+('Modelo AHP'!$U$39*aux!S100)</f>
        <v>0.00633623135578094</v>
      </c>
      <c r="O99" s="162" t="n">
        <f aca="false">aux!U100</f>
        <v>0.0076336360171519</v>
      </c>
      <c r="P99" s="161" t="n">
        <f aca="false">('Modelo AHP'!$U$47*aux!V100)+('Modelo AHP'!$U$48*aux!W100)+('Modelo AHP'!$U$49*aux!X100)</f>
        <v>0.00752860902251044</v>
      </c>
      <c r="Q99" s="162" t="n">
        <f aca="false">aux!Z100</f>
        <v>0.00763764980757107</v>
      </c>
      <c r="R99" s="163" t="n">
        <f aca="false">('Modelo AHP'!$U$56*aux!AA100)+('Modelo AHP'!$U$57*aux!AB100)+('Modelo AHP'!$U$58*aux!AC100)+('Modelo AHP'!$U$59*aux!AD100)</f>
        <v>0.00815726356279664</v>
      </c>
      <c r="S99" s="164" t="n">
        <f aca="false">('Modelo AHP'!$U$23*aux!AE100)+('Modelo AHP'!$U$24*aux!AF100)+('Modelo AHP'!$U$25*aux!AG100)+('Modelo AHP'!$U$26*aux!AH100)+('Modelo AHP'!$U$27*aux!AI100)</f>
        <v>0.00743055126183392</v>
      </c>
    </row>
    <row r="100" customFormat="false" ht="15" hidden="false" customHeight="false" outlineLevel="0" collapsed="false">
      <c r="A100" s="138" t="n">
        <f aca="false">_xlfn.RANK.EQ(S100,S$4:S$134)</f>
        <v>83</v>
      </c>
      <c r="B100" s="165" t="s">
        <v>229</v>
      </c>
      <c r="C100" s="166" t="s">
        <v>235</v>
      </c>
      <c r="D100" s="155" t="n">
        <v>0.0477760797876619</v>
      </c>
      <c r="E100" s="167" t="n">
        <v>56198.1898953215</v>
      </c>
      <c r="F100" s="157" t="n">
        <v>5.16</v>
      </c>
      <c r="G100" s="158" t="n">
        <v>7.33</v>
      </c>
      <c r="H100" s="159" t="n">
        <v>0.0464707450449217</v>
      </c>
      <c r="I100" s="168" t="n">
        <v>102522.46</v>
      </c>
      <c r="J100" s="147" t="n">
        <v>0.0730609620667485</v>
      </c>
      <c r="K100" s="148" t="n">
        <v>596</v>
      </c>
      <c r="L100" s="147" t="n">
        <v>0.0646622337862581</v>
      </c>
      <c r="M100" s="147" t="n">
        <v>0.0753804890219561</v>
      </c>
      <c r="N100" s="161" t="n">
        <f aca="false">('Modelo AHP'!$U$37*aux!P101)+('Modelo AHP'!$U$38*aux!R101)+('Modelo AHP'!$U$39*aux!S101)</f>
        <v>0.0044507516149626</v>
      </c>
      <c r="O100" s="162" t="n">
        <f aca="false">aux!U101</f>
        <v>0.0076146340511318</v>
      </c>
      <c r="P100" s="161" t="n">
        <f aca="false">('Modelo AHP'!$U$47*aux!V101)+('Modelo AHP'!$U$48*aux!W101)+('Modelo AHP'!$U$49*aux!X101)</f>
        <v>0.00646849550189458</v>
      </c>
      <c r="Q100" s="162" t="n">
        <f aca="false">aux!Z101</f>
        <v>0.00763302788609378</v>
      </c>
      <c r="R100" s="163" t="n">
        <f aca="false">('Modelo AHP'!$U$56*aux!AA101)+('Modelo AHP'!$U$57*aux!AB101)+('Modelo AHP'!$U$58*aux!AC101)+('Modelo AHP'!$U$59*aux!AD101)</f>
        <v>0.00815726356279664</v>
      </c>
      <c r="S100" s="164" t="n">
        <f aca="false">('Modelo AHP'!$U$23*aux!AE101)+('Modelo AHP'!$U$24*aux!AF101)+('Modelo AHP'!$U$25*aux!AG101)+('Modelo AHP'!$U$26*aux!AH101)+('Modelo AHP'!$U$27*aux!AI101)</f>
        <v>0.00674714727573312</v>
      </c>
    </row>
    <row r="101" customFormat="false" ht="15" hidden="false" customHeight="false" outlineLevel="0" collapsed="false">
      <c r="A101" s="138" t="n">
        <f aca="false">_xlfn.RANK.EQ(S101,S$4:S$134)</f>
        <v>79</v>
      </c>
      <c r="B101" s="165" t="s">
        <v>229</v>
      </c>
      <c r="C101" s="166" t="s">
        <v>236</v>
      </c>
      <c r="D101" s="155" t="n">
        <v>0.0489821882951654</v>
      </c>
      <c r="E101" s="167" t="n">
        <v>54247.1572063758</v>
      </c>
      <c r="F101" s="157" t="n">
        <v>5.92</v>
      </c>
      <c r="G101" s="158" t="n">
        <v>8.5</v>
      </c>
      <c r="H101" s="159" t="n">
        <v>0.0464707450449217</v>
      </c>
      <c r="I101" s="168" t="n">
        <v>112367.5</v>
      </c>
      <c r="J101" s="147" t="n">
        <v>0.0730609620667485</v>
      </c>
      <c r="K101" s="148" t="n">
        <v>596</v>
      </c>
      <c r="L101" s="147" t="n">
        <v>0.0646622337862581</v>
      </c>
      <c r="M101" s="147" t="n">
        <v>0.0753804890219561</v>
      </c>
      <c r="N101" s="161" t="n">
        <f aca="false">('Modelo AHP'!$U$37*aux!P102)+('Modelo AHP'!$U$38*aux!R102)+('Modelo AHP'!$U$39*aux!S102)</f>
        <v>0.00454623941864745</v>
      </c>
      <c r="O101" s="162" t="n">
        <f aca="false">aux!U102</f>
        <v>0.00761733064711267</v>
      </c>
      <c r="P101" s="161" t="n">
        <f aca="false">('Modelo AHP'!$U$47*aux!V102)+('Modelo AHP'!$U$48*aux!W102)+('Modelo AHP'!$U$49*aux!X102)</f>
        <v>0.00702880480890543</v>
      </c>
      <c r="Q101" s="162" t="n">
        <f aca="false">aux!Z102</f>
        <v>0.00762733535722383</v>
      </c>
      <c r="R101" s="163" t="n">
        <f aca="false">('Modelo AHP'!$U$56*aux!AA102)+('Modelo AHP'!$U$57*aux!AB102)+('Modelo AHP'!$U$58*aux!AC102)+('Modelo AHP'!$U$59*aux!AD102)</f>
        <v>0.00815726356279664</v>
      </c>
      <c r="S101" s="164" t="n">
        <f aca="false">('Modelo AHP'!$U$23*aux!AE102)+('Modelo AHP'!$U$24*aux!AF102)+('Modelo AHP'!$U$25*aux!AG102)+('Modelo AHP'!$U$26*aux!AH102)+('Modelo AHP'!$U$27*aux!AI102)</f>
        <v>0.0069549970250695</v>
      </c>
    </row>
    <row r="102" customFormat="false" ht="15" hidden="false" customHeight="false" outlineLevel="0" collapsed="false">
      <c r="A102" s="138" t="n">
        <f aca="false">_xlfn.RANK.EQ(S102,S$4:S$134)</f>
        <v>91</v>
      </c>
      <c r="B102" s="165" t="s">
        <v>229</v>
      </c>
      <c r="C102" s="166" t="s">
        <v>237</v>
      </c>
      <c r="D102" s="155" t="n">
        <v>0.0482539682539683</v>
      </c>
      <c r="E102" s="167" t="n">
        <v>67826.1492998205</v>
      </c>
      <c r="F102" s="157" t="n">
        <v>4.01</v>
      </c>
      <c r="G102" s="158" t="n">
        <v>4.61</v>
      </c>
      <c r="H102" s="159" t="n">
        <v>0.0464707450449217</v>
      </c>
      <c r="I102" s="168" t="n">
        <v>168128.52</v>
      </c>
      <c r="J102" s="147" t="n">
        <v>0.0730609620667485</v>
      </c>
      <c r="K102" s="148" t="n">
        <v>596</v>
      </c>
      <c r="L102" s="147" t="n">
        <v>0.0646622337862581</v>
      </c>
      <c r="M102" s="147" t="n">
        <v>0.0753804890219561</v>
      </c>
      <c r="N102" s="161" t="n">
        <f aca="false">('Modelo AHP'!$U$37*aux!P103)+('Modelo AHP'!$U$38*aux!R103)+('Modelo AHP'!$U$39*aux!S103)</f>
        <v>0.00416022839335365</v>
      </c>
      <c r="O102" s="162" t="n">
        <f aca="false">aux!U103</f>
        <v>0.00759856260918545</v>
      </c>
      <c r="P102" s="161" t="n">
        <f aca="false">('Modelo AHP'!$U$47*aux!V103)+('Modelo AHP'!$U$48*aux!W103)+('Modelo AHP'!$U$49*aux!X103)</f>
        <v>0.00527195659791986</v>
      </c>
      <c r="Q102" s="162" t="n">
        <f aca="false">aux!Z103</f>
        <v>0.00759509361760999</v>
      </c>
      <c r="R102" s="163" t="n">
        <f aca="false">('Modelo AHP'!$U$56*aux!AA103)+('Modelo AHP'!$U$57*aux!AB103)+('Modelo AHP'!$U$58*aux!AC103)+('Modelo AHP'!$U$59*aux!AD103)</f>
        <v>0.00815726356279664</v>
      </c>
      <c r="S102" s="164" t="n">
        <f aca="false">('Modelo AHP'!$U$23*aux!AE103)+('Modelo AHP'!$U$24*aux!AF103)+('Modelo AHP'!$U$25*aux!AG103)+('Modelo AHP'!$U$26*aux!AH103)+('Modelo AHP'!$U$27*aux!AI103)</f>
        <v>0.00628173942875217</v>
      </c>
    </row>
    <row r="103" customFormat="false" ht="15" hidden="false" customHeight="false" outlineLevel="0" collapsed="false">
      <c r="A103" s="138" t="n">
        <f aca="false">_xlfn.RANK.EQ(S103,S$4:S$134)</f>
        <v>86</v>
      </c>
      <c r="B103" s="153" t="s">
        <v>229</v>
      </c>
      <c r="C103" s="154" t="s">
        <v>238</v>
      </c>
      <c r="D103" s="155" t="n">
        <v>0.0253417503065534</v>
      </c>
      <c r="E103" s="156" t="n">
        <v>65589.45233329</v>
      </c>
      <c r="F103" s="157" t="n">
        <v>5.42</v>
      </c>
      <c r="G103" s="158" t="n">
        <v>7.25</v>
      </c>
      <c r="H103" s="159" t="n">
        <v>0.0464707450449217</v>
      </c>
      <c r="I103" s="160" t="n">
        <v>112754.23</v>
      </c>
      <c r="J103" s="147" t="n">
        <v>0.0730609620667485</v>
      </c>
      <c r="K103" s="148" t="n">
        <v>596</v>
      </c>
      <c r="L103" s="147" t="n">
        <v>0.0646622337862581</v>
      </c>
      <c r="M103" s="147" t="n">
        <v>0.0753804890219561</v>
      </c>
      <c r="N103" s="161" t="n">
        <f aca="false">('Modelo AHP'!$U$37*aux!P104)+('Modelo AHP'!$U$38*aux!R104)+('Modelo AHP'!$U$39*aux!S104)</f>
        <v>0.00343951945240842</v>
      </c>
      <c r="O103" s="162" t="n">
        <f aca="false">aux!U104</f>
        <v>0.00760165403255551</v>
      </c>
      <c r="P103" s="161" t="n">
        <f aca="false">('Modelo AHP'!$U$47*aux!V104)+('Modelo AHP'!$U$48*aux!W104)+('Modelo AHP'!$U$49*aux!X104)</f>
        <v>0.00648382389071584</v>
      </c>
      <c r="Q103" s="162" t="n">
        <f aca="false">aux!Z104</f>
        <v>0.00762711174495919</v>
      </c>
      <c r="R103" s="163" t="n">
        <f aca="false">('Modelo AHP'!$U$56*aux!AA104)+('Modelo AHP'!$U$57*aux!AB104)+('Modelo AHP'!$U$58*aux!AC104)+('Modelo AHP'!$U$59*aux!AD104)</f>
        <v>0.00815726356279664</v>
      </c>
      <c r="S103" s="164" t="n">
        <f aca="false">('Modelo AHP'!$U$23*aux!AE104)+('Modelo AHP'!$U$24*aux!AF104)+('Modelo AHP'!$U$25*aux!AG104)+('Modelo AHP'!$U$26*aux!AH104)+('Modelo AHP'!$U$27*aux!AI104)</f>
        <v>0.00657899374526097</v>
      </c>
    </row>
    <row r="104" customFormat="false" ht="15" hidden="false" customHeight="false" outlineLevel="0" collapsed="false">
      <c r="A104" s="138" t="n">
        <f aca="false">_xlfn.RANK.EQ(S104,S$4:S$134)</f>
        <v>112</v>
      </c>
      <c r="B104" s="153" t="s">
        <v>239</v>
      </c>
      <c r="C104" s="154" t="s">
        <v>240</v>
      </c>
      <c r="D104" s="155" t="n">
        <v>0.0292371623627189</v>
      </c>
      <c r="E104" s="156" t="n">
        <v>81736.547158496</v>
      </c>
      <c r="F104" s="157" t="n">
        <v>4.29</v>
      </c>
      <c r="G104" s="158" t="n">
        <v>5.81</v>
      </c>
      <c r="H104" s="159" t="n">
        <v>0.0387425487014352</v>
      </c>
      <c r="I104" s="160" t="n">
        <v>144304.94</v>
      </c>
      <c r="J104" s="147" t="n">
        <v>0.0486293763516278</v>
      </c>
      <c r="K104" s="148" t="n">
        <v>403</v>
      </c>
      <c r="L104" s="147" t="n">
        <v>0.0421123638816614</v>
      </c>
      <c r="M104" s="147" t="n">
        <v>0.0418537924151697</v>
      </c>
      <c r="N104" s="161" t="n">
        <f aca="false">('Modelo AHP'!$U$37*aux!P105)+('Modelo AHP'!$U$38*aux!R105)+('Modelo AHP'!$U$39*aux!S105)</f>
        <v>0.00319353732230662</v>
      </c>
      <c r="O104" s="162" t="n">
        <f aca="false">aux!U105</f>
        <v>0.00757933652283105</v>
      </c>
      <c r="P104" s="161" t="n">
        <f aca="false">('Modelo AHP'!$U$47*aux!V105)+('Modelo AHP'!$U$48*aux!W105)+('Modelo AHP'!$U$49*aux!X105)</f>
        <v>0.00528019577478557</v>
      </c>
      <c r="Q104" s="162" t="n">
        <f aca="false">aux!Z105</f>
        <v>0.00760886871826327</v>
      </c>
      <c r="R104" s="163" t="n">
        <f aca="false">('Modelo AHP'!$U$56*aux!AA105)+('Modelo AHP'!$U$57*aux!AB105)+('Modelo AHP'!$U$58*aux!AC105)+('Modelo AHP'!$U$59*aux!AD105)</f>
        <v>0.00526988792809757</v>
      </c>
      <c r="S104" s="164" t="n">
        <f aca="false">('Modelo AHP'!$U$23*aux!AE105)+('Modelo AHP'!$U$24*aux!AF105)+('Modelo AHP'!$U$25*aux!AG105)+('Modelo AHP'!$U$26*aux!AH105)+('Modelo AHP'!$U$27*aux!AI105)</f>
        <v>0.00584774890745896</v>
      </c>
    </row>
    <row r="105" customFormat="false" ht="15" hidden="false" customHeight="false" outlineLevel="0" collapsed="false">
      <c r="A105" s="138" t="n">
        <f aca="false">_xlfn.RANK.EQ(S105,S$4:S$134)</f>
        <v>117</v>
      </c>
      <c r="B105" s="153" t="s">
        <v>239</v>
      </c>
      <c r="C105" s="154" t="s">
        <v>241</v>
      </c>
      <c r="D105" s="155" t="n">
        <v>0.0402771174353053</v>
      </c>
      <c r="E105" s="156" t="n">
        <v>97253.6423164336</v>
      </c>
      <c r="F105" s="157" t="n">
        <v>3.86</v>
      </c>
      <c r="G105" s="158" t="n">
        <v>5.23</v>
      </c>
      <c r="H105" s="159" t="n">
        <v>0.0387425487014352</v>
      </c>
      <c r="I105" s="160" t="n">
        <v>214047.1</v>
      </c>
      <c r="J105" s="147" t="n">
        <v>0.0486293763516278</v>
      </c>
      <c r="K105" s="148" t="n">
        <v>403</v>
      </c>
      <c r="L105" s="147" t="n">
        <v>0.0421123638816614</v>
      </c>
      <c r="M105" s="147" t="n">
        <v>0.0418537924151697</v>
      </c>
      <c r="N105" s="161" t="n">
        <f aca="false">('Modelo AHP'!$U$37*aux!P106)+('Modelo AHP'!$U$38*aux!R106)+('Modelo AHP'!$U$39*aux!S106)</f>
        <v>0.00357616319158859</v>
      </c>
      <c r="O105" s="162" t="n">
        <f aca="false">aux!U106</f>
        <v>0.00755788975944534</v>
      </c>
      <c r="P105" s="161" t="n">
        <f aca="false">('Modelo AHP'!$U$47*aux!V106)+('Modelo AHP'!$U$48*aux!W106)+('Modelo AHP'!$U$49*aux!X106)</f>
        <v>0.00499328004250619</v>
      </c>
      <c r="Q105" s="162" t="n">
        <f aca="false">aux!Z106</f>
        <v>0.00756854290351263</v>
      </c>
      <c r="R105" s="163" t="n">
        <f aca="false">('Modelo AHP'!$U$56*aux!AA106)+('Modelo AHP'!$U$57*aux!AB106)+('Modelo AHP'!$U$58*aux!AC106)+('Modelo AHP'!$U$59*aux!AD106)</f>
        <v>0.00526988792809757</v>
      </c>
      <c r="S105" s="164" t="n">
        <f aca="false">('Modelo AHP'!$U$23*aux!AE106)+('Modelo AHP'!$U$24*aux!AF106)+('Modelo AHP'!$U$25*aux!AG106)+('Modelo AHP'!$U$26*aux!AH106)+('Modelo AHP'!$U$27*aux!AI106)</f>
        <v>0.00580360723652524</v>
      </c>
    </row>
    <row r="106" customFormat="false" ht="15" hidden="false" customHeight="false" outlineLevel="0" collapsed="false">
      <c r="A106" s="138" t="n">
        <f aca="false">_xlfn.RANK.EQ(S106,S$4:S$134)</f>
        <v>77</v>
      </c>
      <c r="B106" s="153" t="s">
        <v>239</v>
      </c>
      <c r="C106" s="154" t="s">
        <v>242</v>
      </c>
      <c r="D106" s="155" t="n">
        <v>0.0479730228665666</v>
      </c>
      <c r="E106" s="156" t="n">
        <v>39790.2400918192</v>
      </c>
      <c r="F106" s="157" t="n">
        <v>7.15</v>
      </c>
      <c r="G106" s="158" t="n">
        <v>8.66</v>
      </c>
      <c r="H106" s="159" t="n">
        <v>0.0387425487014352</v>
      </c>
      <c r="I106" s="160" t="n">
        <v>93176</v>
      </c>
      <c r="J106" s="147" t="n">
        <v>0.0486293763516278</v>
      </c>
      <c r="K106" s="148" t="n">
        <v>403</v>
      </c>
      <c r="L106" s="147" t="n">
        <v>0.0421123638816614</v>
      </c>
      <c r="M106" s="147" t="n">
        <v>0.0418537924151697</v>
      </c>
      <c r="N106" s="161" t="n">
        <f aca="false">('Modelo AHP'!$U$37*aux!P107)+('Modelo AHP'!$U$38*aux!R107)+('Modelo AHP'!$U$39*aux!S107)</f>
        <v>0.00701477078746999</v>
      </c>
      <c r="O106" s="162" t="n">
        <f aca="false">aux!U107</f>
        <v>0.00763731209837573</v>
      </c>
      <c r="P106" s="161" t="n">
        <f aca="false">('Modelo AHP'!$U$47*aux!V107)+('Modelo AHP'!$U$48*aux!W107)+('Modelo AHP'!$U$49*aux!X107)</f>
        <v>0.00681849311841838</v>
      </c>
      <c r="Q106" s="162" t="n">
        <f aca="false">aux!Z107</f>
        <v>0.00763843212958917</v>
      </c>
      <c r="R106" s="163" t="n">
        <f aca="false">('Modelo AHP'!$U$56*aux!AA107)+('Modelo AHP'!$U$57*aux!AB107)+('Modelo AHP'!$U$58*aux!AC107)+('Modelo AHP'!$U$59*aux!AD107)</f>
        <v>0.00526988792809757</v>
      </c>
      <c r="S106" s="164" t="n">
        <f aca="false">('Modelo AHP'!$U$23*aux!AE107)+('Modelo AHP'!$U$24*aux!AF107)+('Modelo AHP'!$U$25*aux!AG107)+('Modelo AHP'!$U$26*aux!AH107)+('Modelo AHP'!$U$27*aux!AI107)</f>
        <v>0.00703205678539236</v>
      </c>
    </row>
    <row r="107" customFormat="false" ht="15" hidden="false" customHeight="false" outlineLevel="0" collapsed="false">
      <c r="A107" s="138" t="n">
        <f aca="false">_xlfn.RANK.EQ(S107,S$4:S$134)</f>
        <v>56</v>
      </c>
      <c r="B107" s="153" t="s">
        <v>239</v>
      </c>
      <c r="C107" s="154" t="s">
        <v>243</v>
      </c>
      <c r="D107" s="155" t="n">
        <v>0.0637027968014692</v>
      </c>
      <c r="E107" s="156" t="n">
        <v>33701.4312862047</v>
      </c>
      <c r="F107" s="157" t="n">
        <v>8.78</v>
      </c>
      <c r="G107" s="158" t="n">
        <v>10.6</v>
      </c>
      <c r="H107" s="159" t="n">
        <v>0.0387425487014352</v>
      </c>
      <c r="I107" s="160" t="n">
        <v>80444.05</v>
      </c>
      <c r="J107" s="147" t="n">
        <v>0.0486293763516278</v>
      </c>
      <c r="K107" s="148" t="n">
        <v>403</v>
      </c>
      <c r="L107" s="147" t="n">
        <v>0.0421123638816614</v>
      </c>
      <c r="M107" s="147" t="n">
        <v>0.0418537924151697</v>
      </c>
      <c r="N107" s="161" t="n">
        <f aca="false">('Modelo AHP'!$U$37*aux!P108)+('Modelo AHP'!$U$38*aux!R108)+('Modelo AHP'!$U$39*aux!S108)</f>
        <v>0.00832501158519939</v>
      </c>
      <c r="O107" s="162" t="n">
        <f aca="false">aux!U108</f>
        <v>0.00764572767103451</v>
      </c>
      <c r="P107" s="161" t="n">
        <f aca="false">('Modelo AHP'!$U$47*aux!V108)+('Modelo AHP'!$U$48*aux!W108)+('Modelo AHP'!$U$49*aux!X108)</f>
        <v>0.00781114227440043</v>
      </c>
      <c r="Q107" s="162" t="n">
        <f aca="false">aux!Z108</f>
        <v>0.00764579390698629</v>
      </c>
      <c r="R107" s="163" t="n">
        <f aca="false">('Modelo AHP'!$U$56*aux!AA108)+('Modelo AHP'!$U$57*aux!AB108)+('Modelo AHP'!$U$58*aux!AC108)+('Modelo AHP'!$U$59*aux!AD108)</f>
        <v>0.00526988792809757</v>
      </c>
      <c r="S107" s="164" t="n">
        <f aca="false">('Modelo AHP'!$U$23*aux!AE108)+('Modelo AHP'!$U$24*aux!AF108)+('Modelo AHP'!$U$25*aux!AG108)+('Modelo AHP'!$U$26*aux!AH108)+('Modelo AHP'!$U$27*aux!AI108)</f>
        <v>0.00759319827475885</v>
      </c>
    </row>
    <row r="108" customFormat="false" ht="15" hidden="false" customHeight="false" outlineLevel="0" collapsed="false">
      <c r="A108" s="138" t="n">
        <f aca="false">_xlfn.RANK.EQ(S108,S$4:S$134)</f>
        <v>66</v>
      </c>
      <c r="B108" s="153" t="s">
        <v>239</v>
      </c>
      <c r="C108" s="154" t="s">
        <v>244</v>
      </c>
      <c r="D108" s="155" t="n">
        <v>0.0515355903346212</v>
      </c>
      <c r="E108" s="156" t="n">
        <v>36691.4783926056</v>
      </c>
      <c r="F108" s="157" t="n">
        <v>8.72</v>
      </c>
      <c r="G108" s="158" t="n">
        <v>10.35</v>
      </c>
      <c r="H108" s="159" t="n">
        <v>0.0387425487014352</v>
      </c>
      <c r="I108" s="160" t="n">
        <v>104658.69</v>
      </c>
      <c r="J108" s="147" t="n">
        <v>0.0486293763516278</v>
      </c>
      <c r="K108" s="148" t="n">
        <v>403</v>
      </c>
      <c r="L108" s="147" t="n">
        <v>0.0421123638816614</v>
      </c>
      <c r="M108" s="147" t="n">
        <v>0.0418537924151697</v>
      </c>
      <c r="N108" s="161" t="n">
        <f aca="false">('Modelo AHP'!$U$37*aux!P109)+('Modelo AHP'!$U$38*aux!R109)+('Modelo AHP'!$U$39*aux!S109)</f>
        <v>0.00700133095437521</v>
      </c>
      <c r="O108" s="162" t="n">
        <f aca="false">aux!U109</f>
        <v>0.00764159501397786</v>
      </c>
      <c r="P108" s="161" t="n">
        <f aca="false">('Modelo AHP'!$U$47*aux!V109)+('Modelo AHP'!$U$48*aux!W109)+('Modelo AHP'!$U$49*aux!X109)</f>
        <v>0.0077090237849523</v>
      </c>
      <c r="Q108" s="162" t="n">
        <f aca="false">aux!Z109</f>
        <v>0.00763179269040663</v>
      </c>
      <c r="R108" s="163" t="n">
        <f aca="false">('Modelo AHP'!$U$56*aux!AA109)+('Modelo AHP'!$U$57*aux!AB109)+('Modelo AHP'!$U$58*aux!AC109)+('Modelo AHP'!$U$59*aux!AD109)</f>
        <v>0.00526988792809757</v>
      </c>
      <c r="S108" s="164" t="n">
        <f aca="false">('Modelo AHP'!$U$23*aux!AE109)+('Modelo AHP'!$U$24*aux!AF109)+('Modelo AHP'!$U$25*aux!AG109)+('Modelo AHP'!$U$26*aux!AH109)+('Modelo AHP'!$U$27*aux!AI109)</f>
        <v>0.00733501389885558</v>
      </c>
    </row>
    <row r="109" customFormat="false" ht="15" hidden="false" customHeight="false" outlineLevel="0" collapsed="false">
      <c r="A109" s="138" t="n">
        <f aca="false">_xlfn.RANK.EQ(S109,S$4:S$134)</f>
        <v>99</v>
      </c>
      <c r="B109" s="153" t="s">
        <v>239</v>
      </c>
      <c r="C109" s="154" t="s">
        <v>245</v>
      </c>
      <c r="D109" s="155" t="n">
        <v>0.0485109674567656</v>
      </c>
      <c r="E109" s="156" t="n">
        <v>55975.1455794732</v>
      </c>
      <c r="F109" s="157" t="n">
        <v>5.14</v>
      </c>
      <c r="G109" s="158" t="n">
        <v>7.08</v>
      </c>
      <c r="H109" s="159" t="n">
        <v>0.0387425487014352</v>
      </c>
      <c r="I109" s="160" t="n">
        <v>114377.07</v>
      </c>
      <c r="J109" s="147" t="n">
        <v>0.0486293763516278</v>
      </c>
      <c r="K109" s="148" t="n">
        <v>403</v>
      </c>
      <c r="L109" s="147" t="n">
        <v>0.0421123638816614</v>
      </c>
      <c r="M109" s="147" t="n">
        <v>0.0418537924151697</v>
      </c>
      <c r="N109" s="161" t="n">
        <f aca="false">('Modelo AHP'!$U$37*aux!P110)+('Modelo AHP'!$U$38*aux!R110)+('Modelo AHP'!$U$39*aux!S110)</f>
        <v>0.00391001147085642</v>
      </c>
      <c r="O109" s="162" t="n">
        <f aca="false">aux!U110</f>
        <v>0.00761494232910638</v>
      </c>
      <c r="P109" s="161" t="n">
        <f aca="false">('Modelo AHP'!$U$47*aux!V110)+('Modelo AHP'!$U$48*aux!W110)+('Modelo AHP'!$U$49*aux!X110)</f>
        <v>0.00589270067298882</v>
      </c>
      <c r="Q109" s="162" t="n">
        <f aca="false">aux!Z110</f>
        <v>0.00762617339797926</v>
      </c>
      <c r="R109" s="163" t="n">
        <f aca="false">('Modelo AHP'!$U$56*aux!AA110)+('Modelo AHP'!$U$57*aux!AB110)+('Modelo AHP'!$U$58*aux!AC110)+('Modelo AHP'!$U$59*aux!AD110)</f>
        <v>0.00526988792809757</v>
      </c>
      <c r="S109" s="164" t="n">
        <f aca="false">('Modelo AHP'!$U$23*aux!AE110)+('Modelo AHP'!$U$24*aux!AF110)+('Modelo AHP'!$U$25*aux!AG110)+('Modelo AHP'!$U$26*aux!AH110)+('Modelo AHP'!$U$27*aux!AI110)</f>
        <v>0.00618941392064782</v>
      </c>
    </row>
    <row r="110" customFormat="false" ht="15" hidden="false" customHeight="false" outlineLevel="0" collapsed="false">
      <c r="A110" s="138" t="n">
        <f aca="false">_xlfn.RANK.EQ(S110,S$4:S$134)</f>
        <v>10</v>
      </c>
      <c r="B110" s="153" t="s">
        <v>246</v>
      </c>
      <c r="C110" s="154" t="s">
        <v>247</v>
      </c>
      <c r="D110" s="155" t="n">
        <v>0.138264972121267</v>
      </c>
      <c r="E110" s="156" t="n">
        <v>24884.4147377196</v>
      </c>
      <c r="F110" s="157" t="n">
        <v>12.39</v>
      </c>
      <c r="G110" s="158" t="n">
        <v>13.53</v>
      </c>
      <c r="H110" s="159" t="n">
        <v>0.0765560059520755</v>
      </c>
      <c r="I110" s="160" t="n">
        <v>51666.28</v>
      </c>
      <c r="J110" s="147" t="n">
        <v>0.0523700976094453</v>
      </c>
      <c r="K110" s="148" t="n">
        <v>1563</v>
      </c>
      <c r="L110" s="147" t="n">
        <v>0.0595547846198323</v>
      </c>
      <c r="M110" s="147" t="n">
        <v>0.0598490518962076</v>
      </c>
      <c r="N110" s="161" t="n">
        <f aca="false">('Modelo AHP'!$U$37*aux!P111)+('Modelo AHP'!$U$38*aux!R111)+('Modelo AHP'!$U$39*aux!S111)</f>
        <v>0.0124021204951451</v>
      </c>
      <c r="O110" s="162" t="n">
        <f aca="false">aux!U111</f>
        <v>0.00765791400267445</v>
      </c>
      <c r="P110" s="161" t="n">
        <f aca="false">('Modelo AHP'!$U$47*aux!V111)+('Modelo AHP'!$U$48*aux!W111)+('Modelo AHP'!$U$49*aux!X111)</f>
        <v>0.0118590861212376</v>
      </c>
      <c r="Q110" s="162" t="n">
        <f aca="false">aux!Z111</f>
        <v>0.00766243358407625</v>
      </c>
      <c r="R110" s="163" t="n">
        <f aca="false">('Modelo AHP'!$U$56*aux!AA111)+('Modelo AHP'!$U$57*aux!AB111)+('Modelo AHP'!$U$58*aux!AC111)+('Modelo AHP'!$U$59*aux!AD111)</f>
        <v>0.0116527293276622</v>
      </c>
      <c r="S110" s="164" t="n">
        <f aca="false">('Modelo AHP'!$U$23*aux!AE111)+('Modelo AHP'!$U$24*aux!AF111)+('Modelo AHP'!$U$25*aux!AG111)+('Modelo AHP'!$U$26*aux!AH111)+('Modelo AHP'!$U$27*aux!AI111)</f>
        <v>0.0102596283530568</v>
      </c>
    </row>
    <row r="111" customFormat="false" ht="15" hidden="false" customHeight="false" outlineLevel="0" collapsed="false">
      <c r="A111" s="138" t="n">
        <f aca="false">_xlfn.RANK.EQ(S111,S$4:S$134)</f>
        <v>3</v>
      </c>
      <c r="B111" s="153" t="s">
        <v>246</v>
      </c>
      <c r="C111" s="154" t="s">
        <v>248</v>
      </c>
      <c r="D111" s="155" t="n">
        <v>0.268937927474513</v>
      </c>
      <c r="E111" s="156" t="n">
        <v>19587.0949040644</v>
      </c>
      <c r="F111" s="157" t="n">
        <v>13.77</v>
      </c>
      <c r="G111" s="158" t="n">
        <v>17.18</v>
      </c>
      <c r="H111" s="159" t="n">
        <v>0.0765560059520755</v>
      </c>
      <c r="I111" s="160" t="n">
        <v>26876.8</v>
      </c>
      <c r="J111" s="147" t="n">
        <v>0.0523700976094453</v>
      </c>
      <c r="K111" s="148" t="n">
        <v>1563</v>
      </c>
      <c r="L111" s="147" t="n">
        <v>0.0595547846198323</v>
      </c>
      <c r="M111" s="147" t="n">
        <v>0.0598490518962076</v>
      </c>
      <c r="N111" s="161" t="n">
        <f aca="false">('Modelo AHP'!$U$37*aux!P112)+('Modelo AHP'!$U$38*aux!R112)+('Modelo AHP'!$U$39*aux!S112)</f>
        <v>0.0173357978020942</v>
      </c>
      <c r="O111" s="162" t="n">
        <f aca="false">aux!U112</f>
        <v>0.0076652356285261</v>
      </c>
      <c r="P111" s="161" t="n">
        <f aca="false">('Modelo AHP'!$U$47*aux!V112)+('Modelo AHP'!$U$48*aux!W112)+('Modelo AHP'!$U$49*aux!X112)</f>
        <v>0.0134366750139717</v>
      </c>
      <c r="Q111" s="162" t="n">
        <f aca="false">aux!Z112</f>
        <v>0.00767676718054422</v>
      </c>
      <c r="R111" s="163" t="n">
        <f aca="false">('Modelo AHP'!$U$56*aux!AA112)+('Modelo AHP'!$U$57*aux!AB112)+('Modelo AHP'!$U$58*aux!AC112)+('Modelo AHP'!$U$59*aux!AD112)</f>
        <v>0.0116527293276622</v>
      </c>
      <c r="S111" s="164" t="n">
        <f aca="false">('Modelo AHP'!$U$23*aux!AE112)+('Modelo AHP'!$U$24*aux!AF112)+('Modelo AHP'!$U$25*aux!AG112)+('Modelo AHP'!$U$26*aux!AH112)+('Modelo AHP'!$U$27*aux!AI112)</f>
        <v>0.0116255268255906</v>
      </c>
    </row>
    <row r="112" customFormat="false" ht="15" hidden="false" customHeight="false" outlineLevel="0" collapsed="false">
      <c r="A112" s="138" t="n">
        <f aca="false">_xlfn.RANK.EQ(S112,S$4:S$134)</f>
        <v>31</v>
      </c>
      <c r="B112" s="153" t="s">
        <v>246</v>
      </c>
      <c r="C112" s="154" t="s">
        <v>249</v>
      </c>
      <c r="D112" s="155" t="n">
        <v>0.0918546091526166</v>
      </c>
      <c r="E112" s="156" t="n">
        <v>30153.304534441</v>
      </c>
      <c r="F112" s="157" t="n">
        <v>8.65</v>
      </c>
      <c r="G112" s="158" t="n">
        <v>10.39</v>
      </c>
      <c r="H112" s="159" t="n">
        <v>0.0765560059520755</v>
      </c>
      <c r="I112" s="160" t="n">
        <v>61604.11</v>
      </c>
      <c r="J112" s="147" t="n">
        <v>0.0523700976094453</v>
      </c>
      <c r="K112" s="148" t="n">
        <v>1563</v>
      </c>
      <c r="L112" s="147" t="n">
        <v>0.0595547846198323</v>
      </c>
      <c r="M112" s="147" t="n">
        <v>0.0598490518962076</v>
      </c>
      <c r="N112" s="161" t="n">
        <f aca="false">('Modelo AHP'!$U$37*aux!P113)+('Modelo AHP'!$U$38*aux!R113)+('Modelo AHP'!$U$39*aux!S113)</f>
        <v>0.00898890045051472</v>
      </c>
      <c r="O112" s="162" t="n">
        <f aca="false">aux!U113</f>
        <v>0.00765063167105081</v>
      </c>
      <c r="P112" s="161" t="n">
        <f aca="false">('Modelo AHP'!$U$47*aux!V113)+('Modelo AHP'!$U$48*aux!W113)+('Modelo AHP'!$U$49*aux!X113)</f>
        <v>0.01006298924556</v>
      </c>
      <c r="Q112" s="162" t="n">
        <f aca="false">aux!Z113</f>
        <v>0.00765668740283375</v>
      </c>
      <c r="R112" s="163" t="n">
        <f aca="false">('Modelo AHP'!$U$56*aux!AA113)+('Modelo AHP'!$U$57*aux!AB113)+('Modelo AHP'!$U$58*aux!AC113)+('Modelo AHP'!$U$59*aux!AD113)</f>
        <v>0.0116527293276622</v>
      </c>
      <c r="S112" s="164" t="n">
        <f aca="false">('Modelo AHP'!$U$23*aux!AE113)+('Modelo AHP'!$U$24*aux!AF113)+('Modelo AHP'!$U$25*aux!AG113)+('Modelo AHP'!$U$26*aux!AH113)+('Modelo AHP'!$U$27*aux!AI113)</f>
        <v>0.00907345954935985</v>
      </c>
    </row>
    <row r="113" customFormat="false" ht="15" hidden="false" customHeight="false" outlineLevel="0" collapsed="false">
      <c r="A113" s="138" t="n">
        <f aca="false">_xlfn.RANK.EQ(S113,S$4:S$134)</f>
        <v>20</v>
      </c>
      <c r="B113" s="153" t="s">
        <v>246</v>
      </c>
      <c r="C113" s="154" t="s">
        <v>250</v>
      </c>
      <c r="D113" s="155" t="n">
        <v>0.137146720757268</v>
      </c>
      <c r="E113" s="156" t="n">
        <v>28416.0524909634</v>
      </c>
      <c r="F113" s="157" t="n">
        <v>9.79</v>
      </c>
      <c r="G113" s="158" t="n">
        <v>11.07</v>
      </c>
      <c r="H113" s="159" t="n">
        <v>0.0765560059520755</v>
      </c>
      <c r="I113" s="160" t="n">
        <v>52206.91</v>
      </c>
      <c r="J113" s="147" t="n">
        <v>0.0523700976094453</v>
      </c>
      <c r="K113" s="148" t="n">
        <v>1563</v>
      </c>
      <c r="L113" s="147" t="n">
        <v>0.0595547846198323</v>
      </c>
      <c r="M113" s="147" t="n">
        <v>0.0598490518962076</v>
      </c>
      <c r="N113" s="161" t="n">
        <f aca="false">('Modelo AHP'!$U$37*aux!P114)+('Modelo AHP'!$U$38*aux!R114)+('Modelo AHP'!$U$39*aux!S114)</f>
        <v>0.0115931049912065</v>
      </c>
      <c r="O113" s="162" t="n">
        <f aca="false">aux!U114</f>
        <v>0.00765303279272588</v>
      </c>
      <c r="P113" s="161" t="n">
        <f aca="false">('Modelo AHP'!$U$47*aux!V114)+('Modelo AHP'!$U$48*aux!W114)+('Modelo AHP'!$U$49*aux!X114)</f>
        <v>0.0105087048289734</v>
      </c>
      <c r="Q113" s="162" t="n">
        <f aca="false">aux!Z114</f>
        <v>0.00766212098485035</v>
      </c>
      <c r="R113" s="163" t="n">
        <f aca="false">('Modelo AHP'!$U$56*aux!AA114)+('Modelo AHP'!$U$57*aux!AB114)+('Modelo AHP'!$U$58*aux!AC114)+('Modelo AHP'!$U$59*aux!AD114)</f>
        <v>0.0116527293276622</v>
      </c>
      <c r="S113" s="164" t="n">
        <f aca="false">('Modelo AHP'!$U$23*aux!AE114)+('Modelo AHP'!$U$24*aux!AF114)+('Modelo AHP'!$U$25*aux!AG114)+('Modelo AHP'!$U$26*aux!AH114)+('Modelo AHP'!$U$27*aux!AI114)</f>
        <v>0.00966155755845255</v>
      </c>
    </row>
    <row r="114" customFormat="false" ht="15" hidden="false" customHeight="false" outlineLevel="0" collapsed="false">
      <c r="A114" s="138" t="n">
        <f aca="false">_xlfn.RANK.EQ(S114,S$4:S$134)</f>
        <v>17</v>
      </c>
      <c r="B114" s="153" t="s">
        <v>246</v>
      </c>
      <c r="C114" s="154" t="s">
        <v>251</v>
      </c>
      <c r="D114" s="155" t="n">
        <v>0.112095266213955</v>
      </c>
      <c r="E114" s="156" t="n">
        <v>28062.4299562607</v>
      </c>
      <c r="F114" s="157" t="n">
        <v>10.62</v>
      </c>
      <c r="G114" s="158" t="n">
        <v>12.46</v>
      </c>
      <c r="H114" s="159" t="n">
        <v>0.0765560059520755</v>
      </c>
      <c r="I114" s="160" t="n">
        <v>58943.3</v>
      </c>
      <c r="J114" s="147" t="n">
        <v>0.0523700976094453</v>
      </c>
      <c r="K114" s="148" t="n">
        <v>1563</v>
      </c>
      <c r="L114" s="147" t="n">
        <v>0.0595547846198323</v>
      </c>
      <c r="M114" s="147" t="n">
        <v>0.0598490518962076</v>
      </c>
      <c r="N114" s="161" t="n">
        <f aca="false">('Modelo AHP'!$U$37*aux!P115)+('Modelo AHP'!$U$38*aux!R115)+('Modelo AHP'!$U$39*aux!S115)</f>
        <v>0.0110798503061814</v>
      </c>
      <c r="O114" s="162" t="n">
        <f aca="false">aux!U115</f>
        <v>0.0076535215477894</v>
      </c>
      <c r="P114" s="161" t="n">
        <f aca="false">('Modelo AHP'!$U$47*aux!V115)+('Modelo AHP'!$U$48*aux!W115)+('Modelo AHP'!$U$49*aux!X115)</f>
        <v>0.0111618358152002</v>
      </c>
      <c r="Q114" s="162" t="n">
        <f aca="false">aux!Z115</f>
        <v>0.00765822591743018</v>
      </c>
      <c r="R114" s="163" t="n">
        <f aca="false">('Modelo AHP'!$U$56*aux!AA115)+('Modelo AHP'!$U$57*aux!AB115)+('Modelo AHP'!$U$58*aux!AC115)+('Modelo AHP'!$U$59*aux!AD115)</f>
        <v>0.0116527293276622</v>
      </c>
      <c r="S114" s="164" t="n">
        <f aca="false">('Modelo AHP'!$U$23*aux!AE115)+('Modelo AHP'!$U$24*aux!AF115)+('Modelo AHP'!$U$25*aux!AG115)+('Modelo AHP'!$U$26*aux!AH115)+('Modelo AHP'!$U$27*aux!AI115)</f>
        <v>0.00979895969508985</v>
      </c>
    </row>
    <row r="115" customFormat="false" ht="15" hidden="false" customHeight="false" outlineLevel="0" collapsed="false">
      <c r="A115" s="138" t="n">
        <f aca="false">_xlfn.RANK.EQ(S115,S$4:S$134)</f>
        <v>24</v>
      </c>
      <c r="B115" s="153" t="s">
        <v>252</v>
      </c>
      <c r="C115" s="154" t="s">
        <v>253</v>
      </c>
      <c r="D115" s="155" t="n">
        <v>0.101635631605435</v>
      </c>
      <c r="E115" s="156" t="n">
        <v>28357.1952380006</v>
      </c>
      <c r="F115" s="157" t="n">
        <v>12.05</v>
      </c>
      <c r="G115" s="158" t="n">
        <v>13.6</v>
      </c>
      <c r="H115" s="159" t="n">
        <v>0.0631053046393887</v>
      </c>
      <c r="I115" s="160" t="n">
        <v>55794.28</v>
      </c>
      <c r="J115" s="147" t="n">
        <v>0.0259512537261091</v>
      </c>
      <c r="K115" s="148" t="n">
        <v>1370</v>
      </c>
      <c r="L115" s="147" t="n">
        <v>0.0210079984581286</v>
      </c>
      <c r="M115" s="147" t="n">
        <v>0.0222367764471058</v>
      </c>
      <c r="N115" s="161" t="n">
        <f aca="false">('Modelo AHP'!$U$37*aux!P116)+('Modelo AHP'!$U$38*aux!R116)+('Modelo AHP'!$U$39*aux!S116)</f>
        <v>0.0114657502060546</v>
      </c>
      <c r="O115" s="162" t="n">
        <f aca="false">aux!U116</f>
        <v>0.00765311414155857</v>
      </c>
      <c r="P115" s="161" t="n">
        <f aca="false">('Modelo AHP'!$U$47*aux!V116)+('Modelo AHP'!$U$48*aux!W116)+('Modelo AHP'!$U$49*aux!X116)</f>
        <v>0.0109899399256079</v>
      </c>
      <c r="Q115" s="162" t="n">
        <f aca="false">aux!Z116</f>
        <v>0.00766004672133368</v>
      </c>
      <c r="R115" s="163" t="n">
        <f aca="false">('Modelo AHP'!$U$56*aux!AA116)+('Modelo AHP'!$U$57*aux!AB116)+('Modelo AHP'!$U$58*aux!AC116)+('Modelo AHP'!$U$59*aux!AD116)</f>
        <v>0.00811182565021726</v>
      </c>
      <c r="S115" s="164" t="n">
        <f aca="false">('Modelo AHP'!$U$23*aux!AE116)+('Modelo AHP'!$U$24*aux!AF116)+('Modelo AHP'!$U$25*aux!AG116)+('Modelo AHP'!$U$26*aux!AH116)+('Modelo AHP'!$U$27*aux!AI116)</f>
        <v>0.00947312988668779</v>
      </c>
    </row>
    <row r="116" customFormat="false" ht="15" hidden="false" customHeight="false" outlineLevel="0" collapsed="false">
      <c r="A116" s="138" t="n">
        <f aca="false">_xlfn.RANK.EQ(S116,S$4:S$134)</f>
        <v>47</v>
      </c>
      <c r="B116" s="153" t="s">
        <v>252</v>
      </c>
      <c r="C116" s="154" t="s">
        <v>254</v>
      </c>
      <c r="D116" s="155" t="n">
        <v>0.0325581395348837</v>
      </c>
      <c r="E116" s="156" t="n">
        <v>36426.5820036597</v>
      </c>
      <c r="F116" s="157" t="n">
        <v>9.22</v>
      </c>
      <c r="G116" s="158" t="n">
        <v>10.59</v>
      </c>
      <c r="H116" s="159" t="n">
        <v>0.0631053046393887</v>
      </c>
      <c r="I116" s="160" t="n">
        <v>57584.02</v>
      </c>
      <c r="J116" s="147" t="n">
        <v>0.0259512537261091</v>
      </c>
      <c r="K116" s="148" t="n">
        <v>1370</v>
      </c>
      <c r="L116" s="147" t="n">
        <v>0.0210079984581286</v>
      </c>
      <c r="M116" s="147" t="n">
        <v>0.0222367764471058</v>
      </c>
      <c r="N116" s="161" t="n">
        <f aca="false">('Modelo AHP'!$U$37*aux!P117)+('Modelo AHP'!$U$38*aux!R117)+('Modelo AHP'!$U$39*aux!S117)</f>
        <v>0.00717972842032222</v>
      </c>
      <c r="O116" s="162" t="n">
        <f aca="false">aux!U117</f>
        <v>0.00764196113728365</v>
      </c>
      <c r="P116" s="161" t="n">
        <f aca="false">('Modelo AHP'!$U$47*aux!V117)+('Modelo AHP'!$U$48*aux!W117)+('Modelo AHP'!$U$49*aux!X117)</f>
        <v>0.00939804760579279</v>
      </c>
      <c r="Q116" s="162" t="n">
        <f aca="false">aux!Z117</f>
        <v>0.00765901187062513</v>
      </c>
      <c r="R116" s="163" t="n">
        <f aca="false">('Modelo AHP'!$U$56*aux!AA117)+('Modelo AHP'!$U$57*aux!AB117)+('Modelo AHP'!$U$58*aux!AC117)+('Modelo AHP'!$U$59*aux!AD117)</f>
        <v>0.00811182565021726</v>
      </c>
      <c r="S116" s="164" t="n">
        <f aca="false">('Modelo AHP'!$U$23*aux!AE117)+('Modelo AHP'!$U$24*aux!AF117)+('Modelo AHP'!$U$25*aux!AG117)+('Modelo AHP'!$U$26*aux!AH117)+('Modelo AHP'!$U$27*aux!AI117)</f>
        <v>0.00821019087038583</v>
      </c>
    </row>
    <row r="117" customFormat="false" ht="15" hidden="false" customHeight="false" outlineLevel="0" collapsed="false">
      <c r="A117" s="138" t="n">
        <f aca="false">_xlfn.RANK.EQ(S117,S$4:S$134)</f>
        <v>53</v>
      </c>
      <c r="B117" s="153" t="s">
        <v>252</v>
      </c>
      <c r="C117" s="154" t="s">
        <v>255</v>
      </c>
      <c r="D117" s="155" t="n">
        <v>0.0556931260604393</v>
      </c>
      <c r="E117" s="156" t="n">
        <v>32080.2102615069</v>
      </c>
      <c r="F117" s="157" t="n">
        <v>7.65</v>
      </c>
      <c r="G117" s="158" t="n">
        <v>9.8</v>
      </c>
      <c r="H117" s="159" t="n">
        <v>0.0631053046393887</v>
      </c>
      <c r="I117" s="160" t="n">
        <v>70762.74</v>
      </c>
      <c r="J117" s="147" t="n">
        <v>0.0259512537261091</v>
      </c>
      <c r="K117" s="148" t="n">
        <v>1370</v>
      </c>
      <c r="L117" s="147" t="n">
        <v>0.0210079984581286</v>
      </c>
      <c r="M117" s="147" t="n">
        <v>0.0222367764471058</v>
      </c>
      <c r="N117" s="161" t="n">
        <f aca="false">('Modelo AHP'!$U$37*aux!P118)+('Modelo AHP'!$U$38*aux!R118)+('Modelo AHP'!$U$39*aux!S118)</f>
        <v>0.00572073657285078</v>
      </c>
      <c r="O117" s="162" t="n">
        <f aca="false">aux!U118</f>
        <v>0.00764796842185538</v>
      </c>
      <c r="P117" s="161" t="n">
        <f aca="false">('Modelo AHP'!$U$47*aux!V118)+('Modelo AHP'!$U$48*aux!W118)+('Modelo AHP'!$U$49*aux!X118)</f>
        <v>0.00883800395264736</v>
      </c>
      <c r="Q117" s="162" t="n">
        <f aca="false">aux!Z118</f>
        <v>0.00765139176506243</v>
      </c>
      <c r="R117" s="163" t="n">
        <f aca="false">('Modelo AHP'!$U$56*aux!AA118)+('Modelo AHP'!$U$57*aux!AB118)+('Modelo AHP'!$U$58*aux!AC118)+('Modelo AHP'!$U$59*aux!AD118)</f>
        <v>0.00811182565021726</v>
      </c>
      <c r="S117" s="164" t="n">
        <f aca="false">('Modelo AHP'!$U$23*aux!AE118)+('Modelo AHP'!$U$24*aux!AF118)+('Modelo AHP'!$U$25*aux!AG118)+('Modelo AHP'!$U$26*aux!AH118)+('Modelo AHP'!$U$27*aux!AI118)</f>
        <v>0.00777669117094375</v>
      </c>
    </row>
    <row r="118" customFormat="false" ht="15" hidden="false" customHeight="false" outlineLevel="0" collapsed="false">
      <c r="A118" s="138" t="n">
        <f aca="false">_xlfn.RANK.EQ(S118,S$4:S$134)</f>
        <v>29</v>
      </c>
      <c r="B118" s="153" t="s">
        <v>256</v>
      </c>
      <c r="C118" s="154" t="s">
        <v>257</v>
      </c>
      <c r="D118" s="155" t="n">
        <v>0.0991520467836257</v>
      </c>
      <c r="E118" s="156" t="n">
        <v>24737.4617385981</v>
      </c>
      <c r="F118" s="157" t="n">
        <v>11.92</v>
      </c>
      <c r="G118" s="158" t="n">
        <v>13.81</v>
      </c>
      <c r="H118" s="159" t="n">
        <v>0.0625353292159531</v>
      </c>
      <c r="I118" s="160" t="n">
        <v>54182.2</v>
      </c>
      <c r="J118" s="147" t="n">
        <v>0.0308609503769946</v>
      </c>
      <c r="K118" s="148" t="n">
        <v>669</v>
      </c>
      <c r="L118" s="147" t="n">
        <v>0.024252352960072</v>
      </c>
      <c r="M118" s="147" t="n">
        <v>0.0238585329341317</v>
      </c>
      <c r="N118" s="161" t="n">
        <f aca="false">('Modelo AHP'!$U$37*aux!P119)+('Modelo AHP'!$U$38*aux!R119)+('Modelo AHP'!$U$39*aux!S119)</f>
        <v>0.0116419553100298</v>
      </c>
      <c r="O118" s="162" t="n">
        <f aca="false">aux!U119</f>
        <v>0.00765811711196578</v>
      </c>
      <c r="P118" s="161" t="n">
        <f aca="false">('Modelo AHP'!$U$47*aux!V119)+('Modelo AHP'!$U$48*aux!W119)+('Modelo AHP'!$U$49*aux!X119)</f>
        <v>0.0110092588936847</v>
      </c>
      <c r="Q118" s="162" t="n">
        <f aca="false">aux!Z119</f>
        <v>0.00766097884674309</v>
      </c>
      <c r="R118" s="163" t="n">
        <f aca="false">('Modelo AHP'!$U$56*aux!AA119)+('Modelo AHP'!$U$57*aux!AB119)+('Modelo AHP'!$U$58*aux!AC119)+('Modelo AHP'!$U$59*aux!AD119)</f>
        <v>0.0051257831422194</v>
      </c>
      <c r="S118" s="164" t="n">
        <f aca="false">('Modelo AHP'!$U$23*aux!AE119)+('Modelo AHP'!$U$24*aux!AF119)+('Modelo AHP'!$U$25*aux!AG119)+('Modelo AHP'!$U$26*aux!AH119)+('Modelo AHP'!$U$27*aux!AI119)</f>
        <v>0.00923127230149862</v>
      </c>
    </row>
    <row r="119" customFormat="false" ht="15" hidden="false" customHeight="false" outlineLevel="0" collapsed="false">
      <c r="A119" s="138" t="n">
        <f aca="false">_xlfn.RANK.EQ(S119,S$4:S$134)</f>
        <v>57</v>
      </c>
      <c r="B119" s="153" t="s">
        <v>256</v>
      </c>
      <c r="C119" s="154" t="s">
        <v>258</v>
      </c>
      <c r="D119" s="155" t="n">
        <v>0.0360605545160742</v>
      </c>
      <c r="E119" s="156" t="n">
        <v>38092.0998192573</v>
      </c>
      <c r="F119" s="157" t="n">
        <v>8.94</v>
      </c>
      <c r="G119" s="158" t="n">
        <v>9.35</v>
      </c>
      <c r="H119" s="159" t="n">
        <v>0.0625353292159531</v>
      </c>
      <c r="I119" s="160" t="n">
        <v>61754.93</v>
      </c>
      <c r="J119" s="147" t="n">
        <v>0.0308609503769946</v>
      </c>
      <c r="K119" s="148" t="n">
        <v>669</v>
      </c>
      <c r="L119" s="147" t="n">
        <v>0.024252352960072</v>
      </c>
      <c r="M119" s="147" t="n">
        <v>0.0238585329341317</v>
      </c>
      <c r="N119" s="161" t="n">
        <f aca="false">('Modelo AHP'!$U$37*aux!P120)+('Modelo AHP'!$U$38*aux!R120)+('Modelo AHP'!$U$39*aux!S120)</f>
        <v>0.00608323049926175</v>
      </c>
      <c r="O119" s="162" t="n">
        <f aca="false">aux!U120</f>
        <v>0.00763965916219474</v>
      </c>
      <c r="P119" s="161" t="n">
        <f aca="false">('Modelo AHP'!$U$47*aux!V120)+('Modelo AHP'!$U$48*aux!W120)+('Modelo AHP'!$U$49*aux!X120)</f>
        <v>0.00885912392130979</v>
      </c>
      <c r="Q119" s="162" t="n">
        <f aca="false">aux!Z120</f>
        <v>0.00765660019676814</v>
      </c>
      <c r="R119" s="163" t="n">
        <f aca="false">('Modelo AHP'!$U$56*aux!AA120)+('Modelo AHP'!$U$57*aux!AB120)+('Modelo AHP'!$U$58*aux!AC120)+('Modelo AHP'!$U$59*aux!AD120)</f>
        <v>0.0051257831422194</v>
      </c>
      <c r="S119" s="164" t="n">
        <f aca="false">('Modelo AHP'!$U$23*aux!AE120)+('Modelo AHP'!$U$24*aux!AF120)+('Modelo AHP'!$U$25*aux!AG120)+('Modelo AHP'!$U$26*aux!AH120)+('Modelo AHP'!$U$27*aux!AI120)</f>
        <v>0.00756256442770627</v>
      </c>
    </row>
    <row r="120" customFormat="false" ht="15" hidden="false" customHeight="false" outlineLevel="0" collapsed="false">
      <c r="A120" s="138" t="n">
        <f aca="false">_xlfn.RANK.EQ(S120,S$4:S$134)</f>
        <v>84</v>
      </c>
      <c r="B120" s="153" t="s">
        <v>256</v>
      </c>
      <c r="C120" s="154" t="s">
        <v>259</v>
      </c>
      <c r="D120" s="155" t="n">
        <v>0.0175467546754675</v>
      </c>
      <c r="E120" s="156" t="n">
        <v>39290.7010145847</v>
      </c>
      <c r="F120" s="157" t="n">
        <v>5.73</v>
      </c>
      <c r="G120" s="158" t="n">
        <v>6.57</v>
      </c>
      <c r="H120" s="159" t="n">
        <v>0.0625353292159531</v>
      </c>
      <c r="I120" s="160" t="n">
        <v>77028.05</v>
      </c>
      <c r="J120" s="147" t="n">
        <v>0.0308609503769946</v>
      </c>
      <c r="K120" s="148" t="n">
        <v>669</v>
      </c>
      <c r="L120" s="147" t="n">
        <v>0.024252352960072</v>
      </c>
      <c r="M120" s="147" t="n">
        <v>0.0238585329341317</v>
      </c>
      <c r="N120" s="161" t="n">
        <f aca="false">('Modelo AHP'!$U$37*aux!P121)+('Modelo AHP'!$U$38*aux!R121)+('Modelo AHP'!$U$39*aux!S121)</f>
        <v>0.00409621124366544</v>
      </c>
      <c r="O120" s="162" t="n">
        <f aca="false">aux!U121</f>
        <v>0.00763800253020477</v>
      </c>
      <c r="P120" s="161" t="n">
        <f aca="false">('Modelo AHP'!$U$47*aux!V121)+('Modelo AHP'!$U$48*aux!W121)+('Modelo AHP'!$U$49*aux!X121)</f>
        <v>0.00728635129900217</v>
      </c>
      <c r="Q120" s="162" t="n">
        <f aca="false">aux!Z121</f>
        <v>0.0076477690821628</v>
      </c>
      <c r="R120" s="163" t="n">
        <f aca="false">('Modelo AHP'!$U$56*aux!AA121)+('Modelo AHP'!$U$57*aux!AB121)+('Modelo AHP'!$U$58*aux!AC121)+('Modelo AHP'!$U$59*aux!AD121)</f>
        <v>0.0051257831422194</v>
      </c>
      <c r="S120" s="164" t="n">
        <f aca="false">('Modelo AHP'!$U$23*aux!AE121)+('Modelo AHP'!$U$24*aux!AF121)+('Modelo AHP'!$U$25*aux!AG121)+('Modelo AHP'!$U$26*aux!AH121)+('Modelo AHP'!$U$27*aux!AI121)</f>
        <v>0.00669230583010596</v>
      </c>
    </row>
    <row r="121" customFormat="false" ht="15" hidden="false" customHeight="false" outlineLevel="0" collapsed="false">
      <c r="A121" s="138" t="n">
        <f aca="false">_xlfn.RANK.EQ(S121,S$4:S$134)</f>
        <v>61</v>
      </c>
      <c r="B121" s="153" t="s">
        <v>256</v>
      </c>
      <c r="C121" s="154" t="s">
        <v>260</v>
      </c>
      <c r="D121" s="155" t="n">
        <v>0.0423280423280423</v>
      </c>
      <c r="E121" s="156" t="n">
        <v>38691.400416921</v>
      </c>
      <c r="F121" s="157" t="n">
        <v>6.01</v>
      </c>
      <c r="G121" s="158" t="n">
        <v>9.41</v>
      </c>
      <c r="H121" s="159" t="n">
        <v>0.0625353292159531</v>
      </c>
      <c r="I121" s="160" t="n">
        <v>106107.71</v>
      </c>
      <c r="J121" s="147" t="n">
        <v>0.0308609503769946</v>
      </c>
      <c r="K121" s="148" t="n">
        <v>669</v>
      </c>
      <c r="L121" s="147" t="n">
        <v>0.024252352960072</v>
      </c>
      <c r="M121" s="147" t="n">
        <v>0.0238585329341317</v>
      </c>
      <c r="N121" s="161" t="n">
        <f aca="false">('Modelo AHP'!$U$37*aux!P122)+('Modelo AHP'!$U$38*aux!R122)+('Modelo AHP'!$U$39*aux!S122)</f>
        <v>0.00634149103634241</v>
      </c>
      <c r="O121" s="162" t="n">
        <f aca="false">aux!U122</f>
        <v>0.00763883084619976</v>
      </c>
      <c r="P121" s="161" t="n">
        <f aca="false">('Modelo AHP'!$U$47*aux!V122)+('Modelo AHP'!$U$48*aux!W122)+('Modelo AHP'!$U$49*aux!X122)</f>
        <v>0.00837736528946763</v>
      </c>
      <c r="Q121" s="162" t="n">
        <f aca="false">aux!Z122</f>
        <v>0.0076309548483884</v>
      </c>
      <c r="R121" s="163" t="n">
        <f aca="false">('Modelo AHP'!$U$56*aux!AA122)+('Modelo AHP'!$U$57*aux!AB122)+('Modelo AHP'!$U$58*aux!AC122)+('Modelo AHP'!$U$59*aux!AD122)</f>
        <v>0.0051257831422194</v>
      </c>
      <c r="S121" s="164" t="n">
        <f aca="false">('Modelo AHP'!$U$23*aux!AE122)+('Modelo AHP'!$U$24*aux!AF122)+('Modelo AHP'!$U$25*aux!AG122)+('Modelo AHP'!$U$26*aux!AH122)+('Modelo AHP'!$U$27*aux!AI122)</f>
        <v>0.00743884038799195</v>
      </c>
    </row>
    <row r="122" customFormat="false" ht="15" hidden="false" customHeight="false" outlineLevel="0" collapsed="false">
      <c r="A122" s="138" t="n">
        <f aca="false">_xlfn.RANK.EQ(S122,S$4:S$134)</f>
        <v>39</v>
      </c>
      <c r="B122" s="153" t="s">
        <v>261</v>
      </c>
      <c r="C122" s="154" t="s">
        <v>262</v>
      </c>
      <c r="D122" s="155" t="n">
        <v>0.10208501578445</v>
      </c>
      <c r="E122" s="156" t="n">
        <v>31368.0821042939</v>
      </c>
      <c r="F122" s="157" t="n">
        <v>9.08</v>
      </c>
      <c r="G122" s="158" t="n">
        <v>11.26</v>
      </c>
      <c r="H122" s="159" t="n">
        <v>0.052258064516129</v>
      </c>
      <c r="I122" s="160" t="n">
        <v>67547.84</v>
      </c>
      <c r="J122" s="147" t="n">
        <v>0.0555263311707289</v>
      </c>
      <c r="K122" s="148" t="n">
        <v>807</v>
      </c>
      <c r="L122" s="147" t="n">
        <v>0.0681635668626128</v>
      </c>
      <c r="M122" s="147" t="n">
        <v>0.0578218562874252</v>
      </c>
      <c r="N122" s="161" t="n">
        <f aca="false">('Modelo AHP'!$U$37*aux!P123)+('Modelo AHP'!$U$38*aux!R123)+('Modelo AHP'!$U$39*aux!S123)</f>
        <v>0.0095853348653056</v>
      </c>
      <c r="O122" s="162" t="n">
        <f aca="false">aux!U123</f>
        <v>0.00764895268108254</v>
      </c>
      <c r="P122" s="161" t="n">
        <f aca="false">('Modelo AHP'!$U$47*aux!V123)+('Modelo AHP'!$U$48*aux!W123)+('Modelo AHP'!$U$49*aux!X123)</f>
        <v>0.0089455027542108</v>
      </c>
      <c r="Q122" s="162" t="n">
        <f aca="false">aux!Z123</f>
        <v>0.00765325066163004</v>
      </c>
      <c r="R122" s="163" t="n">
        <f aca="false">('Modelo AHP'!$U$56*aux!AA123)+('Modelo AHP'!$U$57*aux!AB123)+('Modelo AHP'!$U$58*aux!AC123)+('Modelo AHP'!$U$59*aux!AD123)</f>
        <v>0.00847474266526328</v>
      </c>
      <c r="S122" s="164" t="n">
        <f aca="false">('Modelo AHP'!$U$23*aux!AE123)+('Modelo AHP'!$U$24*aux!AF123)+('Modelo AHP'!$U$25*aux!AG123)+('Modelo AHP'!$U$26*aux!AH123)+('Modelo AHP'!$U$27*aux!AI123)</f>
        <v>0.00849280262619378</v>
      </c>
    </row>
    <row r="123" customFormat="false" ht="15" hidden="false" customHeight="false" outlineLevel="0" collapsed="false">
      <c r="A123" s="138" t="n">
        <f aca="false">_xlfn.RANK.EQ(S123,S$4:S$134)</f>
        <v>26</v>
      </c>
      <c r="B123" s="153" t="s">
        <v>261</v>
      </c>
      <c r="C123" s="154" t="s">
        <v>263</v>
      </c>
      <c r="D123" s="155" t="n">
        <v>0.0743764679566044</v>
      </c>
      <c r="E123" s="156" t="n">
        <v>23534.7450276702</v>
      </c>
      <c r="F123" s="157" t="n">
        <v>11.97</v>
      </c>
      <c r="G123" s="158" t="n">
        <v>14.41</v>
      </c>
      <c r="H123" s="159" t="n">
        <v>0.052258064516129</v>
      </c>
      <c r="I123" s="160" t="n">
        <v>62968.18</v>
      </c>
      <c r="J123" s="147" t="n">
        <v>0.0555263311707289</v>
      </c>
      <c r="K123" s="148" t="n">
        <v>807</v>
      </c>
      <c r="L123" s="147" t="n">
        <v>0.0681635668626128</v>
      </c>
      <c r="M123" s="147" t="n">
        <v>0.0578218562874252</v>
      </c>
      <c r="N123" s="161" t="n">
        <f aca="false">('Modelo AHP'!$U$37*aux!P124)+('Modelo AHP'!$U$38*aux!R124)+('Modelo AHP'!$U$39*aux!S124)</f>
        <v>0.0108899060611301</v>
      </c>
      <c r="O123" s="162" t="n">
        <f aca="false">aux!U124</f>
        <v>0.00765977943216532</v>
      </c>
      <c r="P123" s="161" t="n">
        <f aca="false">('Modelo AHP'!$U$47*aux!V124)+('Modelo AHP'!$U$48*aux!W124)+('Modelo AHP'!$U$49*aux!X124)</f>
        <v>0.0105991207062821</v>
      </c>
      <c r="Q123" s="162" t="n">
        <f aca="false">aux!Z124</f>
        <v>0.00765589867999914</v>
      </c>
      <c r="R123" s="163" t="n">
        <f aca="false">('Modelo AHP'!$U$56*aux!AA124)+('Modelo AHP'!$U$57*aux!AB124)+('Modelo AHP'!$U$58*aux!AC124)+('Modelo AHP'!$U$59*aux!AD124)</f>
        <v>0.00847474266526328</v>
      </c>
      <c r="S123" s="164" t="n">
        <f aca="false">('Modelo AHP'!$U$23*aux!AE124)+('Modelo AHP'!$U$24*aux!AF124)+('Modelo AHP'!$U$25*aux!AG124)+('Modelo AHP'!$U$26*aux!AH124)+('Modelo AHP'!$U$27*aux!AI124)</f>
        <v>0.00927929162801241</v>
      </c>
    </row>
    <row r="124" customFormat="false" ht="15" hidden="false" customHeight="false" outlineLevel="0" collapsed="false">
      <c r="A124" s="138" t="n">
        <f aca="false">_xlfn.RANK.EQ(S124,S$4:S$134)</f>
        <v>22</v>
      </c>
      <c r="B124" s="153" t="s">
        <v>261</v>
      </c>
      <c r="C124" s="154" t="s">
        <v>264</v>
      </c>
      <c r="D124" s="155" t="n">
        <v>0.107117181883537</v>
      </c>
      <c r="E124" s="156" t="n">
        <v>21841.9888400866</v>
      </c>
      <c r="F124" s="157" t="n">
        <v>13.07</v>
      </c>
      <c r="G124" s="158" t="n">
        <v>15.08</v>
      </c>
      <c r="H124" s="159" t="n">
        <v>0.052258064516129</v>
      </c>
      <c r="I124" s="160" t="n">
        <v>46961.13</v>
      </c>
      <c r="J124" s="147" t="n">
        <v>0.0555263311707289</v>
      </c>
      <c r="K124" s="148" t="n">
        <v>807</v>
      </c>
      <c r="L124" s="147" t="n">
        <v>0.0681635668626128</v>
      </c>
      <c r="M124" s="147" t="n">
        <v>0.0578218562874252</v>
      </c>
      <c r="N124" s="161" t="n">
        <f aca="false">('Modelo AHP'!$U$37*aux!P125)+('Modelo AHP'!$U$38*aux!R125)+('Modelo AHP'!$U$39*aux!S125)</f>
        <v>0.0122242059910255</v>
      </c>
      <c r="O124" s="162" t="n">
        <f aca="false">aux!U125</f>
        <v>0.0076621190544371</v>
      </c>
      <c r="P124" s="161" t="n">
        <f aca="false">('Modelo AHP'!$U$47*aux!V125)+('Modelo AHP'!$U$48*aux!W125)+('Modelo AHP'!$U$49*aux!X125)</f>
        <v>0.0110342865175792</v>
      </c>
      <c r="Q124" s="162" t="n">
        <f aca="false">aux!Z125</f>
        <v>0.00766515416237887</v>
      </c>
      <c r="R124" s="163" t="n">
        <f aca="false">('Modelo AHP'!$U$56*aux!AA125)+('Modelo AHP'!$U$57*aux!AB125)+('Modelo AHP'!$U$58*aux!AC125)+('Modelo AHP'!$U$59*aux!AD125)</f>
        <v>0.00847474266526328</v>
      </c>
      <c r="S124" s="164" t="n">
        <f aca="false">('Modelo AHP'!$U$23*aux!AE125)+('Modelo AHP'!$U$24*aux!AF125)+('Modelo AHP'!$U$25*aux!AG125)+('Modelo AHP'!$U$26*aux!AH125)+('Modelo AHP'!$U$27*aux!AI125)</f>
        <v>0.00965212392455266</v>
      </c>
    </row>
    <row r="125" customFormat="false" ht="15" hidden="false" customHeight="false" outlineLevel="0" collapsed="false">
      <c r="A125" s="138" t="n">
        <f aca="false">_xlfn.RANK.EQ(S125,S$4:S$134)</f>
        <v>37</v>
      </c>
      <c r="B125" s="153" t="s">
        <v>261</v>
      </c>
      <c r="C125" s="154" t="s">
        <v>265</v>
      </c>
      <c r="D125" s="155" t="n">
        <v>0.0595680688416392</v>
      </c>
      <c r="E125" s="156" t="n">
        <v>28111.3514107266</v>
      </c>
      <c r="F125" s="157" t="n">
        <v>10.07</v>
      </c>
      <c r="G125" s="158" t="n">
        <v>11.49</v>
      </c>
      <c r="H125" s="159" t="n">
        <v>0.052258064516129</v>
      </c>
      <c r="I125" s="160" t="n">
        <v>73483.65</v>
      </c>
      <c r="J125" s="147" t="n">
        <v>0.0555263311707289</v>
      </c>
      <c r="K125" s="148" t="n">
        <v>807</v>
      </c>
      <c r="L125" s="147" t="n">
        <v>0.0681635668626128</v>
      </c>
      <c r="M125" s="147" t="n">
        <v>0.0578218562874252</v>
      </c>
      <c r="N125" s="161" t="n">
        <f aca="false">('Modelo AHP'!$U$37*aux!P126)+('Modelo AHP'!$U$38*aux!R126)+('Modelo AHP'!$U$39*aux!S126)</f>
        <v>0.00940050737184774</v>
      </c>
      <c r="O125" s="162" t="n">
        <f aca="false">aux!U126</f>
        <v>0.00765345393159915</v>
      </c>
      <c r="P125" s="161" t="n">
        <f aca="false">('Modelo AHP'!$U$47*aux!V126)+('Modelo AHP'!$U$48*aux!W126)+('Modelo AHP'!$U$49*aux!X126)</f>
        <v>0.00920018347771825</v>
      </c>
      <c r="Q125" s="162" t="n">
        <f aca="false">aux!Z126</f>
        <v>0.00764981849987229</v>
      </c>
      <c r="R125" s="163" t="n">
        <f aca="false">('Modelo AHP'!$U$56*aux!AA126)+('Modelo AHP'!$U$57*aux!AB126)+('Modelo AHP'!$U$58*aux!AC126)+('Modelo AHP'!$U$59*aux!AD126)</f>
        <v>0.00847474266526328</v>
      </c>
      <c r="S125" s="164" t="n">
        <f aca="false">('Modelo AHP'!$U$23*aux!AE126)+('Modelo AHP'!$U$24*aux!AF126)+('Modelo AHP'!$U$25*aux!AG126)+('Modelo AHP'!$U$26*aux!AH126)+('Modelo AHP'!$U$27*aux!AI126)</f>
        <v>0.0085501829097043</v>
      </c>
    </row>
    <row r="126" customFormat="false" ht="15" hidden="false" customHeight="false" outlineLevel="0" collapsed="false">
      <c r="A126" s="138" t="n">
        <f aca="false">_xlfn.RANK.EQ(S126,S$4:S$134)</f>
        <v>76</v>
      </c>
      <c r="B126" s="153" t="s">
        <v>261</v>
      </c>
      <c r="C126" s="154" t="s">
        <v>266</v>
      </c>
      <c r="D126" s="155" t="n">
        <v>0.0243662864385298</v>
      </c>
      <c r="E126" s="156" t="n">
        <v>43369.4685542836</v>
      </c>
      <c r="F126" s="157" t="n">
        <v>5.98</v>
      </c>
      <c r="G126" s="158" t="n">
        <v>7.08</v>
      </c>
      <c r="H126" s="159" t="n">
        <v>0.052258064516129</v>
      </c>
      <c r="I126" s="160" t="n">
        <v>80925.23</v>
      </c>
      <c r="J126" s="147" t="n">
        <v>0.0555263311707289</v>
      </c>
      <c r="K126" s="148" t="n">
        <v>807</v>
      </c>
      <c r="L126" s="147" t="n">
        <v>0.0681635668626128</v>
      </c>
      <c r="M126" s="147" t="n">
        <v>0.0578218562874252</v>
      </c>
      <c r="N126" s="161" t="n">
        <f aca="false">('Modelo AHP'!$U$37*aux!P127)+('Modelo AHP'!$U$38*aux!R127)+('Modelo AHP'!$U$39*aux!S127)</f>
        <v>0.00532296699423168</v>
      </c>
      <c r="O126" s="162" t="n">
        <f aca="false">aux!U127</f>
        <v>0.00763236511151018</v>
      </c>
      <c r="P126" s="161" t="n">
        <f aca="false">('Modelo AHP'!$U$47*aux!V127)+('Modelo AHP'!$U$48*aux!W127)+('Modelo AHP'!$U$49*aux!X127)</f>
        <v>0.00687755288120966</v>
      </c>
      <c r="Q126" s="162" t="n">
        <f aca="false">aux!Z127</f>
        <v>0.00764551568251573</v>
      </c>
      <c r="R126" s="163" t="n">
        <f aca="false">('Modelo AHP'!$U$56*aux!AA127)+('Modelo AHP'!$U$57*aux!AB127)+('Modelo AHP'!$U$58*aux!AC127)+('Modelo AHP'!$U$59*aux!AD127)</f>
        <v>0.00847474266526328</v>
      </c>
      <c r="S126" s="164" t="n">
        <f aca="false">('Modelo AHP'!$U$23*aux!AE127)+('Modelo AHP'!$U$24*aux!AF127)+('Modelo AHP'!$U$25*aux!AG127)+('Modelo AHP'!$U$26*aux!AH127)+('Modelo AHP'!$U$27*aux!AI127)</f>
        <v>0.00706887316207525</v>
      </c>
    </row>
    <row r="127" customFormat="false" ht="15" hidden="false" customHeight="false" outlineLevel="0" collapsed="false">
      <c r="A127" s="138" t="n">
        <f aca="false">_xlfn.RANK.EQ(S127,S$4:S$134)</f>
        <v>63</v>
      </c>
      <c r="B127" s="153" t="s">
        <v>261</v>
      </c>
      <c r="C127" s="154" t="s">
        <v>267</v>
      </c>
      <c r="D127" s="155" t="n">
        <v>0.0939626110940852</v>
      </c>
      <c r="E127" s="156" t="n">
        <v>38202.7270639004</v>
      </c>
      <c r="F127" s="157" t="n">
        <v>5.6</v>
      </c>
      <c r="G127" s="158" t="n">
        <v>7.91</v>
      </c>
      <c r="H127" s="159" t="n">
        <v>0.052258064516129</v>
      </c>
      <c r="I127" s="160" t="n">
        <v>59944.22</v>
      </c>
      <c r="J127" s="147" t="n">
        <v>0.0555263311707289</v>
      </c>
      <c r="K127" s="148" t="n">
        <v>807</v>
      </c>
      <c r="L127" s="147" t="n">
        <v>0.0681635668626128</v>
      </c>
      <c r="M127" s="147" t="n">
        <v>0.0578218562874252</v>
      </c>
      <c r="N127" s="161" t="n">
        <f aca="false">('Modelo AHP'!$U$37*aux!P128)+('Modelo AHP'!$U$38*aux!R128)+('Modelo AHP'!$U$39*aux!S128)</f>
        <v>0.00688500776810221</v>
      </c>
      <c r="O127" s="162" t="n">
        <f aca="false">aux!U128</f>
        <v>0.00763950626010091</v>
      </c>
      <c r="P127" s="161" t="n">
        <f aca="false">('Modelo AHP'!$U$47*aux!V128)+('Modelo AHP'!$U$48*aux!W128)+('Modelo AHP'!$U$49*aux!X128)</f>
        <v>0.00711699725430947</v>
      </c>
      <c r="Q127" s="162" t="n">
        <f aca="false">aux!Z128</f>
        <v>0.00765764717260065</v>
      </c>
      <c r="R127" s="163" t="n">
        <f aca="false">('Modelo AHP'!$U$56*aux!AA128)+('Modelo AHP'!$U$57*aux!AB128)+('Modelo AHP'!$U$58*aux!AC128)+('Modelo AHP'!$U$59*aux!AD128)</f>
        <v>0.00847474266526328</v>
      </c>
      <c r="S127" s="164" t="n">
        <f aca="false">('Modelo AHP'!$U$23*aux!AE128)+('Modelo AHP'!$U$24*aux!AF128)+('Modelo AHP'!$U$25*aux!AG128)+('Modelo AHP'!$U$26*aux!AH128)+('Modelo AHP'!$U$27*aux!AI128)</f>
        <v>0.00741459412820913</v>
      </c>
    </row>
    <row r="128" customFormat="false" ht="15" hidden="false" customHeight="false" outlineLevel="0" collapsed="false">
      <c r="A128" s="138" t="n">
        <f aca="false">_xlfn.RANK.EQ(S128,S$4:S$134)</f>
        <v>38</v>
      </c>
      <c r="B128" s="153" t="s">
        <v>261</v>
      </c>
      <c r="C128" s="154" t="s">
        <v>268</v>
      </c>
      <c r="D128" s="155" t="n">
        <v>0.0875206003015533</v>
      </c>
      <c r="E128" s="156" t="n">
        <v>31306.0089447945</v>
      </c>
      <c r="F128" s="157" t="n">
        <v>8.84</v>
      </c>
      <c r="G128" s="158" t="n">
        <v>11.23</v>
      </c>
      <c r="H128" s="159" t="n">
        <v>0.052258064516129</v>
      </c>
      <c r="I128" s="160" t="n">
        <v>62705.28</v>
      </c>
      <c r="J128" s="147" t="n">
        <v>0.0555263311707289</v>
      </c>
      <c r="K128" s="148" t="n">
        <v>807</v>
      </c>
      <c r="L128" s="147" t="n">
        <v>0.0681635668626128</v>
      </c>
      <c r="M128" s="147" t="n">
        <v>0.0578218562874252</v>
      </c>
      <c r="N128" s="161" t="n">
        <f aca="false">('Modelo AHP'!$U$37*aux!P129)+('Modelo AHP'!$U$38*aux!R129)+('Modelo AHP'!$U$39*aux!S129)</f>
        <v>0.00981038066166063</v>
      </c>
      <c r="O128" s="162" t="n">
        <f aca="false">aux!U129</f>
        <v>0.00764903847474114</v>
      </c>
      <c r="P128" s="161" t="n">
        <f aca="false">('Modelo AHP'!$U$47*aux!V129)+('Modelo AHP'!$U$48*aux!W129)+('Modelo AHP'!$U$49*aux!X129)</f>
        <v>0.00889322035529251</v>
      </c>
      <c r="Q128" s="162" t="n">
        <f aca="false">aux!Z129</f>
        <v>0.00765605069216364</v>
      </c>
      <c r="R128" s="163" t="n">
        <f aca="false">('Modelo AHP'!$U$56*aux!AA129)+('Modelo AHP'!$U$57*aux!AB129)+('Modelo AHP'!$U$58*aux!AC129)+('Modelo AHP'!$U$59*aux!AD129)</f>
        <v>0.00847474266526328</v>
      </c>
      <c r="S128" s="164" t="n">
        <f aca="false">('Modelo AHP'!$U$23*aux!AE129)+('Modelo AHP'!$U$24*aux!AF129)+('Modelo AHP'!$U$25*aux!AG129)+('Modelo AHP'!$U$26*aux!AH129)+('Modelo AHP'!$U$27*aux!AI129)</f>
        <v>0.00851273124733049</v>
      </c>
    </row>
    <row r="129" customFormat="false" ht="15" hidden="false" customHeight="false" outlineLevel="0" collapsed="false">
      <c r="A129" s="138" t="n">
        <f aca="false">_xlfn.RANK.EQ(S129,S$4:S$134)</f>
        <v>74</v>
      </c>
      <c r="B129" s="153" t="s">
        <v>261</v>
      </c>
      <c r="C129" s="154" t="s">
        <v>269</v>
      </c>
      <c r="D129" s="155" t="n">
        <v>0.0372109506511916</v>
      </c>
      <c r="E129" s="156" t="n">
        <v>54441.1045863053</v>
      </c>
      <c r="F129" s="157" t="n">
        <v>6.23</v>
      </c>
      <c r="G129" s="158" t="n">
        <v>7.7</v>
      </c>
      <c r="H129" s="159" t="n">
        <v>0.052258064516129</v>
      </c>
      <c r="I129" s="160" t="n">
        <v>119894.91</v>
      </c>
      <c r="J129" s="147" t="n">
        <v>0.0555263311707289</v>
      </c>
      <c r="K129" s="148" t="n">
        <v>807</v>
      </c>
      <c r="L129" s="147" t="n">
        <v>0.0681635668626128</v>
      </c>
      <c r="M129" s="147" t="n">
        <v>0.0578218562874252</v>
      </c>
      <c r="N129" s="161" t="n">
        <f aca="false">('Modelo AHP'!$U$37*aux!P130)+('Modelo AHP'!$U$38*aux!R130)+('Modelo AHP'!$U$39*aux!S130)</f>
        <v>0.00499557809987461</v>
      </c>
      <c r="O129" s="162" t="n">
        <f aca="false">aux!U130</f>
        <v>0.00761706258511239</v>
      </c>
      <c r="P129" s="161" t="n">
        <f aca="false">('Modelo AHP'!$U$47*aux!V130)+('Modelo AHP'!$U$48*aux!W130)+('Modelo AHP'!$U$49*aux!X130)</f>
        <v>0.00714820730134119</v>
      </c>
      <c r="Q129" s="162" t="n">
        <f aca="false">aux!Z130</f>
        <v>0.00762298291185632</v>
      </c>
      <c r="R129" s="163" t="n">
        <f aca="false">('Modelo AHP'!$U$56*aux!AA130)+('Modelo AHP'!$U$57*aux!AB130)+('Modelo AHP'!$U$58*aux!AC130)+('Modelo AHP'!$U$59*aux!AD130)</f>
        <v>0.00847474266526328</v>
      </c>
      <c r="S129" s="164" t="n">
        <f aca="false">('Modelo AHP'!$U$23*aux!AE130)+('Modelo AHP'!$U$24*aux!AF130)+('Modelo AHP'!$U$25*aux!AG130)+('Modelo AHP'!$U$26*aux!AH130)+('Modelo AHP'!$U$27*aux!AI130)</f>
        <v>0.00710009620022265</v>
      </c>
    </row>
    <row r="130" customFormat="false" ht="15" hidden="false" customHeight="false" outlineLevel="0" collapsed="false">
      <c r="A130" s="138" t="n">
        <f aca="false">_xlfn.RANK.EQ(S130,S$4:S$134)</f>
        <v>122</v>
      </c>
      <c r="B130" s="153" t="s">
        <v>270</v>
      </c>
      <c r="C130" s="154" t="s">
        <v>271</v>
      </c>
      <c r="D130" s="155" t="n">
        <v>0.0241180705543556</v>
      </c>
      <c r="E130" s="156" t="n">
        <v>52281.1907390498</v>
      </c>
      <c r="F130" s="157" t="n">
        <v>4.98</v>
      </c>
      <c r="G130" s="158" t="n">
        <v>6.35</v>
      </c>
      <c r="H130" s="159" t="n">
        <v>0.0331854138529809</v>
      </c>
      <c r="I130" s="160" t="n">
        <v>88289.33</v>
      </c>
      <c r="J130" s="147" t="n">
        <v>0.00935180314454381</v>
      </c>
      <c r="K130" s="148" t="n">
        <v>73</v>
      </c>
      <c r="L130" s="147" t="n">
        <v>0.00825543670296489</v>
      </c>
      <c r="M130" s="147" t="n">
        <v>0.0092315369261477</v>
      </c>
      <c r="N130" s="161" t="n">
        <f aca="false">('Modelo AHP'!$U$37*aux!P131)+('Modelo AHP'!$U$38*aux!R131)+('Modelo AHP'!$U$39*aux!S131)</f>
        <v>0.00400389572174256</v>
      </c>
      <c r="O130" s="162" t="n">
        <f aca="false">aux!U131</f>
        <v>0.00762004788363277</v>
      </c>
      <c r="P130" s="161" t="n">
        <f aca="false">('Modelo AHP'!$U$47*aux!V131)+('Modelo AHP'!$U$48*aux!W131)+('Modelo AHP'!$U$49*aux!X131)</f>
        <v>0.00525157493121916</v>
      </c>
      <c r="Q130" s="162" t="n">
        <f aca="false">aux!Z131</f>
        <v>0.00764125766509262</v>
      </c>
      <c r="R130" s="163" t="n">
        <f aca="false">('Modelo AHP'!$U$56*aux!AA131)+('Modelo AHP'!$U$57*aux!AB131)+('Modelo AHP'!$U$58*aux!AC131)+('Modelo AHP'!$U$59*aux!AD131)</f>
        <v>0.00102026049112298</v>
      </c>
      <c r="S130" s="164" t="n">
        <f aca="false">('Modelo AHP'!$U$23*aux!AE131)+('Modelo AHP'!$U$24*aux!AF131)+('Modelo AHP'!$U$25*aux!AG131)+('Modelo AHP'!$U$26*aux!AH131)+('Modelo AHP'!$U$27*aux!AI131)</f>
        <v>0.00559092873655666</v>
      </c>
    </row>
    <row r="131" customFormat="false" ht="15" hidden="false" customHeight="false" outlineLevel="0" collapsed="false">
      <c r="A131" s="138" t="n">
        <f aca="false">_xlfn.RANK.EQ(S131,S$4:S$134)</f>
        <v>60</v>
      </c>
      <c r="B131" s="153" t="s">
        <v>270</v>
      </c>
      <c r="C131" s="154" t="s">
        <v>272</v>
      </c>
      <c r="D131" s="155" t="n">
        <v>0.138238573021182</v>
      </c>
      <c r="E131" s="156" t="n">
        <v>24254.3146616541</v>
      </c>
      <c r="F131" s="157" t="n">
        <v>7.82</v>
      </c>
      <c r="G131" s="158" t="n">
        <v>9.27</v>
      </c>
      <c r="H131" s="159" t="n">
        <v>0.0331854138529809</v>
      </c>
      <c r="I131" s="160" t="n">
        <v>73598.76</v>
      </c>
      <c r="J131" s="147" t="n">
        <v>0.00935180314454381</v>
      </c>
      <c r="K131" s="148" t="n">
        <v>73</v>
      </c>
      <c r="L131" s="147" t="n">
        <v>0.00825543670296489</v>
      </c>
      <c r="M131" s="147" t="n">
        <v>0.0092315369261477</v>
      </c>
      <c r="N131" s="161" t="n">
        <f aca="false">('Modelo AHP'!$U$37*aux!P132)+('Modelo AHP'!$U$38*aux!R132)+('Modelo AHP'!$U$39*aux!S132)</f>
        <v>0.0118406994874214</v>
      </c>
      <c r="O131" s="162" t="n">
        <f aca="false">aux!U132</f>
        <v>0.00765878488779201</v>
      </c>
      <c r="P131" s="161" t="n">
        <f aca="false">('Modelo AHP'!$U$47*aux!V132)+('Modelo AHP'!$U$48*aux!W132)+('Modelo AHP'!$U$49*aux!X132)</f>
        <v>0.00681213797324285</v>
      </c>
      <c r="Q131" s="162" t="n">
        <f aca="false">aux!Z132</f>
        <v>0.0076497519417884</v>
      </c>
      <c r="R131" s="163" t="n">
        <f aca="false">('Modelo AHP'!$U$56*aux!AA132)+('Modelo AHP'!$U$57*aux!AB132)+('Modelo AHP'!$U$58*aux!AC132)+('Modelo AHP'!$U$59*aux!AD132)</f>
        <v>0.00102026049112298</v>
      </c>
      <c r="S131" s="164" t="n">
        <f aca="false">('Modelo AHP'!$U$23*aux!AE132)+('Modelo AHP'!$U$24*aux!AF132)+('Modelo AHP'!$U$25*aux!AG132)+('Modelo AHP'!$U$26*aux!AH132)+('Modelo AHP'!$U$27*aux!AI132)</f>
        <v>0.00744519350985122</v>
      </c>
    </row>
    <row r="132" customFormat="false" ht="15" hidden="false" customHeight="false" outlineLevel="0" collapsed="false">
      <c r="A132" s="138" t="n">
        <f aca="false">_xlfn.RANK.EQ(S132,S$4:S$134)</f>
        <v>73</v>
      </c>
      <c r="B132" s="153" t="s">
        <v>270</v>
      </c>
      <c r="C132" s="154" t="s">
        <v>273</v>
      </c>
      <c r="D132" s="155" t="n">
        <v>0.101690294438386</v>
      </c>
      <c r="E132" s="156" t="n">
        <v>29450.04216593</v>
      </c>
      <c r="F132" s="157" t="n">
        <v>7.55</v>
      </c>
      <c r="G132" s="158" t="n">
        <v>10.04</v>
      </c>
      <c r="H132" s="159" t="n">
        <v>0.0331854138529809</v>
      </c>
      <c r="I132" s="160" t="n">
        <v>82966.28</v>
      </c>
      <c r="J132" s="147" t="n">
        <v>0.00935180314454381</v>
      </c>
      <c r="K132" s="148" t="n">
        <v>73</v>
      </c>
      <c r="L132" s="147" t="n">
        <v>0.00825543670296489</v>
      </c>
      <c r="M132" s="147" t="n">
        <v>0.0092315369261477</v>
      </c>
      <c r="N132" s="161" t="n">
        <f aca="false">('Modelo AHP'!$U$37*aux!P133)+('Modelo AHP'!$U$38*aux!R133)+('Modelo AHP'!$U$39*aux!S133)</f>
        <v>0.00976744460943289</v>
      </c>
      <c r="O132" s="162" t="n">
        <f aca="false">aux!U133</f>
        <v>0.00765160367653651</v>
      </c>
      <c r="P132" s="161" t="n">
        <f aca="false">('Modelo AHP'!$U$47*aux!V133)+('Modelo AHP'!$U$48*aux!W133)+('Modelo AHP'!$U$49*aux!X133)</f>
        <v>0.00704846353780532</v>
      </c>
      <c r="Q132" s="162" t="n">
        <f aca="false">aux!Z133</f>
        <v>0.00764433552112989</v>
      </c>
      <c r="R132" s="163" t="n">
        <f aca="false">('Modelo AHP'!$U$56*aux!AA133)+('Modelo AHP'!$U$57*aux!AB133)+('Modelo AHP'!$U$58*aux!AC133)+('Modelo AHP'!$U$59*aux!AD133)</f>
        <v>0.00102026049112298</v>
      </c>
      <c r="S132" s="164" t="n">
        <f aca="false">('Modelo AHP'!$U$23*aux!AE133)+('Modelo AHP'!$U$24*aux!AF133)+('Modelo AHP'!$U$25*aux!AG133)+('Modelo AHP'!$U$26*aux!AH133)+('Modelo AHP'!$U$27*aux!AI133)</f>
        <v>0.00717723315285211</v>
      </c>
    </row>
    <row r="133" customFormat="false" ht="15" hidden="false" customHeight="false" outlineLevel="0" collapsed="false">
      <c r="A133" s="138" t="n">
        <f aca="false">_xlfn.RANK.EQ(S133,S$4:S$134)</f>
        <v>103</v>
      </c>
      <c r="B133" s="153" t="s">
        <v>270</v>
      </c>
      <c r="C133" s="154" t="s">
        <v>274</v>
      </c>
      <c r="D133" s="155" t="n">
        <v>0.0519148936170213</v>
      </c>
      <c r="E133" s="156" t="n">
        <v>40271.041996997</v>
      </c>
      <c r="F133" s="157" t="n">
        <v>5.77</v>
      </c>
      <c r="G133" s="158" t="n">
        <v>7.17</v>
      </c>
      <c r="H133" s="159" t="n">
        <v>0.0331854138529809</v>
      </c>
      <c r="I133" s="160" t="n">
        <v>101313.54</v>
      </c>
      <c r="J133" s="147" t="n">
        <v>0.00935180314454381</v>
      </c>
      <c r="K133" s="148" t="n">
        <v>73</v>
      </c>
      <c r="L133" s="147" t="n">
        <v>0.00825543670296489</v>
      </c>
      <c r="M133" s="147" t="n">
        <v>0.0092315369261477</v>
      </c>
      <c r="N133" s="161" t="n">
        <f aca="false">('Modelo AHP'!$U$37*aux!P134)+('Modelo AHP'!$U$38*aux!R134)+('Modelo AHP'!$U$39*aux!S134)</f>
        <v>0.00596469497282087</v>
      </c>
      <c r="O133" s="162" t="n">
        <f aca="false">aux!U134</f>
        <v>0.00763664756389999</v>
      </c>
      <c r="P133" s="161" t="n">
        <f aca="false">('Modelo AHP'!$U$47*aux!V134)+('Modelo AHP'!$U$48*aux!W134)+('Modelo AHP'!$U$49*aux!X134)</f>
        <v>0.00568851978144349</v>
      </c>
      <c r="Q133" s="162" t="n">
        <f aca="false">aux!Z134</f>
        <v>0.00763372689920104</v>
      </c>
      <c r="R133" s="163" t="n">
        <f aca="false">('Modelo AHP'!$U$56*aux!AA134)+('Modelo AHP'!$U$57*aux!AB134)+('Modelo AHP'!$U$58*aux!AC134)+('Modelo AHP'!$U$59*aux!AD134)</f>
        <v>0.00102026049112298</v>
      </c>
      <c r="S133" s="164" t="n">
        <f aca="false">('Modelo AHP'!$U$23*aux!AE134)+('Modelo AHP'!$U$24*aux!AF134)+('Modelo AHP'!$U$25*aux!AG134)+('Modelo AHP'!$U$26*aux!AH134)+('Modelo AHP'!$U$27*aux!AI134)</f>
        <v>0.00607226133473628</v>
      </c>
    </row>
    <row r="134" customFormat="false" ht="15" hidden="false" customHeight="false" outlineLevel="0" collapsed="false">
      <c r="A134" s="138" t="n">
        <f aca="false">_xlfn.RANK.EQ(S134,S$4:S$134)</f>
        <v>130</v>
      </c>
      <c r="B134" s="153" t="s">
        <v>270</v>
      </c>
      <c r="C134" s="154" t="s">
        <v>275</v>
      </c>
      <c r="D134" s="155" t="n">
        <v>0.0243675099866844</v>
      </c>
      <c r="E134" s="156" t="n">
        <v>65879.163713693</v>
      </c>
      <c r="F134" s="157" t="n">
        <v>4.2</v>
      </c>
      <c r="G134" s="158" t="n">
        <v>5.46</v>
      </c>
      <c r="H134" s="159" t="n">
        <v>0.0331854138529809</v>
      </c>
      <c r="I134" s="160" t="n">
        <v>115899.58</v>
      </c>
      <c r="J134" s="147" t="n">
        <v>0.00935180314454381</v>
      </c>
      <c r="K134" s="148" t="n">
        <v>73</v>
      </c>
      <c r="L134" s="147" t="n">
        <v>0.00825543670296489</v>
      </c>
      <c r="M134" s="147" t="n">
        <v>0.0092315369261477</v>
      </c>
      <c r="N134" s="161" t="n">
        <f aca="false">('Modelo AHP'!$U$37*aux!P135)+('Modelo AHP'!$U$38*aux!R135)+('Modelo AHP'!$U$39*aux!S135)</f>
        <v>0.00331518866937878</v>
      </c>
      <c r="O134" s="162" t="n">
        <f aca="false">aux!U135</f>
        <v>0.00760125361151263</v>
      </c>
      <c r="P134" s="161" t="n">
        <f aca="false">('Modelo AHP'!$U$47*aux!V135)+('Modelo AHP'!$U$48*aux!W135)+('Modelo AHP'!$U$49*aux!X135)</f>
        <v>0.0047906449590565</v>
      </c>
      <c r="Q134" s="162" t="n">
        <f aca="false">aux!Z135</f>
        <v>0.00762529306309694</v>
      </c>
      <c r="R134" s="163" t="n">
        <f aca="false">('Modelo AHP'!$U$56*aux!AA135)+('Modelo AHP'!$U$57*aux!AB135)+('Modelo AHP'!$U$58*aux!AC135)+('Modelo AHP'!$U$59*aux!AD135)</f>
        <v>0.00102026049112298</v>
      </c>
      <c r="S134" s="164" t="n">
        <f aca="false">('Modelo AHP'!$U$23*aux!AE135)+('Modelo AHP'!$U$24*aux!AF135)+('Modelo AHP'!$U$25*aux!AG135)+('Modelo AHP'!$U$26*aux!AH135)+('Modelo AHP'!$U$27*aux!AI135)</f>
        <v>0.00531121911379008</v>
      </c>
    </row>
    <row r="135" customFormat="false" ht="15" hidden="false" customHeight="false" outlineLevel="0" collapsed="false">
      <c r="B135" s="169"/>
      <c r="C135" s="169"/>
      <c r="D135" s="169"/>
      <c r="E135" s="169"/>
      <c r="F135" s="169"/>
      <c r="G135" s="169"/>
    </row>
    <row r="155" customFormat="false" ht="15" hidden="false" customHeight="false" outlineLevel="0" collapsed="false">
      <c r="J155" s="170"/>
    </row>
    <row r="156" customFormat="false" ht="15" hidden="false" customHeight="false" outlineLevel="0" collapsed="false">
      <c r="J156" s="170"/>
    </row>
    <row r="157" customFormat="false" ht="15" hidden="false" customHeight="false" outlineLevel="0" collapsed="false">
      <c r="J157" s="170"/>
    </row>
  </sheetData>
  <mergeCells count="3">
    <mergeCell ref="A1:C2"/>
    <mergeCell ref="F2:H2"/>
    <mergeCell ref="J2:M2"/>
  </mergeCells>
  <conditionalFormatting sqref="N4:N130">
    <cfRule type="colorScale" priority="2">
      <colorScale>
        <cfvo type="min" val="0"/>
        <cfvo type="percentile" val="50"/>
        <cfvo type="max" val="0"/>
        <color rgb="FF63BE7B"/>
        <color rgb="FFFFEB84"/>
        <color rgb="FFFF0000"/>
      </colorScale>
    </cfRule>
  </conditionalFormatting>
  <conditionalFormatting sqref="O4:O130">
    <cfRule type="colorScale" priority="3">
      <colorScale>
        <cfvo type="min" val="0"/>
        <cfvo type="percentile" val="50"/>
        <cfvo type="max" val="0"/>
        <color rgb="FF63BE7B"/>
        <color rgb="FFFFEB84"/>
        <color rgb="FFFF0000"/>
      </colorScale>
    </cfRule>
  </conditionalFormatting>
  <conditionalFormatting sqref="P4:P130">
    <cfRule type="colorScale" priority="4">
      <colorScale>
        <cfvo type="min" val="0"/>
        <cfvo type="percentile" val="50"/>
        <cfvo type="max" val="0"/>
        <color rgb="FF63BE7B"/>
        <color rgb="FFFFEB84"/>
        <color rgb="FFFF0000"/>
      </colorScale>
    </cfRule>
  </conditionalFormatting>
  <conditionalFormatting sqref="S4:S130">
    <cfRule type="colorScale" priority="5">
      <colorScale>
        <cfvo type="min" val="0"/>
        <cfvo type="percentile" val="50"/>
        <cfvo type="max" val="0"/>
        <color rgb="FF63BE7B"/>
        <color rgb="FFFFEB84"/>
        <color rgb="FFF8696B"/>
      </colorScale>
    </cfRule>
  </conditionalFormatting>
  <conditionalFormatting sqref="Q4:Q130">
    <cfRule type="colorScale" priority="6">
      <colorScale>
        <cfvo type="min" val="0"/>
        <cfvo type="percentile" val="50"/>
        <cfvo type="max" val="0"/>
        <color rgb="FF63BE7B"/>
        <color rgb="FFFFEB84"/>
        <color rgb="FFF8696B"/>
      </colorScale>
    </cfRule>
  </conditionalFormatting>
  <conditionalFormatting sqref="R103:R130">
    <cfRule type="colorScale" priority="7">
      <colorScale>
        <cfvo type="min" val="0"/>
        <cfvo type="percentile" val="50"/>
        <cfvo type="max" val="0"/>
        <color rgb="FF63BE7B"/>
        <color rgb="FFFFEB84"/>
        <color rgb="FFF8696B"/>
      </colorScale>
    </cfRule>
  </conditionalFormatting>
  <conditionalFormatting sqref="N131:N134">
    <cfRule type="colorScale" priority="8">
      <colorScale>
        <cfvo type="min" val="0"/>
        <cfvo type="percentile" val="50"/>
        <cfvo type="max" val="0"/>
        <color rgb="FF63BE7B"/>
        <color rgb="FFFFEB84"/>
        <color rgb="FFFF0000"/>
      </colorScale>
    </cfRule>
  </conditionalFormatting>
  <conditionalFormatting sqref="O131:O134">
    <cfRule type="colorScale" priority="9">
      <colorScale>
        <cfvo type="min" val="0"/>
        <cfvo type="percentile" val="50"/>
        <cfvo type="max" val="0"/>
        <color rgb="FF63BE7B"/>
        <color rgb="FFFFEB84"/>
        <color rgb="FFFF0000"/>
      </colorScale>
    </cfRule>
  </conditionalFormatting>
  <conditionalFormatting sqref="P131:P134">
    <cfRule type="colorScale" priority="10">
      <colorScale>
        <cfvo type="min" val="0"/>
        <cfvo type="percentile" val="50"/>
        <cfvo type="max" val="0"/>
        <color rgb="FF63BE7B"/>
        <color rgb="FFFFEB84"/>
        <color rgb="FFFF0000"/>
      </colorScale>
    </cfRule>
  </conditionalFormatting>
  <conditionalFormatting sqref="S131:S134">
    <cfRule type="colorScale" priority="11">
      <colorScale>
        <cfvo type="min" val="0"/>
        <cfvo type="percentile" val="50"/>
        <cfvo type="max" val="0"/>
        <color rgb="FF63BE7B"/>
        <color rgb="FFFFEB84"/>
        <color rgb="FFF8696B"/>
      </colorScale>
    </cfRule>
  </conditionalFormatting>
  <conditionalFormatting sqref="Q131:Q134">
    <cfRule type="colorScale" priority="12">
      <colorScale>
        <cfvo type="min" val="0"/>
        <cfvo type="percentile" val="50"/>
        <cfvo type="max" val="0"/>
        <color rgb="FF63BE7B"/>
        <color rgb="FFFFEB84"/>
        <color rgb="FFF8696B"/>
      </colorScale>
    </cfRule>
  </conditionalFormatting>
  <conditionalFormatting sqref="R131:R134">
    <cfRule type="colorScale" priority="13">
      <colorScale>
        <cfvo type="min" val="0"/>
        <cfvo type="percentile" val="50"/>
        <cfvo type="max" val="0"/>
        <color rgb="FF63BE7B"/>
        <color rgb="FFFFEB84"/>
        <color rgb="FFF8696B"/>
      </colorScale>
    </cfRule>
  </conditionalFormatting>
  <conditionalFormatting sqref="A4:A134">
    <cfRule type="colorScale" priority="14">
      <colorScale>
        <cfvo type="min" val="0"/>
        <cfvo type="percentile" val="50"/>
        <cfvo type="max" val="0"/>
        <color rgb="FFFF0000"/>
        <color rgb="FFFFEB84"/>
        <color rgb="FF92D050"/>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4.xml><?xml version="1.0" encoding="utf-8"?>
<worksheet xmlns="http://schemas.openxmlformats.org/spreadsheetml/2006/main" xmlns:r="http://schemas.openxmlformats.org/officeDocument/2006/relationships">
  <sheetPr filterMode="false">
    <tabColor rgb="FF4472C4"/>
    <pageSetUpPr fitToPage="false"/>
  </sheetPr>
  <dimension ref="B1:D25"/>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J35" activeCellId="0" sqref="J35"/>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15.51"/>
    <col collapsed="false" customWidth="true" hidden="false" outlineLevel="0" max="3" min="3" style="0" width="26.38"/>
    <col collapsed="false" customWidth="true" hidden="false" outlineLevel="0" max="4" min="4" style="0" width="12.38"/>
    <col collapsed="false" customWidth="true" hidden="false" outlineLevel="0" max="1025" min="5" style="0" width="10.53"/>
  </cols>
  <sheetData>
    <row r="1" customFormat="false" ht="18" hidden="false" customHeight="true" outlineLevel="0" collapsed="false"/>
    <row r="2" customFormat="false" ht="52.5" hidden="false" customHeight="true" outlineLevel="0" collapsed="false"/>
    <row r="3" customFormat="false" ht="94.5" hidden="false" customHeight="true" outlineLevel="0" collapsed="false">
      <c r="B3" s="171" t="s">
        <v>276</v>
      </c>
      <c r="C3" s="172" t="s">
        <v>277</v>
      </c>
      <c r="D3" s="171" t="s">
        <v>69</v>
      </c>
    </row>
    <row r="4" customFormat="false" ht="15" hidden="false" customHeight="false" outlineLevel="0" collapsed="false">
      <c r="B4" s="173" t="n">
        <f aca="false">_xlfn.RANK.EQ(D4,D$4:D$24)</f>
        <v>1</v>
      </c>
      <c r="C4" s="174" t="s">
        <v>215</v>
      </c>
      <c r="D4" s="175" t="n">
        <f aca="true">AVERAGEIF('Índices y Ranking Barrio'!$B$4:$B$134,CONCATENATE("=",OFFSET($C4,0,0)),'Índices y Ranking Barrio'!S$4:S$134)</f>
        <v>0.0112474508228381</v>
      </c>
    </row>
    <row r="5" customFormat="false" ht="15" hidden="false" customHeight="false" outlineLevel="0" collapsed="false">
      <c r="B5" s="173" t="n">
        <f aca="false">_xlfn.RANK.EQ(D5,D$4:D$24)</f>
        <v>2</v>
      </c>
      <c r="C5" s="176" t="s">
        <v>246</v>
      </c>
      <c r="D5" s="175" t="n">
        <f aca="true">AVERAGEIF('Índices y Ranking Barrio'!$B$4:$B$134,CONCATENATE("=",OFFSET($C5,0,0)),'Índices y Ranking Barrio'!S$4:S$134)</f>
        <v>0.0100838263963099</v>
      </c>
    </row>
    <row r="6" customFormat="false" ht="15" hidden="false" customHeight="false" outlineLevel="0" collapsed="false">
      <c r="B6" s="173" t="n">
        <f aca="false">_xlfn.RANK.EQ(D6,D$4:D$24)</f>
        <v>3</v>
      </c>
      <c r="C6" s="176" t="s">
        <v>207</v>
      </c>
      <c r="D6" s="175" t="n">
        <f aca="true">AVERAGEIF('Índices y Ranking Barrio'!$B$4:$B$134,CONCATENATE("=",OFFSET($C6,0,0)),'Índices y Ranking Barrio'!S$4:S$134)</f>
        <v>0.00989203645034104</v>
      </c>
    </row>
    <row r="7" customFormat="false" ht="15" hidden="false" customHeight="false" outlineLevel="0" collapsed="false">
      <c r="B7" s="173" t="n">
        <f aca="false">_xlfn.RANK.EQ(D7,D$4:D$24)</f>
        <v>4</v>
      </c>
      <c r="C7" s="176" t="s">
        <v>199</v>
      </c>
      <c r="D7" s="175" t="n">
        <f aca="true">AVERAGEIF('Índices y Ranking Barrio'!$B$4:$B$134,CONCATENATE("=",OFFSET($C7,0,0)),'Índices y Ranking Barrio'!S$4:S$134)</f>
        <v>0.00977402452453264</v>
      </c>
    </row>
    <row r="8" customFormat="false" ht="15" hidden="false" customHeight="false" outlineLevel="0" collapsed="false">
      <c r="B8" s="173" t="n">
        <f aca="false">_xlfn.RANK.EQ(D8,D$4:D$24)</f>
        <v>5</v>
      </c>
      <c r="C8" s="176" t="s">
        <v>191</v>
      </c>
      <c r="D8" s="175" t="n">
        <f aca="true">AVERAGEIF('Índices y Ranking Barrio'!$B$4:$B$134,CONCATENATE("=",OFFSET($C8,0,0)),'Índices y Ranking Barrio'!S$4:S$134)</f>
        <v>0.00883872868912743</v>
      </c>
    </row>
    <row r="9" customFormat="false" ht="15" hidden="false" customHeight="false" outlineLevel="0" collapsed="false">
      <c r="B9" s="173" t="n">
        <f aca="false">_xlfn.RANK.EQ(D9,D$4:D$24)</f>
        <v>6</v>
      </c>
      <c r="C9" s="176" t="s">
        <v>252</v>
      </c>
      <c r="D9" s="175" t="n">
        <f aca="true">AVERAGEIF('Índices y Ranking Barrio'!$B$4:$B$134,CONCATENATE("=",OFFSET($C9,0,0)),'Índices y Ranking Barrio'!S$4:S$134)</f>
        <v>0.00848667064267246</v>
      </c>
    </row>
    <row r="10" customFormat="false" ht="15" hidden="false" customHeight="false" outlineLevel="0" collapsed="false">
      <c r="B10" s="173" t="n">
        <f aca="false">_xlfn.RANK.EQ(D10,D$4:D$24)</f>
        <v>7</v>
      </c>
      <c r="C10" s="176" t="s">
        <v>261</v>
      </c>
      <c r="D10" s="175" t="n">
        <f aca="true">AVERAGEIF('Índices y Ranking Barrio'!$B$4:$B$134,CONCATENATE("=",OFFSET($C10,0,0)),'Índices y Ranking Barrio'!S$4:S$134)</f>
        <v>0.00825883697828759</v>
      </c>
    </row>
    <row r="11" customFormat="false" ht="15" hidden="false" customHeight="false" outlineLevel="0" collapsed="false">
      <c r="B11" s="173" t="n">
        <f aca="false">_xlfn.RANK.EQ(D11,D$4:D$24)</f>
        <v>8</v>
      </c>
      <c r="C11" s="176" t="s">
        <v>160</v>
      </c>
      <c r="D11" s="175" t="n">
        <f aca="true">AVERAGEIF('Índices y Ranking Barrio'!$B$4:$B$134,CONCATENATE("=",OFFSET($C11,0,0)),'Índices y Ranking Barrio'!S$4:S$134)</f>
        <v>0.00802243179692113</v>
      </c>
    </row>
    <row r="12" customFormat="false" ht="15" hidden="false" customHeight="false" outlineLevel="0" collapsed="false">
      <c r="B12" s="173" t="n">
        <f aca="false">_xlfn.RANK.EQ(D12,D$4:D$24)</f>
        <v>9</v>
      </c>
      <c r="C12" s="176" t="s">
        <v>222</v>
      </c>
      <c r="D12" s="175" t="n">
        <f aca="true">AVERAGEIF('Índices y Ranking Barrio'!$B$4:$B$134,CONCATENATE("=",OFFSET($C12,0,0)),'Índices y Ranking Barrio'!S$4:S$134)</f>
        <v>0.00782464609286469</v>
      </c>
    </row>
    <row r="13" customFormat="false" ht="15" hidden="false" customHeight="false" outlineLevel="0" collapsed="false">
      <c r="B13" s="173" t="n">
        <f aca="false">_xlfn.RANK.EQ(D13,D$4:D$24)</f>
        <v>10</v>
      </c>
      <c r="C13" s="176" t="s">
        <v>256</v>
      </c>
      <c r="D13" s="175" t="n">
        <f aca="true">AVERAGEIF('Índices y Ranking Barrio'!$B$4:$B$134,CONCATENATE("=",OFFSET($C13,0,0)),'Índices y Ranking Barrio'!S$4:S$134)</f>
        <v>0.0077312457368257</v>
      </c>
    </row>
    <row r="14" customFormat="false" ht="15" hidden="false" customHeight="false" outlineLevel="0" collapsed="false">
      <c r="B14" s="173" t="n">
        <f aca="false">_xlfn.RANK.EQ(D14,D$4:D$24)</f>
        <v>11</v>
      </c>
      <c r="C14" s="176" t="s">
        <v>124</v>
      </c>
      <c r="D14" s="175" t="n">
        <f aca="true">AVERAGEIF('Índices y Ranking Barrio'!$B$4:$B$134,CONCATENATE("=",OFFSET($C14,0,0)),'Índices y Ranking Barrio'!S$4:S$134)</f>
        <v>0.0075902988585447</v>
      </c>
    </row>
    <row r="15" customFormat="false" ht="15" hidden="false" customHeight="false" outlineLevel="0" collapsed="false">
      <c r="B15" s="173" t="n">
        <f aca="false">_xlfn.RANK.EQ(D15,D$4:D$24)</f>
        <v>12</v>
      </c>
      <c r="C15" s="176" t="s">
        <v>229</v>
      </c>
      <c r="D15" s="175" t="n">
        <f aca="true">AVERAGEIF('Índices y Ranking Barrio'!$B$4:$B$134,CONCATENATE("=",OFFSET($C15,0,0)),'Índices y Ranking Barrio'!S$4:S$134)</f>
        <v>0.00739161692756841</v>
      </c>
    </row>
    <row r="16" customFormat="false" ht="15" hidden="false" customHeight="false" outlineLevel="0" collapsed="false">
      <c r="B16" s="173" t="n">
        <f aca="false">_xlfn.RANK.EQ(D16,D$4:D$24)</f>
        <v>13</v>
      </c>
      <c r="C16" s="176" t="s">
        <v>131</v>
      </c>
      <c r="D16" s="175" t="n">
        <f aca="true">AVERAGEIF('Índices y Ranking Barrio'!$B$4:$B$134,CONCATENATE("=",OFFSET($C16,0,0)),'Índices y Ranking Barrio'!S$4:S$134)</f>
        <v>0.00665639688871554</v>
      </c>
    </row>
    <row r="17" customFormat="false" ht="15" hidden="false" customHeight="false" outlineLevel="0" collapsed="false">
      <c r="B17" s="173" t="n">
        <f aca="false">_xlfn.RANK.EQ(D17,D$4:D$24)</f>
        <v>14</v>
      </c>
      <c r="C17" s="176" t="s">
        <v>239</v>
      </c>
      <c r="D17" s="175" t="n">
        <f aca="true">AVERAGEIF('Índices y Ranking Barrio'!$B$4:$B$134,CONCATENATE("=",OFFSET($C17,0,0)),'Índices y Ranking Barrio'!S$4:S$134)</f>
        <v>0.0066335065039398</v>
      </c>
    </row>
    <row r="18" customFormat="false" ht="15" hidden="false" customHeight="false" outlineLevel="0" collapsed="false">
      <c r="B18" s="173" t="n">
        <f aca="false">_xlfn.RANK.EQ(D18,D$4:D$24)</f>
        <v>15</v>
      </c>
      <c r="C18" s="176" t="s">
        <v>174</v>
      </c>
      <c r="D18" s="175" t="n">
        <f aca="true">AVERAGEIF('Índices y Ranking Barrio'!$B$4:$B$134,CONCATENATE("=",OFFSET($C18,0,0)),'Índices y Ranking Barrio'!S$4:S$134)</f>
        <v>0.00649229967215556</v>
      </c>
    </row>
    <row r="19" customFormat="false" ht="15" hidden="false" customHeight="false" outlineLevel="0" collapsed="false">
      <c r="B19" s="173" t="n">
        <f aca="false">_xlfn.RANK.EQ(D19,D$4:D$24)</f>
        <v>16</v>
      </c>
      <c r="C19" s="176" t="s">
        <v>270</v>
      </c>
      <c r="D19" s="175" t="n">
        <f aca="true">AVERAGEIF('Índices y Ranking Barrio'!$B$4:$B$134,CONCATENATE("=",OFFSET($C19,0,0)),'Índices y Ranking Barrio'!S$4:S$134)</f>
        <v>0.00631936716955727</v>
      </c>
    </row>
    <row r="20" customFormat="false" ht="15" hidden="false" customHeight="false" outlineLevel="0" collapsed="false">
      <c r="B20" s="173" t="n">
        <f aca="false">_xlfn.RANK.EQ(D20,D$4:D$24)</f>
        <v>17</v>
      </c>
      <c r="C20" s="176" t="s">
        <v>167</v>
      </c>
      <c r="D20" s="175" t="n">
        <f aca="true">AVERAGEIF('Índices y Ranking Barrio'!$B$4:$B$134,CONCATENATE("=",OFFSET($C20,0,0)),'Índices y Ranking Barrio'!S$4:S$134)</f>
        <v>0.00602644917923865</v>
      </c>
    </row>
    <row r="21" customFormat="false" ht="15" hidden="false" customHeight="false" outlineLevel="0" collapsed="false">
      <c r="B21" s="173" t="n">
        <f aca="false">_xlfn.RANK.EQ(D21,D$4:D$24)</f>
        <v>18</v>
      </c>
      <c r="C21" s="176" t="s">
        <v>183</v>
      </c>
      <c r="D21" s="175" t="n">
        <f aca="true">AVERAGEIF('Índices y Ranking Barrio'!$B$4:$B$134,CONCATENATE("=",OFFSET($C21,0,0)),'Índices y Ranking Barrio'!S$4:S$134)</f>
        <v>0.00596066192178061</v>
      </c>
    </row>
    <row r="22" customFormat="false" ht="15" hidden="false" customHeight="false" outlineLevel="0" collapsed="false">
      <c r="B22" s="173" t="n">
        <f aca="false">_xlfn.RANK.EQ(D22,D$4:D$24)</f>
        <v>19</v>
      </c>
      <c r="C22" s="176" t="s">
        <v>146</v>
      </c>
      <c r="D22" s="175" t="n">
        <f aca="true">AVERAGEIF('Índices y Ranking Barrio'!$B$4:$B$134,CONCATENATE("=",OFFSET($C22,0,0)),'Índices y Ranking Barrio'!S$4:S$134)</f>
        <v>0.00590834695184675</v>
      </c>
    </row>
    <row r="23" customFormat="false" ht="15" hidden="false" customHeight="false" outlineLevel="0" collapsed="false">
      <c r="B23" s="173" t="n">
        <f aca="false">_xlfn.RANK.EQ(D23,D$4:D$24)</f>
        <v>20</v>
      </c>
      <c r="C23" s="176" t="s">
        <v>139</v>
      </c>
      <c r="D23" s="175" t="n">
        <f aca="true">AVERAGEIF('Índices y Ranking Barrio'!$B$4:$B$134,CONCATENATE("=",OFFSET($C23,0,0)),'Índices y Ranking Barrio'!S$4:S$134)</f>
        <v>0.00585454567248305</v>
      </c>
    </row>
    <row r="24" customFormat="false" ht="15" hidden="false" customHeight="false" outlineLevel="0" collapsed="false">
      <c r="B24" s="173" t="n">
        <f aca="false">_xlfn.RANK.EQ(D24,D$4:D$24)</f>
        <v>21</v>
      </c>
      <c r="C24" s="176" t="s">
        <v>153</v>
      </c>
      <c r="D24" s="175" t="n">
        <f aca="true">AVERAGEIF('Índices y Ranking Barrio'!$B$4:$B$134,CONCATENATE("=",OFFSET($C24,0,0)),'Índices y Ranking Barrio'!S$4:S$134)</f>
        <v>0.00576106619169023</v>
      </c>
    </row>
    <row r="25" customFormat="false" ht="13.5" hidden="false" customHeight="true" outlineLevel="0" collapsed="false"/>
  </sheetData>
  <autoFilter ref="B3:D3"/>
  <conditionalFormatting sqref="D4:D24">
    <cfRule type="colorScale" priority="2">
      <colorScale>
        <cfvo type="min" val="0"/>
        <cfvo type="percentile" val="50"/>
        <cfvo type="max" val="0"/>
        <color rgb="FF63BE7B"/>
        <color rgb="FFFFEB84"/>
        <color rgb="FFF8696B"/>
      </colorScale>
    </cfRule>
  </conditionalFormatting>
  <conditionalFormatting sqref="B4:B24">
    <cfRule type="colorScale" priority="3">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AJ135"/>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pane xSplit="3" ySplit="4" topLeftCell="D5" activePane="bottomRight" state="frozen"/>
      <selection pane="topLeft" activeCell="A1" activeCellId="0" sqref="A1"/>
      <selection pane="topRight" activeCell="D1" activeCellId="0" sqref="D1"/>
      <selection pane="bottomLeft" activeCell="A5" activeCellId="0" sqref="A5"/>
      <selection pane="bottomRight" activeCell="K6" activeCellId="0" sqref="K6"/>
    </sheetView>
  </sheetViews>
  <sheetFormatPr defaultRowHeight="15" zeroHeight="false" outlineLevelRow="0" outlineLevelCol="0"/>
  <cols>
    <col collapsed="false" customWidth="true" hidden="false" outlineLevel="0" max="1" min="1" style="0" width="13.75"/>
    <col collapsed="false" customWidth="true" hidden="false" outlineLevel="0" max="2" min="2" style="0" width="20"/>
    <col collapsed="false" customWidth="true" hidden="false" outlineLevel="0" max="3" min="3" style="0" width="29.25"/>
    <col collapsed="false" customWidth="true" hidden="false" outlineLevel="0" max="4" min="4" style="0" width="13.25"/>
    <col collapsed="false" customWidth="true" hidden="false" outlineLevel="0" max="6" min="5" style="0" width="10.53"/>
    <col collapsed="false" customWidth="true" hidden="false" outlineLevel="0" max="7" min="7" style="0" width="12.75"/>
    <col collapsed="false" customWidth="true" hidden="false" outlineLevel="0" max="10" min="8" style="0" width="10.53"/>
    <col collapsed="false" customWidth="true" hidden="false" outlineLevel="0" max="11" min="11" style="0" width="12.75"/>
    <col collapsed="false" customWidth="true" hidden="false" outlineLevel="0" max="12" min="12" style="0" width="13.75"/>
    <col collapsed="false" customWidth="true" hidden="false" outlineLevel="0" max="14" min="13" style="0" width="12.25"/>
    <col collapsed="false" customWidth="true" hidden="false" outlineLevel="0" max="15" min="15" style="0" width="13.75"/>
    <col collapsed="false" customWidth="true" hidden="false" outlineLevel="0" max="16" min="16" style="0" width="15.75"/>
    <col collapsed="false" customWidth="true" hidden="false" outlineLevel="0" max="26" min="17" style="0" width="10.75"/>
    <col collapsed="false" customWidth="true" hidden="false" outlineLevel="0" max="27" min="27" style="0" width="13.75"/>
    <col collapsed="false" customWidth="true" hidden="false" outlineLevel="0" max="28" min="28" style="0" width="10.75"/>
    <col collapsed="false" customWidth="true" hidden="false" outlineLevel="0" max="29" min="29" style="0" width="13.25"/>
    <col collapsed="false" customWidth="true" hidden="false" outlineLevel="0" max="30" min="30" style="0" width="14.75"/>
    <col collapsed="false" customWidth="true" hidden="false" outlineLevel="0" max="31" min="31" style="0" width="10.53"/>
    <col collapsed="false" customWidth="true" hidden="false" outlineLevel="0" max="32" min="32" style="0" width="13.13"/>
    <col collapsed="false" customWidth="true" hidden="false" outlineLevel="0" max="33" min="33" style="0" width="12"/>
    <col collapsed="false" customWidth="true" hidden="false" outlineLevel="0" max="34" min="34" style="0" width="10.53"/>
    <col collapsed="false" customWidth="true" hidden="false" outlineLevel="0" max="36" min="35" style="0" width="14.51"/>
    <col collapsed="false" customWidth="true" hidden="false" outlineLevel="0" max="1025" min="37" style="0" width="10.53"/>
  </cols>
  <sheetData>
    <row r="1" customFormat="false" ht="15" hidden="false" customHeight="false" outlineLevel="0" collapsed="false">
      <c r="A1" s="0" t="s">
        <v>278</v>
      </c>
      <c r="B1" s="177" t="n">
        <f aca="false">SUM('Índices y Ranking Barrio'!$D$4:$M$134)</f>
        <v>18977932.0725102</v>
      </c>
      <c r="C1" s="178" t="n">
        <f aca="false">SUM(D5:O135)</f>
        <v>18988853.8279684</v>
      </c>
      <c r="D1" s="178" t="n">
        <f aca="false">B1-C1</f>
        <v>-10921.7554581575</v>
      </c>
      <c r="P1" s="179" t="n">
        <f aca="false">SUM(D5:D135)</f>
        <v>10.925091221735</v>
      </c>
      <c r="Q1" s="179" t="n">
        <f aca="false">SUM(E5:E135)</f>
        <v>10872.98</v>
      </c>
      <c r="R1" s="179" t="n">
        <f aca="false">SUM(Q5:Q135)</f>
        <v>130</v>
      </c>
      <c r="S1" s="179" t="n">
        <f aca="false">SUM(F5:F135)</f>
        <v>48.7754581606853</v>
      </c>
      <c r="T1" s="179" t="n">
        <f aca="false">SUM(G5:G135)</f>
        <v>5565514.39949402</v>
      </c>
      <c r="U1" s="179" t="n">
        <f aca="false">SUM(T5:T135)</f>
        <v>130</v>
      </c>
      <c r="V1" s="179" t="n">
        <f aca="false">SUM(H5:H135)</f>
        <v>984.05</v>
      </c>
      <c r="W1" s="179" t="n">
        <f aca="false">SUM(I5:I135)</f>
        <v>1207.57</v>
      </c>
      <c r="X1" s="179" t="n">
        <f aca="false">SUM(J5:J135)</f>
        <v>6.22964126010221</v>
      </c>
      <c r="Y1" s="179" t="n">
        <f aca="false">SUM(K5:K135)</f>
        <v>13303591.19</v>
      </c>
      <c r="Z1" s="179" t="n">
        <f aca="false">SUM(Y5:Y135)</f>
        <v>130</v>
      </c>
      <c r="AA1" s="179" t="n">
        <f aca="false">SUM(L5:L135)</f>
        <v>6.54678824010755</v>
      </c>
      <c r="AB1" s="179" t="n">
        <f aca="false">SUM(M5:M135)</f>
        <v>106598</v>
      </c>
      <c r="AC1" s="179" t="n">
        <f aca="false">SUM(N5:N135)</f>
        <v>6.58970158363046</v>
      </c>
      <c r="AD1" s="179" t="n">
        <f aca="false">SUM(O5:O135)</f>
        <v>6.57179391217565</v>
      </c>
    </row>
    <row r="2" customFormat="false" ht="15" hidden="false" customHeight="false" outlineLevel="0" collapsed="false">
      <c r="B2" s="177" t="s">
        <v>279</v>
      </c>
      <c r="C2" s="177" t="s">
        <v>280</v>
      </c>
      <c r="D2" s="177"/>
      <c r="P2" s="180" t="s">
        <v>281</v>
      </c>
      <c r="Q2" s="180"/>
      <c r="R2" s="180"/>
      <c r="S2" s="180"/>
      <c r="T2" s="180"/>
      <c r="U2" s="180"/>
      <c r="V2" s="180"/>
      <c r="W2" s="180"/>
      <c r="X2" s="180"/>
      <c r="Y2" s="180"/>
      <c r="Z2" s="180"/>
      <c r="AA2" s="180"/>
      <c r="AB2" s="180"/>
      <c r="AC2" s="180"/>
      <c r="AD2" s="180"/>
    </row>
    <row r="3" customFormat="false" ht="30" hidden="false" customHeight="true" outlineLevel="0" collapsed="false">
      <c r="D3" s="181" t="s">
        <v>70</v>
      </c>
      <c r="E3" s="181"/>
      <c r="F3" s="181"/>
      <c r="G3" s="182" t="s">
        <v>115</v>
      </c>
      <c r="H3" s="181" t="s">
        <v>72</v>
      </c>
      <c r="I3" s="181"/>
      <c r="J3" s="181"/>
      <c r="K3" s="183" t="s">
        <v>73</v>
      </c>
      <c r="L3" s="181" t="s">
        <v>74</v>
      </c>
      <c r="M3" s="181"/>
      <c r="N3" s="181"/>
      <c r="O3" s="181"/>
      <c r="P3" s="181" t="s">
        <v>70</v>
      </c>
      <c r="Q3" s="181"/>
      <c r="R3" s="181"/>
      <c r="S3" s="181"/>
      <c r="T3" s="181" t="s">
        <v>115</v>
      </c>
      <c r="U3" s="181"/>
      <c r="V3" s="181" t="s">
        <v>72</v>
      </c>
      <c r="W3" s="181"/>
      <c r="X3" s="181"/>
      <c r="Y3" s="181" t="s">
        <v>73</v>
      </c>
      <c r="Z3" s="181"/>
      <c r="AA3" s="181" t="s">
        <v>74</v>
      </c>
      <c r="AB3" s="181"/>
      <c r="AC3" s="181"/>
      <c r="AD3" s="181"/>
    </row>
    <row r="4" s="125" customFormat="true" ht="30.9" hidden="false" customHeight="false" outlineLevel="0" collapsed="false">
      <c r="A4" s="184" t="s">
        <v>116</v>
      </c>
      <c r="B4" s="185" t="s">
        <v>282</v>
      </c>
      <c r="C4" s="186" t="s">
        <v>283</v>
      </c>
      <c r="D4" s="187" t="s">
        <v>284</v>
      </c>
      <c r="E4" s="187" t="s">
        <v>91</v>
      </c>
      <c r="F4" s="187" t="s">
        <v>92</v>
      </c>
      <c r="G4" s="188" t="s">
        <v>285</v>
      </c>
      <c r="H4" s="187" t="s">
        <v>120</v>
      </c>
      <c r="I4" s="187" t="s">
        <v>97</v>
      </c>
      <c r="J4" s="187" t="s">
        <v>121</v>
      </c>
      <c r="K4" s="189" t="s">
        <v>122</v>
      </c>
      <c r="L4" s="187" t="s">
        <v>123</v>
      </c>
      <c r="M4" s="187" t="s">
        <v>105</v>
      </c>
      <c r="N4" s="187" t="s">
        <v>106</v>
      </c>
      <c r="O4" s="187" t="s">
        <v>107</v>
      </c>
      <c r="P4" s="187" t="s">
        <v>284</v>
      </c>
      <c r="Q4" s="187" t="s">
        <v>91</v>
      </c>
      <c r="R4" s="187" t="s">
        <v>286</v>
      </c>
      <c r="S4" s="187" t="s">
        <v>92</v>
      </c>
      <c r="T4" s="188" t="s">
        <v>285</v>
      </c>
      <c r="U4" s="188" t="s">
        <v>287</v>
      </c>
      <c r="V4" s="187" t="s">
        <v>120</v>
      </c>
      <c r="W4" s="187" t="s">
        <v>288</v>
      </c>
      <c r="X4" s="187" t="s">
        <v>121</v>
      </c>
      <c r="Y4" s="189" t="s">
        <v>122</v>
      </c>
      <c r="Z4" s="189" t="s">
        <v>289</v>
      </c>
      <c r="AA4" s="190" t="s">
        <v>123</v>
      </c>
      <c r="AB4" s="190" t="s">
        <v>105</v>
      </c>
      <c r="AC4" s="187" t="s">
        <v>106</v>
      </c>
      <c r="AD4" s="187" t="s">
        <v>107</v>
      </c>
      <c r="AE4" s="191" t="s">
        <v>70</v>
      </c>
      <c r="AF4" s="192" t="s">
        <v>71</v>
      </c>
      <c r="AG4" s="193" t="s">
        <v>72</v>
      </c>
      <c r="AH4" s="192" t="s">
        <v>73</v>
      </c>
      <c r="AI4" s="193" t="s">
        <v>74</v>
      </c>
      <c r="AJ4" s="194" t="s">
        <v>69</v>
      </c>
    </row>
    <row r="5" customFormat="false" ht="15" hidden="false" customHeight="false" outlineLevel="0" collapsed="false">
      <c r="A5" s="195" t="n">
        <f aca="false">_xlfn.RANK.EQ(AJ5,AJ$5:AJ$135)</f>
        <v>58</v>
      </c>
      <c r="B5" s="196" t="s">
        <v>124</v>
      </c>
      <c r="C5" s="197" t="s">
        <v>125</v>
      </c>
      <c r="D5" s="198" t="n">
        <v>0.0772373972906951</v>
      </c>
      <c r="E5" s="199" t="n">
        <v>79.53</v>
      </c>
      <c r="F5" s="198" t="n">
        <v>0.26652407532996</v>
      </c>
      <c r="G5" s="200" t="n">
        <v>34675.8479134597</v>
      </c>
      <c r="H5" s="201" t="n">
        <v>8.21</v>
      </c>
      <c r="I5" s="201" t="n">
        <v>10.76</v>
      </c>
      <c r="J5" s="198" t="n">
        <v>0.0474973847268045</v>
      </c>
      <c r="K5" s="202" t="n">
        <v>124121.57</v>
      </c>
      <c r="L5" s="198" t="n">
        <v>0.0347185691741189</v>
      </c>
      <c r="M5" s="203" t="n">
        <v>897</v>
      </c>
      <c r="N5" s="198" t="n">
        <v>0.028845844977675</v>
      </c>
      <c r="O5" s="198" t="n">
        <v>0.0276322355289421</v>
      </c>
      <c r="P5" s="204" t="n">
        <f aca="false">D5/$P$1</f>
        <v>0.00706972561812891</v>
      </c>
      <c r="Q5" s="204" t="n">
        <f aca="false">1-(E5/Q$1)</f>
        <v>0.99268553791141</v>
      </c>
      <c r="R5" s="204" t="n">
        <f aca="false">Q5/R$1</f>
        <v>0.00763604259931854</v>
      </c>
      <c r="S5" s="204" t="n">
        <f aca="false">F5/S$1</f>
        <v>0.00546430695641907</v>
      </c>
      <c r="T5" s="204" t="n">
        <f aca="false">1-(G5/T$1)</f>
        <v>0.993769516090622</v>
      </c>
      <c r="U5" s="205" t="n">
        <f aca="false">T5/U$1</f>
        <v>0.00764438089300479</v>
      </c>
      <c r="V5" s="204" t="n">
        <f aca="false">H5/V$1</f>
        <v>0.00834307199837407</v>
      </c>
      <c r="W5" s="204" t="n">
        <f aca="false">I5/W$1</f>
        <v>0.0089104565366811</v>
      </c>
      <c r="X5" s="204" t="n">
        <f aca="false">J5/X$1</f>
        <v>0.00762441732094622</v>
      </c>
      <c r="Y5" s="204" t="n">
        <f aca="false">1-(K5/Y$1)</f>
        <v>0.990670070342112</v>
      </c>
      <c r="Z5" s="205" t="n">
        <f aca="false">Y5/Z$1</f>
        <v>0.00762053900263163</v>
      </c>
      <c r="AA5" s="204" t="n">
        <f aca="false">L5/$AA$1</f>
        <v>0.00530314528296833</v>
      </c>
      <c r="AB5" s="204" t="n">
        <f aca="false">M5/AB$1</f>
        <v>0.0084147920223644</v>
      </c>
      <c r="AC5" s="204" t="n">
        <f aca="false">N5/AC$1</f>
        <v>0.00437741293920368</v>
      </c>
      <c r="AD5" s="204" t="n">
        <f aca="false">O5/AD$1</f>
        <v>0.00420467164646589</v>
      </c>
      <c r="AE5" s="206" t="n">
        <f aca="false">('Modelo AHP'!$U$37*aux!P5)+('Modelo AHP'!$U$38*aux!R5)+('Modelo AHP'!$U$39*aux!S5)</f>
        <v>0.00616310611922197</v>
      </c>
      <c r="AF5" s="207" t="n">
        <f aca="false">aux!U5</f>
        <v>0.00764438089300479</v>
      </c>
      <c r="AG5" s="206" t="n">
        <f aca="false">('Modelo AHP'!$U$47*aux!V5)+('Modelo AHP'!$U$48*aux!W5)+('Modelo AHP'!$U$49*aux!X5)</f>
        <v>0.00831628083217811</v>
      </c>
      <c r="AH5" s="207" t="n">
        <f aca="false">Z5</f>
        <v>0.00762053900263163</v>
      </c>
      <c r="AI5" s="206" t="n">
        <f aca="false">('Modelo AHP'!$U$56*aux!AA5)+('Modelo AHP'!$U$57*aux!AB5)+('Modelo AHP'!$U$58*aux!AC5)+('Modelo AHP'!$U$59*aux!AD5)</f>
        <v>0.00650164045983393</v>
      </c>
      <c r="AJ5" s="208" t="n">
        <f aca="false">('Modelo AHP'!$U$23*aux!AE5)+('Modelo AHP'!$U$24*aux!AF5)+('Modelo AHP'!$U$25*aux!AG5)+('Modelo AHP'!$U$26*aux!AH5)+('Modelo AHP'!$U$27*aux!AI5)</f>
        <v>0.00751801027438852</v>
      </c>
    </row>
    <row r="6" customFormat="false" ht="15" hidden="false" customHeight="false" outlineLevel="0" collapsed="false">
      <c r="A6" s="195" t="n">
        <f aca="false">_xlfn.RANK.EQ(AJ6,AJ$5:AJ$135)</f>
        <v>44</v>
      </c>
      <c r="B6" s="196" t="s">
        <v>124</v>
      </c>
      <c r="C6" s="197" t="s">
        <v>126</v>
      </c>
      <c r="D6" s="198" t="n">
        <v>0.163634326686086</v>
      </c>
      <c r="E6" s="199" t="n">
        <v>82.04</v>
      </c>
      <c r="F6" s="198" t="n">
        <v>0.350727162351202</v>
      </c>
      <c r="G6" s="200" t="n">
        <v>25999.8327430822</v>
      </c>
      <c r="H6" s="201" t="n">
        <v>8.94</v>
      </c>
      <c r="I6" s="201" t="n">
        <v>11.99</v>
      </c>
      <c r="J6" s="198" t="n">
        <v>0.0474973847268045</v>
      </c>
      <c r="K6" s="202" t="n">
        <v>86821.52</v>
      </c>
      <c r="L6" s="198" t="n">
        <v>0.0347185691741189</v>
      </c>
      <c r="M6" s="203" t="n">
        <v>897</v>
      </c>
      <c r="N6" s="198" t="n">
        <v>0.028845844977675</v>
      </c>
      <c r="O6" s="198" t="n">
        <v>0.0276322355289421</v>
      </c>
      <c r="P6" s="204" t="n">
        <f aca="false">D6/$P$1</f>
        <v>0.0149778453438029</v>
      </c>
      <c r="Q6" s="204" t="n">
        <f aca="false">1-(E6/Q$1)</f>
        <v>0.992454690434453</v>
      </c>
      <c r="R6" s="204" t="n">
        <f aca="false">Q6/R$1</f>
        <v>0.0076342668494958</v>
      </c>
      <c r="S6" s="204" t="n">
        <f aca="false">F6/S$1</f>
        <v>0.00719064823944392</v>
      </c>
      <c r="T6" s="204" t="n">
        <f aca="false">1-(G6/T$1)</f>
        <v>0.995328404370772</v>
      </c>
      <c r="U6" s="205" t="n">
        <f aca="false">T6/U$1</f>
        <v>0.00765637234131363</v>
      </c>
      <c r="V6" s="204" t="n">
        <f aca="false">H6/V$1</f>
        <v>0.00908490422234642</v>
      </c>
      <c r="W6" s="204" t="n">
        <f aca="false">I6/W$1</f>
        <v>0.0099290310292571</v>
      </c>
      <c r="X6" s="204" t="n">
        <f aca="false">J6/X$1</f>
        <v>0.00762441732094622</v>
      </c>
      <c r="Y6" s="204" t="n">
        <f aca="false">1-(K6/Y$1)</f>
        <v>0.993473828324997</v>
      </c>
      <c r="Z6" s="205" t="n">
        <f aca="false">Y6/Z$1</f>
        <v>0.00764210637173074</v>
      </c>
      <c r="AA6" s="204" t="n">
        <f aca="false">L6/$AA$1</f>
        <v>0.00530314528296833</v>
      </c>
      <c r="AB6" s="204" t="n">
        <f aca="false">M6/AB$1</f>
        <v>0.0084147920223644</v>
      </c>
      <c r="AC6" s="204" t="n">
        <f aca="false">N6/AC$1</f>
        <v>0.00437741293920368</v>
      </c>
      <c r="AD6" s="204" t="n">
        <f aca="false">O6/AD$1</f>
        <v>0.00420467164646589</v>
      </c>
      <c r="AE6" s="209" t="n">
        <f aca="false">('Modelo AHP'!$U$37*aux!P6)+('Modelo AHP'!$U$38*aux!R6)+('Modelo AHP'!$U$39*aux!S6)</f>
        <v>0.00957116923175682</v>
      </c>
      <c r="AF6" s="210" t="n">
        <f aca="false">aux!U6</f>
        <v>0.00765637234131363</v>
      </c>
      <c r="AG6" s="209" t="n">
        <f aca="false">('Modelo AHP'!$U$47*aux!V6)+('Modelo AHP'!$U$48*aux!W6)+('Modelo AHP'!$U$49*aux!X6)</f>
        <v>0.00889346433610586</v>
      </c>
      <c r="AH6" s="210" t="n">
        <f aca="false">Z6</f>
        <v>0.00764210637173074</v>
      </c>
      <c r="AI6" s="209" t="n">
        <f aca="false">('Modelo AHP'!$U$56*aux!AA6)+('Modelo AHP'!$U$57*aux!AB6)+('Modelo AHP'!$U$58*aux!AC6)+('Modelo AHP'!$U$59*aux!AD6)</f>
        <v>0.00650164045983393</v>
      </c>
      <c r="AJ6" s="211" t="n">
        <f aca="false">('Modelo AHP'!$U$23*aux!AE6)+('Modelo AHP'!$U$24*aux!AF6)+('Modelo AHP'!$U$25*aux!AG6)+('Modelo AHP'!$U$26*aux!AH6)+('Modelo AHP'!$U$27*aux!AI6)</f>
        <v>0.00828949265144555</v>
      </c>
    </row>
    <row r="7" customFormat="false" ht="15" hidden="false" customHeight="false" outlineLevel="0" collapsed="false">
      <c r="A7" s="195" t="n">
        <f aca="false">_xlfn.RANK.EQ(AJ7,AJ$5:AJ$135)</f>
        <v>71</v>
      </c>
      <c r="B7" s="196" t="s">
        <v>124</v>
      </c>
      <c r="C7" s="197" t="s">
        <v>127</v>
      </c>
      <c r="D7" s="198" t="n">
        <v>0.092678757952711</v>
      </c>
      <c r="E7" s="199" t="n">
        <v>80.94</v>
      </c>
      <c r="F7" s="198" t="n">
        <v>0.235011466637545</v>
      </c>
      <c r="G7" s="200" t="n">
        <v>34952.6798046567</v>
      </c>
      <c r="H7" s="201" t="n">
        <v>6.88</v>
      </c>
      <c r="I7" s="201" t="n">
        <v>9.04</v>
      </c>
      <c r="J7" s="198" t="n">
        <v>0.0474973847268045</v>
      </c>
      <c r="K7" s="202" t="n">
        <v>147344.7</v>
      </c>
      <c r="L7" s="198" t="n">
        <v>0.0347185691741189</v>
      </c>
      <c r="M7" s="203" t="n">
        <v>897</v>
      </c>
      <c r="N7" s="198" t="n">
        <v>0.028845844977675</v>
      </c>
      <c r="O7" s="198" t="n">
        <v>0.0276322355289421</v>
      </c>
      <c r="P7" s="204" t="n">
        <f aca="false">D7/$P$1</f>
        <v>0.00848311067355948</v>
      </c>
      <c r="Q7" s="204" t="n">
        <f aca="false">1-(E7/Q$1)</f>
        <v>0.992555858651446</v>
      </c>
      <c r="R7" s="204" t="n">
        <f aca="false">Q7/R$1</f>
        <v>0.00763504506654959</v>
      </c>
      <c r="S7" s="204" t="n">
        <f aca="false">F7/S$1</f>
        <v>0.0048182318629038</v>
      </c>
      <c r="T7" s="204" t="n">
        <f aca="false">1-(G7/T$1)</f>
        <v>0.99371977551476</v>
      </c>
      <c r="U7" s="205" t="n">
        <f aca="false">T7/U$1</f>
        <v>0.00764399827319047</v>
      </c>
      <c r="V7" s="204" t="n">
        <f aca="false">H7/V$1</f>
        <v>0.00699151465880799</v>
      </c>
      <c r="W7" s="204" t="n">
        <f aca="false">I7/W$1</f>
        <v>0.00748610846576182</v>
      </c>
      <c r="X7" s="204" t="n">
        <f aca="false">J7/X$1</f>
        <v>0.00762441732094622</v>
      </c>
      <c r="Y7" s="204" t="n">
        <f aca="false">1-(K7/Y$1)</f>
        <v>0.988924441686786</v>
      </c>
      <c r="Z7" s="205" t="n">
        <f aca="false">Y7/Z$1</f>
        <v>0.00760711108989836</v>
      </c>
      <c r="AA7" s="204" t="n">
        <f aca="false">L7/$AA$1</f>
        <v>0.00530314528296833</v>
      </c>
      <c r="AB7" s="204" t="n">
        <f aca="false">M7/AB$1</f>
        <v>0.0084147920223644</v>
      </c>
      <c r="AC7" s="204" t="n">
        <f aca="false">N7/AC$1</f>
        <v>0.00437741293920368</v>
      </c>
      <c r="AD7" s="204" t="n">
        <f aca="false">O7/AD$1</f>
        <v>0.00420467164646589</v>
      </c>
      <c r="AE7" s="209" t="n">
        <f aca="false">('Modelo AHP'!$U$37*aux!P7)+('Modelo AHP'!$U$38*aux!R7)+('Modelo AHP'!$U$39*aux!S7)</f>
        <v>0.00619937682646509</v>
      </c>
      <c r="AF7" s="210" t="n">
        <f aca="false">aux!U7</f>
        <v>0.00764399827319047</v>
      </c>
      <c r="AG7" s="209" t="n">
        <f aca="false">('Modelo AHP'!$U$47*aux!V7)+('Modelo AHP'!$U$48*aux!W7)+('Modelo AHP'!$U$49*aux!X7)</f>
        <v>0.00745600009700326</v>
      </c>
      <c r="AH7" s="210" t="n">
        <f aca="false">Z7</f>
        <v>0.00760711108989836</v>
      </c>
      <c r="AI7" s="209" t="n">
        <f aca="false">('Modelo AHP'!$U$56*aux!AA7)+('Modelo AHP'!$U$57*aux!AB7)+('Modelo AHP'!$U$58*aux!AC7)+('Modelo AHP'!$U$59*aux!AD7)</f>
        <v>0.00650164045983393</v>
      </c>
      <c r="AJ7" s="211" t="n">
        <f aca="false">('Modelo AHP'!$U$23*aux!AE7)+('Modelo AHP'!$U$24*aux!AF7)+('Modelo AHP'!$U$25*aux!AG7)+('Modelo AHP'!$U$26*aux!AH7)+('Modelo AHP'!$U$27*aux!AI7)</f>
        <v>0.00722895068500368</v>
      </c>
    </row>
    <row r="8" customFormat="false" ht="15" hidden="false" customHeight="false" outlineLevel="0" collapsed="false">
      <c r="A8" s="195" t="n">
        <f aca="false">_xlfn.RANK.EQ(AJ8,AJ$5:AJ$135)</f>
        <v>70</v>
      </c>
      <c r="B8" s="196" t="s">
        <v>124</v>
      </c>
      <c r="C8" s="197" t="s">
        <v>128</v>
      </c>
      <c r="D8" s="198" t="n">
        <v>0.0969356979128966</v>
      </c>
      <c r="E8" s="199" t="n">
        <v>81.36</v>
      </c>
      <c r="F8" s="198" t="n">
        <v>0.217425320056899</v>
      </c>
      <c r="G8" s="200" t="n">
        <v>40314.882263767</v>
      </c>
      <c r="H8" s="201" t="n">
        <v>6.63</v>
      </c>
      <c r="I8" s="201" t="n">
        <v>9.39</v>
      </c>
      <c r="J8" s="198" t="n">
        <v>0.0474973847268045</v>
      </c>
      <c r="K8" s="202" t="n">
        <v>158945.04</v>
      </c>
      <c r="L8" s="198" t="n">
        <v>0.0347185691741189</v>
      </c>
      <c r="M8" s="203" t="n">
        <v>897</v>
      </c>
      <c r="N8" s="198" t="n">
        <v>0.028845844977675</v>
      </c>
      <c r="O8" s="198" t="n">
        <v>0.0276322355289421</v>
      </c>
      <c r="P8" s="204" t="n">
        <f aca="false">D8/$P$1</f>
        <v>0.00887275867500743</v>
      </c>
      <c r="Q8" s="204" t="n">
        <f aca="false">1-(E8/Q$1)</f>
        <v>0.992517230786776</v>
      </c>
      <c r="R8" s="204" t="n">
        <f aca="false">Q8/R$1</f>
        <v>0.00763474792912905</v>
      </c>
      <c r="S8" s="204" t="n">
        <f aca="false">F8/S$1</f>
        <v>0.00445767868218922</v>
      </c>
      <c r="T8" s="204" t="n">
        <f aca="false">1-(G8/T$1)</f>
        <v>0.992756306179455</v>
      </c>
      <c r="U8" s="205" t="n">
        <f aca="false">T8/U$1</f>
        <v>0.0076365869706112</v>
      </c>
      <c r="V8" s="204" t="n">
        <f aca="false">H8/V$1</f>
        <v>0.0067374625273106</v>
      </c>
      <c r="W8" s="204" t="n">
        <f aca="false">I8/W$1</f>
        <v>0.00777594673600702</v>
      </c>
      <c r="X8" s="204" t="n">
        <f aca="false">J8/X$1</f>
        <v>0.00762441732094622</v>
      </c>
      <c r="Y8" s="204" t="n">
        <f aca="false">1-(K8/Y$1)</f>
        <v>0.98805247111626</v>
      </c>
      <c r="Z8" s="205" t="n">
        <f aca="false">Y8/Z$1</f>
        <v>0.00760040362397123</v>
      </c>
      <c r="AA8" s="204" t="n">
        <f aca="false">L8/$AA$1</f>
        <v>0.00530314528296833</v>
      </c>
      <c r="AB8" s="204" t="n">
        <f aca="false">M8/AB$1</f>
        <v>0.0084147920223644</v>
      </c>
      <c r="AC8" s="204" t="n">
        <f aca="false">N8/AC$1</f>
        <v>0.00437741293920368</v>
      </c>
      <c r="AD8" s="204" t="n">
        <f aca="false">O8/AD$1</f>
        <v>0.00420467164646589</v>
      </c>
      <c r="AE8" s="209" t="n">
        <f aca="false">('Modelo AHP'!$U$37*aux!P8)+('Modelo AHP'!$U$38*aux!R8)+('Modelo AHP'!$U$39*aux!S8)</f>
        <v>0.00609990960472867</v>
      </c>
      <c r="AF8" s="210" t="n">
        <f aca="false">aux!U8</f>
        <v>0.0076365869706112</v>
      </c>
      <c r="AG8" s="209" t="n">
        <f aca="false">('Modelo AHP'!$U$47*aux!V8)+('Modelo AHP'!$U$48*aux!W8)+('Modelo AHP'!$U$49*aux!X8)</f>
        <v>0.00754153723574599</v>
      </c>
      <c r="AH8" s="210" t="n">
        <f aca="false">Z8</f>
        <v>0.00760040362397123</v>
      </c>
      <c r="AI8" s="209" t="n">
        <f aca="false">('Modelo AHP'!$U$56*aux!AA8)+('Modelo AHP'!$U$57*aux!AB8)+('Modelo AHP'!$U$58*aux!AC8)+('Modelo AHP'!$U$59*aux!AD8)</f>
        <v>0.00650164045983393</v>
      </c>
      <c r="AJ8" s="211" t="n">
        <f aca="false">('Modelo AHP'!$U$23*aux!AE8)+('Modelo AHP'!$U$24*aux!AF8)+('Modelo AHP'!$U$25*aux!AG8)+('Modelo AHP'!$U$26*aux!AH8)+('Modelo AHP'!$U$27*aux!AI8)</f>
        <v>0.00723868623933323</v>
      </c>
    </row>
    <row r="9" customFormat="false" ht="15" hidden="false" customHeight="false" outlineLevel="0" collapsed="false">
      <c r="A9" s="195" t="n">
        <f aca="false">_xlfn.RANK.EQ(AJ9,AJ$5:AJ$135)</f>
        <v>59</v>
      </c>
      <c r="B9" s="196" t="s">
        <v>124</v>
      </c>
      <c r="C9" s="197" t="s">
        <v>129</v>
      </c>
      <c r="D9" s="198" t="n">
        <v>0.112308638379131</v>
      </c>
      <c r="E9" s="199" t="n">
        <v>82.81</v>
      </c>
      <c r="F9" s="198" t="n">
        <v>0.261149390474748</v>
      </c>
      <c r="G9" s="200" t="n">
        <v>30701.6520392922</v>
      </c>
      <c r="H9" s="201" t="n">
        <v>7.06</v>
      </c>
      <c r="I9" s="201" t="n">
        <v>9.92</v>
      </c>
      <c r="J9" s="198" t="n">
        <v>0.0474973847268045</v>
      </c>
      <c r="K9" s="202" t="n">
        <v>106883.32</v>
      </c>
      <c r="L9" s="198" t="n">
        <v>0.0347185691741189</v>
      </c>
      <c r="M9" s="203" t="n">
        <v>897</v>
      </c>
      <c r="N9" s="198" t="n">
        <v>0.028845844977675</v>
      </c>
      <c r="O9" s="198" t="n">
        <v>0.0276322355289421</v>
      </c>
      <c r="P9" s="204" t="n">
        <f aca="false">D9/$P$1</f>
        <v>0.0102798810645807</v>
      </c>
      <c r="Q9" s="204" t="n">
        <f aca="false">1-(E9/Q$1)</f>
        <v>0.992383872682558</v>
      </c>
      <c r="R9" s="204" t="n">
        <f aca="false">Q9/R$1</f>
        <v>0.00763372209755814</v>
      </c>
      <c r="S9" s="204" t="n">
        <f aca="false">F9/S$1</f>
        <v>0.00535411455520153</v>
      </c>
      <c r="T9" s="204" t="n">
        <f aca="false">1-(G9/T$1)</f>
        <v>0.994483591302525</v>
      </c>
      <c r="U9" s="205" t="n">
        <f aca="false">T9/U$1</f>
        <v>0.00764987377925019</v>
      </c>
      <c r="V9" s="204" t="n">
        <f aca="false">H9/V$1</f>
        <v>0.0071744321934861</v>
      </c>
      <c r="W9" s="204" t="n">
        <f aca="false">I9/W$1</f>
        <v>0.00821484468809262</v>
      </c>
      <c r="X9" s="204" t="n">
        <f aca="false">J9/X$1</f>
        <v>0.00762441732094622</v>
      </c>
      <c r="Y9" s="204" t="n">
        <f aca="false">1-(K9/Y$1)</f>
        <v>0.991965829491187</v>
      </c>
      <c r="Z9" s="205" t="n">
        <f aca="false">Y9/Z$1</f>
        <v>0.00763050638070144</v>
      </c>
      <c r="AA9" s="204" t="n">
        <f aca="false">L9/$AA$1</f>
        <v>0.00530314528296833</v>
      </c>
      <c r="AB9" s="204" t="n">
        <f aca="false">M9/AB$1</f>
        <v>0.0084147920223644</v>
      </c>
      <c r="AC9" s="204" t="n">
        <f aca="false">N9/AC$1</f>
        <v>0.00437741293920368</v>
      </c>
      <c r="AD9" s="204" t="n">
        <f aca="false">O9/AD$1</f>
        <v>0.00420467164646589</v>
      </c>
      <c r="AE9" s="209" t="n">
        <f aca="false">('Modelo AHP'!$U$37*aux!P9)+('Modelo AHP'!$U$38*aux!R9)+('Modelo AHP'!$U$39*aux!S9)</f>
        <v>0.00705980526225095</v>
      </c>
      <c r="AF9" s="210" t="n">
        <f aca="false">aux!U9</f>
        <v>0.00764987377925019</v>
      </c>
      <c r="AG9" s="209" t="n">
        <f aca="false">('Modelo AHP'!$U$47*aux!V9)+('Modelo AHP'!$U$48*aux!W9)+('Modelo AHP'!$U$49*aux!X9)</f>
        <v>0.00781009257839268</v>
      </c>
      <c r="AH9" s="210" t="n">
        <f aca="false">Z9</f>
        <v>0.00763050638070144</v>
      </c>
      <c r="AI9" s="209" t="n">
        <f aca="false">('Modelo AHP'!$U$56*aux!AA9)+('Modelo AHP'!$U$57*aux!AB9)+('Modelo AHP'!$U$58*aux!AC9)+('Modelo AHP'!$U$59*aux!AD9)</f>
        <v>0.00650164045983393</v>
      </c>
      <c r="AJ9" s="211" t="n">
        <f aca="false">('Modelo AHP'!$U$23*aux!AE9)+('Modelo AHP'!$U$24*aux!AF9)+('Modelo AHP'!$U$25*aux!AG9)+('Modelo AHP'!$U$26*aux!AH9)+('Modelo AHP'!$U$27*aux!AI9)</f>
        <v>0.007497199492578</v>
      </c>
    </row>
    <row r="10" customFormat="false" ht="15" hidden="false" customHeight="false" outlineLevel="0" collapsed="false">
      <c r="A10" s="195" t="n">
        <f aca="false">_xlfn.RANK.EQ(AJ10,AJ$5:AJ$135)</f>
        <v>54</v>
      </c>
      <c r="B10" s="196" t="s">
        <v>124</v>
      </c>
      <c r="C10" s="197" t="s">
        <v>130</v>
      </c>
      <c r="D10" s="198" t="n">
        <v>0.117900291626163</v>
      </c>
      <c r="E10" s="199" t="n">
        <v>79.08</v>
      </c>
      <c r="F10" s="198" t="n">
        <v>0.265122265122265</v>
      </c>
      <c r="G10" s="200" t="n">
        <v>30935.8043113426</v>
      </c>
      <c r="H10" s="201" t="n">
        <v>7.9</v>
      </c>
      <c r="I10" s="201" t="n">
        <v>11.45</v>
      </c>
      <c r="J10" s="198" t="n">
        <v>0.0474973847268045</v>
      </c>
      <c r="K10" s="202" t="n">
        <v>171610.78</v>
      </c>
      <c r="L10" s="198" t="n">
        <v>0.0347185691741189</v>
      </c>
      <c r="M10" s="203" t="n">
        <v>897</v>
      </c>
      <c r="N10" s="198" t="n">
        <v>0.028845844977675</v>
      </c>
      <c r="O10" s="198" t="n">
        <v>0.0276322355289421</v>
      </c>
      <c r="P10" s="204" t="n">
        <f aca="false">D10/$P$1</f>
        <v>0.0107916985985074</v>
      </c>
      <c r="Q10" s="204" t="n">
        <f aca="false">1-(E10/Q$1)</f>
        <v>0.99272692490927</v>
      </c>
      <c r="R10" s="204" t="n">
        <f aca="false">Q10/R$1</f>
        <v>0.00763636096084055</v>
      </c>
      <c r="S10" s="204" t="n">
        <f aca="false">F10/S$1</f>
        <v>0.00543556688383838</v>
      </c>
      <c r="T10" s="204" t="n">
        <f aca="false">1-(G10/T$1)</f>
        <v>0.994441519311467</v>
      </c>
      <c r="U10" s="205" t="n">
        <f aca="false">T10/U$1</f>
        <v>0.00764955014854974</v>
      </c>
      <c r="V10" s="204" t="n">
        <f aca="false">H10/V$1</f>
        <v>0.00802804735531731</v>
      </c>
      <c r="W10" s="204" t="n">
        <f aca="false">I10/W$1</f>
        <v>0.00948185198373593</v>
      </c>
      <c r="X10" s="204" t="n">
        <f aca="false">J10/X$1</f>
        <v>0.00762441732094622</v>
      </c>
      <c r="Y10" s="204" t="n">
        <f aca="false">1-(K10/Y$1)</f>
        <v>0.987100416906302</v>
      </c>
      <c r="Z10" s="205" t="n">
        <f aca="false">Y10/Z$1</f>
        <v>0.00759308013004847</v>
      </c>
      <c r="AA10" s="204" t="n">
        <f aca="false">L10/$AA$1</f>
        <v>0.00530314528296833</v>
      </c>
      <c r="AB10" s="204" t="n">
        <f aca="false">M10/AB$1</f>
        <v>0.0084147920223644</v>
      </c>
      <c r="AC10" s="204" t="n">
        <f aca="false">N10/AC$1</f>
        <v>0.00437741293920368</v>
      </c>
      <c r="AD10" s="204" t="n">
        <f aca="false">O10/AD$1</f>
        <v>0.00420467164646589</v>
      </c>
      <c r="AE10" s="209" t="n">
        <f aca="false">('Modelo AHP'!$U$37*aux!P10)+('Modelo AHP'!$U$38*aux!R10)+('Modelo AHP'!$U$39*aux!S10)</f>
        <v>0.00726248580593931</v>
      </c>
      <c r="AF10" s="210" t="n">
        <f aca="false">aux!U10</f>
        <v>0.00764955014854974</v>
      </c>
      <c r="AG10" s="209" t="n">
        <f aca="false">('Modelo AHP'!$U$47*aux!V10)+('Modelo AHP'!$U$48*aux!W10)+('Modelo AHP'!$U$49*aux!X10)</f>
        <v>0.00851635207913848</v>
      </c>
      <c r="AH10" s="210" t="n">
        <f aca="false">Z10</f>
        <v>0.00759308013004847</v>
      </c>
      <c r="AI10" s="209" t="n">
        <f aca="false">('Modelo AHP'!$U$56*aux!AA10)+('Modelo AHP'!$U$57*aux!AB10)+('Modelo AHP'!$U$58*aux!AC10)+('Modelo AHP'!$U$59*aux!AD10)</f>
        <v>0.00650164045983393</v>
      </c>
      <c r="AJ10" s="211" t="n">
        <f aca="false">('Modelo AHP'!$U$23*aux!AE10)+('Modelo AHP'!$U$24*aux!AF10)+('Modelo AHP'!$U$25*aux!AG10)+('Modelo AHP'!$U$26*aux!AH10)+('Modelo AHP'!$U$27*aux!AI10)</f>
        <v>0.00776945380851924</v>
      </c>
    </row>
    <row r="11" customFormat="false" ht="15" hidden="false" customHeight="false" outlineLevel="0" collapsed="false">
      <c r="A11" s="195" t="n">
        <f aca="false">_xlfn.RANK.EQ(AJ11,AJ$5:AJ$135)</f>
        <v>89</v>
      </c>
      <c r="B11" s="196" t="s">
        <v>131</v>
      </c>
      <c r="C11" s="197" t="s">
        <v>132</v>
      </c>
      <c r="D11" s="198" t="n">
        <v>0.0367533782296756</v>
      </c>
      <c r="E11" s="199" t="n">
        <v>83.7</v>
      </c>
      <c r="F11" s="198" t="n">
        <v>0.266246920339447</v>
      </c>
      <c r="G11" s="200" t="n">
        <v>41950.8120458648</v>
      </c>
      <c r="H11" s="201" t="n">
        <v>6.83</v>
      </c>
      <c r="I11" s="201" t="n">
        <v>8.06</v>
      </c>
      <c r="J11" s="198" t="n">
        <v>0.0396706228899877</v>
      </c>
      <c r="K11" s="202" t="n">
        <v>87446.56</v>
      </c>
      <c r="L11" s="198" t="n">
        <v>0.0352446081009995</v>
      </c>
      <c r="M11" s="203" t="n">
        <v>266</v>
      </c>
      <c r="N11" s="198" t="n">
        <v>0.0352381870161575</v>
      </c>
      <c r="O11" s="198" t="n">
        <v>0.0392028443113772</v>
      </c>
      <c r="P11" s="204" t="n">
        <f aca="false">D11/$P$1</f>
        <v>0.00336412552387264</v>
      </c>
      <c r="Q11" s="204" t="n">
        <f aca="false">1-(E11/Q$1)</f>
        <v>0.9923020183979</v>
      </c>
      <c r="R11" s="204" t="n">
        <f aca="false">Q11/R$1</f>
        <v>0.00763309244921462</v>
      </c>
      <c r="S11" s="204" t="n">
        <f aca="false">F11/S$1</f>
        <v>0.00545862469322844</v>
      </c>
      <c r="T11" s="204" t="n">
        <f aca="false">1-(G11/T$1)</f>
        <v>0.992462365733942</v>
      </c>
      <c r="U11" s="205" t="n">
        <f aca="false">T11/U$1</f>
        <v>0.00763432589026109</v>
      </c>
      <c r="V11" s="204" t="n">
        <f aca="false">H11/V$1</f>
        <v>0.00694070423250851</v>
      </c>
      <c r="W11" s="204" t="n">
        <f aca="false">I11/W$1</f>
        <v>0.00667456130907525</v>
      </c>
      <c r="X11" s="204" t="n">
        <f aca="false">J11/X$1</f>
        <v>0.00636804291509665</v>
      </c>
      <c r="Y11" s="204" t="n">
        <f aca="false">1-(K11/Y$1)</f>
        <v>0.993426845522303</v>
      </c>
      <c r="Z11" s="205" t="n">
        <f aca="false">Y11/Z$1</f>
        <v>0.00764174496555618</v>
      </c>
      <c r="AA11" s="204" t="n">
        <f aca="false">L11/$AA$1</f>
        <v>0.00538349596907391</v>
      </c>
      <c r="AB11" s="204" t="n">
        <f aca="false">M11/AB$1</f>
        <v>0.00249535638567328</v>
      </c>
      <c r="AC11" s="204" t="n">
        <f aca="false">N11/AC$1</f>
        <v>0.00534746324533011</v>
      </c>
      <c r="AD11" s="204" t="n">
        <f aca="false">O11/AD$1</f>
        <v>0.00596531857743525</v>
      </c>
      <c r="AE11" s="209" t="n">
        <f aca="false">('Modelo AHP'!$U$37*aux!P11)+('Modelo AHP'!$U$38*aux!R11)+('Modelo AHP'!$U$39*aux!S11)</f>
        <v>0.00504772171802032</v>
      </c>
      <c r="AF11" s="210" t="n">
        <f aca="false">aux!U11</f>
        <v>0.00763432589026109</v>
      </c>
      <c r="AG11" s="209" t="n">
        <f aca="false">('Modelo AHP'!$U$47*aux!V11)+('Modelo AHP'!$U$48*aux!W11)+('Modelo AHP'!$U$49*aux!X11)</f>
        <v>0.0066008563178744</v>
      </c>
      <c r="AH11" s="210" t="n">
        <f aca="false">Z11</f>
        <v>0.00764174496555618</v>
      </c>
      <c r="AI11" s="209" t="n">
        <f aca="false">('Modelo AHP'!$U$56*aux!AA11)+('Modelo AHP'!$U$57*aux!AB11)+('Modelo AHP'!$U$58*aux!AC11)+('Modelo AHP'!$U$59*aux!AD11)</f>
        <v>0.00402242391382511</v>
      </c>
      <c r="AJ11" s="211" t="n">
        <f aca="false">('Modelo AHP'!$U$23*aux!AE11)+('Modelo AHP'!$U$24*aux!AF11)+('Modelo AHP'!$U$25*aux!AG11)+('Modelo AHP'!$U$26*aux!AH11)+('Modelo AHP'!$U$27*aux!AI11)</f>
        <v>0.00651191339249372</v>
      </c>
    </row>
    <row r="12" customFormat="false" ht="15" hidden="false" customHeight="false" outlineLevel="0" collapsed="false">
      <c r="A12" s="195" t="n">
        <f aca="false">_xlfn.RANK.EQ(AJ12,AJ$5:AJ$135)</f>
        <v>90</v>
      </c>
      <c r="B12" s="196" t="s">
        <v>131</v>
      </c>
      <c r="C12" s="197" t="s">
        <v>133</v>
      </c>
      <c r="D12" s="198" t="n">
        <v>0.0379581507986177</v>
      </c>
      <c r="E12" s="199" t="n">
        <v>84.41</v>
      </c>
      <c r="F12" s="198" t="n">
        <v>0.263450459859179</v>
      </c>
      <c r="G12" s="200" t="n">
        <v>44669.1824389435</v>
      </c>
      <c r="H12" s="201" t="n">
        <v>6.57</v>
      </c>
      <c r="I12" s="201" t="n">
        <v>7.67</v>
      </c>
      <c r="J12" s="198" t="n">
        <v>0.0396706228899877</v>
      </c>
      <c r="K12" s="202" t="n">
        <v>83248.38</v>
      </c>
      <c r="L12" s="198" t="n">
        <v>0.0352446081009995</v>
      </c>
      <c r="M12" s="203" t="n">
        <v>266</v>
      </c>
      <c r="N12" s="198" t="n">
        <v>0.0352381870161575</v>
      </c>
      <c r="O12" s="198" t="n">
        <v>0.0392028443113772</v>
      </c>
      <c r="P12" s="204" t="n">
        <f aca="false">D12/$P$1</f>
        <v>0.00347440126843991</v>
      </c>
      <c r="Q12" s="204" t="n">
        <f aca="false">1-(E12/Q$1)</f>
        <v>0.992236718912386</v>
      </c>
      <c r="R12" s="204" t="n">
        <f aca="false">Q12/R$1</f>
        <v>0.0076325901454799</v>
      </c>
      <c r="S12" s="204" t="n">
        <f aca="false">F12/S$1</f>
        <v>0.0054012913418726</v>
      </c>
      <c r="T12" s="204" t="n">
        <f aca="false">1-(G12/T$1)</f>
        <v>0.991973934620849</v>
      </c>
      <c r="U12" s="205" t="n">
        <f aca="false">T12/U$1</f>
        <v>0.00763056872785269</v>
      </c>
      <c r="V12" s="204" t="n">
        <f aca="false">H12/V$1</f>
        <v>0.00667649001575123</v>
      </c>
      <c r="W12" s="204" t="n">
        <f aca="false">I12/W$1</f>
        <v>0.00635159866508774</v>
      </c>
      <c r="X12" s="204" t="n">
        <f aca="false">J12/X$1</f>
        <v>0.00636804291509665</v>
      </c>
      <c r="Y12" s="204" t="n">
        <f aca="false">1-(K12/Y$1)</f>
        <v>0.993742412946169</v>
      </c>
      <c r="Z12" s="205" t="n">
        <f aca="false">Y12/Z$1</f>
        <v>0.00764417240727823</v>
      </c>
      <c r="AA12" s="204" t="n">
        <f aca="false">L12/$AA$1</f>
        <v>0.00538349596907391</v>
      </c>
      <c r="AB12" s="204" t="n">
        <f aca="false">M12/AB$1</f>
        <v>0.00249535638567328</v>
      </c>
      <c r="AC12" s="204" t="n">
        <f aca="false">N12/AC$1</f>
        <v>0.00534746324533011</v>
      </c>
      <c r="AD12" s="204" t="n">
        <f aca="false">O12/AD$1</f>
        <v>0.00596531857743525</v>
      </c>
      <c r="AE12" s="209" t="n">
        <f aca="false">('Modelo AHP'!$U$37*aux!P12)+('Modelo AHP'!$U$38*aux!R12)+('Modelo AHP'!$U$39*aux!S12)</f>
        <v>0.00504635420020352</v>
      </c>
      <c r="AF12" s="210" t="n">
        <f aca="false">aux!U12</f>
        <v>0.00763056872785269</v>
      </c>
      <c r="AG12" s="209" t="n">
        <f aca="false">('Modelo AHP'!$U$47*aux!V12)+('Modelo AHP'!$U$48*aux!W12)+('Modelo AHP'!$U$49*aux!X12)</f>
        <v>0.00641294026650582</v>
      </c>
      <c r="AH12" s="210" t="n">
        <f aca="false">Z12</f>
        <v>0.00764417240727823</v>
      </c>
      <c r="AI12" s="209" t="n">
        <f aca="false">('Modelo AHP'!$U$56*aux!AA12)+('Modelo AHP'!$U$57*aux!AB12)+('Modelo AHP'!$U$58*aux!AC12)+('Modelo AHP'!$U$59*aux!AD12)</f>
        <v>0.00402242391382511</v>
      </c>
      <c r="AJ12" s="211" t="n">
        <f aca="false">('Modelo AHP'!$U$23*aux!AE12)+('Modelo AHP'!$U$24*aux!AF12)+('Modelo AHP'!$U$25*aux!AG12)+('Modelo AHP'!$U$26*aux!AH12)+('Modelo AHP'!$U$27*aux!AI12)</f>
        <v>0.00644643972048978</v>
      </c>
    </row>
    <row r="13" customFormat="false" ht="15" hidden="false" customHeight="false" outlineLevel="0" collapsed="false">
      <c r="A13" s="195" t="n">
        <f aca="false">_xlfn.RANK.EQ(AJ13,AJ$5:AJ$135)</f>
        <v>65</v>
      </c>
      <c r="B13" s="196" t="s">
        <v>131</v>
      </c>
      <c r="C13" s="197" t="s">
        <v>134</v>
      </c>
      <c r="D13" s="198" t="n">
        <v>0.100409111571291</v>
      </c>
      <c r="E13" s="199" t="n">
        <v>83.39</v>
      </c>
      <c r="F13" s="198" t="n">
        <v>0.395276265067613</v>
      </c>
      <c r="G13" s="200" t="n">
        <v>31933.91199662</v>
      </c>
      <c r="H13" s="201" t="n">
        <v>7.87</v>
      </c>
      <c r="I13" s="201" t="n">
        <v>9.81</v>
      </c>
      <c r="J13" s="198" t="n">
        <v>0.0396706228899877</v>
      </c>
      <c r="K13" s="202" t="n">
        <v>79471.76</v>
      </c>
      <c r="L13" s="198" t="n">
        <v>0.0352446081009995</v>
      </c>
      <c r="M13" s="203" t="n">
        <v>266</v>
      </c>
      <c r="N13" s="198" t="n">
        <v>0.0352381870161575</v>
      </c>
      <c r="O13" s="198" t="n">
        <v>0.0392028443113772</v>
      </c>
      <c r="P13" s="204" t="n">
        <f aca="false">D13/$P$1</f>
        <v>0.00919068862066177</v>
      </c>
      <c r="Q13" s="204" t="n">
        <f aca="false">1-(E13/Q$1)</f>
        <v>0.992330529440871</v>
      </c>
      <c r="R13" s="204" t="n">
        <f aca="false">Q13/R$1</f>
        <v>0.00763331176492978</v>
      </c>
      <c r="S13" s="204" t="n">
        <f aca="false">F13/S$1</f>
        <v>0.00810399901863391</v>
      </c>
      <c r="T13" s="204" t="n">
        <f aca="false">1-(G13/T$1)</f>
        <v>0.994262181407792</v>
      </c>
      <c r="U13" s="205" t="n">
        <f aca="false">T13/U$1</f>
        <v>0.00764817062621378</v>
      </c>
      <c r="V13" s="204" t="n">
        <f aca="false">H13/V$1</f>
        <v>0.00799756109953762</v>
      </c>
      <c r="W13" s="204" t="n">
        <f aca="false">I13/W$1</f>
        <v>0.00812375266030126</v>
      </c>
      <c r="X13" s="204" t="n">
        <f aca="false">J13/X$1</f>
        <v>0.00636804291509665</v>
      </c>
      <c r="Y13" s="204" t="n">
        <f aca="false">1-(K13/Y$1)</f>
        <v>0.994026292685562</v>
      </c>
      <c r="Z13" s="205" t="n">
        <f aca="false">Y13/Z$1</f>
        <v>0.00764635609758124</v>
      </c>
      <c r="AA13" s="204" t="n">
        <f aca="false">L13/$AA$1</f>
        <v>0.00538349596907391</v>
      </c>
      <c r="AB13" s="204" t="n">
        <f aca="false">M13/AB$1</f>
        <v>0.00249535638567328</v>
      </c>
      <c r="AC13" s="204" t="n">
        <f aca="false">N13/AC$1</f>
        <v>0.00534746324533011</v>
      </c>
      <c r="AD13" s="204" t="n">
        <f aca="false">O13/AD$1</f>
        <v>0.00596531857743525</v>
      </c>
      <c r="AE13" s="209" t="n">
        <f aca="false">('Modelo AHP'!$U$37*aux!P13)+('Modelo AHP'!$U$38*aux!R13)+('Modelo AHP'!$U$39*aux!S13)</f>
        <v>0.00838293717387186</v>
      </c>
      <c r="AF13" s="210" t="n">
        <f aca="false">aux!U13</f>
        <v>0.00764817062621378</v>
      </c>
      <c r="AG13" s="209" t="n">
        <f aca="false">('Modelo AHP'!$U$47*aux!V13)+('Modelo AHP'!$U$48*aux!W13)+('Modelo AHP'!$U$49*aux!X13)</f>
        <v>0.00742229000395296</v>
      </c>
      <c r="AH13" s="210" t="n">
        <f aca="false">Z13</f>
        <v>0.00764635609758124</v>
      </c>
      <c r="AI13" s="209" t="n">
        <f aca="false">('Modelo AHP'!$U$56*aux!AA13)+('Modelo AHP'!$U$57*aux!AB13)+('Modelo AHP'!$U$58*aux!AC13)+('Modelo AHP'!$U$59*aux!AD13)</f>
        <v>0.00402242391382511</v>
      </c>
      <c r="AJ13" s="211" t="n">
        <f aca="false">('Modelo AHP'!$U$23*aux!AE13)+('Modelo AHP'!$U$24*aux!AF13)+('Modelo AHP'!$U$25*aux!AG13)+('Modelo AHP'!$U$26*aux!AH13)+('Modelo AHP'!$U$27*aux!AI13)</f>
        <v>0.00735402877863221</v>
      </c>
    </row>
    <row r="14" customFormat="false" ht="15" hidden="false" customHeight="false" outlineLevel="0" collapsed="false">
      <c r="A14" s="195" t="n">
        <f aca="false">_xlfn.RANK.EQ(AJ14,AJ$5:AJ$135)</f>
        <v>108</v>
      </c>
      <c r="B14" s="196" t="s">
        <v>131</v>
      </c>
      <c r="C14" s="197" t="s">
        <v>135</v>
      </c>
      <c r="D14" s="198" t="n">
        <v>0.0397361313110326</v>
      </c>
      <c r="E14" s="199" t="n">
        <v>82.86</v>
      </c>
      <c r="F14" s="198" t="n">
        <v>0.173716012084592</v>
      </c>
      <c r="G14" s="200" t="n">
        <v>48935.036576627</v>
      </c>
      <c r="H14" s="201" t="n">
        <v>4.94</v>
      </c>
      <c r="I14" s="201" t="n">
        <v>6.22</v>
      </c>
      <c r="J14" s="198" t="n">
        <v>0.0396706228899877</v>
      </c>
      <c r="K14" s="202" t="n">
        <v>90178.67</v>
      </c>
      <c r="L14" s="198" t="n">
        <v>0.0352446081009995</v>
      </c>
      <c r="M14" s="203" t="n">
        <v>266</v>
      </c>
      <c r="N14" s="198" t="n">
        <v>0.0352381870161575</v>
      </c>
      <c r="O14" s="198" t="n">
        <v>0.0392028443113772</v>
      </c>
      <c r="P14" s="204" t="n">
        <f aca="false">D14/$P$1</f>
        <v>0.00363714412122979</v>
      </c>
      <c r="Q14" s="204" t="n">
        <f aca="false">1-(E14/Q$1)</f>
        <v>0.99237927412724</v>
      </c>
      <c r="R14" s="204" t="n">
        <f aca="false">Q14/R$1</f>
        <v>0.0076336867240557</v>
      </c>
      <c r="S14" s="204" t="n">
        <f aca="false">F14/S$1</f>
        <v>0.00356154547051725</v>
      </c>
      <c r="T14" s="204" t="n">
        <f aca="false">1-(G14/T$1)</f>
        <v>0.991207454861481</v>
      </c>
      <c r="U14" s="205" t="n">
        <f aca="false">T14/U$1</f>
        <v>0.0076246727297037</v>
      </c>
      <c r="V14" s="204" t="n">
        <f aca="false">H14/V$1</f>
        <v>0.00502007011838829</v>
      </c>
      <c r="W14" s="204" t="n">
        <f aca="false">I14/W$1</f>
        <v>0.00515084011692904</v>
      </c>
      <c r="X14" s="204" t="n">
        <f aca="false">J14/X$1</f>
        <v>0.00636804291509665</v>
      </c>
      <c r="Y14" s="204" t="n">
        <f aca="false">1-(K14/Y$1)</f>
        <v>0.993221479169641</v>
      </c>
      <c r="Z14" s="205" t="n">
        <f aca="false">Y14/Z$1</f>
        <v>0.00764016522438185</v>
      </c>
      <c r="AA14" s="204" t="n">
        <f aca="false">L14/$AA$1</f>
        <v>0.00538349596907391</v>
      </c>
      <c r="AB14" s="204" t="n">
        <f aca="false">M14/AB$1</f>
        <v>0.00249535638567328</v>
      </c>
      <c r="AC14" s="204" t="n">
        <f aca="false">N14/AC$1</f>
        <v>0.00534746324533011</v>
      </c>
      <c r="AD14" s="204" t="n">
        <f aca="false">O14/AD$1</f>
        <v>0.00596531857743525</v>
      </c>
      <c r="AE14" s="209" t="n">
        <f aca="false">('Modelo AHP'!$U$37*aux!P14)+('Modelo AHP'!$U$38*aux!R14)+('Modelo AHP'!$U$39*aux!S14)</f>
        <v>0.00399143919108486</v>
      </c>
      <c r="AF14" s="210" t="n">
        <f aca="false">aux!U14</f>
        <v>0.0076246727297037</v>
      </c>
      <c r="AG14" s="209" t="n">
        <f aca="false">('Modelo AHP'!$U$47*aux!V14)+('Modelo AHP'!$U$48*aux!W14)+('Modelo AHP'!$U$49*aux!X14)</f>
        <v>0.00560022292892417</v>
      </c>
      <c r="AH14" s="210" t="n">
        <f aca="false">Z14</f>
        <v>0.00764016522438185</v>
      </c>
      <c r="AI14" s="209" t="n">
        <f aca="false">('Modelo AHP'!$U$56*aux!AA14)+('Modelo AHP'!$U$57*aux!AB14)+('Modelo AHP'!$U$58*aux!AC14)+('Modelo AHP'!$U$59*aux!AD14)</f>
        <v>0.00402242391382511</v>
      </c>
      <c r="AJ14" s="211" t="n">
        <f aca="false">('Modelo AHP'!$U$23*aux!AE14)+('Modelo AHP'!$U$24*aux!AF14)+('Modelo AHP'!$U$25*aux!AG14)+('Modelo AHP'!$U$26*aux!AH14)+('Modelo AHP'!$U$27*aux!AI14)</f>
        <v>0.00599046055834251</v>
      </c>
    </row>
    <row r="15" customFormat="false" ht="15" hidden="false" customHeight="false" outlineLevel="0" collapsed="false">
      <c r="A15" s="195" t="n">
        <f aca="false">_xlfn.RANK.EQ(AJ15,AJ$5:AJ$135)</f>
        <v>85</v>
      </c>
      <c r="B15" s="196" t="s">
        <v>131</v>
      </c>
      <c r="C15" s="197" t="s">
        <v>136</v>
      </c>
      <c r="D15" s="198" t="n">
        <v>0.0754559021584829</v>
      </c>
      <c r="E15" s="199" t="n">
        <v>83.46</v>
      </c>
      <c r="F15" s="198" t="n">
        <v>0.288485811790005</v>
      </c>
      <c r="G15" s="200" t="n">
        <v>39647.6886525592</v>
      </c>
      <c r="H15" s="201" t="n">
        <v>6.42</v>
      </c>
      <c r="I15" s="201" t="n">
        <v>7.8</v>
      </c>
      <c r="J15" s="198" t="n">
        <v>0.0396706228899877</v>
      </c>
      <c r="K15" s="202" t="n">
        <v>83583.65</v>
      </c>
      <c r="L15" s="198" t="n">
        <v>0.0352446081009995</v>
      </c>
      <c r="M15" s="203" t="n">
        <v>266</v>
      </c>
      <c r="N15" s="198" t="n">
        <v>0.0352381870161575</v>
      </c>
      <c r="O15" s="198" t="n">
        <v>0.0392028443113772</v>
      </c>
      <c r="P15" s="204" t="n">
        <f aca="false">D15/$P$1</f>
        <v>0.0069066610636959</v>
      </c>
      <c r="Q15" s="204" t="n">
        <f aca="false">1-(E15/Q$1)</f>
        <v>0.992324091463426</v>
      </c>
      <c r="R15" s="204" t="n">
        <f aca="false">Q15/R$1</f>
        <v>0.00763326224202636</v>
      </c>
      <c r="S15" s="204" t="n">
        <f aca="false">F15/S$1</f>
        <v>0.00591456897933426</v>
      </c>
      <c r="T15" s="204" t="n">
        <f aca="false">1-(G15/T$1)</f>
        <v>0.992876186133637</v>
      </c>
      <c r="U15" s="205" t="n">
        <f aca="false">T15/U$1</f>
        <v>0.0076375091241049</v>
      </c>
      <c r="V15" s="204" t="n">
        <f aca="false">H15/V$1</f>
        <v>0.0065240587368528</v>
      </c>
      <c r="W15" s="204" t="n">
        <f aca="false">I15/W$1</f>
        <v>0.00645925287975024</v>
      </c>
      <c r="X15" s="204" t="n">
        <f aca="false">J15/X$1</f>
        <v>0.00636804291509665</v>
      </c>
      <c r="Y15" s="204" t="n">
        <f aca="false">1-(K15/Y$1)</f>
        <v>0.993717211480248</v>
      </c>
      <c r="Z15" s="205" t="n">
        <f aca="false">Y15/Z$1</f>
        <v>0.00764397854984806</v>
      </c>
      <c r="AA15" s="204" t="n">
        <f aca="false">L15/$AA$1</f>
        <v>0.00538349596907391</v>
      </c>
      <c r="AB15" s="204" t="n">
        <f aca="false">M15/AB$1</f>
        <v>0.00249535638567328</v>
      </c>
      <c r="AC15" s="204" t="n">
        <f aca="false">N15/AC$1</f>
        <v>0.00534746324533011</v>
      </c>
      <c r="AD15" s="204" t="n">
        <f aca="false">O15/AD$1</f>
        <v>0.00596531857743525</v>
      </c>
      <c r="AE15" s="209" t="n">
        <f aca="false">('Modelo AHP'!$U$37*aux!P15)+('Modelo AHP'!$U$38*aux!R15)+('Modelo AHP'!$U$39*aux!S15)</f>
        <v>0.00638406593091196</v>
      </c>
      <c r="AF15" s="210" t="n">
        <f aca="false">aux!U15</f>
        <v>0.0076375091241049</v>
      </c>
      <c r="AG15" s="209" t="n">
        <f aca="false">('Modelo AHP'!$U$47*aux!V15)+('Modelo AHP'!$U$48*aux!W15)+('Modelo AHP'!$U$49*aux!X15)</f>
        <v>0.00643488592633915</v>
      </c>
      <c r="AH15" s="210" t="n">
        <f aca="false">Z15</f>
        <v>0.00764397854984806</v>
      </c>
      <c r="AI15" s="209" t="n">
        <f aca="false">('Modelo AHP'!$U$56*aux!AA15)+('Modelo AHP'!$U$57*aux!AB15)+('Modelo AHP'!$U$58*aux!AC15)+('Modelo AHP'!$U$59*aux!AD15)</f>
        <v>0.00402242391382511</v>
      </c>
      <c r="AJ15" s="211" t="n">
        <f aca="false">('Modelo AHP'!$U$23*aux!AE15)+('Modelo AHP'!$U$24*aux!AF15)+('Modelo AHP'!$U$25*aux!AG15)+('Modelo AHP'!$U$26*aux!AH15)+('Modelo AHP'!$U$27*aux!AI15)</f>
        <v>0.00667940760475631</v>
      </c>
    </row>
    <row r="16" customFormat="false" ht="15" hidden="false" customHeight="false" outlineLevel="0" collapsed="false">
      <c r="A16" s="195" t="n">
        <f aca="false">_xlfn.RANK.EQ(AJ16,AJ$5:AJ$135)</f>
        <v>75</v>
      </c>
      <c r="B16" s="196" t="s">
        <v>131</v>
      </c>
      <c r="C16" s="197" t="s">
        <v>137</v>
      </c>
      <c r="D16" s="198" t="n">
        <v>0.0974444617057636</v>
      </c>
      <c r="E16" s="199" t="n">
        <v>83.27</v>
      </c>
      <c r="F16" s="198" t="n">
        <v>0.323206476225923</v>
      </c>
      <c r="G16" s="200" t="n">
        <v>33938.3690529766</v>
      </c>
      <c r="H16" s="201" t="n">
        <v>7.21</v>
      </c>
      <c r="I16" s="201" t="n">
        <v>9.23</v>
      </c>
      <c r="J16" s="198" t="n">
        <v>0.0396706228899877</v>
      </c>
      <c r="K16" s="202" t="n">
        <v>81739.38</v>
      </c>
      <c r="L16" s="198" t="n">
        <v>0.0352446081009995</v>
      </c>
      <c r="M16" s="203" t="n">
        <v>266</v>
      </c>
      <c r="N16" s="198" t="n">
        <v>0.0352381870161575</v>
      </c>
      <c r="O16" s="198" t="n">
        <v>0.0392028443113772</v>
      </c>
      <c r="P16" s="204" t="n">
        <f aca="false">D16/$P$1</f>
        <v>0.00891932705439586</v>
      </c>
      <c r="Q16" s="204" t="n">
        <f aca="false">1-(E16/Q$1)</f>
        <v>0.992341565973634</v>
      </c>
      <c r="R16" s="204" t="n">
        <f aca="false">Q16/R$1</f>
        <v>0.00763339666133565</v>
      </c>
      <c r="S16" s="204" t="n">
        <f aca="false">F16/S$1</f>
        <v>0.00662641599718359</v>
      </c>
      <c r="T16" s="204" t="n">
        <f aca="false">1-(G16/T$1)</f>
        <v>0.993902024751555</v>
      </c>
      <c r="U16" s="205" t="n">
        <f aca="false">T16/U$1</f>
        <v>0.00764540019039658</v>
      </c>
      <c r="V16" s="204" t="n">
        <f aca="false">H16/V$1</f>
        <v>0.00732686347238453</v>
      </c>
      <c r="W16" s="204" t="n">
        <f aca="false">I16/W$1</f>
        <v>0.00764344924103779</v>
      </c>
      <c r="X16" s="204" t="n">
        <f aca="false">J16/X$1</f>
        <v>0.00636804291509665</v>
      </c>
      <c r="Y16" s="204" t="n">
        <f aca="false">1-(K16/Y$1)</f>
        <v>0.9938558409656</v>
      </c>
      <c r="Z16" s="205" t="n">
        <f aca="false">Y16/Z$1</f>
        <v>0.00764504493050462</v>
      </c>
      <c r="AA16" s="204" t="n">
        <f aca="false">L16/$AA$1</f>
        <v>0.00538349596907391</v>
      </c>
      <c r="AB16" s="204" t="n">
        <f aca="false">M16/AB$1</f>
        <v>0.00249535638567328</v>
      </c>
      <c r="AC16" s="204" t="n">
        <f aca="false">N16/AC$1</f>
        <v>0.00534746324533011</v>
      </c>
      <c r="AD16" s="204" t="n">
        <f aca="false">O16/AD$1</f>
        <v>0.00596531857743525</v>
      </c>
      <c r="AE16" s="209" t="n">
        <f aca="false">('Modelo AHP'!$U$37*aux!P16)+('Modelo AHP'!$U$38*aux!R16)+('Modelo AHP'!$U$39*aux!S16)</f>
        <v>0.00741498738076248</v>
      </c>
      <c r="AF16" s="210" t="n">
        <f aca="false">aux!U16</f>
        <v>0.00764540019039658</v>
      </c>
      <c r="AG16" s="209" t="n">
        <f aca="false">('Modelo AHP'!$U$47*aux!V16)+('Modelo AHP'!$U$48*aux!W16)+('Modelo AHP'!$U$49*aux!X16)</f>
        <v>0.00709582753008234</v>
      </c>
      <c r="AH16" s="210" t="n">
        <f aca="false">Z16</f>
        <v>0.00764504493050462</v>
      </c>
      <c r="AI16" s="209" t="n">
        <f aca="false">('Modelo AHP'!$U$56*aux!AA16)+('Modelo AHP'!$U$57*aux!AB16)+('Modelo AHP'!$U$58*aux!AC16)+('Modelo AHP'!$U$59*aux!AD16)</f>
        <v>0.00402242391382511</v>
      </c>
      <c r="AJ16" s="211" t="n">
        <f aca="false">('Modelo AHP'!$U$23*aux!AE16)+('Modelo AHP'!$U$24*aux!AF16)+('Modelo AHP'!$U$25*aux!AG16)+('Modelo AHP'!$U$26*aux!AH16)+('Modelo AHP'!$U$27*aux!AI16)</f>
        <v>0.00707993957169914</v>
      </c>
    </row>
    <row r="17" customFormat="false" ht="15" hidden="false" customHeight="false" outlineLevel="0" collapsed="false">
      <c r="A17" s="195" t="n">
        <f aca="false">_xlfn.RANK.EQ(AJ17,AJ$5:AJ$135)</f>
        <v>88</v>
      </c>
      <c r="B17" s="196" t="s">
        <v>131</v>
      </c>
      <c r="C17" s="197" t="s">
        <v>138</v>
      </c>
      <c r="D17" s="198" t="n">
        <v>0.0334763948497854</v>
      </c>
      <c r="E17" s="199" t="n">
        <v>78.85</v>
      </c>
      <c r="F17" s="198" t="n">
        <v>0.290362953692115</v>
      </c>
      <c r="G17" s="200" t="n">
        <v>37939.2847228916</v>
      </c>
      <c r="H17" s="201" t="n">
        <v>7.96</v>
      </c>
      <c r="I17" s="201" t="n">
        <v>7.42</v>
      </c>
      <c r="J17" s="198" t="n">
        <v>0.0396706228899877</v>
      </c>
      <c r="K17" s="202" t="n">
        <v>127649.25</v>
      </c>
      <c r="L17" s="198" t="n">
        <v>0.0352446081009995</v>
      </c>
      <c r="M17" s="203" t="n">
        <v>266</v>
      </c>
      <c r="N17" s="198" t="n">
        <v>0.0352381870161575</v>
      </c>
      <c r="O17" s="198" t="n">
        <v>0.0392028443113772</v>
      </c>
      <c r="P17" s="204" t="n">
        <f aca="false">D17/$P$1</f>
        <v>0.00306417531628346</v>
      </c>
      <c r="Q17" s="204" t="n">
        <f aca="false">1-(E17/Q$1)</f>
        <v>0.992748078263733</v>
      </c>
      <c r="R17" s="204" t="n">
        <f aca="false">Q17/R$1</f>
        <v>0.00763652367895179</v>
      </c>
      <c r="S17" s="204" t="n">
        <f aca="false">F17/S$1</f>
        <v>0.00595305435646646</v>
      </c>
      <c r="T17" s="204" t="n">
        <f aca="false">1-(G17/T$1)</f>
        <v>0.993183148582575</v>
      </c>
      <c r="U17" s="205" t="n">
        <f aca="false">T17/U$1</f>
        <v>0.00763987037371212</v>
      </c>
      <c r="V17" s="204" t="n">
        <f aca="false">H17/V$1</f>
        <v>0.00808901986687668</v>
      </c>
      <c r="W17" s="204" t="n">
        <f aca="false">I17/W$1</f>
        <v>0.00614457132919831</v>
      </c>
      <c r="X17" s="204" t="n">
        <f aca="false">J17/X$1</f>
        <v>0.00636804291509665</v>
      </c>
      <c r="Y17" s="204" t="n">
        <f aca="false">1-(K17/Y$1)</f>
        <v>0.99040490284338</v>
      </c>
      <c r="Z17" s="205" t="n">
        <f aca="false">Y17/Z$1</f>
        <v>0.00761849925264139</v>
      </c>
      <c r="AA17" s="204" t="n">
        <f aca="false">L17/$AA$1</f>
        <v>0.00538349596907391</v>
      </c>
      <c r="AB17" s="204" t="n">
        <f aca="false">M17/AB$1</f>
        <v>0.00249535638567328</v>
      </c>
      <c r="AC17" s="204" t="n">
        <f aca="false">N17/AC$1</f>
        <v>0.00534746324533011</v>
      </c>
      <c r="AD17" s="204" t="n">
        <f aca="false">O17/AD$1</f>
        <v>0.00596531857743525</v>
      </c>
      <c r="AE17" s="209" t="n">
        <f aca="false">('Modelo AHP'!$U$37*aux!P17)+('Modelo AHP'!$U$38*aux!R17)+('Modelo AHP'!$U$39*aux!S17)</f>
        <v>0.00525473757666009</v>
      </c>
      <c r="AF17" s="210" t="n">
        <f aca="false">aux!U17</f>
        <v>0.00763987037371212</v>
      </c>
      <c r="AG17" s="209" t="n">
        <f aca="false">('Modelo AHP'!$U$47*aux!V17)+('Modelo AHP'!$U$48*aux!W17)+('Modelo AHP'!$U$49*aux!X17)</f>
        <v>0.0065601381914372</v>
      </c>
      <c r="AH17" s="210" t="n">
        <f aca="false">Z17</f>
        <v>0.00761849925264139</v>
      </c>
      <c r="AI17" s="209" t="n">
        <f aca="false">('Modelo AHP'!$U$56*aux!AA17)+('Modelo AHP'!$U$57*aux!AB17)+('Modelo AHP'!$U$58*aux!AC17)+('Modelo AHP'!$U$59*aux!AD17)</f>
        <v>0.00402242391382511</v>
      </c>
      <c r="AJ17" s="211" t="n">
        <f aca="false">('Modelo AHP'!$U$23*aux!AE17)+('Modelo AHP'!$U$24*aux!AF17)+('Modelo AHP'!$U$25*aux!AG17)+('Modelo AHP'!$U$26*aux!AH17)+('Modelo AHP'!$U$27*aux!AI17)</f>
        <v>0.00653258859459512</v>
      </c>
    </row>
    <row r="18" customFormat="false" ht="15" hidden="false" customHeight="false" outlineLevel="0" collapsed="false">
      <c r="A18" s="195" t="n">
        <f aca="false">_xlfn.RANK.EQ(AJ18,AJ$5:AJ$135)</f>
        <v>102</v>
      </c>
      <c r="B18" s="196" t="s">
        <v>139</v>
      </c>
      <c r="C18" s="197" t="s">
        <v>140</v>
      </c>
      <c r="D18" s="198" t="n">
        <v>0.0506830153864468</v>
      </c>
      <c r="E18" s="199" t="n">
        <v>84.16</v>
      </c>
      <c r="F18" s="198" t="n">
        <v>0.256413988864224</v>
      </c>
      <c r="G18" s="200" t="n">
        <v>41948.887029967</v>
      </c>
      <c r="H18" s="201" t="n">
        <v>6.1</v>
      </c>
      <c r="I18" s="201" t="n">
        <v>7.59</v>
      </c>
      <c r="J18" s="198" t="n">
        <v>0.0330983715655516</v>
      </c>
      <c r="K18" s="202" t="n">
        <v>95321.7</v>
      </c>
      <c r="L18" s="198" t="n">
        <v>0.0201648255304226</v>
      </c>
      <c r="M18" s="203" t="n">
        <v>121</v>
      </c>
      <c r="N18" s="198" t="n">
        <v>0.016607240371334</v>
      </c>
      <c r="O18" s="198" t="n">
        <v>0.0261664171656687</v>
      </c>
      <c r="P18" s="204" t="n">
        <f aca="false">D18/$P$1</f>
        <v>0.00463913887378947</v>
      </c>
      <c r="Q18" s="204" t="n">
        <f aca="false">1-(E18/Q$1)</f>
        <v>0.992259711688976</v>
      </c>
      <c r="R18" s="204" t="n">
        <f aca="false">Q18/R$1</f>
        <v>0.00763276701299212</v>
      </c>
      <c r="S18" s="204" t="n">
        <f aca="false">F18/S$1</f>
        <v>0.0052570288118975</v>
      </c>
      <c r="T18" s="204" t="n">
        <f aca="false">1-(G18/T$1)</f>
        <v>0.992462711616777</v>
      </c>
      <c r="U18" s="205" t="n">
        <f aca="false">T18/U$1</f>
        <v>0.00763432855089829</v>
      </c>
      <c r="V18" s="204" t="n">
        <f aca="false">H18/V$1</f>
        <v>0.00619887200853615</v>
      </c>
      <c r="W18" s="204" t="n">
        <f aca="false">I18/W$1</f>
        <v>0.00628534991760312</v>
      </c>
      <c r="X18" s="204" t="n">
        <f aca="false">J18/X$1</f>
        <v>0.00531304615845705</v>
      </c>
      <c r="Y18" s="204" t="n">
        <f aca="false">1-(K18/Y$1)</f>
        <v>0.992834889569393</v>
      </c>
      <c r="Z18" s="205" t="n">
        <f aca="false">Y18/Z$1</f>
        <v>0.0076371914582261</v>
      </c>
      <c r="AA18" s="204" t="n">
        <f aca="false">L18/$AA$1</f>
        <v>0.00308010963404726</v>
      </c>
      <c r="AB18" s="204" t="n">
        <f aca="false">M18/AB$1</f>
        <v>0.00113510572431002</v>
      </c>
      <c r="AC18" s="204" t="n">
        <f aca="false">N18/AC$1</f>
        <v>0.00252018094606715</v>
      </c>
      <c r="AD18" s="204" t="n">
        <f aca="false">O18/AD$1</f>
        <v>0.00398162473068271</v>
      </c>
      <c r="AE18" s="209" t="n">
        <f aca="false">('Modelo AHP'!$U$37*aux!P18)+('Modelo AHP'!$U$38*aux!R18)+('Modelo AHP'!$U$39*aux!S18)</f>
        <v>0.00530923565057456</v>
      </c>
      <c r="AF18" s="210" t="n">
        <f aca="false">aux!U18</f>
        <v>0.00763432855089829</v>
      </c>
      <c r="AG18" s="209" t="n">
        <f aca="false">('Modelo AHP'!$U$47*aux!V18)+('Modelo AHP'!$U$48*aux!W18)+('Modelo AHP'!$U$49*aux!X18)</f>
        <v>0.00589407557546863</v>
      </c>
      <c r="AH18" s="210" t="n">
        <f aca="false">Z18</f>
        <v>0.0076371914582261</v>
      </c>
      <c r="AI18" s="209" t="n">
        <f aca="false">('Modelo AHP'!$U$56*aux!AA18)+('Modelo AHP'!$U$57*aux!AB18)+('Modelo AHP'!$U$58*aux!AC18)+('Modelo AHP'!$U$59*aux!AD18)</f>
        <v>0.00211121505282198</v>
      </c>
      <c r="AJ18" s="211" t="n">
        <f aca="false">('Modelo AHP'!$U$23*aux!AE18)+('Modelo AHP'!$U$24*aux!AF18)+('Modelo AHP'!$U$25*aux!AG18)+('Modelo AHP'!$U$26*aux!AH18)+('Modelo AHP'!$U$27*aux!AI18)</f>
        <v>0.00613476471344964</v>
      </c>
    </row>
    <row r="19" customFormat="false" ht="15" hidden="false" customHeight="false" outlineLevel="0" collapsed="false">
      <c r="A19" s="195" t="n">
        <f aca="false">_xlfn.RANK.EQ(AJ19,AJ$5:AJ$135)</f>
        <v>92</v>
      </c>
      <c r="B19" s="196" t="s">
        <v>139</v>
      </c>
      <c r="C19" s="197" t="s">
        <v>141</v>
      </c>
      <c r="D19" s="198" t="n">
        <v>0.0385936222403925</v>
      </c>
      <c r="E19" s="199" t="n">
        <v>82.52</v>
      </c>
      <c r="F19" s="198" t="n">
        <v>0.261341019833917</v>
      </c>
      <c r="G19" s="200" t="n">
        <v>45842.9286514838</v>
      </c>
      <c r="H19" s="201" t="n">
        <v>6.73</v>
      </c>
      <c r="I19" s="201" t="n">
        <v>8.78</v>
      </c>
      <c r="J19" s="198" t="n">
        <v>0.0330983715655516</v>
      </c>
      <c r="K19" s="202" t="n">
        <v>89195.73</v>
      </c>
      <c r="L19" s="198" t="n">
        <v>0.0201648255304226</v>
      </c>
      <c r="M19" s="203" t="n">
        <v>121</v>
      </c>
      <c r="N19" s="198" t="n">
        <v>0.016607240371334</v>
      </c>
      <c r="O19" s="198" t="n">
        <v>0.0261664171656687</v>
      </c>
      <c r="P19" s="204" t="n">
        <f aca="false">D19/$P$1</f>
        <v>0.0035325675051218</v>
      </c>
      <c r="Q19" s="204" t="n">
        <f aca="false">1-(E19/Q$1)</f>
        <v>0.992410544303402</v>
      </c>
      <c r="R19" s="204" t="n">
        <f aca="false">Q19/R$1</f>
        <v>0.00763392726387232</v>
      </c>
      <c r="S19" s="204" t="n">
        <f aca="false">F19/S$1</f>
        <v>0.00535804336215476</v>
      </c>
      <c r="T19" s="204" t="n">
        <f aca="false">1-(G19/T$1)</f>
        <v>0.991763038353535</v>
      </c>
      <c r="U19" s="205" t="n">
        <f aca="false">T19/U$1</f>
        <v>0.00762894644887334</v>
      </c>
      <c r="V19" s="204" t="n">
        <f aca="false">H19/V$1</f>
        <v>0.00683908337990956</v>
      </c>
      <c r="W19" s="204" t="n">
        <f aca="false">I19/W$1</f>
        <v>0.00727080003643681</v>
      </c>
      <c r="X19" s="204" t="n">
        <f aca="false">J19/X$1</f>
        <v>0.00531304615845705</v>
      </c>
      <c r="Y19" s="204" t="n">
        <f aca="false">1-(K19/Y$1)</f>
        <v>0.993295364482708</v>
      </c>
      <c r="Z19" s="205" t="n">
        <f aca="false">Y19/Z$1</f>
        <v>0.00764073357294391</v>
      </c>
      <c r="AA19" s="204" t="n">
        <f aca="false">L19/$AA$1</f>
        <v>0.00308010963404726</v>
      </c>
      <c r="AB19" s="204" t="n">
        <f aca="false">M19/AB$1</f>
        <v>0.00113510572431002</v>
      </c>
      <c r="AC19" s="204" t="n">
        <f aca="false">N19/AC$1</f>
        <v>0.00252018094606715</v>
      </c>
      <c r="AD19" s="204" t="n">
        <f aca="false">O19/AD$1</f>
        <v>0.00398162473068271</v>
      </c>
      <c r="AE19" s="209" t="n">
        <f aca="false">('Modelo AHP'!$U$37*aux!P19)+('Modelo AHP'!$U$38*aux!R19)+('Modelo AHP'!$U$39*aux!S19)</f>
        <v>0.00503798899521663</v>
      </c>
      <c r="AF19" s="210" t="n">
        <f aca="false">aux!U19</f>
        <v>0.00762894644887334</v>
      </c>
      <c r="AG19" s="209" t="n">
        <f aca="false">('Modelo AHP'!$U$47*aux!V19)+('Modelo AHP'!$U$48*aux!W19)+('Modelo AHP'!$U$49*aux!X19)</f>
        <v>0.00643937653221578</v>
      </c>
      <c r="AH19" s="210" t="n">
        <f aca="false">Z19</f>
        <v>0.00764073357294391</v>
      </c>
      <c r="AI19" s="209" t="n">
        <f aca="false">('Modelo AHP'!$U$56*aux!AA19)+('Modelo AHP'!$U$57*aux!AB19)+('Modelo AHP'!$U$58*aux!AC19)+('Modelo AHP'!$U$59*aux!AD19)</f>
        <v>0.00211121505282198</v>
      </c>
      <c r="AJ19" s="211" t="n">
        <f aca="false">('Modelo AHP'!$U$23*aux!AE19)+('Modelo AHP'!$U$24*aux!AF19)+('Modelo AHP'!$U$25*aux!AG19)+('Modelo AHP'!$U$26*aux!AH19)+('Modelo AHP'!$U$27*aux!AI19)</f>
        <v>0.00627437091943713</v>
      </c>
    </row>
    <row r="20" customFormat="false" ht="15" hidden="false" customHeight="false" outlineLevel="0" collapsed="false">
      <c r="A20" s="195" t="n">
        <f aca="false">_xlfn.RANK.EQ(AJ20,AJ$5:AJ$135)</f>
        <v>118</v>
      </c>
      <c r="B20" s="196" t="s">
        <v>139</v>
      </c>
      <c r="C20" s="197" t="s">
        <v>142</v>
      </c>
      <c r="D20" s="198" t="n">
        <v>0.0198381960581806</v>
      </c>
      <c r="E20" s="199" t="n">
        <v>85.36</v>
      </c>
      <c r="F20" s="198" t="n">
        <v>0.205168236877524</v>
      </c>
      <c r="G20" s="200" t="n">
        <v>58249.1444892188</v>
      </c>
      <c r="H20" s="201" t="n">
        <v>5.21</v>
      </c>
      <c r="I20" s="201" t="n">
        <v>6.64</v>
      </c>
      <c r="J20" s="198" t="n">
        <v>0.0330983715655516</v>
      </c>
      <c r="K20" s="202" t="n">
        <v>124451.81</v>
      </c>
      <c r="L20" s="198" t="n">
        <v>0.0201648255304226</v>
      </c>
      <c r="M20" s="203" t="n">
        <v>121</v>
      </c>
      <c r="N20" s="198" t="n">
        <v>0.016607240371334</v>
      </c>
      <c r="O20" s="198" t="n">
        <v>0.0261664171656687</v>
      </c>
      <c r="P20" s="204" t="n">
        <f aca="false">D20/$P$1</f>
        <v>0.0018158380241909</v>
      </c>
      <c r="Q20" s="204" t="n">
        <f aca="false">1-(E20/Q$1)</f>
        <v>0.992149346361347</v>
      </c>
      <c r="R20" s="204" t="n">
        <f aca="false">Q20/R$1</f>
        <v>0.00763191804893344</v>
      </c>
      <c r="S20" s="204" t="n">
        <f aca="false">F20/S$1</f>
        <v>0.00420638256644602</v>
      </c>
      <c r="T20" s="204" t="n">
        <f aca="false">1-(G20/T$1)</f>
        <v>0.989533915410494</v>
      </c>
      <c r="U20" s="205" t="n">
        <f aca="false">T20/U$1</f>
        <v>0.00761179934931149</v>
      </c>
      <c r="V20" s="204" t="n">
        <f aca="false">H20/V$1</f>
        <v>0.00529444642040547</v>
      </c>
      <c r="W20" s="204" t="n">
        <f aca="false">I20/W$1</f>
        <v>0.00549864604122328</v>
      </c>
      <c r="X20" s="204" t="n">
        <f aca="false">J20/X$1</f>
        <v>0.00531304615845705</v>
      </c>
      <c r="Y20" s="204" t="n">
        <f aca="false">1-(K20/Y$1)</f>
        <v>0.990645246969589</v>
      </c>
      <c r="Z20" s="205" t="n">
        <f aca="false">Y20/Z$1</f>
        <v>0.00762034805361222</v>
      </c>
      <c r="AA20" s="204" t="n">
        <f aca="false">L20/$AA$1</f>
        <v>0.00308010963404726</v>
      </c>
      <c r="AB20" s="204" t="n">
        <f aca="false">M20/AB$1</f>
        <v>0.00113510572431002</v>
      </c>
      <c r="AC20" s="204" t="n">
        <f aca="false">N20/AC$1</f>
        <v>0.00252018094606715</v>
      </c>
      <c r="AD20" s="204" t="n">
        <f aca="false">O20/AD$1</f>
        <v>0.00398162473068271</v>
      </c>
      <c r="AE20" s="209" t="n">
        <f aca="false">('Modelo AHP'!$U$37*aux!P20)+('Modelo AHP'!$U$38*aux!R20)+('Modelo AHP'!$U$39*aux!S20)</f>
        <v>0.00383177275201822</v>
      </c>
      <c r="AF20" s="210" t="n">
        <f aca="false">aux!U20</f>
        <v>0.00761179934931149</v>
      </c>
      <c r="AG20" s="209" t="n">
        <f aca="false">('Modelo AHP'!$U$47*aux!V20)+('Modelo AHP'!$U$48*aux!W20)+('Modelo AHP'!$U$49*aux!X20)</f>
        <v>0.00539219947672485</v>
      </c>
      <c r="AH20" s="210" t="n">
        <f aca="false">Z20</f>
        <v>0.00762034805361222</v>
      </c>
      <c r="AI20" s="209" t="n">
        <f aca="false">('Modelo AHP'!$U$56*aux!AA20)+('Modelo AHP'!$U$57*aux!AB20)+('Modelo AHP'!$U$58*aux!AC20)+('Modelo AHP'!$U$59*aux!AD20)</f>
        <v>0.00211121505282198</v>
      </c>
      <c r="AJ20" s="211" t="n">
        <f aca="false">('Modelo AHP'!$U$23*aux!AE20)+('Modelo AHP'!$U$24*aux!AF20)+('Modelo AHP'!$U$25*aux!AG20)+('Modelo AHP'!$U$26*aux!AH20)+('Modelo AHP'!$U$27*aux!AI20)</f>
        <v>0.00570816026488063</v>
      </c>
    </row>
    <row r="21" customFormat="false" ht="15" hidden="false" customHeight="false" outlineLevel="0" collapsed="false">
      <c r="A21" s="195" t="n">
        <f aca="false">_xlfn.RANK.EQ(AJ21,AJ$5:AJ$135)</f>
        <v>106</v>
      </c>
      <c r="B21" s="196" t="s">
        <v>139</v>
      </c>
      <c r="C21" s="197" t="s">
        <v>143</v>
      </c>
      <c r="D21" s="198" t="n">
        <v>0.0521143815201192</v>
      </c>
      <c r="E21" s="199" t="n">
        <v>82.81</v>
      </c>
      <c r="F21" s="198" t="n">
        <v>0.234021688970928</v>
      </c>
      <c r="G21" s="200" t="n">
        <v>45561.1376637797</v>
      </c>
      <c r="H21" s="201" t="n">
        <v>5.73</v>
      </c>
      <c r="I21" s="201" t="n">
        <v>7.45</v>
      </c>
      <c r="J21" s="198" t="n">
        <v>0.0330983715655516</v>
      </c>
      <c r="K21" s="202" t="n">
        <v>160287.21</v>
      </c>
      <c r="L21" s="198" t="n">
        <v>0.0201648255304226</v>
      </c>
      <c r="M21" s="203" t="n">
        <v>121</v>
      </c>
      <c r="N21" s="198" t="n">
        <v>0.016607240371334</v>
      </c>
      <c r="O21" s="198" t="n">
        <v>0.0261664171656687</v>
      </c>
      <c r="P21" s="204" t="n">
        <f aca="false">D21/$P$1</f>
        <v>0.00477015527489967</v>
      </c>
      <c r="Q21" s="204" t="n">
        <f aca="false">1-(E21/Q$1)</f>
        <v>0.992383872682558</v>
      </c>
      <c r="R21" s="204" t="n">
        <f aca="false">Q21/R$1</f>
        <v>0.00763372209755814</v>
      </c>
      <c r="S21" s="204" t="n">
        <f aca="false">F21/S$1</f>
        <v>0.00479793932842147</v>
      </c>
      <c r="T21" s="204" t="n">
        <f aca="false">1-(G21/T$1)</f>
        <v>0.991813669969496</v>
      </c>
      <c r="U21" s="205" t="n">
        <f aca="false">T21/U$1</f>
        <v>0.00762933592284228</v>
      </c>
      <c r="V21" s="204" t="n">
        <f aca="false">H21/V$1</f>
        <v>0.00582287485392002</v>
      </c>
      <c r="W21" s="204" t="n">
        <f aca="false">I21/W$1</f>
        <v>0.00616941460950504</v>
      </c>
      <c r="X21" s="204" t="n">
        <f aca="false">J21/X$1</f>
        <v>0.00531304615845705</v>
      </c>
      <c r="Y21" s="204" t="n">
        <f aca="false">1-(K21/Y$1)</f>
        <v>0.987951583319812</v>
      </c>
      <c r="Z21" s="205" t="n">
        <f aca="false">Y21/Z$1</f>
        <v>0.00759962756399855</v>
      </c>
      <c r="AA21" s="204" t="n">
        <f aca="false">L21/$AA$1</f>
        <v>0.00308010963404726</v>
      </c>
      <c r="AB21" s="204" t="n">
        <f aca="false">M21/AB$1</f>
        <v>0.00113510572431002</v>
      </c>
      <c r="AC21" s="204" t="n">
        <f aca="false">N21/AC$1</f>
        <v>0.00252018094606715</v>
      </c>
      <c r="AD21" s="204" t="n">
        <f aca="false">O21/AD$1</f>
        <v>0.00398162473068271</v>
      </c>
      <c r="AE21" s="209" t="n">
        <f aca="false">('Modelo AHP'!$U$37*aux!P21)+('Modelo AHP'!$U$38*aux!R21)+('Modelo AHP'!$U$39*aux!S21)</f>
        <v>0.0050731823892786</v>
      </c>
      <c r="AF21" s="210" t="n">
        <f aca="false">aux!U21</f>
        <v>0.00762933592284228</v>
      </c>
      <c r="AG21" s="209" t="n">
        <f aca="false">('Modelo AHP'!$U$47*aux!V21)+('Modelo AHP'!$U$48*aux!W21)+('Modelo AHP'!$U$49*aux!X21)</f>
        <v>0.00577904781324162</v>
      </c>
      <c r="AH21" s="210" t="n">
        <f aca="false">Z21</f>
        <v>0.00759962756399855</v>
      </c>
      <c r="AI21" s="209" t="n">
        <f aca="false">('Modelo AHP'!$U$56*aux!AA21)+('Modelo AHP'!$U$57*aux!AB21)+('Modelo AHP'!$U$58*aux!AC21)+('Modelo AHP'!$U$59*aux!AD21)</f>
        <v>0.00211121505282198</v>
      </c>
      <c r="AJ21" s="211" t="n">
        <f aca="false">('Modelo AHP'!$U$23*aux!AE21)+('Modelo AHP'!$U$24*aux!AF21)+('Modelo AHP'!$U$25*aux!AG21)+('Modelo AHP'!$U$26*aux!AH21)+('Modelo AHP'!$U$27*aux!AI21)</f>
        <v>0.00605162932761579</v>
      </c>
    </row>
    <row r="22" customFormat="false" ht="15" hidden="false" customHeight="false" outlineLevel="0" collapsed="false">
      <c r="A22" s="195" t="n">
        <f aca="false">_xlfn.RANK.EQ(AJ22,AJ$5:AJ$135)</f>
        <v>126</v>
      </c>
      <c r="B22" s="196" t="s">
        <v>139</v>
      </c>
      <c r="C22" s="197" t="s">
        <v>144</v>
      </c>
      <c r="D22" s="198" t="n">
        <v>0.0371731448763251</v>
      </c>
      <c r="E22" s="199" t="n">
        <v>84.89</v>
      </c>
      <c r="F22" s="198" t="n">
        <v>0.188418323249784</v>
      </c>
      <c r="G22" s="200" t="n">
        <v>84955.302447994</v>
      </c>
      <c r="H22" s="201" t="n">
        <v>4.15</v>
      </c>
      <c r="I22" s="201" t="n">
        <v>5.03</v>
      </c>
      <c r="J22" s="198" t="n">
        <v>0.0330983715655516</v>
      </c>
      <c r="K22" s="202" t="n">
        <v>329936.75</v>
      </c>
      <c r="L22" s="198" t="n">
        <v>0.0201648255304226</v>
      </c>
      <c r="M22" s="203" t="n">
        <v>121</v>
      </c>
      <c r="N22" s="198" t="n">
        <v>0.016607240371334</v>
      </c>
      <c r="O22" s="198" t="n">
        <v>0.0261664171656687</v>
      </c>
      <c r="P22" s="204" t="n">
        <f aca="false">D22/$P$1</f>
        <v>0.00340254777940625</v>
      </c>
      <c r="Q22" s="204" t="n">
        <f aca="false">1-(E22/Q$1)</f>
        <v>0.992192572781335</v>
      </c>
      <c r="R22" s="204" t="n">
        <f aca="false">Q22/R$1</f>
        <v>0.00763225055985643</v>
      </c>
      <c r="S22" s="204" t="n">
        <f aca="false">F22/S$1</f>
        <v>0.00386297392900054</v>
      </c>
      <c r="T22" s="204" t="n">
        <f aca="false">1-(G22/T$1)</f>
        <v>0.984735408742143</v>
      </c>
      <c r="U22" s="205" t="n">
        <f aca="false">T22/U$1</f>
        <v>0.00757488775955495</v>
      </c>
      <c r="V22" s="204" t="n">
        <f aca="false">H22/V$1</f>
        <v>0.00421726538285656</v>
      </c>
      <c r="W22" s="204" t="n">
        <f aca="false">I22/W$1</f>
        <v>0.00416538999809535</v>
      </c>
      <c r="X22" s="204" t="n">
        <f aca="false">J22/X$1</f>
        <v>0.00531304615845705</v>
      </c>
      <c r="Y22" s="204" t="n">
        <f aca="false">1-(K22/Y$1)</f>
        <v>0.975199422074244</v>
      </c>
      <c r="Z22" s="205" t="n">
        <f aca="false">Y22/Z$1</f>
        <v>0.00750153401595572</v>
      </c>
      <c r="AA22" s="204" t="n">
        <f aca="false">L22/$AA$1</f>
        <v>0.00308010963404726</v>
      </c>
      <c r="AB22" s="204" t="n">
        <f aca="false">M22/AB$1</f>
        <v>0.00113510572431002</v>
      </c>
      <c r="AC22" s="204" t="n">
        <f aca="false">N22/AC$1</f>
        <v>0.00252018094606715</v>
      </c>
      <c r="AD22" s="204" t="n">
        <f aca="false">O22/AD$1</f>
        <v>0.00398162473068271</v>
      </c>
      <c r="AE22" s="209" t="n">
        <f aca="false">('Modelo AHP'!$U$37*aux!P22)+('Modelo AHP'!$U$38*aux!R22)+('Modelo AHP'!$U$39*aux!S22)</f>
        <v>0.00410177374720784</v>
      </c>
      <c r="AF22" s="210" t="n">
        <f aca="false">aux!U22</f>
        <v>0.00757488775955495</v>
      </c>
      <c r="AG22" s="209" t="n">
        <f aca="false">('Modelo AHP'!$U$47*aux!V22)+('Modelo AHP'!$U$48*aux!W22)+('Modelo AHP'!$U$49*aux!X22)</f>
        <v>0.00461873603452294</v>
      </c>
      <c r="AH22" s="210" t="n">
        <f aca="false">Z22</f>
        <v>0.00750153401595572</v>
      </c>
      <c r="AI22" s="209" t="n">
        <f aca="false">('Modelo AHP'!$U$56*aux!AA22)+('Modelo AHP'!$U$57*aux!AB22)+('Modelo AHP'!$U$58*aux!AC22)+('Modelo AHP'!$U$59*aux!AD22)</f>
        <v>0.00211121505282198</v>
      </c>
      <c r="AJ22" s="211" t="n">
        <f aca="false">('Modelo AHP'!$U$23*aux!AE22)+('Modelo AHP'!$U$24*aux!AF22)+('Modelo AHP'!$U$25*aux!AG22)+('Modelo AHP'!$U$26*aux!AH22)+('Modelo AHP'!$U$27*aux!AI22)</f>
        <v>0.00546806956603461</v>
      </c>
    </row>
    <row r="23" customFormat="false" ht="15" hidden="false" customHeight="false" outlineLevel="0" collapsed="false">
      <c r="A23" s="195" t="n">
        <f aca="false">_xlfn.RANK.EQ(AJ23,AJ$5:AJ$135)</f>
        <v>125</v>
      </c>
      <c r="B23" s="196" t="s">
        <v>139</v>
      </c>
      <c r="C23" s="197" t="s">
        <v>145</v>
      </c>
      <c r="D23" s="198" t="n">
        <v>0.0246727748691099</v>
      </c>
      <c r="E23" s="199" t="n">
        <v>83.81</v>
      </c>
      <c r="F23" s="198" t="n">
        <v>0.160604508196721</v>
      </c>
      <c r="G23" s="200" t="n">
        <v>69100.1609099165</v>
      </c>
      <c r="H23" s="201" t="n">
        <v>4.81</v>
      </c>
      <c r="I23" s="201" t="n">
        <v>5.71</v>
      </c>
      <c r="J23" s="198" t="n">
        <v>0.0330983715655516</v>
      </c>
      <c r="K23" s="202" t="n">
        <v>205637.32</v>
      </c>
      <c r="L23" s="198" t="n">
        <v>0.0201648255304226</v>
      </c>
      <c r="M23" s="203" t="n">
        <v>121</v>
      </c>
      <c r="N23" s="198" t="n">
        <v>0.016607240371334</v>
      </c>
      <c r="O23" s="198" t="n">
        <v>0.0261664171656687</v>
      </c>
      <c r="P23" s="204" t="n">
        <f aca="false">D23/$P$1</f>
        <v>0.00225835870551127</v>
      </c>
      <c r="Q23" s="204" t="n">
        <f aca="false">1-(E23/Q$1)</f>
        <v>0.992291901576201</v>
      </c>
      <c r="R23" s="204" t="n">
        <f aca="false">Q23/R$1</f>
        <v>0.00763301462750924</v>
      </c>
      <c r="S23" s="204" t="n">
        <f aca="false">F23/S$1</f>
        <v>0.00329273192406779</v>
      </c>
      <c r="T23" s="204" t="n">
        <f aca="false">1-(G23/T$1)</f>
        <v>0.987584227449632</v>
      </c>
      <c r="U23" s="205" t="n">
        <f aca="false">T23/U$1</f>
        <v>0.00759680174961255</v>
      </c>
      <c r="V23" s="204" t="n">
        <f aca="false">H23/V$1</f>
        <v>0.00488796301000965</v>
      </c>
      <c r="W23" s="204" t="n">
        <f aca="false">I23/W$1</f>
        <v>0.0047285043517146</v>
      </c>
      <c r="X23" s="204" t="n">
        <f aca="false">J23/X$1</f>
        <v>0.00531304615845705</v>
      </c>
      <c r="Y23" s="204" t="n">
        <f aca="false">1-(K23/Y$1)</f>
        <v>0.984542721054554</v>
      </c>
      <c r="Z23" s="205" t="n">
        <f aca="false">Y23/Z$1</f>
        <v>0.0075734055465735</v>
      </c>
      <c r="AA23" s="204" t="n">
        <f aca="false">L23/$AA$1</f>
        <v>0.00308010963404726</v>
      </c>
      <c r="AB23" s="204" t="n">
        <f aca="false">M23/AB$1</f>
        <v>0.00113510572431002</v>
      </c>
      <c r="AC23" s="204" t="n">
        <f aca="false">N23/AC$1</f>
        <v>0.00252018094606715</v>
      </c>
      <c r="AD23" s="204" t="n">
        <f aca="false">O23/AD$1</f>
        <v>0.00398162473068271</v>
      </c>
      <c r="AE23" s="209" t="n">
        <f aca="false">('Modelo AHP'!$U$37*aux!P23)+('Modelo AHP'!$U$38*aux!R23)+('Modelo AHP'!$U$39*aux!S23)</f>
        <v>0.00341644822884498</v>
      </c>
      <c r="AF23" s="210" t="n">
        <f aca="false">aux!U23</f>
        <v>0.00759680174961255</v>
      </c>
      <c r="AG23" s="209" t="n">
        <f aca="false">('Modelo AHP'!$U$47*aux!V23)+('Modelo AHP'!$U$48*aux!W23)+('Modelo AHP'!$U$49*aux!X23)</f>
        <v>0.00498191928765894</v>
      </c>
      <c r="AH23" s="210" t="n">
        <f aca="false">Z23</f>
        <v>0.0075734055465735</v>
      </c>
      <c r="AI23" s="209" t="n">
        <f aca="false">('Modelo AHP'!$U$56*aux!AA23)+('Modelo AHP'!$U$57*aux!AB23)+('Modelo AHP'!$U$58*aux!AC23)+('Modelo AHP'!$U$59*aux!AD23)</f>
        <v>0.00211121505282198</v>
      </c>
      <c r="AJ23" s="211" t="n">
        <f aca="false">('Modelo AHP'!$U$23*aux!AE23)+('Modelo AHP'!$U$24*aux!AF23)+('Modelo AHP'!$U$25*aux!AG23)+('Modelo AHP'!$U$26*aux!AH23)+('Modelo AHP'!$U$27*aux!AI23)</f>
        <v>0.00549027924348047</v>
      </c>
    </row>
    <row r="24" customFormat="false" ht="15" hidden="false" customHeight="false" outlineLevel="0" collapsed="false">
      <c r="A24" s="195" t="n">
        <f aca="false">_xlfn.RANK.EQ(AJ24,AJ$5:AJ$135)</f>
        <v>124</v>
      </c>
      <c r="B24" s="196" t="s">
        <v>146</v>
      </c>
      <c r="C24" s="197" t="s">
        <v>147</v>
      </c>
      <c r="D24" s="198" t="n">
        <v>0.0713379030210713</v>
      </c>
      <c r="E24" s="199" t="n">
        <v>84.12</v>
      </c>
      <c r="F24" s="198" t="n">
        <v>0.145619479589401</v>
      </c>
      <c r="G24" s="200" t="n">
        <v>84705.7178808273</v>
      </c>
      <c r="H24" s="201" t="n">
        <v>3.89</v>
      </c>
      <c r="I24" s="201" t="n">
        <v>5</v>
      </c>
      <c r="J24" s="198" t="n">
        <v>0.0290463058593043</v>
      </c>
      <c r="K24" s="202" t="n">
        <v>261448.85</v>
      </c>
      <c r="L24" s="198" t="n">
        <v>0.037816353965749</v>
      </c>
      <c r="M24" s="203" t="n">
        <v>111</v>
      </c>
      <c r="N24" s="198" t="n">
        <v>0.0251196556487103</v>
      </c>
      <c r="O24" s="198" t="n">
        <v>0.0288173652694611</v>
      </c>
      <c r="P24" s="204" t="n">
        <f aca="false">D24/$P$1</f>
        <v>0.00652973065150685</v>
      </c>
      <c r="Q24" s="204" t="n">
        <f aca="false">1-(E24/Q$1)</f>
        <v>0.99226339053323</v>
      </c>
      <c r="R24" s="204" t="n">
        <f aca="false">Q24/R$1</f>
        <v>0.00763279531179408</v>
      </c>
      <c r="S24" s="204" t="n">
        <f aca="false">F24/S$1</f>
        <v>0.00298550716037713</v>
      </c>
      <c r="T24" s="204" t="n">
        <f aca="false">1-(G24/T$1)</f>
        <v>0.984780253575747</v>
      </c>
      <c r="U24" s="205" t="n">
        <f aca="false">T24/U$1</f>
        <v>0.00757523271981344</v>
      </c>
      <c r="V24" s="204" t="n">
        <f aca="false">H24/V$1</f>
        <v>0.00395305116609928</v>
      </c>
      <c r="W24" s="204" t="n">
        <f aca="false">I24/W$1</f>
        <v>0.00414054671778862</v>
      </c>
      <c r="X24" s="204" t="n">
        <f aca="false">J24/X$1</f>
        <v>0.00466259687300641</v>
      </c>
      <c r="Y24" s="204" t="n">
        <f aca="false">1-(K24/Y$1)</f>
        <v>0.980347498185563</v>
      </c>
      <c r="Z24" s="205" t="n">
        <f aca="false">Y24/Z$1</f>
        <v>0.00754113460142741</v>
      </c>
      <c r="AA24" s="204" t="n">
        <f aca="false">L24/$AA$1</f>
        <v>0.00577632154559009</v>
      </c>
      <c r="AB24" s="204" t="n">
        <f aca="false">M24/AB$1</f>
        <v>0.00104129533387118</v>
      </c>
      <c r="AC24" s="204" t="n">
        <f aca="false">N24/AC$1</f>
        <v>0.00381195647935109</v>
      </c>
      <c r="AD24" s="204" t="n">
        <f aca="false">O24/AD$1</f>
        <v>0.00438500745071612</v>
      </c>
      <c r="AE24" s="209" t="n">
        <f aca="false">('Modelo AHP'!$U$37*aux!P24)+('Modelo AHP'!$U$38*aux!R24)+('Modelo AHP'!$U$39*aux!S24)</f>
        <v>0.00451350302285774</v>
      </c>
      <c r="AF24" s="210" t="n">
        <f aca="false">aux!U24</f>
        <v>0.00757523271981344</v>
      </c>
      <c r="AG24" s="209" t="n">
        <f aca="false">('Modelo AHP'!$U$47*aux!V24)+('Modelo AHP'!$U$48*aux!W24)+('Modelo AHP'!$U$49*aux!X24)</f>
        <v>0.00431104959078511</v>
      </c>
      <c r="AH24" s="210" t="n">
        <f aca="false">Z24</f>
        <v>0.00754113460142741</v>
      </c>
      <c r="AI24" s="209" t="n">
        <f aca="false">('Modelo AHP'!$U$56*aux!AA24)+('Modelo AHP'!$U$57*aux!AB24)+('Modelo AHP'!$U$58*aux!AC24)+('Modelo AHP'!$U$59*aux!AD24)</f>
        <v>0.00283890156482223</v>
      </c>
      <c r="AJ24" s="211" t="n">
        <f aca="false">('Modelo AHP'!$U$23*aux!AE24)+('Modelo AHP'!$U$24*aux!AF24)+('Modelo AHP'!$U$25*aux!AG24)+('Modelo AHP'!$U$26*aux!AH24)+('Modelo AHP'!$U$27*aux!AI24)</f>
        <v>0.00550284902726884</v>
      </c>
    </row>
    <row r="25" customFormat="false" ht="15" hidden="false" customHeight="false" outlineLevel="0" collapsed="false">
      <c r="A25" s="195" t="n">
        <f aca="false">_xlfn.RANK.EQ(AJ25,AJ$5:AJ$135)</f>
        <v>109</v>
      </c>
      <c r="B25" s="196" t="s">
        <v>146</v>
      </c>
      <c r="C25" s="197" t="s">
        <v>148</v>
      </c>
      <c r="D25" s="198" t="n">
        <v>0.067828671801108</v>
      </c>
      <c r="E25" s="199" t="n">
        <v>83.79</v>
      </c>
      <c r="F25" s="198" t="n">
        <v>0.201103413946157</v>
      </c>
      <c r="G25" s="200" t="n">
        <v>48814.7378325123</v>
      </c>
      <c r="H25" s="201" t="n">
        <v>5.24</v>
      </c>
      <c r="I25" s="201" t="n">
        <v>7.17</v>
      </c>
      <c r="J25" s="198" t="n">
        <v>0.0290463058593043</v>
      </c>
      <c r="K25" s="202" t="n">
        <v>157508.54</v>
      </c>
      <c r="L25" s="198" t="n">
        <v>0.037816353965749</v>
      </c>
      <c r="M25" s="203" t="n">
        <v>111</v>
      </c>
      <c r="N25" s="198" t="n">
        <v>0.0251196556487103</v>
      </c>
      <c r="O25" s="198" t="n">
        <v>0.0288173652694611</v>
      </c>
      <c r="P25" s="204" t="n">
        <f aca="false">D25/$P$1</f>
        <v>0.00620852223788904</v>
      </c>
      <c r="Q25" s="204" t="n">
        <f aca="false">1-(E25/Q$1)</f>
        <v>0.992293740998328</v>
      </c>
      <c r="R25" s="204" t="n">
        <f aca="false">Q25/R$1</f>
        <v>0.00763302877691022</v>
      </c>
      <c r="S25" s="204" t="n">
        <f aca="false">F25/S$1</f>
        <v>0.00412304510361838</v>
      </c>
      <c r="T25" s="204" t="n">
        <f aca="false">1-(G25/T$1)</f>
        <v>0.991229069888499</v>
      </c>
      <c r="U25" s="205" t="n">
        <f aca="false">T25/U$1</f>
        <v>0.0076248389991423</v>
      </c>
      <c r="V25" s="204" t="n">
        <f aca="false">H25/V$1</f>
        <v>0.00532493267618515</v>
      </c>
      <c r="W25" s="204" t="n">
        <f aca="false">I25/W$1</f>
        <v>0.00593754399330888</v>
      </c>
      <c r="X25" s="204" t="n">
        <f aca="false">J25/X$1</f>
        <v>0.00466259687300641</v>
      </c>
      <c r="Y25" s="204" t="n">
        <f aca="false">1-(K25/Y$1)</f>
        <v>0.988160449479356</v>
      </c>
      <c r="Z25" s="205" t="n">
        <f aca="false">Y25/Z$1</f>
        <v>0.00760123422676428</v>
      </c>
      <c r="AA25" s="204" t="n">
        <f aca="false">L25/$AA$1</f>
        <v>0.00577632154559009</v>
      </c>
      <c r="AB25" s="204" t="n">
        <f aca="false">M25/AB$1</f>
        <v>0.00104129533387118</v>
      </c>
      <c r="AC25" s="204" t="n">
        <f aca="false">N25/AC$1</f>
        <v>0.00381195647935109</v>
      </c>
      <c r="AD25" s="204" t="n">
        <f aca="false">O25/AD$1</f>
        <v>0.00438500745071612</v>
      </c>
      <c r="AE25" s="209" t="n">
        <f aca="false">('Modelo AHP'!$U$37*aux!P25)+('Modelo AHP'!$U$38*aux!R25)+('Modelo AHP'!$U$39*aux!S25)</f>
        <v>0.00509968661122876</v>
      </c>
      <c r="AF25" s="210" t="n">
        <f aca="false">aux!U25</f>
        <v>0.0076248389991423</v>
      </c>
      <c r="AG25" s="209" t="n">
        <f aca="false">('Modelo AHP'!$U$47*aux!V25)+('Modelo AHP'!$U$48*aux!W25)+('Modelo AHP'!$U$49*aux!X25)</f>
        <v>0.00534001267974909</v>
      </c>
      <c r="AH25" s="210" t="n">
        <f aca="false">Z25</f>
        <v>0.00760123422676428</v>
      </c>
      <c r="AI25" s="209" t="n">
        <f aca="false">('Modelo AHP'!$U$56*aux!AA25)+('Modelo AHP'!$U$57*aux!AB25)+('Modelo AHP'!$U$58*aux!AC25)+('Modelo AHP'!$U$59*aux!AD25)</f>
        <v>0.00283890156482223</v>
      </c>
      <c r="AJ25" s="211" t="n">
        <f aca="false">('Modelo AHP'!$U$23*aux!AE25)+('Modelo AHP'!$U$24*aux!AF25)+('Modelo AHP'!$U$25*aux!AG25)+('Modelo AHP'!$U$26*aux!AH25)+('Modelo AHP'!$U$27*aux!AI25)</f>
        <v>0.00597281791100044</v>
      </c>
    </row>
    <row r="26" customFormat="false" ht="15" hidden="false" customHeight="false" outlineLevel="0" collapsed="false">
      <c r="A26" s="195" t="n">
        <f aca="false">_xlfn.RANK.EQ(AJ26,AJ$5:AJ$135)</f>
        <v>95</v>
      </c>
      <c r="B26" s="196" t="s">
        <v>146</v>
      </c>
      <c r="C26" s="197" t="s">
        <v>149</v>
      </c>
      <c r="D26" s="198" t="n">
        <v>0.0620812647611703</v>
      </c>
      <c r="E26" s="199" t="n">
        <v>83.93</v>
      </c>
      <c r="F26" s="198" t="n">
        <v>0.257286962641487</v>
      </c>
      <c r="G26" s="200" t="n">
        <v>40503.5590024741</v>
      </c>
      <c r="H26" s="201" t="n">
        <v>6.05</v>
      </c>
      <c r="I26" s="201" t="n">
        <v>8.13</v>
      </c>
      <c r="J26" s="198" t="n">
        <v>0.0290463058593043</v>
      </c>
      <c r="K26" s="202" t="n">
        <v>109738.52</v>
      </c>
      <c r="L26" s="198" t="n">
        <v>0.037816353965749</v>
      </c>
      <c r="M26" s="203" t="n">
        <v>111</v>
      </c>
      <c r="N26" s="198" t="n">
        <v>0.0251196556487103</v>
      </c>
      <c r="O26" s="198" t="n">
        <v>0.0288173652694611</v>
      </c>
      <c r="P26" s="204" t="n">
        <f aca="false">D26/$P$1</f>
        <v>0.00568244818291882</v>
      </c>
      <c r="Q26" s="204" t="n">
        <f aca="false">1-(E26/Q$1)</f>
        <v>0.992280865043438</v>
      </c>
      <c r="R26" s="204" t="n">
        <f aca="false">Q26/R$1</f>
        <v>0.00763292973110337</v>
      </c>
      <c r="S26" s="204" t="n">
        <f aca="false">F26/S$1</f>
        <v>0.00527492661973332</v>
      </c>
      <c r="T26" s="204" t="n">
        <f aca="false">1-(G26/T$1)</f>
        <v>0.992722405137222</v>
      </c>
      <c r="U26" s="205" t="n">
        <f aca="false">T26/U$1</f>
        <v>0.00763632619336325</v>
      </c>
      <c r="V26" s="204" t="n">
        <f aca="false">H26/V$1</f>
        <v>0.00614806158223667</v>
      </c>
      <c r="W26" s="204" t="n">
        <f aca="false">I26/W$1</f>
        <v>0.00673252896312429</v>
      </c>
      <c r="X26" s="204" t="n">
        <f aca="false">J26/X$1</f>
        <v>0.00466259687300641</v>
      </c>
      <c r="Y26" s="204" t="n">
        <f aca="false">1-(K26/Y$1)</f>
        <v>0.991751210749584</v>
      </c>
      <c r="Z26" s="205" t="n">
        <f aca="false">Y26/Z$1</f>
        <v>0.00762885546730449</v>
      </c>
      <c r="AA26" s="204" t="n">
        <f aca="false">L26/$AA$1</f>
        <v>0.00577632154559009</v>
      </c>
      <c r="AB26" s="204" t="n">
        <f aca="false">M26/AB$1</f>
        <v>0.00104129533387118</v>
      </c>
      <c r="AC26" s="204" t="n">
        <f aca="false">N26/AC$1</f>
        <v>0.00381195647935109</v>
      </c>
      <c r="AD26" s="204" t="n">
        <f aca="false">O26/AD$1</f>
        <v>0.00438500745071612</v>
      </c>
      <c r="AE26" s="209" t="n">
        <f aca="false">('Modelo AHP'!$U$37*aux!P26)+('Modelo AHP'!$U$38*aux!R26)+('Modelo AHP'!$U$39*aux!S26)</f>
        <v>0.00563298339982597</v>
      </c>
      <c r="AF26" s="210" t="n">
        <f aca="false">aux!U26</f>
        <v>0.00763632619336325</v>
      </c>
      <c r="AG26" s="209" t="n">
        <f aca="false">('Modelo AHP'!$U$47*aux!V26)+('Modelo AHP'!$U$48*aux!W26)+('Modelo AHP'!$U$49*aux!X26)</f>
        <v>0.00583180546803986</v>
      </c>
      <c r="AH26" s="210" t="n">
        <f aca="false">Z26</f>
        <v>0.00762885546730449</v>
      </c>
      <c r="AI26" s="209" t="n">
        <f aca="false">('Modelo AHP'!$U$56*aux!AA26)+('Modelo AHP'!$U$57*aux!AB26)+('Modelo AHP'!$U$58*aux!AC26)+('Modelo AHP'!$U$59*aux!AD26)</f>
        <v>0.00283890156482223</v>
      </c>
      <c r="AJ26" s="211" t="n">
        <f aca="false">('Modelo AHP'!$U$23*aux!AE26)+('Modelo AHP'!$U$24*aux!AF26)+('Modelo AHP'!$U$25*aux!AG26)+('Modelo AHP'!$U$26*aux!AH26)+('Modelo AHP'!$U$27*aux!AI26)</f>
        <v>0.00623565713138824</v>
      </c>
    </row>
    <row r="27" customFormat="false" ht="15" hidden="false" customHeight="false" outlineLevel="0" collapsed="false">
      <c r="A27" s="195" t="n">
        <f aca="false">_xlfn.RANK.EQ(AJ27,AJ$5:AJ$135)</f>
        <v>104</v>
      </c>
      <c r="B27" s="196" t="s">
        <v>146</v>
      </c>
      <c r="C27" s="197" t="s">
        <v>150</v>
      </c>
      <c r="D27" s="198" t="n">
        <v>0.0599142005380644</v>
      </c>
      <c r="E27" s="199" t="n">
        <v>84.93</v>
      </c>
      <c r="F27" s="198" t="n">
        <v>0.217780304617134</v>
      </c>
      <c r="G27" s="200" t="n">
        <v>46340.8740988493</v>
      </c>
      <c r="H27" s="201" t="n">
        <v>5.85</v>
      </c>
      <c r="I27" s="201" t="n">
        <v>7.62</v>
      </c>
      <c r="J27" s="198" t="n">
        <v>0.0290463058593043</v>
      </c>
      <c r="K27" s="202" t="n">
        <v>114996.92</v>
      </c>
      <c r="L27" s="198" t="n">
        <v>0.037816353965749</v>
      </c>
      <c r="M27" s="203" t="n">
        <v>111</v>
      </c>
      <c r="N27" s="198" t="n">
        <v>0.0251196556487103</v>
      </c>
      <c r="O27" s="198" t="n">
        <v>0.0288173652694611</v>
      </c>
      <c r="P27" s="204" t="n">
        <f aca="false">D27/$P$1</f>
        <v>0.0054840915578689</v>
      </c>
      <c r="Q27" s="204" t="n">
        <f aca="false">1-(E27/Q$1)</f>
        <v>0.992188893937081</v>
      </c>
      <c r="R27" s="204" t="n">
        <f aca="false">Q27/R$1</f>
        <v>0.00763222226105447</v>
      </c>
      <c r="S27" s="204" t="n">
        <f aca="false">F27/S$1</f>
        <v>0.00446495661608511</v>
      </c>
      <c r="T27" s="204" t="n">
        <f aca="false">1-(G27/T$1)</f>
        <v>0.991673568555844</v>
      </c>
      <c r="U27" s="205" t="n">
        <f aca="false">T27/U$1</f>
        <v>0.00762825821966034</v>
      </c>
      <c r="V27" s="204" t="n">
        <f aca="false">H27/V$1</f>
        <v>0.00594481987703877</v>
      </c>
      <c r="W27" s="204" t="n">
        <f aca="false">I27/W$1</f>
        <v>0.00631019319790985</v>
      </c>
      <c r="X27" s="204" t="n">
        <f aca="false">J27/X$1</f>
        <v>0.00466259687300641</v>
      </c>
      <c r="Y27" s="204" t="n">
        <f aca="false">1-(K27/Y$1)</f>
        <v>0.991355949054836</v>
      </c>
      <c r="Z27" s="205" t="n">
        <f aca="false">Y27/Z$1</f>
        <v>0.0076258149927295</v>
      </c>
      <c r="AA27" s="204" t="n">
        <f aca="false">L27/$AA$1</f>
        <v>0.00577632154559009</v>
      </c>
      <c r="AB27" s="204" t="n">
        <f aca="false">M27/AB$1</f>
        <v>0.00104129533387118</v>
      </c>
      <c r="AC27" s="204" t="n">
        <f aca="false">N27/AC$1</f>
        <v>0.00381195647935109</v>
      </c>
      <c r="AD27" s="204" t="n">
        <f aca="false">O27/AD$1</f>
        <v>0.00438500745071612</v>
      </c>
      <c r="AE27" s="209" t="n">
        <f aca="false">('Modelo AHP'!$U$37*aux!P27)+('Modelo AHP'!$U$38*aux!R27)+('Modelo AHP'!$U$39*aux!S27)</f>
        <v>0.00508742366311718</v>
      </c>
      <c r="AF27" s="210" t="n">
        <f aca="false">aux!U27</f>
        <v>0.00762825821966034</v>
      </c>
      <c r="AG27" s="209" t="n">
        <f aca="false">('Modelo AHP'!$U$47*aux!V27)+('Modelo AHP'!$U$48*aux!W27)+('Modelo AHP'!$U$49*aux!X27)</f>
        <v>0.00561014102283748</v>
      </c>
      <c r="AH27" s="210" t="n">
        <f aca="false">Z27</f>
        <v>0.0076258149927295</v>
      </c>
      <c r="AI27" s="209" t="n">
        <f aca="false">('Modelo AHP'!$U$56*aux!AA27)+('Modelo AHP'!$U$57*aux!AB27)+('Modelo AHP'!$U$58*aux!AC27)+('Modelo AHP'!$U$59*aux!AD27)</f>
        <v>0.00283890156482223</v>
      </c>
      <c r="AJ27" s="211" t="n">
        <f aca="false">('Modelo AHP'!$U$23*aux!AE27)+('Modelo AHP'!$U$24*aux!AF27)+('Modelo AHP'!$U$25*aux!AG27)+('Modelo AHP'!$U$26*aux!AH27)+('Modelo AHP'!$U$27*aux!AI27)</f>
        <v>0.0060660316024848</v>
      </c>
    </row>
    <row r="28" customFormat="false" ht="15" hidden="false" customHeight="false" outlineLevel="0" collapsed="false">
      <c r="A28" s="195" t="n">
        <f aca="false">_xlfn.RANK.EQ(AJ28,AJ$5:AJ$135)</f>
        <v>107</v>
      </c>
      <c r="B28" s="196" t="s">
        <v>146</v>
      </c>
      <c r="C28" s="197" t="s">
        <v>151</v>
      </c>
      <c r="D28" s="198" t="n">
        <v>0.073153273525482</v>
      </c>
      <c r="E28" s="199" t="n">
        <v>84.7</v>
      </c>
      <c r="F28" s="198" t="n">
        <v>0.191233169227119</v>
      </c>
      <c r="G28" s="200" t="n">
        <v>47375.4245291166</v>
      </c>
      <c r="H28" s="201" t="n">
        <v>5.45</v>
      </c>
      <c r="I28" s="201" t="n">
        <v>7.35</v>
      </c>
      <c r="J28" s="198" t="n">
        <v>0.0290463058593043</v>
      </c>
      <c r="K28" s="202" t="n">
        <v>152904.34</v>
      </c>
      <c r="L28" s="198" t="n">
        <v>0.037816353965749</v>
      </c>
      <c r="M28" s="203" t="n">
        <v>111</v>
      </c>
      <c r="N28" s="198" t="n">
        <v>0.0251196556487103</v>
      </c>
      <c r="O28" s="198" t="n">
        <v>0.0288173652694611</v>
      </c>
      <c r="P28" s="204" t="n">
        <f aca="false">D28/$P$1</f>
        <v>0.00669589590061699</v>
      </c>
      <c r="Q28" s="204" t="n">
        <f aca="false">1-(E28/Q$1)</f>
        <v>0.992210047291543</v>
      </c>
      <c r="R28" s="204" t="n">
        <f aca="false">Q28/R$1</f>
        <v>0.00763238497916572</v>
      </c>
      <c r="S28" s="204" t="n">
        <f aca="false">F28/S$1</f>
        <v>0.00392068422191182</v>
      </c>
      <c r="T28" s="204" t="n">
        <f aca="false">1-(G28/T$1)</f>
        <v>0.991487682695884</v>
      </c>
      <c r="U28" s="205" t="n">
        <f aca="false">T28/U$1</f>
        <v>0.00762682832842988</v>
      </c>
      <c r="V28" s="204" t="n">
        <f aca="false">H28/V$1</f>
        <v>0.00553833646664295</v>
      </c>
      <c r="W28" s="204" t="n">
        <f aca="false">I28/W$1</f>
        <v>0.00608660367514927</v>
      </c>
      <c r="X28" s="204" t="n">
        <f aca="false">J28/X$1</f>
        <v>0.00466259687300641</v>
      </c>
      <c r="Y28" s="204" t="n">
        <f aca="false">1-(K28/Y$1)</f>
        <v>0.988506536482049</v>
      </c>
      <c r="Z28" s="205" t="n">
        <f aca="false">Y28/Z$1</f>
        <v>0.0076038964344773</v>
      </c>
      <c r="AA28" s="204" t="n">
        <f aca="false">L28/$AA$1</f>
        <v>0.00577632154559009</v>
      </c>
      <c r="AB28" s="204" t="n">
        <f aca="false">M28/AB$1</f>
        <v>0.00104129533387118</v>
      </c>
      <c r="AC28" s="204" t="n">
        <f aca="false">N28/AC$1</f>
        <v>0.00381195647935109</v>
      </c>
      <c r="AD28" s="204" t="n">
        <f aca="false">O28/AD$1</f>
        <v>0.00438500745071612</v>
      </c>
      <c r="AE28" s="209" t="n">
        <f aca="false">('Modelo AHP'!$U$37*aux!P28)+('Modelo AHP'!$U$38*aux!R28)+('Modelo AHP'!$U$39*aux!S28)</f>
        <v>0.00512441780124876</v>
      </c>
      <c r="AF28" s="210" t="n">
        <f aca="false">aux!U28</f>
        <v>0.00762682832842988</v>
      </c>
      <c r="AG28" s="209" t="n">
        <f aca="false">('Modelo AHP'!$U$47*aux!V28)+('Modelo AHP'!$U$48*aux!W28)+('Modelo AHP'!$U$49*aux!X28)</f>
        <v>0.00544221797692313</v>
      </c>
      <c r="AH28" s="210" t="n">
        <f aca="false">Z28</f>
        <v>0.0076038964344773</v>
      </c>
      <c r="AI28" s="209" t="n">
        <f aca="false">('Modelo AHP'!$U$56*aux!AA28)+('Modelo AHP'!$U$57*aux!AB28)+('Modelo AHP'!$U$58*aux!AC28)+('Modelo AHP'!$U$59*aux!AD28)</f>
        <v>0.00283890156482223</v>
      </c>
      <c r="AJ28" s="211" t="n">
        <f aca="false">('Modelo AHP'!$U$23*aux!AE28)+('Modelo AHP'!$U$24*aux!AF28)+('Modelo AHP'!$U$25*aux!AG28)+('Modelo AHP'!$U$26*aux!AH28)+('Modelo AHP'!$U$27*aux!AI28)</f>
        <v>0.00601271321788743</v>
      </c>
    </row>
    <row r="29" customFormat="false" ht="15" hidden="false" customHeight="false" outlineLevel="0" collapsed="false">
      <c r="A29" s="195" t="n">
        <f aca="false">_xlfn.RANK.EQ(AJ29,AJ$5:AJ$135)</f>
        <v>119</v>
      </c>
      <c r="B29" s="196" t="s">
        <v>146</v>
      </c>
      <c r="C29" s="197" t="s">
        <v>152</v>
      </c>
      <c r="D29" s="198" t="n">
        <v>0.0800188835123333</v>
      </c>
      <c r="E29" s="199" t="n">
        <v>84.11</v>
      </c>
      <c r="F29" s="198" t="n">
        <v>0.164832713754647</v>
      </c>
      <c r="G29" s="200" t="n">
        <v>82811.1790116372</v>
      </c>
      <c r="H29" s="201" t="n">
        <v>3.75</v>
      </c>
      <c r="I29" s="201" t="n">
        <v>5.68</v>
      </c>
      <c r="J29" s="198" t="n">
        <v>0.0290463058593043</v>
      </c>
      <c r="K29" s="202" t="n">
        <v>261652.21</v>
      </c>
      <c r="L29" s="198" t="n">
        <v>0.037816353965749</v>
      </c>
      <c r="M29" s="203" t="n">
        <v>111</v>
      </c>
      <c r="N29" s="198" t="n">
        <v>0.0251196556487103</v>
      </c>
      <c r="O29" s="198" t="n">
        <v>0.0288173652694611</v>
      </c>
      <c r="P29" s="204" t="n">
        <f aca="false">D29/$P$1</f>
        <v>0.00732432177345479</v>
      </c>
      <c r="Q29" s="204" t="n">
        <f aca="false">1-(E29/Q$1)</f>
        <v>0.992264310244294</v>
      </c>
      <c r="R29" s="204" t="n">
        <f aca="false">Q29/R$1</f>
        <v>0.00763280238649457</v>
      </c>
      <c r="S29" s="204" t="n">
        <f aca="false">F29/S$1</f>
        <v>0.00337941907611865</v>
      </c>
      <c r="T29" s="204" t="n">
        <f aca="false">1-(G29/T$1)</f>
        <v>0.985120660361751</v>
      </c>
      <c r="U29" s="205" t="n">
        <f aca="false">T29/U$1</f>
        <v>0.00757785123355193</v>
      </c>
      <c r="V29" s="204" t="n">
        <f aca="false">H29/V$1</f>
        <v>0.00381078197246075</v>
      </c>
      <c r="W29" s="204" t="n">
        <f aca="false">I29/W$1</f>
        <v>0.00470366107140787</v>
      </c>
      <c r="X29" s="204" t="n">
        <f aca="false">J29/X$1</f>
        <v>0.00466259687300641</v>
      </c>
      <c r="Y29" s="204" t="n">
        <f aca="false">1-(K29/Y$1)</f>
        <v>0.980332212087464</v>
      </c>
      <c r="Z29" s="205" t="n">
        <f aca="false">Y29/Z$1</f>
        <v>0.00754101701605742</v>
      </c>
      <c r="AA29" s="204" t="n">
        <f aca="false">L29/$AA$1</f>
        <v>0.00577632154559009</v>
      </c>
      <c r="AB29" s="204" t="n">
        <f aca="false">M29/AB$1</f>
        <v>0.00104129533387118</v>
      </c>
      <c r="AC29" s="204" t="n">
        <f aca="false">N29/AC$1</f>
        <v>0.00381195647935109</v>
      </c>
      <c r="AD29" s="204" t="n">
        <f aca="false">O29/AD$1</f>
        <v>0.00438500745071612</v>
      </c>
      <c r="AE29" s="209" t="n">
        <f aca="false">('Modelo AHP'!$U$37*aux!P29)+('Modelo AHP'!$U$38*aux!R29)+('Modelo AHP'!$U$39*aux!S29)</f>
        <v>0.00498822821635708</v>
      </c>
      <c r="AF29" s="210" t="n">
        <f aca="false">aux!U29</f>
        <v>0.00757785123355193</v>
      </c>
      <c r="AG29" s="209" t="n">
        <f aca="false">('Modelo AHP'!$U$47*aux!V29)+('Modelo AHP'!$U$48*aux!W29)+('Modelo AHP'!$U$49*aux!X29)</f>
        <v>0.00453667896012551</v>
      </c>
      <c r="AH29" s="210" t="n">
        <f aca="false">Z29</f>
        <v>0.00754101701605742</v>
      </c>
      <c r="AI29" s="209" t="n">
        <f aca="false">('Modelo AHP'!$U$56*aux!AA29)+('Modelo AHP'!$U$57*aux!AB29)+('Modelo AHP'!$U$58*aux!AC29)+('Modelo AHP'!$U$59*aux!AD29)</f>
        <v>0.00283890156482223</v>
      </c>
      <c r="AJ29" s="211" t="n">
        <f aca="false">('Modelo AHP'!$U$23*aux!AE29)+('Modelo AHP'!$U$24*aux!AF29)+('Modelo AHP'!$U$25*aux!AG29)+('Modelo AHP'!$U$26*aux!AH29)+('Modelo AHP'!$U$27*aux!AI29)</f>
        <v>0.00566001282105074</v>
      </c>
    </row>
    <row r="30" customFormat="false" ht="15" hidden="false" customHeight="false" outlineLevel="0" collapsed="false">
      <c r="A30" s="195" t="n">
        <f aca="false">_xlfn.RANK.EQ(AJ30,AJ$5:AJ$135)</f>
        <v>129</v>
      </c>
      <c r="B30" s="196" t="s">
        <v>153</v>
      </c>
      <c r="C30" s="197" t="s">
        <v>154</v>
      </c>
      <c r="D30" s="198" t="n">
        <v>0.057742782152231</v>
      </c>
      <c r="E30" s="199" t="n">
        <v>84.73</v>
      </c>
      <c r="F30" s="198" t="n">
        <v>0.162640042679674</v>
      </c>
      <c r="G30" s="200" t="n">
        <v>103573.082656006</v>
      </c>
      <c r="H30" s="201" t="n">
        <v>3.41</v>
      </c>
      <c r="I30" s="201" t="n">
        <v>4.37</v>
      </c>
      <c r="J30" s="198" t="n">
        <v>0.028481565612441</v>
      </c>
      <c r="K30" s="202" t="n">
        <v>315478.28</v>
      </c>
      <c r="L30" s="198" t="n">
        <v>0.0243146881758139</v>
      </c>
      <c r="M30" s="203" t="n">
        <v>147</v>
      </c>
      <c r="N30" s="198" t="n">
        <v>0.0227426038354052</v>
      </c>
      <c r="O30" s="198" t="n">
        <v>0.029815369261477</v>
      </c>
      <c r="P30" s="204" t="n">
        <f aca="false">D30/$P$1</f>
        <v>0.00528533638578269</v>
      </c>
      <c r="Q30" s="204" t="n">
        <f aca="false">1-(E30/Q$1)</f>
        <v>0.992207288158352</v>
      </c>
      <c r="R30" s="204" t="n">
        <f aca="false">Q30/R$1</f>
        <v>0.00763236375506425</v>
      </c>
      <c r="S30" s="204" t="n">
        <f aca="false">F30/S$1</f>
        <v>0.00333446468393745</v>
      </c>
      <c r="T30" s="204" t="n">
        <f aca="false">1-(G30/T$1)</f>
        <v>0.98139020489006</v>
      </c>
      <c r="U30" s="205" t="n">
        <f aca="false">T30/U$1</f>
        <v>0.00754915542223123</v>
      </c>
      <c r="V30" s="204" t="n">
        <f aca="false">H30/V$1</f>
        <v>0.00346527107362431</v>
      </c>
      <c r="W30" s="204" t="n">
        <f aca="false">I30/W$1</f>
        <v>0.00361883783134725</v>
      </c>
      <c r="X30" s="204" t="n">
        <f aca="false">J30/X$1</f>
        <v>0.00457194313817899</v>
      </c>
      <c r="Y30" s="204" t="n">
        <f aca="false">1-(K30/Y$1)</f>
        <v>0.976286231627657</v>
      </c>
      <c r="Z30" s="205" t="n">
        <f aca="false">Y30/Z$1</f>
        <v>0.00750989408944352</v>
      </c>
      <c r="AA30" s="204" t="n">
        <f aca="false">L30/$AA$1</f>
        <v>0.00371398726888018</v>
      </c>
      <c r="AB30" s="204" t="n">
        <f aca="false">M30/AB$1</f>
        <v>0.00137901273945102</v>
      </c>
      <c r="AC30" s="204" t="n">
        <f aca="false">N30/AC$1</f>
        <v>0.00345123425496237</v>
      </c>
      <c r="AD30" s="204" t="n">
        <f aca="false">O30/AD$1</f>
        <v>0.00453686918061105</v>
      </c>
      <c r="AE30" s="209" t="n">
        <f aca="false">('Modelo AHP'!$U$37*aux!P30)+('Modelo AHP'!$U$38*aux!R30)+('Modelo AHP'!$U$39*aux!S30)</f>
        <v>0.0043495161016037</v>
      </c>
      <c r="AF30" s="210" t="n">
        <f aca="false">aux!U30</f>
        <v>0.00754915542223123</v>
      </c>
      <c r="AG30" s="209" t="n">
        <f aca="false">('Modelo AHP'!$U$47*aux!V30)+('Modelo AHP'!$U$48*aux!W30)+('Modelo AHP'!$U$49*aux!X30)</f>
        <v>0.00396205972216689</v>
      </c>
      <c r="AH30" s="210" t="n">
        <f aca="false">Z30</f>
        <v>0.00750989408944352</v>
      </c>
      <c r="AI30" s="209" t="n">
        <f aca="false">('Modelo AHP'!$U$56*aux!AA30)+('Modelo AHP'!$U$57*aux!AB30)+('Modelo AHP'!$U$58*aux!AC30)+('Modelo AHP'!$U$59*aux!AD30)</f>
        <v>0.00260707961328015</v>
      </c>
      <c r="AJ30" s="211" t="n">
        <f aca="false">('Modelo AHP'!$U$23*aux!AE30)+('Modelo AHP'!$U$24*aux!AF30)+('Modelo AHP'!$U$25*aux!AG30)+('Modelo AHP'!$U$26*aux!AH30)+('Modelo AHP'!$U$27*aux!AI30)</f>
        <v>0.00532375958437449</v>
      </c>
    </row>
    <row r="31" customFormat="false" ht="15" hidden="false" customHeight="false" outlineLevel="0" collapsed="false">
      <c r="A31" s="195" t="n">
        <f aca="false">_xlfn.RANK.EQ(AJ31,AJ$5:AJ$135)</f>
        <v>98</v>
      </c>
      <c r="B31" s="196" t="s">
        <v>153</v>
      </c>
      <c r="C31" s="197" t="s">
        <v>155</v>
      </c>
      <c r="D31" s="198" t="n">
        <v>0.0613328952412245</v>
      </c>
      <c r="E31" s="199" t="n">
        <v>83.04</v>
      </c>
      <c r="F31" s="198" t="n">
        <v>0.227873957740348</v>
      </c>
      <c r="G31" s="200" t="n">
        <v>43701.5220015745</v>
      </c>
      <c r="H31" s="201" t="n">
        <v>6.39</v>
      </c>
      <c r="I31" s="201" t="n">
        <v>8.54</v>
      </c>
      <c r="J31" s="198" t="n">
        <v>0.028481565612441</v>
      </c>
      <c r="K31" s="202" t="n">
        <v>101729.75</v>
      </c>
      <c r="L31" s="198" t="n">
        <v>0.0243146881758139</v>
      </c>
      <c r="M31" s="203" t="n">
        <v>147</v>
      </c>
      <c r="N31" s="198" t="n">
        <v>0.0227426038354052</v>
      </c>
      <c r="O31" s="198" t="n">
        <v>0.029815369261477</v>
      </c>
      <c r="P31" s="204" t="n">
        <f aca="false">D31/$P$1</f>
        <v>0.0056139481123238</v>
      </c>
      <c r="Q31" s="204" t="n">
        <f aca="false">1-(E31/Q$1)</f>
        <v>0.992362719328096</v>
      </c>
      <c r="R31" s="204" t="n">
        <f aca="false">Q31/R$1</f>
        <v>0.00763355937944689</v>
      </c>
      <c r="S31" s="204" t="n">
        <f aca="false">F31/S$1</f>
        <v>0.00467189784234609</v>
      </c>
      <c r="T31" s="204" t="n">
        <f aca="false">1-(G31/T$1)</f>
        <v>0.992147801826629</v>
      </c>
      <c r="U31" s="205" t="n">
        <f aca="false">T31/U$1</f>
        <v>0.00763190616789715</v>
      </c>
      <c r="V31" s="204" t="n">
        <f aca="false">H31/V$1</f>
        <v>0.00649357248107312</v>
      </c>
      <c r="W31" s="204" t="n">
        <f aca="false">I31/W$1</f>
        <v>0.00707205379398296</v>
      </c>
      <c r="X31" s="204" t="n">
        <f aca="false">J31/X$1</f>
        <v>0.00457194313817899</v>
      </c>
      <c r="Y31" s="204" t="n">
        <f aca="false">1-(K31/Y$1)</f>
        <v>0.992353211358714</v>
      </c>
      <c r="Z31" s="205" t="n">
        <f aca="false">Y31/Z$1</f>
        <v>0.00763348624122088</v>
      </c>
      <c r="AA31" s="204" t="n">
        <f aca="false">L31/$AA$1</f>
        <v>0.00371398726888018</v>
      </c>
      <c r="AB31" s="204" t="n">
        <f aca="false">M31/AB$1</f>
        <v>0.00137901273945102</v>
      </c>
      <c r="AC31" s="204" t="n">
        <f aca="false">N31/AC$1</f>
        <v>0.00345123425496237</v>
      </c>
      <c r="AD31" s="204" t="n">
        <f aca="false">O31/AD$1</f>
        <v>0.00453686918061105</v>
      </c>
      <c r="AE31" s="209" t="n">
        <f aca="false">('Modelo AHP'!$U$37*aux!P31)+('Modelo AHP'!$U$38*aux!R31)+('Modelo AHP'!$U$39*aux!S31)</f>
        <v>0.00525067907704949</v>
      </c>
      <c r="AF31" s="210" t="n">
        <f aca="false">aux!U31</f>
        <v>0.00763190616789715</v>
      </c>
      <c r="AG31" s="209" t="n">
        <f aca="false">('Modelo AHP'!$U$47*aux!V31)+('Modelo AHP'!$U$48*aux!W31)+('Modelo AHP'!$U$49*aux!X31)</f>
        <v>0.00600570443467216</v>
      </c>
      <c r="AH31" s="210" t="n">
        <f aca="false">Z31</f>
        <v>0.00763348624122088</v>
      </c>
      <c r="AI31" s="209" t="n">
        <f aca="false">('Modelo AHP'!$U$56*aux!AA31)+('Modelo AHP'!$U$57*aux!AB31)+('Modelo AHP'!$U$58*aux!AC31)+('Modelo AHP'!$U$59*aux!AD31)</f>
        <v>0.00260707961328015</v>
      </c>
      <c r="AJ31" s="211" t="n">
        <f aca="false">('Modelo AHP'!$U$23*aux!AE31)+('Modelo AHP'!$U$24*aux!AF31)+('Modelo AHP'!$U$25*aux!AG31)+('Modelo AHP'!$U$26*aux!AH31)+('Modelo AHP'!$U$27*aux!AI31)</f>
        <v>0.00620850119732088</v>
      </c>
    </row>
    <row r="32" customFormat="false" ht="15" hidden="false" customHeight="false" outlineLevel="0" collapsed="false">
      <c r="A32" s="195" t="n">
        <f aca="false">_xlfn.RANK.EQ(AJ32,AJ$5:AJ$135)</f>
        <v>97</v>
      </c>
      <c r="B32" s="196" t="s">
        <v>153</v>
      </c>
      <c r="C32" s="197" t="s">
        <v>156</v>
      </c>
      <c r="D32" s="198" t="n">
        <v>0.0718342619137772</v>
      </c>
      <c r="E32" s="199" t="n">
        <v>83.46</v>
      </c>
      <c r="F32" s="198" t="n">
        <v>0.247046979865772</v>
      </c>
      <c r="G32" s="200" t="n">
        <v>43706.9826198041</v>
      </c>
      <c r="H32" s="201" t="n">
        <v>6.32</v>
      </c>
      <c r="I32" s="201" t="n">
        <v>7.98</v>
      </c>
      <c r="J32" s="198" t="n">
        <v>0.028481565612441</v>
      </c>
      <c r="K32" s="202" t="n">
        <v>114722.5</v>
      </c>
      <c r="L32" s="198" t="n">
        <v>0.0243146881758139</v>
      </c>
      <c r="M32" s="203" t="n">
        <v>147</v>
      </c>
      <c r="N32" s="198" t="n">
        <v>0.0227426038354052</v>
      </c>
      <c r="O32" s="198" t="n">
        <v>0.029815369261477</v>
      </c>
      <c r="P32" s="204" t="n">
        <f aca="false">D32/$P$1</f>
        <v>0.00657516358040711</v>
      </c>
      <c r="Q32" s="204" t="n">
        <f aca="false">1-(E32/Q$1)</f>
        <v>0.992324091463426</v>
      </c>
      <c r="R32" s="204" t="n">
        <f aca="false">Q32/R$1</f>
        <v>0.00763326224202636</v>
      </c>
      <c r="S32" s="204" t="n">
        <f aca="false">F32/S$1</f>
        <v>0.005064985326266</v>
      </c>
      <c r="T32" s="204" t="n">
        <f aca="false">1-(G32/T$1)</f>
        <v>0.992146820674154</v>
      </c>
      <c r="U32" s="205" t="n">
        <f aca="false">T32/U$1</f>
        <v>0.00763189862057042</v>
      </c>
      <c r="V32" s="204" t="n">
        <f aca="false">H32/V$1</f>
        <v>0.00642243788425385</v>
      </c>
      <c r="W32" s="204" t="n">
        <f aca="false">I32/W$1</f>
        <v>0.00660831256159063</v>
      </c>
      <c r="X32" s="204" t="n">
        <f aca="false">J32/X$1</f>
        <v>0.00457194313817899</v>
      </c>
      <c r="Y32" s="204" t="n">
        <f aca="false">1-(K32/Y$1)</f>
        <v>0.991376576567819</v>
      </c>
      <c r="Z32" s="205" t="n">
        <f aca="false">Y32/Z$1</f>
        <v>0.0076259736659063</v>
      </c>
      <c r="AA32" s="204" t="n">
        <f aca="false">L32/$AA$1</f>
        <v>0.00371398726888018</v>
      </c>
      <c r="AB32" s="204" t="n">
        <f aca="false">M32/AB$1</f>
        <v>0.00137901273945102</v>
      </c>
      <c r="AC32" s="204" t="n">
        <f aca="false">N32/AC$1</f>
        <v>0.00345123425496237</v>
      </c>
      <c r="AD32" s="204" t="n">
        <f aca="false">O32/AD$1</f>
        <v>0.00453686918061105</v>
      </c>
      <c r="AE32" s="209" t="n">
        <f aca="false">('Modelo AHP'!$U$37*aux!P32)+('Modelo AHP'!$U$38*aux!R32)+('Modelo AHP'!$U$39*aux!S32)</f>
        <v>0.00577486649408437</v>
      </c>
      <c r="AF32" s="210" t="n">
        <f aca="false">aux!U32</f>
        <v>0.00763189862057042</v>
      </c>
      <c r="AG32" s="209" t="n">
        <f aca="false">('Modelo AHP'!$U$47*aux!V32)+('Modelo AHP'!$U$48*aux!W32)+('Modelo AHP'!$U$49*aux!X32)</f>
        <v>0.00578803210595387</v>
      </c>
      <c r="AH32" s="210" t="n">
        <f aca="false">Z32</f>
        <v>0.0076259736659063</v>
      </c>
      <c r="AI32" s="209" t="n">
        <f aca="false">('Modelo AHP'!$U$56*aux!AA32)+('Modelo AHP'!$U$57*aux!AB32)+('Modelo AHP'!$U$58*aux!AC32)+('Modelo AHP'!$U$59*aux!AD32)</f>
        <v>0.00260707961328015</v>
      </c>
      <c r="AJ32" s="211" t="n">
        <f aca="false">('Modelo AHP'!$U$23*aux!AE32)+('Modelo AHP'!$U$24*aux!AF32)+('Modelo AHP'!$U$25*aux!AG32)+('Modelo AHP'!$U$26*aux!AH32)+('Modelo AHP'!$U$27*aux!AI32)</f>
        <v>0.00622102893659612</v>
      </c>
    </row>
    <row r="33" customFormat="false" ht="15" hidden="false" customHeight="false" outlineLevel="0" collapsed="false">
      <c r="A33" s="195" t="n">
        <f aca="false">_xlfn.RANK.EQ(AJ33,AJ$5:AJ$135)</f>
        <v>121</v>
      </c>
      <c r="B33" s="196" t="s">
        <v>153</v>
      </c>
      <c r="C33" s="197" t="s">
        <v>157</v>
      </c>
      <c r="D33" s="198" t="n">
        <v>0.0351894941510216</v>
      </c>
      <c r="E33" s="199" t="n">
        <v>84.24</v>
      </c>
      <c r="F33" s="198" t="n">
        <v>0.171520105146425</v>
      </c>
      <c r="G33" s="200" t="n">
        <v>62635.3503539972</v>
      </c>
      <c r="H33" s="201" t="n">
        <v>4.88</v>
      </c>
      <c r="I33" s="201" t="n">
        <v>6.49</v>
      </c>
      <c r="J33" s="198" t="n">
        <v>0.028481565612441</v>
      </c>
      <c r="K33" s="202" t="n">
        <v>156270.15</v>
      </c>
      <c r="L33" s="198" t="n">
        <v>0.0243146881758139</v>
      </c>
      <c r="M33" s="203" t="n">
        <v>147</v>
      </c>
      <c r="N33" s="198" t="n">
        <v>0.0227426038354052</v>
      </c>
      <c r="O33" s="198" t="n">
        <v>0.029815369261477</v>
      </c>
      <c r="P33" s="204" t="n">
        <f aca="false">D33/$P$1</f>
        <v>0.00322097943502876</v>
      </c>
      <c r="Q33" s="204" t="n">
        <f aca="false">1-(E33/Q$1)</f>
        <v>0.992252354000467</v>
      </c>
      <c r="R33" s="204" t="n">
        <f aca="false">Q33/R$1</f>
        <v>0.00763271041538821</v>
      </c>
      <c r="S33" s="204" t="n">
        <f aca="false">F33/S$1</f>
        <v>0.00351652473630019</v>
      </c>
      <c r="T33" s="204" t="n">
        <f aca="false">1-(G33/T$1)</f>
        <v>0.988745811104237</v>
      </c>
      <c r="U33" s="205" t="n">
        <f aca="false">T33/U$1</f>
        <v>0.00760573700849413</v>
      </c>
      <c r="V33" s="204" t="n">
        <f aca="false">H33/V$1</f>
        <v>0.00495909760682892</v>
      </c>
      <c r="W33" s="204" t="n">
        <f aca="false">I33/W$1</f>
        <v>0.00537442963968962</v>
      </c>
      <c r="X33" s="204" t="n">
        <f aca="false">J33/X$1</f>
        <v>0.00457194313817899</v>
      </c>
      <c r="Y33" s="204" t="n">
        <f aca="false">1-(K33/Y$1)</f>
        <v>0.98825353637464</v>
      </c>
      <c r="Z33" s="205" t="n">
        <f aca="false">Y33/Z$1</f>
        <v>0.00760195027980492</v>
      </c>
      <c r="AA33" s="204" t="n">
        <f aca="false">L33/$AA$1</f>
        <v>0.00371398726888018</v>
      </c>
      <c r="AB33" s="204" t="n">
        <f aca="false">M33/AB$1</f>
        <v>0.00137901273945102</v>
      </c>
      <c r="AC33" s="204" t="n">
        <f aca="false">N33/AC$1</f>
        <v>0.00345123425496237</v>
      </c>
      <c r="AD33" s="204" t="n">
        <f aca="false">O33/AD$1</f>
        <v>0.00453686918061105</v>
      </c>
      <c r="AE33" s="209" t="n">
        <f aca="false">('Modelo AHP'!$U$37*aux!P33)+('Modelo AHP'!$U$38*aux!R33)+('Modelo AHP'!$U$39*aux!S33)</f>
        <v>0.00383947971382756</v>
      </c>
      <c r="AF33" s="210" t="n">
        <f aca="false">aux!U33</f>
        <v>0.00760573700849413</v>
      </c>
      <c r="AG33" s="209" t="n">
        <f aca="false">('Modelo AHP'!$U$47*aux!V33)+('Modelo AHP'!$U$48*aux!W33)+('Modelo AHP'!$U$49*aux!X33)</f>
        <v>0.00499329550406752</v>
      </c>
      <c r="AH33" s="210" t="n">
        <f aca="false">Z33</f>
        <v>0.00760195027980492</v>
      </c>
      <c r="AI33" s="209" t="n">
        <f aca="false">('Modelo AHP'!$U$56*aux!AA33)+('Modelo AHP'!$U$57*aux!AB33)+('Modelo AHP'!$U$58*aux!AC33)+('Modelo AHP'!$U$59*aux!AD33)</f>
        <v>0.00260707961328015</v>
      </c>
      <c r="AJ33" s="211" t="n">
        <f aca="false">('Modelo AHP'!$U$23*aux!AE33)+('Modelo AHP'!$U$24*aux!AF33)+('Modelo AHP'!$U$25*aux!AG33)+('Modelo AHP'!$U$26*aux!AH33)+('Modelo AHP'!$U$27*aux!AI33)</f>
        <v>0.00561621444622074</v>
      </c>
    </row>
    <row r="34" customFormat="false" ht="15" hidden="false" customHeight="false" outlineLevel="0" collapsed="false">
      <c r="A34" s="195" t="n">
        <f aca="false">_xlfn.RANK.EQ(AJ34,AJ$5:AJ$135)</f>
        <v>128</v>
      </c>
      <c r="B34" s="196" t="s">
        <v>153</v>
      </c>
      <c r="C34" s="197" t="s">
        <v>158</v>
      </c>
      <c r="D34" s="198" t="n">
        <v>0.048824297844546</v>
      </c>
      <c r="E34" s="199" t="n">
        <v>84.79</v>
      </c>
      <c r="F34" s="198" t="n">
        <v>0.141271663659723</v>
      </c>
      <c r="G34" s="200" t="n">
        <v>80248.3920255963</v>
      </c>
      <c r="H34" s="201" t="n">
        <v>3.75</v>
      </c>
      <c r="I34" s="201" t="n">
        <v>5.22</v>
      </c>
      <c r="J34" s="198" t="n">
        <v>0.028481565612441</v>
      </c>
      <c r="K34" s="202" t="n">
        <v>201904.31</v>
      </c>
      <c r="L34" s="198" t="n">
        <v>0.0243146881758139</v>
      </c>
      <c r="M34" s="203" t="n">
        <v>147</v>
      </c>
      <c r="N34" s="198" t="n">
        <v>0.0227426038354052</v>
      </c>
      <c r="O34" s="198" t="n">
        <v>0.029815369261477</v>
      </c>
      <c r="P34" s="204" t="n">
        <f aca="false">D34/$P$1</f>
        <v>0.00446900596558977</v>
      </c>
      <c r="Q34" s="204" t="n">
        <f aca="false">1-(E34/Q$1)</f>
        <v>0.992201769891971</v>
      </c>
      <c r="R34" s="204" t="n">
        <f aca="false">Q34/R$1</f>
        <v>0.00763232130686132</v>
      </c>
      <c r="S34" s="204" t="n">
        <f aca="false">F34/S$1</f>
        <v>0.00289636774285789</v>
      </c>
      <c r="T34" s="204" t="n">
        <f aca="false">1-(G34/T$1)</f>
        <v>0.985581136573307</v>
      </c>
      <c r="U34" s="205" t="n">
        <f aca="false">T34/U$1</f>
        <v>0.00758139335825621</v>
      </c>
      <c r="V34" s="204" t="n">
        <f aca="false">H34/V$1</f>
        <v>0.00381078197246075</v>
      </c>
      <c r="W34" s="204" t="n">
        <f aca="false">I34/W$1</f>
        <v>0.00432273077337132</v>
      </c>
      <c r="X34" s="204" t="n">
        <f aca="false">J34/X$1</f>
        <v>0.00457194313817899</v>
      </c>
      <c r="Y34" s="204" t="n">
        <f aca="false">1-(K34/Y$1)</f>
        <v>0.984823322731702</v>
      </c>
      <c r="Z34" s="205" t="n">
        <f aca="false">Y34/Z$1</f>
        <v>0.00757556402101309</v>
      </c>
      <c r="AA34" s="204" t="n">
        <f aca="false">L34/$AA$1</f>
        <v>0.00371398726888018</v>
      </c>
      <c r="AB34" s="204" t="n">
        <f aca="false">M34/AB$1</f>
        <v>0.00137901273945102</v>
      </c>
      <c r="AC34" s="204" t="n">
        <f aca="false">N34/AC$1</f>
        <v>0.00345123425496237</v>
      </c>
      <c r="AD34" s="204" t="n">
        <f aca="false">O34/AD$1</f>
        <v>0.00453686918061105</v>
      </c>
      <c r="AE34" s="209" t="n">
        <f aca="false">('Modelo AHP'!$U$37*aux!P34)+('Modelo AHP'!$U$38*aux!R34)+('Modelo AHP'!$U$39*aux!S34)</f>
        <v>0.0038417545660778</v>
      </c>
      <c r="AF34" s="210" t="n">
        <f aca="false">aux!U34</f>
        <v>0.00758139335825621</v>
      </c>
      <c r="AG34" s="209" t="n">
        <f aca="false">('Modelo AHP'!$U$47*aux!V34)+('Modelo AHP'!$U$48*aux!W34)+('Modelo AHP'!$U$49*aux!X34)</f>
        <v>0.00433264674653581</v>
      </c>
      <c r="AH34" s="210" t="n">
        <f aca="false">Z34</f>
        <v>0.00757556402101309</v>
      </c>
      <c r="AI34" s="209" t="n">
        <f aca="false">('Modelo AHP'!$U$56*aux!AA34)+('Modelo AHP'!$U$57*aux!AB34)+('Modelo AHP'!$U$58*aux!AC34)+('Modelo AHP'!$U$59*aux!AD34)</f>
        <v>0.00260707961328015</v>
      </c>
      <c r="AJ34" s="211" t="n">
        <f aca="false">('Modelo AHP'!$U$23*aux!AE34)+('Modelo AHP'!$U$24*aux!AF34)+('Modelo AHP'!$U$25*aux!AG34)+('Modelo AHP'!$U$26*aux!AH34)+('Modelo AHP'!$U$27*aux!AI34)</f>
        <v>0.00538099671765323</v>
      </c>
    </row>
    <row r="35" customFormat="false" ht="15" hidden="false" customHeight="false" outlineLevel="0" collapsed="false">
      <c r="A35" s="195" t="n">
        <f aca="false">_xlfn.RANK.EQ(AJ35,AJ$5:AJ$135)</f>
        <v>115</v>
      </c>
      <c r="B35" s="196" t="s">
        <v>153</v>
      </c>
      <c r="C35" s="197" t="s">
        <v>159</v>
      </c>
      <c r="D35" s="198" t="n">
        <v>0.0480706537846008</v>
      </c>
      <c r="E35" s="199" t="n">
        <v>85.1</v>
      </c>
      <c r="F35" s="198" t="n">
        <v>0.182390414075535</v>
      </c>
      <c r="G35" s="200" t="n">
        <v>54869.9650135588</v>
      </c>
      <c r="H35" s="201" t="n">
        <v>5.09</v>
      </c>
      <c r="I35" s="201" t="n">
        <v>7.29</v>
      </c>
      <c r="J35" s="198" t="n">
        <v>0.028481565612441</v>
      </c>
      <c r="K35" s="202" t="n">
        <v>106610.94</v>
      </c>
      <c r="L35" s="198" t="n">
        <v>0.0243146881758139</v>
      </c>
      <c r="M35" s="203" t="n">
        <v>147</v>
      </c>
      <c r="N35" s="198" t="n">
        <v>0.0227426038354052</v>
      </c>
      <c r="O35" s="198" t="n">
        <v>0.029815369261477</v>
      </c>
      <c r="P35" s="204" t="n">
        <f aca="false">D35/$P$1</f>
        <v>0.00440002310360268</v>
      </c>
      <c r="Q35" s="204" t="n">
        <f aca="false">1-(E35/Q$1)</f>
        <v>0.992173258849</v>
      </c>
      <c r="R35" s="204" t="n">
        <f aca="false">Q35/R$1</f>
        <v>0.00763210199114616</v>
      </c>
      <c r="S35" s="204" t="n">
        <f aca="false">F35/S$1</f>
        <v>0.0037393890483749</v>
      </c>
      <c r="T35" s="204" t="n">
        <f aca="false">1-(G35/T$1)</f>
        <v>0.990141079319003</v>
      </c>
      <c r="U35" s="205" t="n">
        <f aca="false">T35/U$1</f>
        <v>0.00761646984091541</v>
      </c>
      <c r="V35" s="204" t="n">
        <f aca="false">H35/V$1</f>
        <v>0.00517250139728672</v>
      </c>
      <c r="W35" s="204" t="n">
        <f aca="false">I35/W$1</f>
        <v>0.0060369171145358</v>
      </c>
      <c r="X35" s="204" t="n">
        <f aca="false">J35/X$1</f>
        <v>0.00457194313817899</v>
      </c>
      <c r="Y35" s="204" t="n">
        <f aca="false">1-(K35/Y$1)</f>
        <v>0.991986303662117</v>
      </c>
      <c r="Z35" s="205" t="n">
        <f aca="false">Y35/Z$1</f>
        <v>0.00763066387432397</v>
      </c>
      <c r="AA35" s="204" t="n">
        <f aca="false">L35/$AA$1</f>
        <v>0.00371398726888018</v>
      </c>
      <c r="AB35" s="204" t="n">
        <f aca="false">M35/AB$1</f>
        <v>0.00137901273945102</v>
      </c>
      <c r="AC35" s="204" t="n">
        <f aca="false">N35/AC$1</f>
        <v>0.00345123425496237</v>
      </c>
      <c r="AD35" s="204" t="n">
        <f aca="false">O35/AD$1</f>
        <v>0.00453686918061105</v>
      </c>
      <c r="AE35" s="209" t="n">
        <f aca="false">('Modelo AHP'!$U$37*aux!P35)+('Modelo AHP'!$U$38*aux!R35)+('Modelo AHP'!$U$39*aux!S35)</f>
        <v>0.00432685055922036</v>
      </c>
      <c r="AF35" s="210" t="n">
        <f aca="false">aux!U35</f>
        <v>0.00761646984091541</v>
      </c>
      <c r="AG35" s="209" t="n">
        <f aca="false">('Modelo AHP'!$U$47*aux!V35)+('Modelo AHP'!$U$48*aux!W35)+('Modelo AHP'!$U$49*aux!X35)</f>
        <v>0.00532316963268696</v>
      </c>
      <c r="AH35" s="210" t="n">
        <f aca="false">Z35</f>
        <v>0.00763066387432397</v>
      </c>
      <c r="AI35" s="209" t="n">
        <f aca="false">('Modelo AHP'!$U$56*aux!AA35)+('Modelo AHP'!$U$57*aux!AB35)+('Modelo AHP'!$U$58*aux!AC35)+('Modelo AHP'!$U$59*aux!AD35)</f>
        <v>0.00260707961328015</v>
      </c>
      <c r="AJ35" s="211" t="n">
        <f aca="false">('Modelo AHP'!$U$23*aux!AE35)+('Modelo AHP'!$U$24*aux!AF35)+('Modelo AHP'!$U$25*aux!AG35)+('Modelo AHP'!$U$26*aux!AH35)+('Modelo AHP'!$U$27*aux!AI35)</f>
        <v>0.0058158962679759</v>
      </c>
    </row>
    <row r="36" customFormat="false" ht="15" hidden="false" customHeight="false" outlineLevel="0" collapsed="false">
      <c r="A36" s="195" t="n">
        <f aca="false">_xlfn.RANK.EQ(AJ36,AJ$5:AJ$135)</f>
        <v>48</v>
      </c>
      <c r="B36" s="196" t="s">
        <v>160</v>
      </c>
      <c r="C36" s="197" t="s">
        <v>161</v>
      </c>
      <c r="D36" s="198" t="n">
        <v>0.181669565217391</v>
      </c>
      <c r="E36" s="199" t="n">
        <v>83.1</v>
      </c>
      <c r="F36" s="198" t="n">
        <v>0.426491866532205</v>
      </c>
      <c r="G36" s="200" t="n">
        <v>31125.2299026959</v>
      </c>
      <c r="H36" s="201" t="n">
        <v>7.27</v>
      </c>
      <c r="I36" s="201" t="n">
        <v>9.52</v>
      </c>
      <c r="J36" s="198" t="n">
        <v>0.0469339163786954</v>
      </c>
      <c r="K36" s="202" t="n">
        <v>78564.54</v>
      </c>
      <c r="L36" s="198" t="n">
        <v>0.0362966859547607</v>
      </c>
      <c r="M36" s="203" t="n">
        <v>873</v>
      </c>
      <c r="N36" s="198" t="n">
        <v>0.0459670424978317</v>
      </c>
      <c r="O36" s="198" t="n">
        <v>0.0464071856287425</v>
      </c>
      <c r="P36" s="204" t="n">
        <f aca="false">D36/$P$1</f>
        <v>0.0166286543087135</v>
      </c>
      <c r="Q36" s="204" t="n">
        <f aca="false">1-(E36/Q$1)</f>
        <v>0.992357201061714</v>
      </c>
      <c r="R36" s="204" t="n">
        <f aca="false">Q36/R$1</f>
        <v>0.00763351693124396</v>
      </c>
      <c r="S36" s="204" t="n">
        <f aca="false">F36/S$1</f>
        <v>0.00874398483612753</v>
      </c>
      <c r="T36" s="204" t="n">
        <f aca="false">1-(G36/T$1)</f>
        <v>0.994407483716954</v>
      </c>
      <c r="U36" s="205" t="n">
        <f aca="false">T36/U$1</f>
        <v>0.00764928833628427</v>
      </c>
      <c r="V36" s="204" t="n">
        <f aca="false">H36/V$1</f>
        <v>0.0073878359839439</v>
      </c>
      <c r="W36" s="204" t="n">
        <f aca="false">I36/W$1</f>
        <v>0.00788360095066953</v>
      </c>
      <c r="X36" s="204" t="n">
        <f aca="false">J36/X$1</f>
        <v>0.00753396775497877</v>
      </c>
      <c r="Y36" s="204" t="n">
        <f aca="false">1-(K36/Y$1)</f>
        <v>0.994094486302386</v>
      </c>
      <c r="Z36" s="205" t="n">
        <f aca="false">Y36/Z$1</f>
        <v>0.00764688066386451</v>
      </c>
      <c r="AA36" s="204" t="n">
        <f aca="false">L36/$AA$1</f>
        <v>0.00554419734128508</v>
      </c>
      <c r="AB36" s="204" t="n">
        <f aca="false">M36/AB$1</f>
        <v>0.00818964708531117</v>
      </c>
      <c r="AC36" s="204" t="n">
        <f aca="false">N36/AC$1</f>
        <v>0.00697558787973326</v>
      </c>
      <c r="AD36" s="204" t="n">
        <f aca="false">O36/AD$1</f>
        <v>0.00706157044011428</v>
      </c>
      <c r="AE36" s="209" t="n">
        <f aca="false">('Modelo AHP'!$U$37*aux!P36)+('Modelo AHP'!$U$38*aux!R36)+('Modelo AHP'!$U$39*aux!S36)</f>
        <v>0.010998338887415</v>
      </c>
      <c r="AF36" s="210" t="n">
        <f aca="false">aux!U36</f>
        <v>0.00764928833628427</v>
      </c>
      <c r="AG36" s="209" t="n">
        <f aca="false">('Modelo AHP'!$U$47*aux!V36)+('Modelo AHP'!$U$48*aux!W36)+('Modelo AHP'!$U$49*aux!X36)</f>
        <v>0.00766427981595639</v>
      </c>
      <c r="AH36" s="210" t="n">
        <f aca="false">Z36</f>
        <v>0.00764688066386451</v>
      </c>
      <c r="AI36" s="209" t="n">
        <f aca="false">('Modelo AHP'!$U$56*aux!AA36)+('Modelo AHP'!$U$57*aux!AB36)+('Modelo AHP'!$U$58*aux!AC36)+('Modelo AHP'!$U$59*aux!AD36)</f>
        <v>0.00735020169213565</v>
      </c>
      <c r="AJ36" s="211" t="n">
        <f aca="false">('Modelo AHP'!$U$23*aux!AE36)+('Modelo AHP'!$U$24*aux!AF36)+('Modelo AHP'!$U$25*aux!AG36)+('Modelo AHP'!$U$26*aux!AH36)+('Modelo AHP'!$U$27*aux!AI36)</f>
        <v>0.0081851363910983</v>
      </c>
    </row>
    <row r="37" customFormat="false" ht="15" hidden="false" customHeight="false" outlineLevel="0" collapsed="false">
      <c r="A37" s="195" t="n">
        <f aca="false">_xlfn.RANK.EQ(AJ37,AJ$5:AJ$135)</f>
        <v>68</v>
      </c>
      <c r="B37" s="196" t="s">
        <v>160</v>
      </c>
      <c r="C37" s="197" t="s">
        <v>162</v>
      </c>
      <c r="D37" s="198" t="n">
        <v>0.104454954165937</v>
      </c>
      <c r="E37" s="199" t="n">
        <v>83.5</v>
      </c>
      <c r="F37" s="198" t="n">
        <v>0.273665416889841</v>
      </c>
      <c r="G37" s="200" t="n">
        <v>43306.0232761758</v>
      </c>
      <c r="H37" s="201" t="n">
        <v>6.14</v>
      </c>
      <c r="I37" s="201" t="n">
        <v>8.4</v>
      </c>
      <c r="J37" s="198" t="n">
        <v>0.0469339163786954</v>
      </c>
      <c r="K37" s="202" t="n">
        <v>119218.39</v>
      </c>
      <c r="L37" s="198" t="n">
        <v>0.0362966859547607</v>
      </c>
      <c r="M37" s="203" t="n">
        <v>873</v>
      </c>
      <c r="N37" s="198" t="n">
        <v>0.0459670424978317</v>
      </c>
      <c r="O37" s="198" t="n">
        <v>0.0464071856287425</v>
      </c>
      <c r="P37" s="204" t="n">
        <f aca="false">D37/$P$1</f>
        <v>0.0095610143701252</v>
      </c>
      <c r="Q37" s="204" t="n">
        <f aca="false">1-(E37/Q$1)</f>
        <v>0.992320412619172</v>
      </c>
      <c r="R37" s="204" t="n">
        <f aca="false">Q37/R$1</f>
        <v>0.0076332339432244</v>
      </c>
      <c r="S37" s="204" t="n">
        <f aca="false">F37/S$1</f>
        <v>0.00561071955466376</v>
      </c>
      <c r="T37" s="204" t="n">
        <f aca="false">1-(G37/T$1)</f>
        <v>0.992218864211345</v>
      </c>
      <c r="U37" s="205" t="n">
        <f aca="false">T37/U$1</f>
        <v>0.00763245280162573</v>
      </c>
      <c r="V37" s="204" t="n">
        <f aca="false">H37/V$1</f>
        <v>0.00623952034957573</v>
      </c>
      <c r="W37" s="204" t="n">
        <f aca="false">I37/W$1</f>
        <v>0.00695611848588488</v>
      </c>
      <c r="X37" s="204" t="n">
        <f aca="false">J37/X$1</f>
        <v>0.00753396775497877</v>
      </c>
      <c r="Y37" s="204" t="n">
        <f aca="false">1-(K37/Y$1)</f>
        <v>0.991038630975852</v>
      </c>
      <c r="Z37" s="205" t="n">
        <f aca="false">Y37/Z$1</f>
        <v>0.00762337408442963</v>
      </c>
      <c r="AA37" s="204" t="n">
        <f aca="false">L37/$AA$1</f>
        <v>0.00554419734128508</v>
      </c>
      <c r="AB37" s="204" t="n">
        <f aca="false">M37/AB$1</f>
        <v>0.00818964708531117</v>
      </c>
      <c r="AC37" s="204" t="n">
        <f aca="false">N37/AC$1</f>
        <v>0.00697558787973326</v>
      </c>
      <c r="AD37" s="204" t="n">
        <f aca="false">O37/AD$1</f>
        <v>0.00706157044011428</v>
      </c>
      <c r="AE37" s="209" t="n">
        <f aca="false">('Modelo AHP'!$U$37*aux!P37)+('Modelo AHP'!$U$38*aux!R37)+('Modelo AHP'!$U$39*aux!S37)</f>
        <v>0.00699805943815826</v>
      </c>
      <c r="AF37" s="210" t="n">
        <f aca="false">aux!U37</f>
        <v>0.00763245280162573</v>
      </c>
      <c r="AG37" s="209" t="n">
        <f aca="false">('Modelo AHP'!$U$47*aux!V37)+('Modelo AHP'!$U$48*aux!W37)+('Modelo AHP'!$U$49*aux!X37)</f>
        <v>0.00705871222732276</v>
      </c>
      <c r="AH37" s="210" t="n">
        <f aca="false">Z37</f>
        <v>0.00762337408442963</v>
      </c>
      <c r="AI37" s="209" t="n">
        <f aca="false">('Modelo AHP'!$U$56*aux!AA37)+('Modelo AHP'!$U$57*aux!AB37)+('Modelo AHP'!$U$58*aux!AC37)+('Modelo AHP'!$U$59*aux!AD37)</f>
        <v>0.00735020169213565</v>
      </c>
      <c r="AJ37" s="211" t="n">
        <f aca="false">('Modelo AHP'!$U$23*aux!AE37)+('Modelo AHP'!$U$24*aux!AF37)+('Modelo AHP'!$U$25*aux!AG37)+('Modelo AHP'!$U$26*aux!AH37)+('Modelo AHP'!$U$27*aux!AI37)</f>
        <v>0.00730341392048262</v>
      </c>
    </row>
    <row r="38" customFormat="false" ht="15" hidden="false" customHeight="false" outlineLevel="0" collapsed="false">
      <c r="A38" s="195" t="n">
        <f aca="false">_xlfn.RANK.EQ(AJ38,AJ$5:AJ$135)</f>
        <v>69</v>
      </c>
      <c r="B38" s="196" t="s">
        <v>160</v>
      </c>
      <c r="C38" s="197" t="s">
        <v>163</v>
      </c>
      <c r="D38" s="198" t="n">
        <v>0.105289004567107</v>
      </c>
      <c r="E38" s="199" t="n">
        <v>84.44</v>
      </c>
      <c r="F38" s="198" t="n">
        <v>0.262451430589898</v>
      </c>
      <c r="G38" s="200" t="n">
        <v>45025.3268859599</v>
      </c>
      <c r="H38" s="201" t="n">
        <v>6</v>
      </c>
      <c r="I38" s="201" t="n">
        <v>8.17</v>
      </c>
      <c r="J38" s="198" t="n">
        <v>0.0469339163786954</v>
      </c>
      <c r="K38" s="202" t="n">
        <v>114667.38</v>
      </c>
      <c r="L38" s="198" t="n">
        <v>0.0362966859547607</v>
      </c>
      <c r="M38" s="203" t="n">
        <v>873</v>
      </c>
      <c r="N38" s="198" t="n">
        <v>0.0459670424978317</v>
      </c>
      <c r="O38" s="198" t="n">
        <v>0.0464071856287425</v>
      </c>
      <c r="P38" s="204" t="n">
        <f aca="false">D38/$P$1</f>
        <v>0.00963735701882647</v>
      </c>
      <c r="Q38" s="204" t="n">
        <f aca="false">1-(E38/Q$1)</f>
        <v>0.992233959779196</v>
      </c>
      <c r="R38" s="204" t="n">
        <f aca="false">Q38/R$1</f>
        <v>0.00763256892137843</v>
      </c>
      <c r="S38" s="204" t="n">
        <f aca="false">F38/S$1</f>
        <v>0.00538080912997846</v>
      </c>
      <c r="T38" s="204" t="n">
        <f aca="false">1-(G38/T$1)</f>
        <v>0.991909943330655</v>
      </c>
      <c r="U38" s="205" t="n">
        <f aca="false">T38/U$1</f>
        <v>0.00763007648715889</v>
      </c>
      <c r="V38" s="204" t="n">
        <f aca="false">H38/V$1</f>
        <v>0.0060972511559372</v>
      </c>
      <c r="W38" s="204" t="n">
        <f aca="false">I38/W$1</f>
        <v>0.0067656533368666</v>
      </c>
      <c r="X38" s="204" t="n">
        <f aca="false">J38/X$1</f>
        <v>0.00753396775497877</v>
      </c>
      <c r="Y38" s="204" t="n">
        <f aca="false">1-(K38/Y$1)</f>
        <v>0.991380719809987</v>
      </c>
      <c r="Z38" s="205" t="n">
        <f aca="false">Y38/Z$1</f>
        <v>0.0076260055369999</v>
      </c>
      <c r="AA38" s="204" t="n">
        <f aca="false">L38/$AA$1</f>
        <v>0.00554419734128508</v>
      </c>
      <c r="AB38" s="204" t="n">
        <f aca="false">M38/AB$1</f>
        <v>0.00818964708531117</v>
      </c>
      <c r="AC38" s="204" t="n">
        <f aca="false">N38/AC$1</f>
        <v>0.00697558787973326</v>
      </c>
      <c r="AD38" s="204" t="n">
        <f aca="false">O38/AD$1</f>
        <v>0.00706157044011428</v>
      </c>
      <c r="AE38" s="209" t="n">
        <f aca="false">('Modelo AHP'!$U$37*aux!P38)+('Modelo AHP'!$U$38*aux!R38)+('Modelo AHP'!$U$39*aux!S38)</f>
        <v>0.00688294947577286</v>
      </c>
      <c r="AF38" s="210" t="n">
        <f aca="false">aux!U38</f>
        <v>0.00763007648715889</v>
      </c>
      <c r="AG38" s="209" t="n">
        <f aca="false">('Modelo AHP'!$U$47*aux!V38)+('Modelo AHP'!$U$48*aux!W38)+('Modelo AHP'!$U$49*aux!X38)</f>
        <v>0.00695018250534814</v>
      </c>
      <c r="AH38" s="210" t="n">
        <f aca="false">Z38</f>
        <v>0.0076260055369999</v>
      </c>
      <c r="AI38" s="209" t="n">
        <f aca="false">('Modelo AHP'!$U$56*aux!AA38)+('Modelo AHP'!$U$57*aux!AB38)+('Modelo AHP'!$U$58*aux!AC38)+('Modelo AHP'!$U$59*aux!AD38)</f>
        <v>0.00735020169213565</v>
      </c>
      <c r="AJ38" s="211" t="n">
        <f aca="false">('Modelo AHP'!$U$23*aux!AE38)+('Modelo AHP'!$U$24*aux!AF38)+('Modelo AHP'!$U$25*aux!AG38)+('Modelo AHP'!$U$26*aux!AH38)+('Modelo AHP'!$U$27*aux!AI38)</f>
        <v>0.00724654751666605</v>
      </c>
    </row>
    <row r="39" customFormat="false" ht="15" hidden="false" customHeight="false" outlineLevel="0" collapsed="false">
      <c r="A39" s="195" t="n">
        <f aca="false">_xlfn.RANK.EQ(AJ39,AJ$5:AJ$135)</f>
        <v>36</v>
      </c>
      <c r="B39" s="196" t="s">
        <v>160</v>
      </c>
      <c r="C39" s="197" t="s">
        <v>164</v>
      </c>
      <c r="D39" s="198" t="n">
        <v>0.103742027563445</v>
      </c>
      <c r="E39" s="199" t="n">
        <v>82.6</v>
      </c>
      <c r="F39" s="198" t="n">
        <v>0.484101928064043</v>
      </c>
      <c r="G39" s="200" t="n">
        <v>28746.7033662579</v>
      </c>
      <c r="H39" s="201" t="n">
        <v>10.69</v>
      </c>
      <c r="I39" s="201" t="n">
        <v>13.3</v>
      </c>
      <c r="J39" s="198" t="n">
        <v>0.0469339163786954</v>
      </c>
      <c r="K39" s="202" t="n">
        <v>82364.88</v>
      </c>
      <c r="L39" s="198" t="n">
        <v>0.0362966859547607</v>
      </c>
      <c r="M39" s="203" t="n">
        <v>873</v>
      </c>
      <c r="N39" s="198" t="n">
        <v>0.0459670424978317</v>
      </c>
      <c r="O39" s="198" t="n">
        <v>0.0464071856287425</v>
      </c>
      <c r="P39" s="204" t="n">
        <f aca="false">D39/$P$1</f>
        <v>0.00949575847541253</v>
      </c>
      <c r="Q39" s="204" t="n">
        <f aca="false">1-(E39/Q$1)</f>
        <v>0.992403186614893</v>
      </c>
      <c r="R39" s="204" t="n">
        <f aca="false">Q39/R$1</f>
        <v>0.00763387066626841</v>
      </c>
      <c r="S39" s="204" t="n">
        <f aca="false">F39/S$1</f>
        <v>0.00992511288093336</v>
      </c>
      <c r="T39" s="204" t="n">
        <f aca="false">1-(G39/T$1)</f>
        <v>0.994834852395877</v>
      </c>
      <c r="U39" s="205" t="n">
        <f aca="false">T39/U$1</f>
        <v>0.00765257578766059</v>
      </c>
      <c r="V39" s="204" t="n">
        <f aca="false">H39/V$1</f>
        <v>0.0108632691428281</v>
      </c>
      <c r="W39" s="204" t="n">
        <f aca="false">I39/W$1</f>
        <v>0.0110138542693177</v>
      </c>
      <c r="X39" s="204" t="n">
        <f aca="false">J39/X$1</f>
        <v>0.00753396775497877</v>
      </c>
      <c r="Y39" s="204" t="n">
        <f aca="false">1-(K39/Y$1)</f>
        <v>0.993808823585776</v>
      </c>
      <c r="Z39" s="205" t="n">
        <f aca="false">Y39/Z$1</f>
        <v>0.00764468325835213</v>
      </c>
      <c r="AA39" s="204" t="n">
        <f aca="false">L39/$AA$1</f>
        <v>0.00554419734128508</v>
      </c>
      <c r="AB39" s="204" t="n">
        <f aca="false">M39/AB$1</f>
        <v>0.00818964708531117</v>
      </c>
      <c r="AC39" s="204" t="n">
        <f aca="false">N39/AC$1</f>
        <v>0.00697558787973326</v>
      </c>
      <c r="AD39" s="204" t="n">
        <f aca="false">O39/AD$1</f>
        <v>0.00706157044011428</v>
      </c>
      <c r="AE39" s="209" t="n">
        <f aca="false">('Modelo AHP'!$U$37*aux!P39)+('Modelo AHP'!$U$38*aux!R39)+('Modelo AHP'!$U$39*aux!S39)</f>
        <v>0.00956718233781061</v>
      </c>
      <c r="AF39" s="210" t="n">
        <f aca="false">aux!U39</f>
        <v>0.00765257578766059</v>
      </c>
      <c r="AG39" s="209" t="n">
        <f aca="false">('Modelo AHP'!$U$47*aux!V39)+('Modelo AHP'!$U$48*aux!W39)+('Modelo AHP'!$U$49*aux!X39)</f>
        <v>0.00964036812541422</v>
      </c>
      <c r="AH39" s="210" t="n">
        <f aca="false">Z39</f>
        <v>0.00764468325835213</v>
      </c>
      <c r="AI39" s="209" t="n">
        <f aca="false">('Modelo AHP'!$U$56*aux!AA39)+('Modelo AHP'!$U$57*aux!AB39)+('Modelo AHP'!$U$58*aux!AC39)+('Modelo AHP'!$U$59*aux!AD39)</f>
        <v>0.00735020169213565</v>
      </c>
      <c r="AJ39" s="211" t="n">
        <f aca="false">('Modelo AHP'!$U$23*aux!AE39)+('Modelo AHP'!$U$24*aux!AF39)+('Modelo AHP'!$U$25*aux!AG39)+('Modelo AHP'!$U$26*aux!AH39)+('Modelo AHP'!$U$27*aux!AI39)</f>
        <v>0.00862247356237125</v>
      </c>
    </row>
    <row r="40" customFormat="false" ht="15" hidden="false" customHeight="false" outlineLevel="0" collapsed="false">
      <c r="A40" s="195" t="n">
        <f aca="false">_xlfn.RANK.EQ(AJ40,AJ$5:AJ$135)</f>
        <v>41</v>
      </c>
      <c r="B40" s="196" t="s">
        <v>160</v>
      </c>
      <c r="C40" s="197" t="s">
        <v>165</v>
      </c>
      <c r="D40" s="198" t="n">
        <v>0.1692151265105</v>
      </c>
      <c r="E40" s="199" t="n">
        <v>83.03</v>
      </c>
      <c r="F40" s="198" t="n">
        <v>0.479169784962331</v>
      </c>
      <c r="G40" s="200" t="n">
        <v>28242.0523623145</v>
      </c>
      <c r="H40" s="201" t="n">
        <v>7.93</v>
      </c>
      <c r="I40" s="201" t="n">
        <v>10.57</v>
      </c>
      <c r="J40" s="198" t="n">
        <v>0.0469339163786954</v>
      </c>
      <c r="K40" s="202" t="n">
        <v>56778.23</v>
      </c>
      <c r="L40" s="198" t="n">
        <v>0.0362966859547607</v>
      </c>
      <c r="M40" s="203" t="n">
        <v>873</v>
      </c>
      <c r="N40" s="198" t="n">
        <v>0.0459670424978317</v>
      </c>
      <c r="O40" s="198" t="n">
        <v>0.0464071856287425</v>
      </c>
      <c r="P40" s="204" t="n">
        <f aca="false">D40/$P$1</f>
        <v>0.0154886694377301</v>
      </c>
      <c r="Q40" s="204" t="n">
        <f aca="false">1-(E40/Q$1)</f>
        <v>0.99236363903916</v>
      </c>
      <c r="R40" s="204" t="n">
        <f aca="false">Q40/R$1</f>
        <v>0.00763356645414738</v>
      </c>
      <c r="S40" s="204" t="n">
        <f aca="false">F40/S$1</f>
        <v>0.00982399352116304</v>
      </c>
      <c r="T40" s="204" t="n">
        <f aca="false">1-(G40/T$1)</f>
        <v>0.994925527033964</v>
      </c>
      <c r="U40" s="205" t="n">
        <f aca="false">T40/U$1</f>
        <v>0.00765327328487665</v>
      </c>
      <c r="V40" s="204" t="n">
        <f aca="false">H40/V$1</f>
        <v>0.008058533611097</v>
      </c>
      <c r="W40" s="204" t="n">
        <f aca="false">I40/W$1</f>
        <v>0.00875311576140514</v>
      </c>
      <c r="X40" s="204" t="n">
        <f aca="false">J40/X$1</f>
        <v>0.00753396775497877</v>
      </c>
      <c r="Y40" s="204" t="n">
        <f aca="false">1-(K40/Y$1)</f>
        <v>0.99573211254096</v>
      </c>
      <c r="Z40" s="205" t="n">
        <f aca="false">Y40/Z$1</f>
        <v>0.00765947778877661</v>
      </c>
      <c r="AA40" s="204" t="n">
        <f aca="false">L40/$AA$1</f>
        <v>0.00554419734128508</v>
      </c>
      <c r="AB40" s="204" t="n">
        <f aca="false">M40/AB$1</f>
        <v>0.00818964708531117</v>
      </c>
      <c r="AC40" s="204" t="n">
        <f aca="false">N40/AC$1</f>
        <v>0.00697558787973326</v>
      </c>
      <c r="AD40" s="204" t="n">
        <f aca="false">O40/AD$1</f>
        <v>0.00706157044011428</v>
      </c>
      <c r="AE40" s="209" t="n">
        <f aca="false">('Modelo AHP'!$U$37*aux!P40)+('Modelo AHP'!$U$38*aux!R40)+('Modelo AHP'!$U$39*aux!S40)</f>
        <v>0.0113043535894316</v>
      </c>
      <c r="AF40" s="210" t="n">
        <f aca="false">aux!U40</f>
        <v>0.00765327328487665</v>
      </c>
      <c r="AG40" s="209" t="n">
        <f aca="false">('Modelo AHP'!$U$47*aux!V40)+('Modelo AHP'!$U$48*aux!W40)+('Modelo AHP'!$U$49*aux!X40)</f>
        <v>0.00816332995237432</v>
      </c>
      <c r="AH40" s="210" t="n">
        <f aca="false">Z40</f>
        <v>0.00765947778877661</v>
      </c>
      <c r="AI40" s="209" t="n">
        <f aca="false">('Modelo AHP'!$U$56*aux!AA40)+('Modelo AHP'!$U$57*aux!AB40)+('Modelo AHP'!$U$58*aux!AC40)+('Modelo AHP'!$U$59*aux!AD40)</f>
        <v>0.00735020169213565</v>
      </c>
      <c r="AJ40" s="211" t="n">
        <f aca="false">('Modelo AHP'!$U$23*aux!AE40)+('Modelo AHP'!$U$24*aux!AF40)+('Modelo AHP'!$U$25*aux!AG40)+('Modelo AHP'!$U$26*aux!AH40)+('Modelo AHP'!$U$27*aux!AI40)</f>
        <v>0.0084089762210694</v>
      </c>
    </row>
    <row r="41" customFormat="false" ht="15" hidden="false" customHeight="false" outlineLevel="0" collapsed="false">
      <c r="A41" s="195" t="n">
        <f aca="false">_xlfn.RANK.EQ(AJ41,AJ$5:AJ$135)</f>
        <v>42</v>
      </c>
      <c r="B41" s="196" t="s">
        <v>160</v>
      </c>
      <c r="C41" s="197" t="s">
        <v>166</v>
      </c>
      <c r="D41" s="198" t="n">
        <v>0.187865734720416</v>
      </c>
      <c r="E41" s="199" t="n">
        <v>82.77</v>
      </c>
      <c r="F41" s="198" t="n">
        <v>0.450243095065687</v>
      </c>
      <c r="G41" s="200" t="n">
        <v>28945.5254772727</v>
      </c>
      <c r="H41" s="201" t="n">
        <v>7.36</v>
      </c>
      <c r="I41" s="201" t="n">
        <v>10.31</v>
      </c>
      <c r="J41" s="198" t="n">
        <v>0.0469339163786954</v>
      </c>
      <c r="K41" s="202" t="n">
        <v>70355.9</v>
      </c>
      <c r="L41" s="198" t="n">
        <v>0.0362966859547607</v>
      </c>
      <c r="M41" s="203" t="n">
        <v>873</v>
      </c>
      <c r="N41" s="198" t="n">
        <v>0.0459670424978317</v>
      </c>
      <c r="O41" s="198" t="n">
        <v>0.0464071856287425</v>
      </c>
      <c r="P41" s="204" t="n">
        <f aca="false">D41/$P$1</f>
        <v>0.0171958046763642</v>
      </c>
      <c r="Q41" s="204" t="n">
        <f aca="false">1-(E41/Q$1)</f>
        <v>0.992387551526812</v>
      </c>
      <c r="R41" s="204" t="n">
        <f aca="false">Q41/R$1</f>
        <v>0.0076337503963601</v>
      </c>
      <c r="S41" s="204" t="n">
        <f aca="false">F41/S$1</f>
        <v>0.00923093522940189</v>
      </c>
      <c r="T41" s="204" t="n">
        <f aca="false">1-(G41/T$1)</f>
        <v>0.994799128454343</v>
      </c>
      <c r="U41" s="205" t="n">
        <f aca="false">T41/U$1</f>
        <v>0.00765230098811033</v>
      </c>
      <c r="V41" s="204" t="n">
        <f aca="false">H41/V$1</f>
        <v>0.00747929475128296</v>
      </c>
      <c r="W41" s="204" t="n">
        <f aca="false">I41/W$1</f>
        <v>0.00853780733208013</v>
      </c>
      <c r="X41" s="204" t="n">
        <f aca="false">J41/X$1</f>
        <v>0.00753396775497877</v>
      </c>
      <c r="Y41" s="204" t="n">
        <f aca="false">1-(K41/Y$1)</f>
        <v>0.994711510674435</v>
      </c>
      <c r="Z41" s="205" t="n">
        <f aca="false">Y41/Z$1</f>
        <v>0.00765162700518796</v>
      </c>
      <c r="AA41" s="204" t="n">
        <f aca="false">L41/$AA$1</f>
        <v>0.00554419734128508</v>
      </c>
      <c r="AB41" s="204" t="n">
        <f aca="false">M41/AB$1</f>
        <v>0.00818964708531117</v>
      </c>
      <c r="AC41" s="204" t="n">
        <f aca="false">N41/AC$1</f>
        <v>0.00697558787973326</v>
      </c>
      <c r="AD41" s="204" t="n">
        <f aca="false">O41/AD$1</f>
        <v>0.00706157044011428</v>
      </c>
      <c r="AE41" s="209" t="n">
        <f aca="false">('Modelo AHP'!$U$37*aux!P41)+('Modelo AHP'!$U$38*aux!R41)+('Modelo AHP'!$U$39*aux!S41)</f>
        <v>0.0114606775801864</v>
      </c>
      <c r="AF41" s="210" t="n">
        <f aca="false">aux!U41</f>
        <v>0.00765230098811033</v>
      </c>
      <c r="AG41" s="209" t="n">
        <f aca="false">('Modelo AHP'!$U$47*aux!V41)+('Modelo AHP'!$U$48*aux!W41)+('Modelo AHP'!$U$49*aux!X41)</f>
        <v>0.00796984878407995</v>
      </c>
      <c r="AH41" s="210" t="n">
        <f aca="false">Z41</f>
        <v>0.00765162700518796</v>
      </c>
      <c r="AI41" s="209" t="n">
        <f aca="false">('Modelo AHP'!$U$56*aux!AA41)+('Modelo AHP'!$U$57*aux!AB41)+('Modelo AHP'!$U$58*aux!AC41)+('Modelo AHP'!$U$59*aux!AD41)</f>
        <v>0.00735020169213565</v>
      </c>
      <c r="AJ41" s="211" t="n">
        <f aca="false">('Modelo AHP'!$U$23*aux!AE41)+('Modelo AHP'!$U$24*aux!AF41)+('Modelo AHP'!$U$25*aux!AG41)+('Modelo AHP'!$U$26*aux!AH41)+('Modelo AHP'!$U$27*aux!AI41)</f>
        <v>0.00836804316983915</v>
      </c>
    </row>
    <row r="42" customFormat="false" ht="15" hidden="false" customHeight="false" outlineLevel="0" collapsed="false">
      <c r="A42" s="195" t="n">
        <f aca="false">_xlfn.RANK.EQ(AJ42,AJ$5:AJ$135)</f>
        <v>96</v>
      </c>
      <c r="B42" s="196" t="s">
        <v>167</v>
      </c>
      <c r="C42" s="197" t="s">
        <v>168</v>
      </c>
      <c r="D42" s="198" t="n">
        <v>0.0614576899320568</v>
      </c>
      <c r="E42" s="199" t="n">
        <v>83.84</v>
      </c>
      <c r="F42" s="198" t="n">
        <v>0.221745427238105</v>
      </c>
      <c r="G42" s="200" t="n">
        <v>42607.6365402033</v>
      </c>
      <c r="H42" s="201" t="n">
        <v>6.15</v>
      </c>
      <c r="I42" s="201" t="n">
        <v>8.02</v>
      </c>
      <c r="J42" s="198" t="n">
        <v>0.0301465596866271</v>
      </c>
      <c r="K42" s="202" t="n">
        <v>112274.14</v>
      </c>
      <c r="L42" s="198" t="n">
        <v>0.0414401776842598</v>
      </c>
      <c r="M42" s="203" t="n">
        <v>154</v>
      </c>
      <c r="N42" s="198" t="n">
        <v>0.0323793003758312</v>
      </c>
      <c r="O42" s="198" t="n">
        <v>0.032559880239521</v>
      </c>
      <c r="P42" s="204" t="n">
        <f aca="false">D42/$P$1</f>
        <v>0.00562537087194197</v>
      </c>
      <c r="Q42" s="204" t="n">
        <f aca="false">1-(E42/Q$1)</f>
        <v>0.99228914244301</v>
      </c>
      <c r="R42" s="204" t="n">
        <f aca="false">Q42/R$1</f>
        <v>0.00763299340340777</v>
      </c>
      <c r="S42" s="204" t="n">
        <f aca="false">F42/S$1</f>
        <v>0.00454625001179056</v>
      </c>
      <c r="T42" s="204" t="n">
        <f aca="false">1-(G42/T$1)</f>
        <v>0.992344348881017</v>
      </c>
      <c r="U42" s="205" t="n">
        <f aca="false">T42/U$1</f>
        <v>0.00763341806831552</v>
      </c>
      <c r="V42" s="204" t="n">
        <f aca="false">H42/V$1</f>
        <v>0.00624968243483563</v>
      </c>
      <c r="W42" s="204" t="n">
        <f aca="false">I42/W$1</f>
        <v>0.00664143693533294</v>
      </c>
      <c r="X42" s="204" t="n">
        <f aca="false">J42/X$1</f>
        <v>0.00483921279379296</v>
      </c>
      <c r="Y42" s="204" t="n">
        <f aca="false">1-(K42/Y$1)</f>
        <v>0.991560614093103</v>
      </c>
      <c r="Z42" s="205" t="n">
        <f aca="false">Y42/Z$1</f>
        <v>0.00762738933917772</v>
      </c>
      <c r="AA42" s="204" t="n">
        <f aca="false">L42/$AA$1</f>
        <v>0.00632984849431742</v>
      </c>
      <c r="AB42" s="204" t="n">
        <f aca="false">M42/AB$1</f>
        <v>0.00144468001275821</v>
      </c>
      <c r="AC42" s="204" t="n">
        <f aca="false">N42/AC$1</f>
        <v>0.00491362165113286</v>
      </c>
      <c r="AD42" s="204" t="n">
        <f aca="false">O42/AD$1</f>
        <v>0.00495448893782211</v>
      </c>
      <c r="AE42" s="209" t="n">
        <f aca="false">('Modelo AHP'!$U$37*aux!P42)+('Modelo AHP'!$U$38*aux!R42)+('Modelo AHP'!$U$39*aux!S42)</f>
        <v>0.0051786606089977</v>
      </c>
      <c r="AF42" s="210" t="n">
        <f aca="false">aux!U42</f>
        <v>0.00763341806831552</v>
      </c>
      <c r="AG42" s="209" t="n">
        <f aca="false">('Modelo AHP'!$U$47*aux!V42)+('Modelo AHP'!$U$48*aux!W42)+('Modelo AHP'!$U$49*aux!X42)</f>
        <v>0.00587702273422895</v>
      </c>
      <c r="AH42" s="210" t="n">
        <f aca="false">Z42</f>
        <v>0.00762738933917772</v>
      </c>
      <c r="AI42" s="209" t="n">
        <f aca="false">('Modelo AHP'!$U$56*aux!AA42)+('Modelo AHP'!$U$57*aux!AB42)+('Modelo AHP'!$U$58*aux!AC42)+('Modelo AHP'!$U$59*aux!AD42)</f>
        <v>0.00343902013570949</v>
      </c>
      <c r="AJ42" s="211" t="n">
        <f aca="false">('Modelo AHP'!$U$23*aux!AE42)+('Modelo AHP'!$U$24*aux!AF42)+('Modelo AHP'!$U$25*aux!AG42)+('Modelo AHP'!$U$26*aux!AH42)+('Modelo AHP'!$U$27*aux!AI42)</f>
        <v>0.00623042332894016</v>
      </c>
    </row>
    <row r="43" customFormat="false" ht="15" hidden="false" customHeight="false" outlineLevel="0" collapsed="false">
      <c r="A43" s="195" t="n">
        <f aca="false">_xlfn.RANK.EQ(AJ43,AJ$5:AJ$135)</f>
        <v>94</v>
      </c>
      <c r="B43" s="196" t="s">
        <v>167</v>
      </c>
      <c r="C43" s="197" t="s">
        <v>169</v>
      </c>
      <c r="D43" s="198" t="n">
        <v>0.0579412369015821</v>
      </c>
      <c r="E43" s="199" t="n">
        <v>82.97</v>
      </c>
      <c r="F43" s="198" t="n">
        <v>0.240138686498166</v>
      </c>
      <c r="G43" s="200" t="n">
        <v>42210.1517765152</v>
      </c>
      <c r="H43" s="201" t="n">
        <v>5.96</v>
      </c>
      <c r="I43" s="201" t="n">
        <v>8.14</v>
      </c>
      <c r="J43" s="198" t="n">
        <v>0.0301465596866271</v>
      </c>
      <c r="K43" s="202" t="n">
        <v>120510.75</v>
      </c>
      <c r="L43" s="198" t="n">
        <v>0.0414401776842598</v>
      </c>
      <c r="M43" s="203" t="n">
        <v>154</v>
      </c>
      <c r="N43" s="198" t="n">
        <v>0.0323793003758312</v>
      </c>
      <c r="O43" s="198" t="n">
        <v>0.032559880239521</v>
      </c>
      <c r="P43" s="204" t="n">
        <f aca="false">D43/$P$1</f>
        <v>0.00530350142855655</v>
      </c>
      <c r="Q43" s="204" t="n">
        <f aca="false">1-(E43/Q$1)</f>
        <v>0.992369157305541</v>
      </c>
      <c r="R43" s="204" t="n">
        <f aca="false">Q43/R$1</f>
        <v>0.00763360890235032</v>
      </c>
      <c r="S43" s="204" t="n">
        <f aca="false">F43/S$1</f>
        <v>0.00492335070860956</v>
      </c>
      <c r="T43" s="204" t="n">
        <f aca="false">1-(G43/T$1)</f>
        <v>0.992415768112943</v>
      </c>
      <c r="U43" s="205" t="n">
        <f aca="false">T43/U$1</f>
        <v>0.00763396744702264</v>
      </c>
      <c r="V43" s="204" t="n">
        <f aca="false">H43/V$1</f>
        <v>0.00605660281489762</v>
      </c>
      <c r="W43" s="204" t="n">
        <f aca="false">I43/W$1</f>
        <v>0.00674081005655987</v>
      </c>
      <c r="X43" s="204" t="n">
        <f aca="false">J43/X$1</f>
        <v>0.00483921279379296</v>
      </c>
      <c r="Y43" s="204" t="n">
        <f aca="false">1-(K43/Y$1)</f>
        <v>0.990941487281225</v>
      </c>
      <c r="Z43" s="205" t="n">
        <f aca="false">Y43/Z$1</f>
        <v>0.00762262682524019</v>
      </c>
      <c r="AA43" s="204" t="n">
        <f aca="false">L43/$AA$1</f>
        <v>0.00632984849431742</v>
      </c>
      <c r="AB43" s="204" t="n">
        <f aca="false">M43/AB$1</f>
        <v>0.00144468001275821</v>
      </c>
      <c r="AC43" s="204" t="n">
        <f aca="false">N43/AC$1</f>
        <v>0.00491362165113286</v>
      </c>
      <c r="AD43" s="204" t="n">
        <f aca="false">O43/AD$1</f>
        <v>0.00495448893782211</v>
      </c>
      <c r="AE43" s="209" t="n">
        <f aca="false">('Modelo AHP'!$U$37*aux!P43)+('Modelo AHP'!$U$38*aux!R43)+('Modelo AHP'!$U$39*aux!S43)</f>
        <v>0.00530842174396774</v>
      </c>
      <c r="AF43" s="210" t="n">
        <f aca="false">aux!U43</f>
        <v>0.00763396744702264</v>
      </c>
      <c r="AG43" s="209" t="n">
        <f aca="false">('Modelo AHP'!$U$47*aux!V43)+('Modelo AHP'!$U$48*aux!W43)+('Modelo AHP'!$U$49*aux!X43)</f>
        <v>0.00588841862194596</v>
      </c>
      <c r="AH43" s="210" t="n">
        <f aca="false">Z43</f>
        <v>0.00762262682524019</v>
      </c>
      <c r="AI43" s="209" t="n">
        <f aca="false">('Modelo AHP'!$U$56*aux!AA43)+('Modelo AHP'!$U$57*aux!AB43)+('Modelo AHP'!$U$58*aux!AC43)+('Modelo AHP'!$U$59*aux!AD43)</f>
        <v>0.00343902013570949</v>
      </c>
      <c r="AJ43" s="211" t="n">
        <f aca="false">('Modelo AHP'!$U$23*aux!AE43)+('Modelo AHP'!$U$24*aux!AF43)+('Modelo AHP'!$U$25*aux!AG43)+('Modelo AHP'!$U$26*aux!AH43)+('Modelo AHP'!$U$27*aux!AI43)</f>
        <v>0.00625579210648634</v>
      </c>
    </row>
    <row r="44" customFormat="false" ht="15" hidden="false" customHeight="false" outlineLevel="0" collapsed="false">
      <c r="A44" s="195" t="n">
        <f aca="false">_xlfn.RANK.EQ(AJ44,AJ$5:AJ$135)</f>
        <v>100</v>
      </c>
      <c r="B44" s="196" t="s">
        <v>167</v>
      </c>
      <c r="C44" s="197" t="s">
        <v>170</v>
      </c>
      <c r="D44" s="198" t="n">
        <v>0.0625535211841944</v>
      </c>
      <c r="E44" s="199" t="n">
        <v>83.5</v>
      </c>
      <c r="F44" s="198" t="n">
        <v>0.219465272296764</v>
      </c>
      <c r="G44" s="200" t="n">
        <v>41126.2198025844</v>
      </c>
      <c r="H44" s="201" t="n">
        <v>5.89</v>
      </c>
      <c r="I44" s="201" t="n">
        <v>7.61</v>
      </c>
      <c r="J44" s="198" t="n">
        <v>0.0301465596866271</v>
      </c>
      <c r="K44" s="202" t="n">
        <v>116258.33</v>
      </c>
      <c r="L44" s="198" t="n">
        <v>0.0414401776842598</v>
      </c>
      <c r="M44" s="203" t="n">
        <v>154</v>
      </c>
      <c r="N44" s="198" t="n">
        <v>0.0323793003758312</v>
      </c>
      <c r="O44" s="198" t="n">
        <v>0.032559880239521</v>
      </c>
      <c r="P44" s="204" t="n">
        <f aca="false">D44/$P$1</f>
        <v>0.0057256749545255</v>
      </c>
      <c r="Q44" s="204" t="n">
        <f aca="false">1-(E44/Q$1)</f>
        <v>0.992320412619172</v>
      </c>
      <c r="R44" s="204" t="n">
        <f aca="false">Q44/R$1</f>
        <v>0.0076332339432244</v>
      </c>
      <c r="S44" s="204" t="n">
        <f aca="false">F44/S$1</f>
        <v>0.0044995020154144</v>
      </c>
      <c r="T44" s="204" t="n">
        <f aca="false">1-(G44/T$1)</f>
        <v>0.992610526745502</v>
      </c>
      <c r="U44" s="205" t="n">
        <f aca="false">T44/U$1</f>
        <v>0.00763546559035002</v>
      </c>
      <c r="V44" s="204" t="n">
        <f aca="false">H44/V$1</f>
        <v>0.00598546821807835</v>
      </c>
      <c r="W44" s="204" t="n">
        <f aca="false">I44/W$1</f>
        <v>0.00630191210447427</v>
      </c>
      <c r="X44" s="204" t="n">
        <f aca="false">J44/X$1</f>
        <v>0.00483921279379296</v>
      </c>
      <c r="Y44" s="204" t="n">
        <f aca="false">1-(K44/Y$1)</f>
        <v>0.991261131799706</v>
      </c>
      <c r="Z44" s="205" t="n">
        <f aca="false">Y44/Z$1</f>
        <v>0.00762508562922851</v>
      </c>
      <c r="AA44" s="204" t="n">
        <f aca="false">L44/$AA$1</f>
        <v>0.00632984849431742</v>
      </c>
      <c r="AB44" s="204" t="n">
        <f aca="false">M44/AB$1</f>
        <v>0.00144468001275821</v>
      </c>
      <c r="AC44" s="204" t="n">
        <f aca="false">N44/AC$1</f>
        <v>0.00491362165113286</v>
      </c>
      <c r="AD44" s="204" t="n">
        <f aca="false">O44/AD$1</f>
        <v>0.00495448893782211</v>
      </c>
      <c r="AE44" s="209" t="n">
        <f aca="false">('Modelo AHP'!$U$37*aux!P44)+('Modelo AHP'!$U$38*aux!R44)+('Modelo AHP'!$U$39*aux!S44)</f>
        <v>0.00518072708992873</v>
      </c>
      <c r="AF44" s="210" t="n">
        <f aca="false">aux!U44</f>
        <v>0.00763546559035002</v>
      </c>
      <c r="AG44" s="209" t="n">
        <f aca="false">('Modelo AHP'!$U$47*aux!V44)+('Modelo AHP'!$U$48*aux!W44)+('Modelo AHP'!$U$49*aux!X44)</f>
        <v>0.0056817625270073</v>
      </c>
      <c r="AH44" s="210" t="n">
        <f aca="false">Z44</f>
        <v>0.00762508562922851</v>
      </c>
      <c r="AI44" s="209" t="n">
        <f aca="false">('Modelo AHP'!$U$56*aux!AA44)+('Modelo AHP'!$U$57*aux!AB44)+('Modelo AHP'!$U$58*aux!AC44)+('Modelo AHP'!$U$59*aux!AD44)</f>
        <v>0.00343902013570949</v>
      </c>
      <c r="AJ44" s="211" t="n">
        <f aca="false">('Modelo AHP'!$U$23*aux!AE44)+('Modelo AHP'!$U$24*aux!AF44)+('Modelo AHP'!$U$25*aux!AG44)+('Modelo AHP'!$U$26*aux!AH44)+('Modelo AHP'!$U$27*aux!AI44)</f>
        <v>0.00616453020032195</v>
      </c>
    </row>
    <row r="45" customFormat="false" ht="15" hidden="false" customHeight="false" outlineLevel="0" collapsed="false">
      <c r="A45" s="195" t="n">
        <f aca="false">_xlfn.RANK.EQ(AJ45,AJ$5:AJ$135)</f>
        <v>116</v>
      </c>
      <c r="B45" s="196" t="s">
        <v>167</v>
      </c>
      <c r="C45" s="197" t="s">
        <v>171</v>
      </c>
      <c r="D45" s="198" t="n">
        <v>0.0685893226930653</v>
      </c>
      <c r="E45" s="199" t="n">
        <v>84.02</v>
      </c>
      <c r="F45" s="198" t="n">
        <v>0.195871733366999</v>
      </c>
      <c r="G45" s="200" t="n">
        <v>68786.7092139108</v>
      </c>
      <c r="H45" s="201" t="n">
        <v>4.39</v>
      </c>
      <c r="I45" s="201" t="n">
        <v>5.75</v>
      </c>
      <c r="J45" s="198" t="n">
        <v>0.0301465596866271</v>
      </c>
      <c r="K45" s="202" t="n">
        <v>183975.01</v>
      </c>
      <c r="L45" s="198" t="n">
        <v>0.0414401776842598</v>
      </c>
      <c r="M45" s="203" t="n">
        <v>154</v>
      </c>
      <c r="N45" s="198" t="n">
        <v>0.0323793003758312</v>
      </c>
      <c r="O45" s="198" t="n">
        <v>0.032559880239521</v>
      </c>
      <c r="P45" s="204" t="n">
        <f aca="false">D45/$P$1</f>
        <v>0.00627814645214219</v>
      </c>
      <c r="Q45" s="204" t="n">
        <f aca="false">1-(E45/Q$1)</f>
        <v>0.992272587643866</v>
      </c>
      <c r="R45" s="204" t="n">
        <f aca="false">Q45/R$1</f>
        <v>0.00763286605879897</v>
      </c>
      <c r="S45" s="204" t="n">
        <f aca="false">F45/S$1</f>
        <v>0.0040157845923604</v>
      </c>
      <c r="T45" s="204" t="n">
        <f aca="false">1-(G45/T$1)</f>
        <v>0.987640547795517</v>
      </c>
      <c r="U45" s="205" t="n">
        <f aca="false">T45/U$1</f>
        <v>0.00759723498304244</v>
      </c>
      <c r="V45" s="204" t="n">
        <f aca="false">H45/V$1</f>
        <v>0.00446115542909405</v>
      </c>
      <c r="W45" s="204" t="n">
        <f aca="false">I45/W$1</f>
        <v>0.00476162872545691</v>
      </c>
      <c r="X45" s="204" t="n">
        <f aca="false">J45/X$1</f>
        <v>0.00483921279379296</v>
      </c>
      <c r="Y45" s="204" t="n">
        <f aca="false">1-(K45/Y$1)</f>
        <v>0.986171026501604</v>
      </c>
      <c r="Z45" s="205" t="n">
        <f aca="false">Y45/Z$1</f>
        <v>0.00758593097308926</v>
      </c>
      <c r="AA45" s="204" t="n">
        <f aca="false">L45/$AA$1</f>
        <v>0.00632984849431742</v>
      </c>
      <c r="AB45" s="204" t="n">
        <f aca="false">M45/AB$1</f>
        <v>0.00144468001275821</v>
      </c>
      <c r="AC45" s="204" t="n">
        <f aca="false">N45/AC$1</f>
        <v>0.00491362165113286</v>
      </c>
      <c r="AD45" s="204" t="n">
        <f aca="false">O45/AD$1</f>
        <v>0.00495448893782211</v>
      </c>
      <c r="AE45" s="209" t="n">
        <f aca="false">('Modelo AHP'!$U$37*aux!P45)+('Modelo AHP'!$U$38*aux!R45)+('Modelo AHP'!$U$39*aux!S45)</f>
        <v>0.00505620129693879</v>
      </c>
      <c r="AF45" s="210" t="n">
        <f aca="false">aux!U45</f>
        <v>0.00759723498304244</v>
      </c>
      <c r="AG45" s="209" t="n">
        <f aca="false">('Modelo AHP'!$U$47*aux!V45)+('Modelo AHP'!$U$48*aux!W45)+('Modelo AHP'!$U$49*aux!X45)</f>
        <v>0.00474084250055434</v>
      </c>
      <c r="AH45" s="210" t="n">
        <f aca="false">Z45</f>
        <v>0.00758593097308926</v>
      </c>
      <c r="AI45" s="209" t="n">
        <f aca="false">('Modelo AHP'!$U$56*aux!AA45)+('Modelo AHP'!$U$57*aux!AB45)+('Modelo AHP'!$U$58*aux!AC45)+('Modelo AHP'!$U$59*aux!AD45)</f>
        <v>0.00343902013570949</v>
      </c>
      <c r="AJ45" s="211" t="n">
        <f aca="false">('Modelo AHP'!$U$23*aux!AE45)+('Modelo AHP'!$U$24*aux!AF45)+('Modelo AHP'!$U$25*aux!AG45)+('Modelo AHP'!$U$26*aux!AH45)+('Modelo AHP'!$U$27*aux!AI45)</f>
        <v>0.00580693568928074</v>
      </c>
    </row>
    <row r="46" customFormat="false" ht="15" hidden="false" customHeight="false" outlineLevel="0" collapsed="false">
      <c r="A46" s="195" t="n">
        <f aca="false">_xlfn.RANK.EQ(AJ46,AJ$5:AJ$135)</f>
        <v>105</v>
      </c>
      <c r="B46" s="196" t="s">
        <v>167</v>
      </c>
      <c r="C46" s="197" t="s">
        <v>172</v>
      </c>
      <c r="D46" s="198" t="n">
        <v>0.0590409996672705</v>
      </c>
      <c r="E46" s="199" t="n">
        <v>84.44</v>
      </c>
      <c r="F46" s="198" t="n">
        <v>0.2177222071215</v>
      </c>
      <c r="G46" s="200" t="n">
        <v>47955.2791667397</v>
      </c>
      <c r="H46" s="201" t="n">
        <v>5.31</v>
      </c>
      <c r="I46" s="201" t="n">
        <v>7.18</v>
      </c>
      <c r="J46" s="198" t="n">
        <v>0.0301465596866271</v>
      </c>
      <c r="K46" s="202" t="n">
        <v>121443.52</v>
      </c>
      <c r="L46" s="198" t="n">
        <v>0.0414401776842598</v>
      </c>
      <c r="M46" s="203" t="n">
        <v>154</v>
      </c>
      <c r="N46" s="198" t="n">
        <v>0.0323793003758312</v>
      </c>
      <c r="O46" s="198" t="n">
        <v>0.032559880239521</v>
      </c>
      <c r="P46" s="204" t="n">
        <f aca="false">D46/$P$1</f>
        <v>0.00540416537207589</v>
      </c>
      <c r="Q46" s="204" t="n">
        <f aca="false">1-(E46/Q$1)</f>
        <v>0.992233959779196</v>
      </c>
      <c r="R46" s="204" t="n">
        <f aca="false">Q46/R$1</f>
        <v>0.00763256892137843</v>
      </c>
      <c r="S46" s="204" t="n">
        <f aca="false">F46/S$1</f>
        <v>0.00446376549461082</v>
      </c>
      <c r="T46" s="204" t="n">
        <f aca="false">1-(G46/T$1)</f>
        <v>0.991383495626011</v>
      </c>
      <c r="U46" s="205" t="n">
        <f aca="false">T46/U$1</f>
        <v>0.00762602688943086</v>
      </c>
      <c r="V46" s="204" t="n">
        <f aca="false">H46/V$1</f>
        <v>0.00539606727300442</v>
      </c>
      <c r="W46" s="204" t="n">
        <f aca="false">I46/W$1</f>
        <v>0.00594582508674445</v>
      </c>
      <c r="X46" s="204" t="n">
        <f aca="false">J46/X$1</f>
        <v>0.00483921279379296</v>
      </c>
      <c r="Y46" s="204" t="n">
        <f aca="false">1-(K46/Y$1)</f>
        <v>0.99087137313034</v>
      </c>
      <c r="Z46" s="205" t="n">
        <f aca="false">Y46/Z$1</f>
        <v>0.007622087485618</v>
      </c>
      <c r="AA46" s="204" t="n">
        <f aca="false">L46/$AA$1</f>
        <v>0.00632984849431742</v>
      </c>
      <c r="AB46" s="204" t="n">
        <f aca="false">M46/AB$1</f>
        <v>0.00144468001275821</v>
      </c>
      <c r="AC46" s="204" t="n">
        <f aca="false">N46/AC$1</f>
        <v>0.00491362165113286</v>
      </c>
      <c r="AD46" s="204" t="n">
        <f aca="false">O46/AD$1</f>
        <v>0.00495448893782211</v>
      </c>
      <c r="AE46" s="209" t="n">
        <f aca="false">('Modelo AHP'!$U$37*aux!P46)+('Modelo AHP'!$U$38*aux!R46)+('Modelo AHP'!$U$39*aux!S46)</f>
        <v>0.0050627658005271</v>
      </c>
      <c r="AF46" s="210" t="n">
        <f aca="false">aux!U46</f>
        <v>0.00762602688943086</v>
      </c>
      <c r="AG46" s="209" t="n">
        <f aca="false">('Modelo AHP'!$U$47*aux!V46)+('Modelo AHP'!$U$48*aux!W46)+('Modelo AHP'!$U$49*aux!X46)</f>
        <v>0.00542413661041432</v>
      </c>
      <c r="AH46" s="210" t="n">
        <f aca="false">Z46</f>
        <v>0.007622087485618</v>
      </c>
      <c r="AI46" s="209" t="n">
        <f aca="false">('Modelo AHP'!$U$56*aux!AA46)+('Modelo AHP'!$U$57*aux!AB46)+('Modelo AHP'!$U$58*aux!AC46)+('Modelo AHP'!$U$59*aux!AD46)</f>
        <v>0.00343902013570949</v>
      </c>
      <c r="AJ46" s="211" t="n">
        <f aca="false">('Modelo AHP'!$U$23*aux!AE46)+('Modelo AHP'!$U$24*aux!AF46)+('Modelo AHP'!$U$25*aux!AG46)+('Modelo AHP'!$U$26*aux!AH46)+('Modelo AHP'!$U$27*aux!AI46)</f>
        <v>0.00605353641504241</v>
      </c>
    </row>
    <row r="47" customFormat="false" ht="15" hidden="false" customHeight="false" outlineLevel="0" collapsed="false">
      <c r="A47" s="195" t="n">
        <f aca="false">_xlfn.RANK.EQ(AJ47,AJ$5:AJ$135)</f>
        <v>120</v>
      </c>
      <c r="B47" s="196" t="s">
        <v>167</v>
      </c>
      <c r="C47" s="197" t="s">
        <v>173</v>
      </c>
      <c r="D47" s="198" t="n">
        <v>0.0359672752668862</v>
      </c>
      <c r="E47" s="199" t="n">
        <v>84.33</v>
      </c>
      <c r="F47" s="198" t="n">
        <v>0.171601656673054</v>
      </c>
      <c r="G47" s="200" t="n">
        <v>59458.5754002255</v>
      </c>
      <c r="H47" s="201" t="n">
        <v>4.63</v>
      </c>
      <c r="I47" s="201" t="n">
        <v>5.92</v>
      </c>
      <c r="J47" s="198" t="n">
        <v>0.0301465596866271</v>
      </c>
      <c r="K47" s="202" t="n">
        <v>177760.6</v>
      </c>
      <c r="L47" s="198" t="n">
        <v>0.0414401776842598</v>
      </c>
      <c r="M47" s="203" t="n">
        <v>154</v>
      </c>
      <c r="N47" s="198" t="n">
        <v>0.0323793003758312</v>
      </c>
      <c r="O47" s="198" t="n">
        <v>0.032559880239521</v>
      </c>
      <c r="P47" s="204" t="n">
        <f aca="false">D47/$P$1</f>
        <v>0.00329217162007132</v>
      </c>
      <c r="Q47" s="204" t="n">
        <f aca="false">1-(E47/Q$1)</f>
        <v>0.992244076600895</v>
      </c>
      <c r="R47" s="204" t="n">
        <f aca="false">Q47/R$1</f>
        <v>0.00763264674308381</v>
      </c>
      <c r="S47" s="204" t="n">
        <f aca="false">F47/S$1</f>
        <v>0.00351819671498998</v>
      </c>
      <c r="T47" s="204" t="n">
        <f aca="false">1-(G47/T$1)</f>
        <v>0.98931660739111</v>
      </c>
      <c r="U47" s="205" t="n">
        <f aca="false">T47/U$1</f>
        <v>0.00761012774916239</v>
      </c>
      <c r="V47" s="204" t="n">
        <f aca="false">H47/V$1</f>
        <v>0.00470504547533154</v>
      </c>
      <c r="W47" s="204" t="n">
        <f aca="false">I47/W$1</f>
        <v>0.00490240731386172</v>
      </c>
      <c r="X47" s="204" t="n">
        <f aca="false">J47/X$1</f>
        <v>0.00483921279379296</v>
      </c>
      <c r="Y47" s="204" t="n">
        <f aca="false">1-(K47/Y$1)</f>
        <v>0.986638149243971</v>
      </c>
      <c r="Z47" s="205" t="n">
        <f aca="false">Y47/Z$1</f>
        <v>0.00758952422495362</v>
      </c>
      <c r="AA47" s="204" t="n">
        <f aca="false">L47/$AA$1</f>
        <v>0.00632984849431742</v>
      </c>
      <c r="AB47" s="204" t="n">
        <f aca="false">M47/AB$1</f>
        <v>0.00144468001275821</v>
      </c>
      <c r="AC47" s="204" t="n">
        <f aca="false">N47/AC$1</f>
        <v>0.00491362165113286</v>
      </c>
      <c r="AD47" s="204" t="n">
        <f aca="false">O47/AD$1</f>
        <v>0.00495448893782211</v>
      </c>
      <c r="AE47" s="209" t="n">
        <f aca="false">('Modelo AHP'!$U$37*aux!P47)+('Modelo AHP'!$U$38*aux!R47)+('Modelo AHP'!$U$39*aux!S47)</f>
        <v>0.00386183418932377</v>
      </c>
      <c r="AF47" s="210" t="n">
        <f aca="false">aux!U47</f>
        <v>0.00761012774916239</v>
      </c>
      <c r="AG47" s="209" t="n">
        <f aca="false">('Modelo AHP'!$U$47*aux!V47)+('Modelo AHP'!$U$48*aux!W47)+('Modelo AHP'!$U$49*aux!X47)</f>
        <v>0.00484453399044418</v>
      </c>
      <c r="AH47" s="210" t="n">
        <f aca="false">Z47</f>
        <v>0.00758952422495362</v>
      </c>
      <c r="AI47" s="209" t="n">
        <f aca="false">('Modelo AHP'!$U$56*aux!AA47)+('Modelo AHP'!$U$57*aux!AB47)+('Modelo AHP'!$U$58*aux!AC47)+('Modelo AHP'!$U$59*aux!AD47)</f>
        <v>0.00343902013570949</v>
      </c>
      <c r="AJ47" s="211" t="n">
        <f aca="false">('Modelo AHP'!$U$23*aux!AE47)+('Modelo AHP'!$U$24*aux!AF47)+('Modelo AHP'!$U$25*aux!AG47)+('Modelo AHP'!$U$26*aux!AH47)+('Modelo AHP'!$U$27*aux!AI47)</f>
        <v>0.00564747733536027</v>
      </c>
    </row>
    <row r="48" customFormat="false" ht="15" hidden="false" customHeight="false" outlineLevel="0" collapsed="false">
      <c r="A48" s="195" t="n">
        <f aca="false">_xlfn.RANK.EQ(AJ48,AJ$5:AJ$135)</f>
        <v>78</v>
      </c>
      <c r="B48" s="196" t="s">
        <v>174</v>
      </c>
      <c r="C48" s="197" t="s">
        <v>175</v>
      </c>
      <c r="D48" s="198" t="n">
        <v>0.0211226851851852</v>
      </c>
      <c r="E48" s="199" t="n">
        <v>80.21</v>
      </c>
      <c r="F48" s="198" t="n">
        <v>0.482111229188806</v>
      </c>
      <c r="G48" s="200" t="n">
        <v>39061.7270865533</v>
      </c>
      <c r="H48" s="201" t="n">
        <v>6.21</v>
      </c>
      <c r="I48" s="201" t="n">
        <v>8.12</v>
      </c>
      <c r="J48" s="198" t="n">
        <v>0.0361108345777335</v>
      </c>
      <c r="K48" s="202" t="n">
        <v>94498.3</v>
      </c>
      <c r="L48" s="198" t="n">
        <v>0.0503243906715764</v>
      </c>
      <c r="M48" s="203" t="n">
        <v>475</v>
      </c>
      <c r="N48" s="198" t="n">
        <v>0.0547364363496194</v>
      </c>
      <c r="O48" s="198" t="n">
        <v>0.0542040918163673</v>
      </c>
      <c r="P48" s="204" t="n">
        <f aca="false">D48/$P$1</f>
        <v>0.00193341041795262</v>
      </c>
      <c r="Q48" s="204" t="n">
        <f aca="false">1-(E48/Q$1)</f>
        <v>0.992622997559087</v>
      </c>
      <c r="R48" s="204" t="n">
        <f aca="false">Q48/R$1</f>
        <v>0.00763556151968529</v>
      </c>
      <c r="S48" s="204" t="n">
        <f aca="false">F48/S$1</f>
        <v>0.00988429934580102</v>
      </c>
      <c r="T48" s="204" t="n">
        <f aca="false">1-(G48/T$1)</f>
        <v>0.992981470483644</v>
      </c>
      <c r="U48" s="205" t="n">
        <f aca="false">T48/U$1</f>
        <v>0.00763831900372034</v>
      </c>
      <c r="V48" s="204" t="n">
        <f aca="false">H48/V$1</f>
        <v>0.006310654946395</v>
      </c>
      <c r="W48" s="204" t="n">
        <f aca="false">I48/W$1</f>
        <v>0.00672424786968871</v>
      </c>
      <c r="X48" s="204" t="n">
        <f aca="false">J48/X$1</f>
        <v>0.005796615418131</v>
      </c>
      <c r="Y48" s="204" t="n">
        <f aca="false">1-(K48/Y$1)</f>
        <v>0.992896782631818</v>
      </c>
      <c r="Z48" s="205" t="n">
        <f aca="false">Y48/Z$1</f>
        <v>0.00763766755870629</v>
      </c>
      <c r="AA48" s="204" t="n">
        <f aca="false">L48/$AA$1</f>
        <v>0.00768688230410056</v>
      </c>
      <c r="AB48" s="204" t="n">
        <f aca="false">M48/AB$1</f>
        <v>0.00445599354584514</v>
      </c>
      <c r="AC48" s="204" t="n">
        <f aca="false">N48/AC$1</f>
        <v>0.00830636041024841</v>
      </c>
      <c r="AD48" s="204" t="n">
        <f aca="false">O48/AD$1</f>
        <v>0.00824799020491842</v>
      </c>
      <c r="AE48" s="209" t="n">
        <f aca="false">('Modelo AHP'!$U$37*aux!P48)+('Modelo AHP'!$U$38*aux!R48)+('Modelo AHP'!$U$39*aux!S48)</f>
        <v>0.00727415888483493</v>
      </c>
      <c r="AF48" s="210" t="n">
        <f aca="false">aux!U48</f>
        <v>0.00763831900372034</v>
      </c>
      <c r="AG48" s="209" t="n">
        <f aca="false">('Modelo AHP'!$U$47*aux!V48)+('Modelo AHP'!$U$48*aux!W48)+('Modelo AHP'!$U$49*aux!X48)</f>
        <v>0.00629493007791432</v>
      </c>
      <c r="AH48" s="210" t="n">
        <f aca="false">Z48</f>
        <v>0.00763766755870629</v>
      </c>
      <c r="AI48" s="209" t="n">
        <f aca="false">('Modelo AHP'!$U$56*aux!AA48)+('Modelo AHP'!$U$57*aux!AB48)+('Modelo AHP'!$U$58*aux!AC48)+('Modelo AHP'!$U$59*aux!AD48)</f>
        <v>0.00629597331263362</v>
      </c>
      <c r="AJ48" s="211" t="n">
        <f aca="false">('Modelo AHP'!$U$23*aux!AE48)+('Modelo AHP'!$U$24*aux!AF48)+('Modelo AHP'!$U$25*aux!AG48)+('Modelo AHP'!$U$26*aux!AH48)+('Modelo AHP'!$U$27*aux!AI48)</f>
        <v>0.00699275797842926</v>
      </c>
    </row>
    <row r="49" customFormat="false" ht="15" hidden="false" customHeight="false" outlineLevel="0" collapsed="false">
      <c r="A49" s="195" t="n">
        <f aca="false">_xlfn.RANK.EQ(AJ49,AJ$5:AJ$135)</f>
        <v>113</v>
      </c>
      <c r="B49" s="196" t="s">
        <v>174</v>
      </c>
      <c r="C49" s="197" t="s">
        <v>176</v>
      </c>
      <c r="D49" s="198" t="n">
        <v>0.0451453308596166</v>
      </c>
      <c r="E49" s="199" t="n">
        <v>84.91</v>
      </c>
      <c r="F49" s="198" t="n">
        <v>0.161413969335605</v>
      </c>
      <c r="G49" s="200" t="n">
        <v>98155.7929422895</v>
      </c>
      <c r="H49" s="201" t="n">
        <v>3.31</v>
      </c>
      <c r="I49" s="201" t="n">
        <v>4.76</v>
      </c>
      <c r="J49" s="198" t="n">
        <v>0.0361108345777335</v>
      </c>
      <c r="K49" s="202" t="n">
        <v>172607.26</v>
      </c>
      <c r="L49" s="198" t="n">
        <v>0.0503243906715764</v>
      </c>
      <c r="M49" s="203" t="n">
        <v>475</v>
      </c>
      <c r="N49" s="198" t="n">
        <v>0.0547364363496194</v>
      </c>
      <c r="O49" s="198" t="n">
        <v>0.0542040918163673</v>
      </c>
      <c r="P49" s="204" t="n">
        <f aca="false">D49/$P$1</f>
        <v>0.00413226122723826</v>
      </c>
      <c r="Q49" s="204" t="n">
        <f aca="false">1-(E49/Q$1)</f>
        <v>0.992190733359208</v>
      </c>
      <c r="R49" s="204" t="n">
        <f aca="false">Q49/R$1</f>
        <v>0.00763223641045545</v>
      </c>
      <c r="S49" s="204" t="n">
        <f aca="false">F49/S$1</f>
        <v>0.0033093275885558</v>
      </c>
      <c r="T49" s="204" t="n">
        <f aca="false">1-(G49/T$1)</f>
        <v>0.982363572188186</v>
      </c>
      <c r="U49" s="205" t="n">
        <f aca="false">T49/U$1</f>
        <v>0.00755664286298604</v>
      </c>
      <c r="V49" s="204" t="n">
        <f aca="false">H49/V$1</f>
        <v>0.00336365022102535</v>
      </c>
      <c r="W49" s="204" t="n">
        <f aca="false">I49/W$1</f>
        <v>0.00394180047533476</v>
      </c>
      <c r="X49" s="204" t="n">
        <f aca="false">J49/X$1</f>
        <v>0.005796615418131</v>
      </c>
      <c r="Y49" s="204" t="n">
        <f aca="false">1-(K49/Y$1)</f>
        <v>0.987025513822933</v>
      </c>
      <c r="Z49" s="205" t="n">
        <f aca="false">Y49/Z$1</f>
        <v>0.0075925039524841</v>
      </c>
      <c r="AA49" s="204" t="n">
        <f aca="false">L49/$AA$1</f>
        <v>0.00768688230410056</v>
      </c>
      <c r="AB49" s="204" t="n">
        <f aca="false">M49/AB$1</f>
        <v>0.00445599354584514</v>
      </c>
      <c r="AC49" s="204" t="n">
        <f aca="false">N49/AC$1</f>
        <v>0.00830636041024841</v>
      </c>
      <c r="AD49" s="204" t="n">
        <f aca="false">O49/AD$1</f>
        <v>0.00824799020491842</v>
      </c>
      <c r="AE49" s="209" t="n">
        <f aca="false">('Modelo AHP'!$U$37*aux!P49)+('Modelo AHP'!$U$38*aux!R49)+('Modelo AHP'!$U$39*aux!S49)</f>
        <v>0.0039884985623505</v>
      </c>
      <c r="AF49" s="210" t="n">
        <f aca="false">aux!U49</f>
        <v>0.00755664286298604</v>
      </c>
      <c r="AG49" s="209" t="n">
        <f aca="false">('Modelo AHP'!$U$47*aux!V49)+('Modelo AHP'!$U$48*aux!W49)+('Modelo AHP'!$U$49*aux!X49)</f>
        <v>0.00456247906583826</v>
      </c>
      <c r="AH49" s="210" t="n">
        <f aca="false">Z49</f>
        <v>0.0075925039524841</v>
      </c>
      <c r="AI49" s="209" t="n">
        <f aca="false">('Modelo AHP'!$U$56*aux!AA49)+('Modelo AHP'!$U$57*aux!AB49)+('Modelo AHP'!$U$58*aux!AC49)+('Modelo AHP'!$U$59*aux!AD49)</f>
        <v>0.00629597331263362</v>
      </c>
      <c r="AJ49" s="211" t="n">
        <f aca="false">('Modelo AHP'!$U$23*aux!AE49)+('Modelo AHP'!$U$24*aux!AF49)+('Modelo AHP'!$U$25*aux!AG49)+('Modelo AHP'!$U$26*aux!AH49)+('Modelo AHP'!$U$27*aux!AI49)</f>
        <v>0.00582266326194854</v>
      </c>
    </row>
    <row r="50" customFormat="false" ht="15" hidden="false" customHeight="false" outlineLevel="0" collapsed="false">
      <c r="A50" s="195" t="n">
        <f aca="false">_xlfn.RANK.EQ(AJ50,AJ$5:AJ$135)</f>
        <v>80</v>
      </c>
      <c r="B50" s="196" t="s">
        <v>174</v>
      </c>
      <c r="C50" s="197" t="s">
        <v>177</v>
      </c>
      <c r="D50" s="198" t="n">
        <v>0.0489957669098442</v>
      </c>
      <c r="E50" s="199" t="n">
        <v>83.13</v>
      </c>
      <c r="F50" s="198" t="n">
        <v>0.355073293632616</v>
      </c>
      <c r="G50" s="200" t="n">
        <v>45508.0580730877</v>
      </c>
      <c r="H50" s="201" t="n">
        <v>6.82</v>
      </c>
      <c r="I50" s="201" t="n">
        <v>8.35</v>
      </c>
      <c r="J50" s="198" t="n">
        <v>0.0361108345777335</v>
      </c>
      <c r="K50" s="202" t="n">
        <v>100133.82</v>
      </c>
      <c r="L50" s="198" t="n">
        <v>0.0503243906715764</v>
      </c>
      <c r="M50" s="203" t="n">
        <v>475</v>
      </c>
      <c r="N50" s="198" t="n">
        <v>0.0547364363496194</v>
      </c>
      <c r="O50" s="198" t="n">
        <v>0.0542040918163673</v>
      </c>
      <c r="P50" s="204" t="n">
        <f aca="false">D50/$P$1</f>
        <v>0.00448470094349137</v>
      </c>
      <c r="Q50" s="204" t="n">
        <f aca="false">1-(E50/Q$1)</f>
        <v>0.992354441928524</v>
      </c>
      <c r="R50" s="204" t="n">
        <f aca="false">Q50/R$1</f>
        <v>0.00763349570714249</v>
      </c>
      <c r="S50" s="204" t="n">
        <f aca="false">F50/S$1</f>
        <v>0.00727975311811253</v>
      </c>
      <c r="T50" s="204" t="n">
        <f aca="false">1-(G50/T$1)</f>
        <v>0.991823207199459</v>
      </c>
      <c r="U50" s="205" t="n">
        <f aca="false">T50/U$1</f>
        <v>0.00762940928614969</v>
      </c>
      <c r="V50" s="204" t="n">
        <f aca="false">H50/V$1</f>
        <v>0.00693054214724862</v>
      </c>
      <c r="W50" s="204" t="n">
        <f aca="false">I50/W$1</f>
        <v>0.00691471301870699</v>
      </c>
      <c r="X50" s="204" t="n">
        <f aca="false">J50/X$1</f>
        <v>0.005796615418131</v>
      </c>
      <c r="Y50" s="204" t="n">
        <f aca="false">1-(K50/Y$1)</f>
        <v>0.992473173704009</v>
      </c>
      <c r="Z50" s="205" t="n">
        <f aca="false">Y50/Z$1</f>
        <v>0.00763440902849238</v>
      </c>
      <c r="AA50" s="204" t="n">
        <f aca="false">L50/$AA$1</f>
        <v>0.00768688230410056</v>
      </c>
      <c r="AB50" s="204" t="n">
        <f aca="false">M50/AB$1</f>
        <v>0.00445599354584514</v>
      </c>
      <c r="AC50" s="204" t="n">
        <f aca="false">N50/AC$1</f>
        <v>0.00830636041024841</v>
      </c>
      <c r="AD50" s="204" t="n">
        <f aca="false">O50/AD$1</f>
        <v>0.00824799020491842</v>
      </c>
      <c r="AE50" s="209" t="n">
        <f aca="false">('Modelo AHP'!$U$37*aux!P50)+('Modelo AHP'!$U$38*aux!R50)+('Modelo AHP'!$U$39*aux!S50)</f>
        <v>0.00647661172462918</v>
      </c>
      <c r="AF50" s="210" t="n">
        <f aca="false">aux!U50</f>
        <v>0.00762940928614969</v>
      </c>
      <c r="AG50" s="209" t="n">
        <f aca="false">('Modelo AHP'!$U$47*aux!V50)+('Modelo AHP'!$U$48*aux!W50)+('Modelo AHP'!$U$49*aux!X50)</f>
        <v>0.00648427270661886</v>
      </c>
      <c r="AH50" s="210" t="n">
        <f aca="false">Z50</f>
        <v>0.00763440902849238</v>
      </c>
      <c r="AI50" s="209" t="n">
        <f aca="false">('Modelo AHP'!$U$56*aux!AA50)+('Modelo AHP'!$U$57*aux!AB50)+('Modelo AHP'!$U$58*aux!AC50)+('Modelo AHP'!$U$59*aux!AD50)</f>
        <v>0.00629597331263362</v>
      </c>
      <c r="AJ50" s="211" t="n">
        <f aca="false">('Modelo AHP'!$U$23*aux!AE50)+('Modelo AHP'!$U$24*aux!AF50)+('Modelo AHP'!$U$25*aux!AG50)+('Modelo AHP'!$U$26*aux!AH50)+('Modelo AHP'!$U$27*aux!AI50)</f>
        <v>0.00692124328028607</v>
      </c>
    </row>
    <row r="51" customFormat="false" ht="15" hidden="false" customHeight="false" outlineLevel="0" collapsed="false">
      <c r="A51" s="195" t="n">
        <f aca="false">_xlfn.RANK.EQ(AJ51,AJ$5:AJ$135)</f>
        <v>67</v>
      </c>
      <c r="B51" s="196" t="s">
        <v>174</v>
      </c>
      <c r="C51" s="197" t="s">
        <v>178</v>
      </c>
      <c r="D51" s="198" t="n">
        <v>0.0765609406864234</v>
      </c>
      <c r="E51" s="199" t="n">
        <v>83.61</v>
      </c>
      <c r="F51" s="198" t="n">
        <v>0.441606796371074</v>
      </c>
      <c r="G51" s="200" t="n">
        <v>33746.0138188456</v>
      </c>
      <c r="H51" s="201" t="n">
        <v>7.08</v>
      </c>
      <c r="I51" s="201" t="n">
        <v>9</v>
      </c>
      <c r="J51" s="198" t="n">
        <v>0.0361108345777335</v>
      </c>
      <c r="K51" s="202" t="n">
        <v>75022.46</v>
      </c>
      <c r="L51" s="198" t="n">
        <v>0.0503243906715764</v>
      </c>
      <c r="M51" s="203" t="n">
        <v>475</v>
      </c>
      <c r="N51" s="198" t="n">
        <v>0.0547364363496194</v>
      </c>
      <c r="O51" s="198" t="n">
        <v>0.0542040918163673</v>
      </c>
      <c r="P51" s="204" t="n">
        <f aca="false">D51/$P$1</f>
        <v>0.00700780791048306</v>
      </c>
      <c r="Q51" s="204" t="n">
        <f aca="false">1-(E51/Q$1)</f>
        <v>0.992310295797472</v>
      </c>
      <c r="R51" s="204" t="n">
        <f aca="false">Q51/R$1</f>
        <v>0.00763315612151902</v>
      </c>
      <c r="S51" s="204" t="n">
        <f aca="false">F51/S$1</f>
        <v>0.00905387284966652</v>
      </c>
      <c r="T51" s="204" t="n">
        <f aca="false">1-(G51/T$1)</f>
        <v>0.993936586738161</v>
      </c>
      <c r="U51" s="205" t="n">
        <f aca="false">T51/U$1</f>
        <v>0.00764566605183201</v>
      </c>
      <c r="V51" s="204" t="n">
        <f aca="false">H51/V$1</f>
        <v>0.00719475636400589</v>
      </c>
      <c r="W51" s="204" t="n">
        <f aca="false">I51/W$1</f>
        <v>0.00745298409201951</v>
      </c>
      <c r="X51" s="204" t="n">
        <f aca="false">J51/X$1</f>
        <v>0.005796615418131</v>
      </c>
      <c r="Y51" s="204" t="n">
        <f aca="false">1-(K51/Y$1)</f>
        <v>0.994360736215617</v>
      </c>
      <c r="Z51" s="205" t="n">
        <f aca="false">Y51/Z$1</f>
        <v>0.00764892874012013</v>
      </c>
      <c r="AA51" s="204" t="n">
        <f aca="false">L51/$AA$1</f>
        <v>0.00768688230410056</v>
      </c>
      <c r="AB51" s="204" t="n">
        <f aca="false">M51/AB$1</f>
        <v>0.00445599354584514</v>
      </c>
      <c r="AC51" s="204" t="n">
        <f aca="false">N51/AC$1</f>
        <v>0.00830636041024841</v>
      </c>
      <c r="AD51" s="204" t="n">
        <f aca="false">O51/AD$1</f>
        <v>0.00824799020491842</v>
      </c>
      <c r="AE51" s="209" t="n">
        <f aca="false">('Modelo AHP'!$U$37*aux!P51)+('Modelo AHP'!$U$38*aux!R51)+('Modelo AHP'!$U$39*aux!S51)</f>
        <v>0.00829798169509673</v>
      </c>
      <c r="AF51" s="210" t="n">
        <f aca="false">aux!U51</f>
        <v>0.00764566605183201</v>
      </c>
      <c r="AG51" s="209" t="n">
        <f aca="false">('Modelo AHP'!$U$47*aux!V51)+('Modelo AHP'!$U$48*aux!W51)+('Modelo AHP'!$U$49*aux!X51)</f>
        <v>0.00676766278407745</v>
      </c>
      <c r="AH51" s="210" t="n">
        <f aca="false">Z51</f>
        <v>0.00764892874012013</v>
      </c>
      <c r="AI51" s="209" t="n">
        <f aca="false">('Modelo AHP'!$U$56*aux!AA51)+('Modelo AHP'!$U$57*aux!AB51)+('Modelo AHP'!$U$58*aux!AC51)+('Modelo AHP'!$U$59*aux!AD51)</f>
        <v>0.00629597331263362</v>
      </c>
      <c r="AJ51" s="211" t="n">
        <f aca="false">('Modelo AHP'!$U$23*aux!AE51)+('Modelo AHP'!$U$24*aux!AF51)+('Modelo AHP'!$U$25*aux!AG51)+('Modelo AHP'!$U$26*aux!AH51)+('Modelo AHP'!$U$27*aux!AI51)</f>
        <v>0.00732838011336446</v>
      </c>
    </row>
    <row r="52" customFormat="false" ht="15" hidden="false" customHeight="false" outlineLevel="0" collapsed="false">
      <c r="A52" s="195" t="n">
        <f aca="false">_xlfn.RANK.EQ(AJ52,AJ$5:AJ$135)</f>
        <v>93</v>
      </c>
      <c r="B52" s="196" t="s">
        <v>174</v>
      </c>
      <c r="C52" s="197" t="s">
        <v>179</v>
      </c>
      <c r="D52" s="198" t="n">
        <v>0.0281798537726075</v>
      </c>
      <c r="E52" s="199" t="n">
        <v>84.4</v>
      </c>
      <c r="F52" s="198" t="n">
        <v>0.235289875973464</v>
      </c>
      <c r="G52" s="200" t="n">
        <v>58457.3752869185</v>
      </c>
      <c r="H52" s="201" t="n">
        <v>5.32</v>
      </c>
      <c r="I52" s="201" t="n">
        <v>6.62</v>
      </c>
      <c r="J52" s="198" t="n">
        <v>0.0361108345777335</v>
      </c>
      <c r="K52" s="202" t="n">
        <v>96815.18</v>
      </c>
      <c r="L52" s="198" t="n">
        <v>0.0503243906715764</v>
      </c>
      <c r="M52" s="203" t="n">
        <v>475</v>
      </c>
      <c r="N52" s="198" t="n">
        <v>0.0547364363496194</v>
      </c>
      <c r="O52" s="198" t="n">
        <v>0.0542040918163673</v>
      </c>
      <c r="P52" s="204" t="n">
        <f aca="false">D52/$P$1</f>
        <v>0.0025793701124019</v>
      </c>
      <c r="Q52" s="204" t="n">
        <f aca="false">1-(E52/Q$1)</f>
        <v>0.99223763862345</v>
      </c>
      <c r="R52" s="204" t="n">
        <f aca="false">Q52/R$1</f>
        <v>0.00763259722018039</v>
      </c>
      <c r="S52" s="204" t="n">
        <f aca="false">F52/S$1</f>
        <v>0.00482393984282686</v>
      </c>
      <c r="T52" s="204" t="n">
        <f aca="false">1-(G52/T$1)</f>
        <v>0.989496500935793</v>
      </c>
      <c r="U52" s="205" t="n">
        <f aca="false">T52/U$1</f>
        <v>0.00761151154565995</v>
      </c>
      <c r="V52" s="204" t="n">
        <f aca="false">H52/V$1</f>
        <v>0.00540622935826432</v>
      </c>
      <c r="W52" s="204" t="n">
        <f aca="false">I52/W$1</f>
        <v>0.00548208385435213</v>
      </c>
      <c r="X52" s="204" t="n">
        <f aca="false">J52/X$1</f>
        <v>0.005796615418131</v>
      </c>
      <c r="Y52" s="204" t="n">
        <f aca="false">1-(K52/Y$1)</f>
        <v>0.992722628152256</v>
      </c>
      <c r="Z52" s="205" t="n">
        <f aca="false">Y52/Z$1</f>
        <v>0.00763632790886351</v>
      </c>
      <c r="AA52" s="204" t="n">
        <f aca="false">L52/$AA$1</f>
        <v>0.00768688230410056</v>
      </c>
      <c r="AB52" s="204" t="n">
        <f aca="false">M52/AB$1</f>
        <v>0.00445599354584514</v>
      </c>
      <c r="AC52" s="204" t="n">
        <f aca="false">N52/AC$1</f>
        <v>0.00830636041024841</v>
      </c>
      <c r="AD52" s="204" t="n">
        <f aca="false">O52/AD$1</f>
        <v>0.00824799020491842</v>
      </c>
      <c r="AE52" s="209" t="n">
        <f aca="false">('Modelo AHP'!$U$37*aux!P52)+('Modelo AHP'!$U$38*aux!R52)+('Modelo AHP'!$U$39*aux!S52)</f>
        <v>0.00443143466143472</v>
      </c>
      <c r="AF52" s="210" t="n">
        <f aca="false">aux!U52</f>
        <v>0.00761151154565995</v>
      </c>
      <c r="AG52" s="209" t="n">
        <f aca="false">('Modelo AHP'!$U$47*aux!V52)+('Modelo AHP'!$U$48*aux!W52)+('Modelo AHP'!$U$49*aux!X52)</f>
        <v>0.00559108969321091</v>
      </c>
      <c r="AH52" s="210" t="n">
        <f aca="false">Z52</f>
        <v>0.00763632790886351</v>
      </c>
      <c r="AI52" s="209" t="n">
        <f aca="false">('Modelo AHP'!$U$56*aux!AA52)+('Modelo AHP'!$U$57*aux!AB52)+('Modelo AHP'!$U$58*aux!AC52)+('Modelo AHP'!$U$59*aux!AD52)</f>
        <v>0.00629597331263362</v>
      </c>
      <c r="AJ52" s="211" t="n">
        <f aca="false">('Modelo AHP'!$U$23*aux!AE52)+('Modelo AHP'!$U$24*aux!AF52)+('Modelo AHP'!$U$25*aux!AG52)+('Modelo AHP'!$U$26*aux!AH52)+('Modelo AHP'!$U$27*aux!AI52)</f>
        <v>0.00626908045879729</v>
      </c>
    </row>
    <row r="53" customFormat="false" ht="15" hidden="false" customHeight="false" outlineLevel="0" collapsed="false">
      <c r="A53" s="195" t="n">
        <f aca="false">_xlfn.RANK.EQ(AJ53,AJ$5:AJ$135)</f>
        <v>81</v>
      </c>
      <c r="B53" s="196" t="s">
        <v>174</v>
      </c>
      <c r="C53" s="197" t="s">
        <v>180</v>
      </c>
      <c r="D53" s="198" t="n">
        <v>0.07253676886069</v>
      </c>
      <c r="E53" s="199" t="n">
        <v>82.22</v>
      </c>
      <c r="F53" s="198" t="n">
        <v>0.305108286252354</v>
      </c>
      <c r="G53" s="200" t="n">
        <v>42537.2500960052</v>
      </c>
      <c r="H53" s="201" t="n">
        <v>6.6</v>
      </c>
      <c r="I53" s="201" t="n">
        <v>8.36</v>
      </c>
      <c r="J53" s="198" t="n">
        <v>0.0361108345777335</v>
      </c>
      <c r="K53" s="202" t="n">
        <v>84332.83</v>
      </c>
      <c r="L53" s="198" t="n">
        <v>0.0503243906715764</v>
      </c>
      <c r="M53" s="203" t="n">
        <v>475</v>
      </c>
      <c r="N53" s="198" t="n">
        <v>0.0547364363496194</v>
      </c>
      <c r="O53" s="198" t="n">
        <v>0.0542040918163673</v>
      </c>
      <c r="P53" s="204" t="n">
        <f aca="false">D53/$P$1</f>
        <v>0.00663946573886553</v>
      </c>
      <c r="Q53" s="204" t="n">
        <f aca="false">1-(E53/Q$1)</f>
        <v>0.992438135635309</v>
      </c>
      <c r="R53" s="204" t="n">
        <f aca="false">Q53/R$1</f>
        <v>0.00763413950488699</v>
      </c>
      <c r="S53" s="204" t="n">
        <f aca="false">F53/S$1</f>
        <v>0.00625536484449227</v>
      </c>
      <c r="T53" s="204" t="n">
        <f aca="false">1-(G53/T$1)</f>
        <v>0.992356995770261</v>
      </c>
      <c r="U53" s="205" t="n">
        <f aca="false">T53/U$1</f>
        <v>0.00763351535207893</v>
      </c>
      <c r="V53" s="204" t="n">
        <f aca="false">H53/V$1</f>
        <v>0.00670697627153092</v>
      </c>
      <c r="W53" s="204" t="n">
        <f aca="false">I53/W$1</f>
        <v>0.00692299411214257</v>
      </c>
      <c r="X53" s="204" t="n">
        <f aca="false">J53/X$1</f>
        <v>0.005796615418131</v>
      </c>
      <c r="Y53" s="204" t="n">
        <f aca="false">1-(K53/Y$1)</f>
        <v>0.993660897362556</v>
      </c>
      <c r="Z53" s="205" t="n">
        <f aca="false">Y53/Z$1</f>
        <v>0.00764354536432736</v>
      </c>
      <c r="AA53" s="204" t="n">
        <f aca="false">L53/$AA$1</f>
        <v>0.00768688230410056</v>
      </c>
      <c r="AB53" s="204" t="n">
        <f aca="false">M53/AB$1</f>
        <v>0.00445599354584514</v>
      </c>
      <c r="AC53" s="204" t="n">
        <f aca="false">N53/AC$1</f>
        <v>0.00830636041024841</v>
      </c>
      <c r="AD53" s="204" t="n">
        <f aca="false">O53/AD$1</f>
        <v>0.00824799020491842</v>
      </c>
      <c r="AE53" s="209" t="n">
        <f aca="false">('Modelo AHP'!$U$37*aux!P53)+('Modelo AHP'!$U$38*aux!R53)+('Modelo AHP'!$U$39*aux!S53)</f>
        <v>0.00650847257884372</v>
      </c>
      <c r="AF53" s="210" t="n">
        <f aca="false">aux!U53</f>
        <v>0.00763351535207893</v>
      </c>
      <c r="AG53" s="209" t="n">
        <f aca="false">('Modelo AHP'!$U$47*aux!V53)+('Modelo AHP'!$U$48*aux!W53)+('Modelo AHP'!$U$49*aux!X53)</f>
        <v>0.00645011746650161</v>
      </c>
      <c r="AH53" s="210" t="n">
        <f aca="false">Z53</f>
        <v>0.00764354536432736</v>
      </c>
      <c r="AI53" s="209" t="n">
        <f aca="false">('Modelo AHP'!$U$56*aux!AA53)+('Modelo AHP'!$U$57*aux!AB53)+('Modelo AHP'!$U$58*aux!AC53)+('Modelo AHP'!$U$59*aux!AD53)</f>
        <v>0.00629597331263362</v>
      </c>
      <c r="AJ53" s="211" t="n">
        <f aca="false">('Modelo AHP'!$U$23*aux!AE53)+('Modelo AHP'!$U$24*aux!AF53)+('Modelo AHP'!$U$25*aux!AG53)+('Modelo AHP'!$U$26*aux!AH53)+('Modelo AHP'!$U$27*aux!AI53)</f>
        <v>0.00691689995861003</v>
      </c>
    </row>
    <row r="54" customFormat="false" ht="15" hidden="false" customHeight="false" outlineLevel="0" collapsed="false">
      <c r="A54" s="195" t="n">
        <f aca="false">_xlfn.RANK.EQ(AJ54,AJ$5:AJ$135)</f>
        <v>111</v>
      </c>
      <c r="B54" s="196" t="s">
        <v>174</v>
      </c>
      <c r="C54" s="197" t="s">
        <v>181</v>
      </c>
      <c r="D54" s="198" t="n">
        <v>0.0204317175120095</v>
      </c>
      <c r="E54" s="199" t="n">
        <v>82.79</v>
      </c>
      <c r="F54" s="198" t="n">
        <v>0.156315519731631</v>
      </c>
      <c r="G54" s="200" t="n">
        <v>78328.1005562156</v>
      </c>
      <c r="H54" s="201" t="n">
        <v>4.14</v>
      </c>
      <c r="I54" s="201" t="n">
        <v>5.62</v>
      </c>
      <c r="J54" s="198" t="n">
        <v>0.0361108345777335</v>
      </c>
      <c r="K54" s="202" t="n">
        <v>137514.56</v>
      </c>
      <c r="L54" s="198" t="n">
        <v>0.0503243906715764</v>
      </c>
      <c r="M54" s="203" t="n">
        <v>475</v>
      </c>
      <c r="N54" s="198" t="n">
        <v>0.0547364363496194</v>
      </c>
      <c r="O54" s="198" t="n">
        <v>0.0542040918163673</v>
      </c>
      <c r="P54" s="204" t="n">
        <f aca="false">D54/$P$1</f>
        <v>0.001870164477104</v>
      </c>
      <c r="Q54" s="204" t="n">
        <f aca="false">1-(E54/Q$1)</f>
        <v>0.992385712104685</v>
      </c>
      <c r="R54" s="204" t="n">
        <f aca="false">Q54/R$1</f>
        <v>0.00763373624695912</v>
      </c>
      <c r="S54" s="204" t="n">
        <f aca="false">F54/S$1</f>
        <v>0.0032047985939295</v>
      </c>
      <c r="T54" s="204" t="n">
        <f aca="false">1-(G54/T$1)</f>
        <v>0.985926170532712</v>
      </c>
      <c r="U54" s="205" t="n">
        <f aca="false">T54/U$1</f>
        <v>0.00758404746563625</v>
      </c>
      <c r="V54" s="204" t="n">
        <f aca="false">H54/V$1</f>
        <v>0.00420710329759667</v>
      </c>
      <c r="W54" s="204" t="n">
        <f aca="false">I54/W$1</f>
        <v>0.00465397451079441</v>
      </c>
      <c r="X54" s="204" t="n">
        <f aca="false">J54/X$1</f>
        <v>0.005796615418131</v>
      </c>
      <c r="Y54" s="204" t="n">
        <f aca="false">1-(K54/Y$1)</f>
        <v>0.989663350441543</v>
      </c>
      <c r="Z54" s="205" t="n">
        <f aca="false">Y54/Z$1</f>
        <v>0.00761279500339649</v>
      </c>
      <c r="AA54" s="204" t="n">
        <f aca="false">L54/$AA$1</f>
        <v>0.00768688230410056</v>
      </c>
      <c r="AB54" s="204" t="n">
        <f aca="false">M54/AB$1</f>
        <v>0.00445599354584514</v>
      </c>
      <c r="AC54" s="204" t="n">
        <f aca="false">N54/AC$1</f>
        <v>0.00830636041024841</v>
      </c>
      <c r="AD54" s="204" t="n">
        <f aca="false">O54/AD$1</f>
        <v>0.00824799020491842</v>
      </c>
      <c r="AE54" s="209" t="n">
        <f aca="false">('Modelo AHP'!$U$37*aux!P54)+('Modelo AHP'!$U$38*aux!R54)+('Modelo AHP'!$U$39*aux!S54)</f>
        <v>0.00324730212418481</v>
      </c>
      <c r="AF54" s="210" t="n">
        <f aca="false">aux!U54</f>
        <v>0.00758404746563625</v>
      </c>
      <c r="AG54" s="209" t="n">
        <f aca="false">('Modelo AHP'!$U$47*aux!V54)+('Modelo AHP'!$U$48*aux!W54)+('Modelo AHP'!$U$49*aux!X54)</f>
        <v>0.00502098992195852</v>
      </c>
      <c r="AH54" s="210" t="n">
        <f aca="false">Z54</f>
        <v>0.00761279500339649</v>
      </c>
      <c r="AI54" s="209" t="n">
        <f aca="false">('Modelo AHP'!$U$56*aux!AA54)+('Modelo AHP'!$U$57*aux!AB54)+('Modelo AHP'!$U$58*aux!AC54)+('Modelo AHP'!$U$59*aux!AD54)</f>
        <v>0.00629597331263362</v>
      </c>
      <c r="AJ54" s="211" t="n">
        <f aca="false">('Modelo AHP'!$U$23*aux!AE54)+('Modelo AHP'!$U$24*aux!AF54)+('Modelo AHP'!$U$25*aux!AG54)+('Modelo AHP'!$U$26*aux!AH54)+('Modelo AHP'!$U$27*aux!AI54)</f>
        <v>0.00586601983633187</v>
      </c>
    </row>
    <row r="55" customFormat="false" ht="15" hidden="false" customHeight="false" outlineLevel="0" collapsed="false">
      <c r="A55" s="195" t="n">
        <f aca="false">_xlfn.RANK.EQ(AJ55,AJ$5:AJ$135)</f>
        <v>114</v>
      </c>
      <c r="B55" s="196" t="s">
        <v>174</v>
      </c>
      <c r="C55" s="197" t="s">
        <v>182</v>
      </c>
      <c r="D55" s="198" t="n">
        <v>0.0212813370473538</v>
      </c>
      <c r="E55" s="199" t="n">
        <v>88.66</v>
      </c>
      <c r="F55" s="198" t="n">
        <v>0.15826750204304</v>
      </c>
      <c r="G55" s="200" t="n">
        <v>57441.3442330211</v>
      </c>
      <c r="H55" s="201" t="n">
        <v>3.73</v>
      </c>
      <c r="I55" s="201" t="n">
        <v>5.3</v>
      </c>
      <c r="J55" s="198" t="n">
        <v>0.0361108345777335</v>
      </c>
      <c r="K55" s="202" t="n">
        <v>81519.53</v>
      </c>
      <c r="L55" s="198" t="n">
        <v>0.0503243906715764</v>
      </c>
      <c r="M55" s="203" t="n">
        <v>475</v>
      </c>
      <c r="N55" s="198" t="n">
        <v>0.0547364363496194</v>
      </c>
      <c r="O55" s="198" t="n">
        <v>0.0542040918163673</v>
      </c>
      <c r="P55" s="204" t="n">
        <f aca="false">D55/$P$1</f>
        <v>0.00194793220627902</v>
      </c>
      <c r="Q55" s="204" t="n">
        <f aca="false">1-(E55/Q$1)</f>
        <v>0.991845841710368</v>
      </c>
      <c r="R55" s="204" t="n">
        <f aca="false">Q55/R$1</f>
        <v>0.00762958339777207</v>
      </c>
      <c r="S55" s="204" t="n">
        <f aca="false">F55/S$1</f>
        <v>0.00324481835765941</v>
      </c>
      <c r="T55" s="204" t="n">
        <f aca="false">1-(G55/T$1)</f>
        <v>0.989679059272896</v>
      </c>
      <c r="U55" s="205" t="n">
        <f aca="false">T55/U$1</f>
        <v>0.00761291584056074</v>
      </c>
      <c r="V55" s="204" t="n">
        <f aca="false">H55/V$1</f>
        <v>0.00379045780194096</v>
      </c>
      <c r="W55" s="204" t="n">
        <f aca="false">I55/W$1</f>
        <v>0.00438897952085593</v>
      </c>
      <c r="X55" s="204" t="n">
        <f aca="false">J55/X$1</f>
        <v>0.005796615418131</v>
      </c>
      <c r="Y55" s="204" t="n">
        <f aca="false">1-(K55/Y$1)</f>
        <v>0.993872366578636</v>
      </c>
      <c r="Z55" s="205" t="n">
        <f aca="false">Y55/Z$1</f>
        <v>0.0076451720506049</v>
      </c>
      <c r="AA55" s="204" t="n">
        <f aca="false">L55/$AA$1</f>
        <v>0.00768688230410056</v>
      </c>
      <c r="AB55" s="204" t="n">
        <f aca="false">M55/AB$1</f>
        <v>0.00445599354584514</v>
      </c>
      <c r="AC55" s="204" t="n">
        <f aca="false">N55/AC$1</f>
        <v>0.00830636041024841</v>
      </c>
      <c r="AD55" s="204" t="n">
        <f aca="false">O55/AD$1</f>
        <v>0.00824799020491842</v>
      </c>
      <c r="AE55" s="209" t="n">
        <f aca="false">('Modelo AHP'!$U$37*aux!P55)+('Modelo AHP'!$U$38*aux!R55)+('Modelo AHP'!$U$39*aux!S55)</f>
        <v>0.00329422901625656</v>
      </c>
      <c r="AF55" s="210" t="n">
        <f aca="false">aux!U55</f>
        <v>0.00761291584056074</v>
      </c>
      <c r="AG55" s="209" t="n">
        <f aca="false">('Modelo AHP'!$U$47*aux!V55)+('Modelo AHP'!$U$48*aux!W55)+('Modelo AHP'!$U$49*aux!X55)</f>
        <v>0.00483298706286404</v>
      </c>
      <c r="AH55" s="210" t="n">
        <f aca="false">Z55</f>
        <v>0.0076451720506049</v>
      </c>
      <c r="AI55" s="209" t="n">
        <f aca="false">('Modelo AHP'!$U$56*aux!AA55)+('Modelo AHP'!$U$57*aux!AB55)+('Modelo AHP'!$U$58*aux!AC55)+('Modelo AHP'!$U$59*aux!AD55)</f>
        <v>0.00629597331263362</v>
      </c>
      <c r="AJ55" s="211" t="n">
        <f aca="false">('Modelo AHP'!$U$23*aux!AE55)+('Modelo AHP'!$U$24*aux!AF55)+('Modelo AHP'!$U$25*aux!AG55)+('Modelo AHP'!$U$26*aux!AH55)+('Modelo AHP'!$U$27*aux!AI55)</f>
        <v>0.00582135248947693</v>
      </c>
    </row>
    <row r="56" customFormat="false" ht="15" hidden="false" customHeight="false" outlineLevel="0" collapsed="false">
      <c r="A56" s="195" t="n">
        <f aca="false">_xlfn.RANK.EQ(AJ56,AJ$5:AJ$135)</f>
        <v>87</v>
      </c>
      <c r="B56" s="196" t="s">
        <v>183</v>
      </c>
      <c r="C56" s="197" t="s">
        <v>184</v>
      </c>
      <c r="D56" s="198" t="n">
        <v>0.0427131782945736</v>
      </c>
      <c r="E56" s="199" t="n">
        <v>82.74</v>
      </c>
      <c r="F56" s="198" t="n">
        <v>0.283583507505225</v>
      </c>
      <c r="G56" s="200" t="n">
        <v>41436.0838529902</v>
      </c>
      <c r="H56" s="201" t="n">
        <v>7.57</v>
      </c>
      <c r="I56" s="201" t="n">
        <v>9.53</v>
      </c>
      <c r="J56" s="198" t="n">
        <v>0.032221233886064</v>
      </c>
      <c r="K56" s="202" t="n">
        <v>98568.69</v>
      </c>
      <c r="L56" s="198" t="n">
        <v>0.0245484832544275</v>
      </c>
      <c r="M56" s="203" t="n">
        <v>242</v>
      </c>
      <c r="N56" s="198" t="n">
        <v>0.0247663101088947</v>
      </c>
      <c r="O56" s="198" t="n">
        <v>0.0238585329341317</v>
      </c>
      <c r="P56" s="204" t="n">
        <f aca="false">D56/$P$1</f>
        <v>0.00390964042566507</v>
      </c>
      <c r="Q56" s="204" t="n">
        <f aca="false">1-(E56/Q$1)</f>
        <v>0.992390310660003</v>
      </c>
      <c r="R56" s="204" t="n">
        <f aca="false">Q56/R$1</f>
        <v>0.00763377162046157</v>
      </c>
      <c r="S56" s="204" t="n">
        <f aca="false">F56/S$1</f>
        <v>0.00581406137838811</v>
      </c>
      <c r="T56" s="204" t="n">
        <f aca="false">1-(G56/T$1)</f>
        <v>0.992554851020283</v>
      </c>
      <c r="U56" s="205" t="n">
        <f aca="false">T56/U$1</f>
        <v>0.00763503731554064</v>
      </c>
      <c r="V56" s="204" t="n">
        <f aca="false">H56/V$1</f>
        <v>0.00769269854174076</v>
      </c>
      <c r="W56" s="204" t="n">
        <f aca="false">I56/W$1</f>
        <v>0.0078918820441051</v>
      </c>
      <c r="X56" s="204" t="n">
        <f aca="false">J56/X$1</f>
        <v>0.00517224548585569</v>
      </c>
      <c r="Y56" s="204" t="n">
        <f aca="false">1-(K56/Y$1)</f>
        <v>0.992590820884958</v>
      </c>
      <c r="Z56" s="205" t="n">
        <f aca="false">Y56/Z$1</f>
        <v>0.00763531400680737</v>
      </c>
      <c r="AA56" s="204" t="n">
        <f aca="false">L56/$AA$1</f>
        <v>0.0037496986849271</v>
      </c>
      <c r="AB56" s="204" t="n">
        <f aca="false">M56/AB$1</f>
        <v>0.00227021144862005</v>
      </c>
      <c r="AC56" s="204" t="n">
        <f aca="false">N56/AC$1</f>
        <v>0.00375833560815817</v>
      </c>
      <c r="AD56" s="204" t="n">
        <f aca="false">O56/AD$1</f>
        <v>0.00363044448030069</v>
      </c>
      <c r="AE56" s="209" t="n">
        <f aca="false">('Modelo AHP'!$U$37*aux!P56)+('Modelo AHP'!$U$38*aux!R56)+('Modelo AHP'!$U$39*aux!S56)</f>
        <v>0.00542470611677854</v>
      </c>
      <c r="AF56" s="210" t="n">
        <f aca="false">aux!U56</f>
        <v>0.00763503731554064</v>
      </c>
      <c r="AG56" s="209" t="n">
        <f aca="false">('Modelo AHP'!$U$47*aux!V56)+('Modelo AHP'!$U$48*aux!W56)+('Modelo AHP'!$U$49*aux!X56)</f>
        <v>0.00680467185570657</v>
      </c>
      <c r="AH56" s="210" t="n">
        <f aca="false">Z56</f>
        <v>0.00763531400680737</v>
      </c>
      <c r="AI56" s="209" t="n">
        <f aca="false">('Modelo AHP'!$U$56*aux!AA56)+('Modelo AHP'!$U$57*aux!AB56)+('Modelo AHP'!$U$58*aux!AC56)+('Modelo AHP'!$U$59*aux!AD56)</f>
        <v>0.00300615430998652</v>
      </c>
      <c r="AJ56" s="211" t="n">
        <f aca="false">('Modelo AHP'!$U$23*aux!AE56)+('Modelo AHP'!$U$24*aux!AF56)+('Modelo AHP'!$U$25*aux!AG56)+('Modelo AHP'!$U$26*aux!AH56)+('Modelo AHP'!$U$27*aux!AI56)</f>
        <v>0.00654907979568292</v>
      </c>
    </row>
    <row r="57" customFormat="false" ht="15" hidden="false" customHeight="false" outlineLevel="0" collapsed="false">
      <c r="A57" s="195" t="n">
        <f aca="false">_xlfn.RANK.EQ(AJ57,AJ$5:AJ$135)</f>
        <v>101</v>
      </c>
      <c r="B57" s="196" t="s">
        <v>183</v>
      </c>
      <c r="C57" s="197" t="s">
        <v>185</v>
      </c>
      <c r="D57" s="198" t="n">
        <v>0.067189063021007</v>
      </c>
      <c r="E57" s="199" t="n">
        <v>82.88</v>
      </c>
      <c r="F57" s="198" t="n">
        <v>0.207941908292287</v>
      </c>
      <c r="G57" s="200" t="n">
        <v>53460.6435623358</v>
      </c>
      <c r="H57" s="201" t="n">
        <v>5.81</v>
      </c>
      <c r="I57" s="201" t="n">
        <v>7.51</v>
      </c>
      <c r="J57" s="198" t="n">
        <v>0.032221233886064</v>
      </c>
      <c r="K57" s="202" t="n">
        <v>202053.54</v>
      </c>
      <c r="L57" s="198" t="n">
        <v>0.0245484832544275</v>
      </c>
      <c r="M57" s="203" t="n">
        <v>242</v>
      </c>
      <c r="N57" s="198" t="n">
        <v>0.0247663101088947</v>
      </c>
      <c r="O57" s="198" t="n">
        <v>0.0238585329341317</v>
      </c>
      <c r="P57" s="204" t="n">
        <f aca="false">D57/$P$1</f>
        <v>0.00614997730063227</v>
      </c>
      <c r="Q57" s="204" t="n">
        <f aca="false">1-(E57/Q$1)</f>
        <v>0.992377434705113</v>
      </c>
      <c r="R57" s="204" t="n">
        <f aca="false">Q57/R$1</f>
        <v>0.00763367257465472</v>
      </c>
      <c r="S57" s="204" t="n">
        <f aca="false">F57/S$1</f>
        <v>0.00426324869378459</v>
      </c>
      <c r="T57" s="204" t="n">
        <f aca="false">1-(G57/T$1)</f>
        <v>0.990394303253048</v>
      </c>
      <c r="U57" s="205" t="n">
        <f aca="false">T57/U$1</f>
        <v>0.00761841771733114</v>
      </c>
      <c r="V57" s="204" t="n">
        <f aca="false">H57/V$1</f>
        <v>0.00590417153599919</v>
      </c>
      <c r="W57" s="204" t="n">
        <f aca="false">I57/W$1</f>
        <v>0.0062191011701185</v>
      </c>
      <c r="X57" s="204" t="n">
        <f aca="false">J57/X$1</f>
        <v>0.00517224548585569</v>
      </c>
      <c r="Y57" s="204" t="n">
        <f aca="false">1-(K57/Y$1)</f>
        <v>0.984812105459774</v>
      </c>
      <c r="Z57" s="205" t="n">
        <f aca="false">Y57/Z$1</f>
        <v>0.00757547773430595</v>
      </c>
      <c r="AA57" s="204" t="n">
        <f aca="false">L57/$AA$1</f>
        <v>0.0037496986849271</v>
      </c>
      <c r="AB57" s="204" t="n">
        <f aca="false">M57/AB$1</f>
        <v>0.00227021144862005</v>
      </c>
      <c r="AC57" s="204" t="n">
        <f aca="false">N57/AC$1</f>
        <v>0.00375833560815817</v>
      </c>
      <c r="AD57" s="204" t="n">
        <f aca="false">O57/AD$1</f>
        <v>0.00363044448030069</v>
      </c>
      <c r="AE57" s="209" t="n">
        <f aca="false">('Modelo AHP'!$U$37*aux!P57)+('Modelo AHP'!$U$38*aux!R57)+('Modelo AHP'!$U$39*aux!S57)</f>
        <v>0.00516630966392591</v>
      </c>
      <c r="AF57" s="210" t="n">
        <f aca="false">aux!U57</f>
        <v>0.00761841771733114</v>
      </c>
      <c r="AG57" s="209" t="n">
        <f aca="false">('Modelo AHP'!$U$47*aux!V57)+('Modelo AHP'!$U$48*aux!W57)+('Modelo AHP'!$U$49*aux!X57)</f>
        <v>0.00576029357019543</v>
      </c>
      <c r="AH57" s="210" t="n">
        <f aca="false">Z57</f>
        <v>0.00757547773430595</v>
      </c>
      <c r="AI57" s="209" t="n">
        <f aca="false">('Modelo AHP'!$U$56*aux!AA57)+('Modelo AHP'!$U$57*aux!AB57)+('Modelo AHP'!$U$58*aux!AC57)+('Modelo AHP'!$U$59*aux!AD57)</f>
        <v>0.00300615430998652</v>
      </c>
      <c r="AJ57" s="211" t="n">
        <f aca="false">('Modelo AHP'!$U$23*aux!AE57)+('Modelo AHP'!$U$24*aux!AF57)+('Modelo AHP'!$U$25*aux!AG57)+('Modelo AHP'!$U$26*aux!AH57)+('Modelo AHP'!$U$27*aux!AI57)</f>
        <v>0.00613920780293503</v>
      </c>
    </row>
    <row r="58" customFormat="false" ht="15" hidden="false" customHeight="false" outlineLevel="0" collapsed="false">
      <c r="A58" s="195" t="n">
        <f aca="false">_xlfn.RANK.EQ(AJ58,AJ$5:AJ$135)</f>
        <v>110</v>
      </c>
      <c r="B58" s="196" t="s">
        <v>183</v>
      </c>
      <c r="C58" s="197" t="s">
        <v>186</v>
      </c>
      <c r="D58" s="198" t="n">
        <v>0.0632415978132571</v>
      </c>
      <c r="E58" s="199" t="n">
        <v>83.16</v>
      </c>
      <c r="F58" s="198" t="n">
        <v>0.183474508550424</v>
      </c>
      <c r="G58" s="200" t="n">
        <v>67390.492096167</v>
      </c>
      <c r="H58" s="201" t="n">
        <v>4.86</v>
      </c>
      <c r="I58" s="201" t="n">
        <v>6.66</v>
      </c>
      <c r="J58" s="198" t="n">
        <v>0.032221233886064</v>
      </c>
      <c r="K58" s="202" t="n">
        <v>154344.74</v>
      </c>
      <c r="L58" s="198" t="n">
        <v>0.0245484832544275</v>
      </c>
      <c r="M58" s="203" t="n">
        <v>242</v>
      </c>
      <c r="N58" s="198" t="n">
        <v>0.0247663101088947</v>
      </c>
      <c r="O58" s="198" t="n">
        <v>0.0238585329341317</v>
      </c>
      <c r="P58" s="204" t="n">
        <f aca="false">D58/$P$1</f>
        <v>0.00578865627112026</v>
      </c>
      <c r="Q58" s="204" t="n">
        <f aca="false">1-(E58/Q$1)</f>
        <v>0.992351682795333</v>
      </c>
      <c r="R58" s="204" t="n">
        <f aca="false">Q58/R$1</f>
        <v>0.00763347448304103</v>
      </c>
      <c r="S58" s="204" t="n">
        <f aca="false">F58/S$1</f>
        <v>0.00376161527680555</v>
      </c>
      <c r="T58" s="204" t="n">
        <f aca="false">1-(G58/T$1)</f>
        <v>0.987891417170299</v>
      </c>
      <c r="U58" s="205" t="n">
        <f aca="false">T58/U$1</f>
        <v>0.00759916474746384</v>
      </c>
      <c r="V58" s="204" t="n">
        <f aca="false">H58/V$1</f>
        <v>0.00493877343630913</v>
      </c>
      <c r="W58" s="204" t="n">
        <f aca="false">I58/W$1</f>
        <v>0.00551520822809444</v>
      </c>
      <c r="X58" s="204" t="n">
        <f aca="false">J58/X$1</f>
        <v>0.00517224548585569</v>
      </c>
      <c r="Y58" s="204" t="n">
        <f aca="false">1-(K58/Y$1)</f>
        <v>0.988398264965026</v>
      </c>
      <c r="Z58" s="205" t="n">
        <f aca="false">Y58/Z$1</f>
        <v>0.00760306357665404</v>
      </c>
      <c r="AA58" s="204" t="n">
        <f aca="false">L58/$AA$1</f>
        <v>0.0037496986849271</v>
      </c>
      <c r="AB58" s="204" t="n">
        <f aca="false">M58/AB$1</f>
        <v>0.00227021144862005</v>
      </c>
      <c r="AC58" s="204" t="n">
        <f aca="false">N58/AC$1</f>
        <v>0.00375833560815817</v>
      </c>
      <c r="AD58" s="204" t="n">
        <f aca="false">O58/AD$1</f>
        <v>0.00363044448030069</v>
      </c>
      <c r="AE58" s="209" t="n">
        <f aca="false">('Modelo AHP'!$U$37*aux!P58)+('Modelo AHP'!$U$38*aux!R58)+('Modelo AHP'!$U$39*aux!S58)</f>
        <v>0.00475691349572351</v>
      </c>
      <c r="AF58" s="210" t="n">
        <f aca="false">aux!U58</f>
        <v>0.00759916474746384</v>
      </c>
      <c r="AG58" s="209" t="n">
        <f aca="false">('Modelo AHP'!$U$47*aux!V58)+('Modelo AHP'!$U$48*aux!W58)+('Modelo AHP'!$U$49*aux!X58)</f>
        <v>0.00528482170943236</v>
      </c>
      <c r="AH58" s="210" t="n">
        <f aca="false">Z58</f>
        <v>0.00760306357665404</v>
      </c>
      <c r="AI58" s="209" t="n">
        <f aca="false">('Modelo AHP'!$U$56*aux!AA58)+('Modelo AHP'!$U$57*aux!AB58)+('Modelo AHP'!$U$58*aux!AC58)+('Modelo AHP'!$U$59*aux!AD58)</f>
        <v>0.00300615430998652</v>
      </c>
      <c r="AJ58" s="211" t="n">
        <f aca="false">('Modelo AHP'!$U$23*aux!AE58)+('Modelo AHP'!$U$24*aux!AF58)+('Modelo AHP'!$U$25*aux!AG58)+('Modelo AHP'!$U$26*aux!AH58)+('Modelo AHP'!$U$27*aux!AI58)</f>
        <v>0.0059042665276143</v>
      </c>
    </row>
    <row r="59" customFormat="false" ht="15" hidden="false" customHeight="false" outlineLevel="0" collapsed="false">
      <c r="A59" s="195" t="n">
        <f aca="false">_xlfn.RANK.EQ(AJ59,AJ$5:AJ$135)</f>
        <v>82</v>
      </c>
      <c r="B59" s="196" t="s">
        <v>183</v>
      </c>
      <c r="C59" s="197" t="s">
        <v>187</v>
      </c>
      <c r="D59" s="198" t="n">
        <v>0.0772996124821538</v>
      </c>
      <c r="E59" s="199" t="n">
        <v>83.7</v>
      </c>
      <c r="F59" s="198" t="n">
        <v>0.400120518228382</v>
      </c>
      <c r="G59" s="200" t="n">
        <v>34996.9307976869</v>
      </c>
      <c r="H59" s="201" t="n">
        <v>7.36</v>
      </c>
      <c r="I59" s="201" t="n">
        <v>8.85</v>
      </c>
      <c r="J59" s="198" t="n">
        <v>0.032221233886064</v>
      </c>
      <c r="K59" s="202" t="n">
        <v>81625.61</v>
      </c>
      <c r="L59" s="198" t="n">
        <v>0.0245484832544275</v>
      </c>
      <c r="M59" s="203" t="n">
        <v>242</v>
      </c>
      <c r="N59" s="198" t="n">
        <v>0.0247663101088947</v>
      </c>
      <c r="O59" s="198" t="n">
        <v>0.0238585329341317</v>
      </c>
      <c r="P59" s="204" t="n">
        <f aca="false">D59/$P$1</f>
        <v>0.00707542032494609</v>
      </c>
      <c r="Q59" s="204" t="n">
        <f aca="false">1-(E59/Q$1)</f>
        <v>0.9923020183979</v>
      </c>
      <c r="R59" s="204" t="n">
        <f aca="false">Q59/R$1</f>
        <v>0.00763309244921462</v>
      </c>
      <c r="S59" s="204" t="n">
        <f aca="false">F59/S$1</f>
        <v>0.00820331644882207</v>
      </c>
      <c r="T59" s="204" t="n">
        <f aca="false">1-(G59/T$1)</f>
        <v>0.99371182458878</v>
      </c>
      <c r="U59" s="205" t="n">
        <f aca="false">T59/U$1</f>
        <v>0.00764393711222139</v>
      </c>
      <c r="V59" s="204" t="n">
        <f aca="false">H59/V$1</f>
        <v>0.00747929475128296</v>
      </c>
      <c r="W59" s="204" t="n">
        <f aca="false">I59/W$1</f>
        <v>0.00732876769048585</v>
      </c>
      <c r="X59" s="204" t="n">
        <f aca="false">J59/X$1</f>
        <v>0.00517224548585569</v>
      </c>
      <c r="Y59" s="204" t="n">
        <f aca="false">1-(K59/Y$1)</f>
        <v>0.993864392791823</v>
      </c>
      <c r="Z59" s="205" t="n">
        <f aca="false">Y59/Z$1</f>
        <v>0.00764511071378326</v>
      </c>
      <c r="AA59" s="204" t="n">
        <f aca="false">L59/$AA$1</f>
        <v>0.0037496986849271</v>
      </c>
      <c r="AB59" s="204" t="n">
        <f aca="false">M59/AB$1</f>
        <v>0.00227021144862005</v>
      </c>
      <c r="AC59" s="204" t="n">
        <f aca="false">N59/AC$1</f>
        <v>0.00375833560815817</v>
      </c>
      <c r="AD59" s="204" t="n">
        <f aca="false">O59/AD$1</f>
        <v>0.00363044448030069</v>
      </c>
      <c r="AE59" s="209" t="n">
        <f aca="false">('Modelo AHP'!$U$37*aux!P59)+('Modelo AHP'!$U$38*aux!R59)+('Modelo AHP'!$U$39*aux!S59)</f>
        <v>0.00780792521169853</v>
      </c>
      <c r="AF59" s="210" t="n">
        <f aca="false">aux!U59</f>
        <v>0.00764393711222139</v>
      </c>
      <c r="AG59" s="209" t="n">
        <f aca="false">('Modelo AHP'!$U$47*aux!V59)+('Modelo AHP'!$U$48*aux!W59)+('Modelo AHP'!$U$49*aux!X59)</f>
        <v>0.00651886266220559</v>
      </c>
      <c r="AH59" s="210" t="n">
        <f aca="false">Z59</f>
        <v>0.00764511071378326</v>
      </c>
      <c r="AI59" s="209" t="n">
        <f aca="false">('Modelo AHP'!$U$56*aux!AA59)+('Modelo AHP'!$U$57*aux!AB59)+('Modelo AHP'!$U$58*aux!AC59)+('Modelo AHP'!$U$59*aux!AD59)</f>
        <v>0.00300615430998652</v>
      </c>
      <c r="AJ59" s="211" t="n">
        <f aca="false">('Modelo AHP'!$U$23*aux!AE59)+('Modelo AHP'!$U$24*aux!AF59)+('Modelo AHP'!$U$25*aux!AG59)+('Modelo AHP'!$U$26*aux!AH59)+('Modelo AHP'!$U$27*aux!AI59)</f>
        <v>0.00685274232015517</v>
      </c>
    </row>
    <row r="60" customFormat="false" ht="15" hidden="false" customHeight="false" outlineLevel="0" collapsed="false">
      <c r="A60" s="195" t="n">
        <f aca="false">_xlfn.RANK.EQ(AJ60,AJ$5:AJ$135)</f>
        <v>127</v>
      </c>
      <c r="B60" s="196" t="s">
        <v>183</v>
      </c>
      <c r="C60" s="197" t="s">
        <v>188</v>
      </c>
      <c r="D60" s="198" t="n">
        <v>0.0579268292682927</v>
      </c>
      <c r="E60" s="199" t="n">
        <v>81.2</v>
      </c>
      <c r="F60" s="198" t="n">
        <v>0.146023147008126</v>
      </c>
      <c r="G60" s="200" t="n">
        <v>112320.748093875</v>
      </c>
      <c r="H60" s="201" t="n">
        <v>3.4</v>
      </c>
      <c r="I60" s="201" t="n">
        <v>4.38</v>
      </c>
      <c r="J60" s="198" t="n">
        <v>0.032221233886064</v>
      </c>
      <c r="K60" s="202" t="n">
        <v>200754.89</v>
      </c>
      <c r="L60" s="198" t="n">
        <v>0.0245484832544275</v>
      </c>
      <c r="M60" s="203" t="n">
        <v>242</v>
      </c>
      <c r="N60" s="198" t="n">
        <v>0.0247663101088947</v>
      </c>
      <c r="O60" s="198" t="n">
        <v>0.0238585329341317</v>
      </c>
      <c r="P60" s="204" t="n">
        <f aca="false">D60/$P$1</f>
        <v>0.00530218266306553</v>
      </c>
      <c r="Q60" s="204" t="n">
        <f aca="false">1-(E60/Q$1)</f>
        <v>0.992531946163793</v>
      </c>
      <c r="R60" s="204" t="n">
        <f aca="false">Q60/R$1</f>
        <v>0.00763486112433687</v>
      </c>
      <c r="S60" s="204" t="n">
        <f aca="false">F60/S$1</f>
        <v>0.00299378319578402</v>
      </c>
      <c r="T60" s="204" t="n">
        <f aca="false">1-(G60/T$1)</f>
        <v>0.979818442639536</v>
      </c>
      <c r="U60" s="205" t="n">
        <f aca="false">T60/U$1</f>
        <v>0.00753706494338105</v>
      </c>
      <c r="V60" s="204" t="n">
        <f aca="false">H60/V$1</f>
        <v>0.00345510898836441</v>
      </c>
      <c r="W60" s="204" t="n">
        <f aca="false">I60/W$1</f>
        <v>0.00362711892478283</v>
      </c>
      <c r="X60" s="204" t="n">
        <f aca="false">J60/X$1</f>
        <v>0.00517224548585569</v>
      </c>
      <c r="Y60" s="204" t="n">
        <f aca="false">1-(K60/Y$1)</f>
        <v>0.984909721959067</v>
      </c>
      <c r="Z60" s="205" t="n">
        <f aca="false">Y60/Z$1</f>
        <v>0.00757622863045437</v>
      </c>
      <c r="AA60" s="204" t="n">
        <f aca="false">L60/$AA$1</f>
        <v>0.0037496986849271</v>
      </c>
      <c r="AB60" s="204" t="n">
        <f aca="false">M60/AB$1</f>
        <v>0.00227021144862005</v>
      </c>
      <c r="AC60" s="204" t="n">
        <f aca="false">N60/AC$1</f>
        <v>0.00375833560815817</v>
      </c>
      <c r="AD60" s="204" t="n">
        <f aca="false">O60/AD$1</f>
        <v>0.00363044448030069</v>
      </c>
      <c r="AE60" s="209" t="n">
        <f aca="false">('Modelo AHP'!$U$37*aux!P60)+('Modelo AHP'!$U$38*aux!R60)+('Modelo AHP'!$U$39*aux!S60)</f>
        <v>0.00415041082882376</v>
      </c>
      <c r="AF60" s="210" t="n">
        <f aca="false">aux!U60</f>
        <v>0.00753706494338105</v>
      </c>
      <c r="AG60" s="209" t="n">
        <f aca="false">('Modelo AHP'!$U$47*aux!V60)+('Modelo AHP'!$U$48*aux!W60)+('Modelo AHP'!$U$49*aux!X60)</f>
        <v>0.00419655210425456</v>
      </c>
      <c r="AH60" s="210" t="n">
        <f aca="false">Z60</f>
        <v>0.00757622863045437</v>
      </c>
      <c r="AI60" s="209" t="n">
        <f aca="false">('Modelo AHP'!$U$56*aux!AA60)+('Modelo AHP'!$U$57*aux!AB60)+('Modelo AHP'!$U$58*aux!AC60)+('Modelo AHP'!$U$59*aux!AD60)</f>
        <v>0.00300615430998652</v>
      </c>
      <c r="AJ60" s="211" t="n">
        <f aca="false">('Modelo AHP'!$U$23*aux!AE60)+('Modelo AHP'!$U$24*aux!AF60)+('Modelo AHP'!$U$25*aux!AG60)+('Modelo AHP'!$U$26*aux!AH60)+('Modelo AHP'!$U$27*aux!AI60)</f>
        <v>0.00540910938014413</v>
      </c>
    </row>
    <row r="61" customFormat="false" ht="15" hidden="false" customHeight="false" outlineLevel="0" collapsed="false">
      <c r="A61" s="195" t="n">
        <f aca="false">_xlfn.RANK.EQ(AJ61,AJ$5:AJ$135)</f>
        <v>131</v>
      </c>
      <c r="B61" s="196" t="s">
        <v>183</v>
      </c>
      <c r="C61" s="197" t="s">
        <v>189</v>
      </c>
      <c r="D61" s="198" t="n">
        <v>0.0466911764705882</v>
      </c>
      <c r="E61" s="199" t="n">
        <v>79.15</v>
      </c>
      <c r="F61" s="198" t="n">
        <v>0.166753246753247</v>
      </c>
      <c r="G61" s="200" t="n">
        <v>101419.171710362</v>
      </c>
      <c r="H61" s="201" t="n">
        <v>2.94</v>
      </c>
      <c r="I61" s="201" t="n">
        <v>3.7</v>
      </c>
      <c r="J61" s="198" t="n">
        <v>0.032221233886064</v>
      </c>
      <c r="K61" s="202" t="n">
        <v>386518.19</v>
      </c>
      <c r="L61" s="198" t="n">
        <v>0.0245484832544275</v>
      </c>
      <c r="M61" s="203" t="n">
        <v>242</v>
      </c>
      <c r="N61" s="198" t="n">
        <v>0.0247663101088947</v>
      </c>
      <c r="O61" s="198" t="n">
        <v>0.0238585329341317</v>
      </c>
      <c r="P61" s="204" t="n">
        <f aca="false">D61/$P$1</f>
        <v>0.00427375621154524</v>
      </c>
      <c r="Q61" s="204" t="n">
        <f aca="false">1-(E61/Q$1)</f>
        <v>0.992720486931825</v>
      </c>
      <c r="R61" s="204" t="n">
        <f aca="false">Q61/R$1</f>
        <v>0.00763631143793712</v>
      </c>
      <c r="S61" s="204" t="n">
        <f aca="false">F61/S$1</f>
        <v>0.00341879406245446</v>
      </c>
      <c r="T61" s="204" t="n">
        <f aca="false">1-(G61/T$1)</f>
        <v>0.981777215108889</v>
      </c>
      <c r="U61" s="205" t="n">
        <f aca="false">T61/U$1</f>
        <v>0.00755213242391453</v>
      </c>
      <c r="V61" s="204" t="n">
        <f aca="false">H61/V$1</f>
        <v>0.00298765306640923</v>
      </c>
      <c r="W61" s="204" t="n">
        <f aca="false">I61/W$1</f>
        <v>0.00306400457116358</v>
      </c>
      <c r="X61" s="204" t="n">
        <f aca="false">J61/X$1</f>
        <v>0.00517224548585569</v>
      </c>
      <c r="Y61" s="204" t="n">
        <f aca="false">1-(K61/Y$1)</f>
        <v>0.970946326861687</v>
      </c>
      <c r="Z61" s="205" t="n">
        <f aca="false">Y61/Z$1</f>
        <v>0.00746881789893605</v>
      </c>
      <c r="AA61" s="204" t="n">
        <f aca="false">L61/$AA$1</f>
        <v>0.0037496986849271</v>
      </c>
      <c r="AB61" s="204" t="n">
        <f aca="false">M61/AB$1</f>
        <v>0.00227021144862005</v>
      </c>
      <c r="AC61" s="204" t="n">
        <f aca="false">N61/AC$1</f>
        <v>0.00375833560815817</v>
      </c>
      <c r="AD61" s="204" t="n">
        <f aca="false">O61/AD$1</f>
        <v>0.00363044448030069</v>
      </c>
      <c r="AE61" s="209" t="n">
        <f aca="false">('Modelo AHP'!$U$37*aux!P61)+('Modelo AHP'!$U$38*aux!R61)+('Modelo AHP'!$U$39*aux!S61)</f>
        <v>0.00409703444472996</v>
      </c>
      <c r="AF61" s="210" t="n">
        <f aca="false">aux!U61</f>
        <v>0.00755213242391453</v>
      </c>
      <c r="AG61" s="209" t="n">
        <f aca="false">('Modelo AHP'!$U$47*aux!V61)+('Modelo AHP'!$U$48*aux!W61)+('Modelo AHP'!$U$49*aux!X61)</f>
        <v>0.00386775732206745</v>
      </c>
      <c r="AH61" s="210" t="n">
        <f aca="false">Z61</f>
        <v>0.00746881789893605</v>
      </c>
      <c r="AI61" s="209" t="n">
        <f aca="false">('Modelo AHP'!$U$56*aux!AA61)+('Modelo AHP'!$U$57*aux!AB61)+('Modelo AHP'!$U$58*aux!AC61)+('Modelo AHP'!$U$59*aux!AD61)</f>
        <v>0.00300615430998652</v>
      </c>
      <c r="AJ61" s="211" t="n">
        <f aca="false">('Modelo AHP'!$U$23*aux!AE61)+('Modelo AHP'!$U$24*aux!AF61)+('Modelo AHP'!$U$25*aux!AG61)+('Modelo AHP'!$U$26*aux!AH61)+('Modelo AHP'!$U$27*aux!AI61)</f>
        <v>0.00528463299454697</v>
      </c>
    </row>
    <row r="62" customFormat="false" ht="15" hidden="false" customHeight="false" outlineLevel="0" collapsed="false">
      <c r="A62" s="195" t="n">
        <f aca="false">_xlfn.RANK.EQ(AJ62,AJ$5:AJ$135)</f>
        <v>123</v>
      </c>
      <c r="B62" s="196" t="s">
        <v>183</v>
      </c>
      <c r="C62" s="197" t="s">
        <v>190</v>
      </c>
      <c r="D62" s="198" t="n">
        <v>0.0458161236040997</v>
      </c>
      <c r="E62" s="199" t="n">
        <v>81.98</v>
      </c>
      <c r="F62" s="198" t="n">
        <v>0.186788676008007</v>
      </c>
      <c r="G62" s="200" t="n">
        <v>77060.7556397454</v>
      </c>
      <c r="H62" s="201" t="n">
        <v>3.93</v>
      </c>
      <c r="I62" s="201" t="n">
        <v>5.17</v>
      </c>
      <c r="J62" s="198" t="n">
        <v>0.032221233886064</v>
      </c>
      <c r="K62" s="202" t="n">
        <v>147611.65</v>
      </c>
      <c r="L62" s="198" t="n">
        <v>0.0245484832544275</v>
      </c>
      <c r="M62" s="203" t="n">
        <v>242</v>
      </c>
      <c r="N62" s="198" t="n">
        <v>0.0247663101088947</v>
      </c>
      <c r="O62" s="198" t="n">
        <v>0.0238585329341317</v>
      </c>
      <c r="P62" s="204" t="n">
        <f aca="false">D62/$P$1</f>
        <v>0.00419366050811096</v>
      </c>
      <c r="Q62" s="204" t="n">
        <f aca="false">1-(E62/Q$1)</f>
        <v>0.992460208700834</v>
      </c>
      <c r="R62" s="204" t="n">
        <f aca="false">Q62/R$1</f>
        <v>0.00763430929769873</v>
      </c>
      <c r="S62" s="204" t="n">
        <f aca="false">F62/S$1</f>
        <v>0.00382956271559054</v>
      </c>
      <c r="T62" s="204" t="n">
        <f aca="false">1-(G62/T$1)</f>
        <v>0.986153884419605</v>
      </c>
      <c r="U62" s="205" t="n">
        <f aca="false">T62/U$1</f>
        <v>0.00758579911092004</v>
      </c>
      <c r="V62" s="204" t="n">
        <f aca="false">H62/V$1</f>
        <v>0.00399369950713886</v>
      </c>
      <c r="W62" s="204" t="n">
        <f aca="false">I62/W$1</f>
        <v>0.00428132530619343</v>
      </c>
      <c r="X62" s="204" t="n">
        <f aca="false">J62/X$1</f>
        <v>0.00517224548585569</v>
      </c>
      <c r="Y62" s="204" t="n">
        <f aca="false">1-(K62/Y$1)</f>
        <v>0.988904375676324</v>
      </c>
      <c r="Z62" s="205" t="n">
        <f aca="false">Y62/Z$1</f>
        <v>0.00760695673597173</v>
      </c>
      <c r="AA62" s="204" t="n">
        <f aca="false">L62/$AA$1</f>
        <v>0.0037496986849271</v>
      </c>
      <c r="AB62" s="204" t="n">
        <f aca="false">M62/AB$1</f>
        <v>0.00227021144862005</v>
      </c>
      <c r="AC62" s="204" t="n">
        <f aca="false">N62/AC$1</f>
        <v>0.00375833560815817</v>
      </c>
      <c r="AD62" s="204" t="n">
        <f aca="false">O62/AD$1</f>
        <v>0.00363044448030069</v>
      </c>
      <c r="AE62" s="209" t="n">
        <f aca="false">('Modelo AHP'!$U$37*aux!P62)+('Modelo AHP'!$U$38*aux!R62)+('Modelo AHP'!$U$39*aux!S62)</f>
        <v>0.00431926671155749</v>
      </c>
      <c r="AF62" s="210" t="n">
        <f aca="false">aux!U62</f>
        <v>0.00758579911092004</v>
      </c>
      <c r="AG62" s="209" t="n">
        <f aca="false">('Modelo AHP'!$U$47*aux!V62)+('Modelo AHP'!$U$48*aux!W62)+('Modelo AHP'!$U$49*aux!X62)</f>
        <v>0.0045777757084657</v>
      </c>
      <c r="AH62" s="210" t="n">
        <f aca="false">Z62</f>
        <v>0.00760695673597173</v>
      </c>
      <c r="AI62" s="209" t="n">
        <f aca="false">('Modelo AHP'!$U$56*aux!AA62)+('Modelo AHP'!$U$57*aux!AB62)+('Modelo AHP'!$U$58*aux!AC62)+('Modelo AHP'!$U$59*aux!AD62)</f>
        <v>0.00300615430998652</v>
      </c>
      <c r="AJ62" s="211" t="n">
        <f aca="false">('Modelo AHP'!$U$23*aux!AE62)+('Modelo AHP'!$U$24*aux!AF62)+('Modelo AHP'!$U$25*aux!AG62)+('Modelo AHP'!$U$26*aux!AH62)+('Modelo AHP'!$U$27*aux!AI62)</f>
        <v>0.00558559463138573</v>
      </c>
    </row>
    <row r="63" customFormat="false" ht="15" hidden="false" customHeight="false" outlineLevel="0" collapsed="false">
      <c r="A63" s="195" t="n">
        <f aca="false">_xlfn.RANK.EQ(AJ63,AJ$5:AJ$135)</f>
        <v>27</v>
      </c>
      <c r="B63" s="196" t="s">
        <v>191</v>
      </c>
      <c r="C63" s="197" t="s">
        <v>192</v>
      </c>
      <c r="D63" s="198" t="n">
        <v>0.100046533271289</v>
      </c>
      <c r="E63" s="199" t="n">
        <v>82.44</v>
      </c>
      <c r="F63" s="198" t="n">
        <v>0.51445446067765</v>
      </c>
      <c r="G63" s="200" t="n">
        <v>29540.9576941288</v>
      </c>
      <c r="H63" s="201" t="n">
        <v>11.07</v>
      </c>
      <c r="I63" s="201" t="n">
        <v>12.1</v>
      </c>
      <c r="J63" s="198" t="n">
        <v>0.0549234017942407</v>
      </c>
      <c r="K63" s="202" t="n">
        <v>64231.31</v>
      </c>
      <c r="L63" s="198" t="n">
        <v>0.105675375533345</v>
      </c>
      <c r="M63" s="203" t="n">
        <v>1230</v>
      </c>
      <c r="N63" s="198" t="n">
        <v>0.0998682984806142</v>
      </c>
      <c r="O63" s="198" t="n">
        <v>0.0830526447105788</v>
      </c>
      <c r="P63" s="204" t="n">
        <f aca="false">D63/$P$1</f>
        <v>0.00915750095269235</v>
      </c>
      <c r="Q63" s="204" t="n">
        <f aca="false">1-(E63/Q$1)</f>
        <v>0.99241790199191</v>
      </c>
      <c r="R63" s="204" t="n">
        <f aca="false">Q63/R$1</f>
        <v>0.00763398386147624</v>
      </c>
      <c r="S63" s="204" t="n">
        <f aca="false">F63/S$1</f>
        <v>0.0105474039625182</v>
      </c>
      <c r="T63" s="204" t="n">
        <f aca="false">1-(G63/T$1)</f>
        <v>0.994692142437577</v>
      </c>
      <c r="U63" s="205" t="n">
        <f aca="false">T63/U$1</f>
        <v>0.00765147801875059</v>
      </c>
      <c r="V63" s="204" t="n">
        <f aca="false">H63/V$1</f>
        <v>0.0112494283827041</v>
      </c>
      <c r="W63" s="204" t="n">
        <f aca="false">I63/W$1</f>
        <v>0.0100201230570485</v>
      </c>
      <c r="X63" s="204" t="n">
        <f aca="false">J63/X$1</f>
        <v>0.0088164630194676</v>
      </c>
      <c r="Y63" s="204" t="n">
        <f aca="false">1-(K63/Y$1)</f>
        <v>0.995171881856361</v>
      </c>
      <c r="Z63" s="205" t="n">
        <f aca="false">Y63/Z$1</f>
        <v>0.00765516832197201</v>
      </c>
      <c r="AA63" s="204" t="n">
        <f aca="false">L63/$AA$1</f>
        <v>0.01614156005321</v>
      </c>
      <c r="AB63" s="204" t="n">
        <f aca="false">M63/AB$1</f>
        <v>0.0115386780239779</v>
      </c>
      <c r="AC63" s="204" t="n">
        <f aca="false">N63/AC$1</f>
        <v>0.0151552080489802</v>
      </c>
      <c r="AD63" s="204" t="n">
        <f aca="false">O63/AD$1</f>
        <v>0.0126377433346938</v>
      </c>
      <c r="AE63" s="209" t="n">
        <f aca="false">('Modelo AHP'!$U$37*aux!P63)+('Modelo AHP'!$U$38*aux!R63)+('Modelo AHP'!$U$39*aux!S63)</f>
        <v>0.00983909104946622</v>
      </c>
      <c r="AF63" s="210" t="n">
        <f aca="false">aux!U63</f>
        <v>0.00765147801875059</v>
      </c>
      <c r="AG63" s="209" t="n">
        <f aca="false">('Modelo AHP'!$U$47*aux!V63)+('Modelo AHP'!$U$48*aux!W63)+('Modelo AHP'!$U$49*aux!X63)</f>
        <v>0.00976185835705928</v>
      </c>
      <c r="AH63" s="210" t="n">
        <f aca="false">Z63</f>
        <v>0.00765516832197201</v>
      </c>
      <c r="AI63" s="209" t="n">
        <f aca="false">('Modelo AHP'!$U$56*aux!AA63)+('Modelo AHP'!$U$57*aux!AB63)+('Modelo AHP'!$U$58*aux!AC63)+('Modelo AHP'!$U$59*aux!AD63)</f>
        <v>0.0132170459988158</v>
      </c>
      <c r="AJ63" s="211" t="n">
        <f aca="false">('Modelo AHP'!$U$23*aux!AE63)+('Modelo AHP'!$U$24*aux!AF63)+('Modelo AHP'!$U$25*aux!AG63)+('Modelo AHP'!$U$26*aux!AH63)+('Modelo AHP'!$U$27*aux!AI63)</f>
        <v>0.00925904759366763</v>
      </c>
    </row>
    <row r="64" customFormat="false" ht="15" hidden="false" customHeight="false" outlineLevel="0" collapsed="false">
      <c r="A64" s="195" t="n">
        <f aca="false">_xlfn.RANK.EQ(AJ64,AJ$5:AJ$135)</f>
        <v>28</v>
      </c>
      <c r="B64" s="196" t="s">
        <v>191</v>
      </c>
      <c r="C64" s="197" t="s">
        <v>193</v>
      </c>
      <c r="D64" s="198" t="n">
        <v>0.139237142788125</v>
      </c>
      <c r="E64" s="199" t="n">
        <v>83.16</v>
      </c>
      <c r="F64" s="198" t="n">
        <v>0.485116702030919</v>
      </c>
      <c r="G64" s="200" t="n">
        <v>27913.6339112542</v>
      </c>
      <c r="H64" s="201" t="n">
        <v>9.61</v>
      </c>
      <c r="I64" s="201" t="n">
        <v>11.76</v>
      </c>
      <c r="J64" s="198" t="n">
        <v>0.0549234017942407</v>
      </c>
      <c r="K64" s="202" t="n">
        <v>69655.86</v>
      </c>
      <c r="L64" s="198" t="n">
        <v>0.105675375533345</v>
      </c>
      <c r="M64" s="203" t="n">
        <v>1230</v>
      </c>
      <c r="N64" s="198" t="n">
        <v>0.0998682984806142</v>
      </c>
      <c r="O64" s="198" t="n">
        <v>0.0830526447105788</v>
      </c>
      <c r="P64" s="204" t="n">
        <f aca="false">D64/$P$1</f>
        <v>0.0127447121458463</v>
      </c>
      <c r="Q64" s="204" t="n">
        <f aca="false">1-(E64/Q$1)</f>
        <v>0.992351682795333</v>
      </c>
      <c r="R64" s="204" t="n">
        <f aca="false">Q64/R$1</f>
        <v>0.00763347448304103</v>
      </c>
      <c r="S64" s="204" t="n">
        <f aca="false">F64/S$1</f>
        <v>0.0099459178924113</v>
      </c>
      <c r="T64" s="204" t="n">
        <f aca="false">1-(G64/T$1)</f>
        <v>0.994984536575129</v>
      </c>
      <c r="U64" s="205" t="n">
        <f aca="false">T64/U$1</f>
        <v>0.00765372720442407</v>
      </c>
      <c r="V64" s="204" t="n">
        <f aca="false">H64/V$1</f>
        <v>0.00976576393475941</v>
      </c>
      <c r="W64" s="204" t="n">
        <f aca="false">I64/W$1</f>
        <v>0.00973856588023883</v>
      </c>
      <c r="X64" s="204" t="n">
        <f aca="false">J64/X$1</f>
        <v>0.0088164630194676</v>
      </c>
      <c r="Y64" s="204" t="n">
        <f aca="false">1-(K64/Y$1)</f>
        <v>0.994764131052647</v>
      </c>
      <c r="Z64" s="205" t="n">
        <f aca="false">Y64/Z$1</f>
        <v>0.00765203177732805</v>
      </c>
      <c r="AA64" s="204" t="n">
        <f aca="false">L64/$AA$1</f>
        <v>0.01614156005321</v>
      </c>
      <c r="AB64" s="204" t="n">
        <f aca="false">M64/AB$1</f>
        <v>0.0115386780239779</v>
      </c>
      <c r="AC64" s="204" t="n">
        <f aca="false">N64/AC$1</f>
        <v>0.0151552080489802</v>
      </c>
      <c r="AD64" s="204" t="n">
        <f aca="false">O64/AD$1</f>
        <v>0.0126377433346938</v>
      </c>
      <c r="AE64" s="209" t="n">
        <f aca="false">('Modelo AHP'!$U$37*aux!P64)+('Modelo AHP'!$U$38*aux!R64)+('Modelo AHP'!$U$39*aux!S64)</f>
        <v>0.0105543118275048</v>
      </c>
      <c r="AF64" s="210" t="n">
        <f aca="false">aux!U64</f>
        <v>0.00765372720442407</v>
      </c>
      <c r="AG64" s="209" t="n">
        <f aca="false">('Modelo AHP'!$U$47*aux!V64)+('Modelo AHP'!$U$48*aux!W64)+('Modelo AHP'!$U$49*aux!X64)</f>
        <v>0.00938597186962999</v>
      </c>
      <c r="AH64" s="210" t="n">
        <f aca="false">Z64</f>
        <v>0.00765203177732805</v>
      </c>
      <c r="AI64" s="209" t="n">
        <f aca="false">('Modelo AHP'!$U$56*aux!AA64)+('Modelo AHP'!$U$57*aux!AB64)+('Modelo AHP'!$U$58*aux!AC64)+('Modelo AHP'!$U$59*aux!AD64)</f>
        <v>0.0132170459988158</v>
      </c>
      <c r="AJ64" s="211" t="n">
        <f aca="false">('Modelo AHP'!$U$23*aux!AE64)+('Modelo AHP'!$U$24*aux!AF64)+('Modelo AHP'!$U$25*aux!AG64)+('Modelo AHP'!$U$26*aux!AH64)+('Modelo AHP'!$U$27*aux!AI64)</f>
        <v>0.00925044700880204</v>
      </c>
    </row>
    <row r="65" customFormat="false" ht="15" hidden="false" customHeight="false" outlineLevel="0" collapsed="false">
      <c r="A65" s="195" t="n">
        <f aca="false">_xlfn.RANK.EQ(AJ65,AJ$5:AJ$135)</f>
        <v>30</v>
      </c>
      <c r="B65" s="196" t="s">
        <v>191</v>
      </c>
      <c r="C65" s="197" t="s">
        <v>194</v>
      </c>
      <c r="D65" s="198" t="n">
        <v>0.119899684400361</v>
      </c>
      <c r="E65" s="199" t="n">
        <v>84.02</v>
      </c>
      <c r="F65" s="198" t="n">
        <v>0.507490230134607</v>
      </c>
      <c r="G65" s="200" t="n">
        <v>30075.7055536143</v>
      </c>
      <c r="H65" s="201" t="n">
        <v>9.63</v>
      </c>
      <c r="I65" s="201" t="n">
        <v>11.24</v>
      </c>
      <c r="J65" s="198" t="n">
        <v>0.0549234017942407</v>
      </c>
      <c r="K65" s="202" t="n">
        <v>63152.23</v>
      </c>
      <c r="L65" s="198" t="n">
        <v>0.105675375533345</v>
      </c>
      <c r="M65" s="203" t="n">
        <v>1230</v>
      </c>
      <c r="N65" s="198" t="n">
        <v>0.0998682984806142</v>
      </c>
      <c r="O65" s="198" t="n">
        <v>0.0830526447105788</v>
      </c>
      <c r="P65" s="204" t="n">
        <f aca="false">D65/$P$1</f>
        <v>0.0109747078506608</v>
      </c>
      <c r="Q65" s="204" t="n">
        <f aca="false">1-(E65/Q$1)</f>
        <v>0.992272587643866</v>
      </c>
      <c r="R65" s="204" t="n">
        <f aca="false">Q65/R$1</f>
        <v>0.00763286605879897</v>
      </c>
      <c r="S65" s="204" t="n">
        <f aca="false">F65/S$1</f>
        <v>0.0104046225145182</v>
      </c>
      <c r="T65" s="204" t="n">
        <f aca="false">1-(G65/T$1)</f>
        <v>0.994596060059363</v>
      </c>
      <c r="U65" s="205" t="n">
        <f aca="false">T65/U$1</f>
        <v>0.00765073892353357</v>
      </c>
      <c r="V65" s="204" t="n">
        <f aca="false">H65/V$1</f>
        <v>0.0097860881052792</v>
      </c>
      <c r="W65" s="204" t="n">
        <f aca="false">I65/W$1</f>
        <v>0.00930794902158881</v>
      </c>
      <c r="X65" s="204" t="n">
        <f aca="false">J65/X$1</f>
        <v>0.0088164630194676</v>
      </c>
      <c r="Y65" s="204" t="n">
        <f aca="false">1-(K65/Y$1)</f>
        <v>0.995252993789566</v>
      </c>
      <c r="Z65" s="205" t="n">
        <f aca="false">Y65/Z$1</f>
        <v>0.00765579225991974</v>
      </c>
      <c r="AA65" s="204" t="n">
        <f aca="false">L65/$AA$1</f>
        <v>0.01614156005321</v>
      </c>
      <c r="AB65" s="204" t="n">
        <f aca="false">M65/AB$1</f>
        <v>0.0115386780239779</v>
      </c>
      <c r="AC65" s="204" t="n">
        <f aca="false">N65/AC$1</f>
        <v>0.0151552080489802</v>
      </c>
      <c r="AD65" s="204" t="n">
        <f aca="false">O65/AD$1</f>
        <v>0.0126377433346938</v>
      </c>
      <c r="AE65" s="209" t="n">
        <f aca="false">('Modelo AHP'!$U$37*aux!P65)+('Modelo AHP'!$U$38*aux!R65)+('Modelo AHP'!$U$39*aux!S65)</f>
        <v>0.0102984724697891</v>
      </c>
      <c r="AF65" s="210" t="n">
        <f aca="false">aux!U65</f>
        <v>0.00765073892353357</v>
      </c>
      <c r="AG65" s="209" t="n">
        <f aca="false">('Modelo AHP'!$U$47*aux!V65)+('Modelo AHP'!$U$48*aux!W65)+('Modelo AHP'!$U$49*aux!X65)</f>
        <v>0.00919846266454487</v>
      </c>
      <c r="AH65" s="210" t="n">
        <f aca="false">Z65</f>
        <v>0.00765579225991974</v>
      </c>
      <c r="AI65" s="209" t="n">
        <f aca="false">('Modelo AHP'!$U$56*aux!AA65)+('Modelo AHP'!$U$57*aux!AB65)+('Modelo AHP'!$U$58*aux!AC65)+('Modelo AHP'!$U$59*aux!AD65)</f>
        <v>0.0132170459988158</v>
      </c>
      <c r="AJ65" s="211" t="n">
        <f aca="false">('Modelo AHP'!$U$23*aux!AE65)+('Modelo AHP'!$U$24*aux!AF65)+('Modelo AHP'!$U$25*aux!AG65)+('Modelo AHP'!$U$26*aux!AH65)+('Modelo AHP'!$U$27*aux!AI65)</f>
        <v>0.00914299308277949</v>
      </c>
    </row>
    <row r="66" customFormat="false" ht="15" hidden="false" customHeight="false" outlineLevel="0" collapsed="false">
      <c r="A66" s="195" t="n">
        <f aca="false">_xlfn.RANK.EQ(AJ66,AJ$5:AJ$135)</f>
        <v>33</v>
      </c>
      <c r="B66" s="196" t="s">
        <v>191</v>
      </c>
      <c r="C66" s="197" t="s">
        <v>195</v>
      </c>
      <c r="D66" s="198" t="n">
        <v>0.104288897985173</v>
      </c>
      <c r="E66" s="199" t="n">
        <v>84.05</v>
      </c>
      <c r="F66" s="198" t="n">
        <v>0.516081980701623</v>
      </c>
      <c r="G66" s="200" t="n">
        <v>31116.5071197473</v>
      </c>
      <c r="H66" s="201" t="n">
        <v>8.38</v>
      </c>
      <c r="I66" s="201" t="n">
        <v>9.69</v>
      </c>
      <c r="J66" s="198" t="n">
        <v>0.0549234017942407</v>
      </c>
      <c r="K66" s="202" t="n">
        <v>58979.22</v>
      </c>
      <c r="L66" s="198" t="n">
        <v>0.105675375533345</v>
      </c>
      <c r="M66" s="203" t="n">
        <v>1230</v>
      </c>
      <c r="N66" s="198" t="n">
        <v>0.0998682984806142</v>
      </c>
      <c r="O66" s="198" t="n">
        <v>0.0830526447105788</v>
      </c>
      <c r="P66" s="204" t="n">
        <f aca="false">D66/$P$1</f>
        <v>0.00954581484662526</v>
      </c>
      <c r="Q66" s="204" t="n">
        <f aca="false">1-(E66/Q$1)</f>
        <v>0.992269828510675</v>
      </c>
      <c r="R66" s="204" t="n">
        <f aca="false">Q66/R$1</f>
        <v>0.0076328448346975</v>
      </c>
      <c r="S66" s="204" t="n">
        <f aca="false">F66/S$1</f>
        <v>0.0105807715634664</v>
      </c>
      <c r="T66" s="204" t="n">
        <f aca="false">1-(G66/T$1)</f>
        <v>0.994409051008371</v>
      </c>
      <c r="U66" s="205" t="n">
        <f aca="false">T66/U$1</f>
        <v>0.00764930039237209</v>
      </c>
      <c r="V66" s="204" t="n">
        <f aca="false">H66/V$1</f>
        <v>0.00851582744779229</v>
      </c>
      <c r="W66" s="204" t="n">
        <f aca="false">I66/W$1</f>
        <v>0.00802437953907434</v>
      </c>
      <c r="X66" s="204" t="n">
        <f aca="false">J66/X$1</f>
        <v>0.0088164630194676</v>
      </c>
      <c r="Y66" s="204" t="n">
        <f aca="false">1-(K66/Y$1)</f>
        <v>0.995566669243089</v>
      </c>
      <c r="Z66" s="205" t="n">
        <f aca="false">Y66/Z$1</f>
        <v>0.00765820514802376</v>
      </c>
      <c r="AA66" s="204" t="n">
        <f aca="false">L66/$AA$1</f>
        <v>0.01614156005321</v>
      </c>
      <c r="AB66" s="204" t="n">
        <f aca="false">M66/AB$1</f>
        <v>0.0115386780239779</v>
      </c>
      <c r="AC66" s="204" t="n">
        <f aca="false">N66/AC$1</f>
        <v>0.0151552080489802</v>
      </c>
      <c r="AD66" s="204" t="n">
        <f aca="false">O66/AD$1</f>
        <v>0.0126377433346938</v>
      </c>
      <c r="AE66" s="209" t="n">
        <f aca="false">('Modelo AHP'!$U$37*aux!P66)+('Modelo AHP'!$U$38*aux!R66)+('Modelo AHP'!$U$39*aux!S66)</f>
        <v>0.00997549187553716</v>
      </c>
      <c r="AF66" s="210" t="n">
        <f aca="false">aux!U66</f>
        <v>0.00764930039237209</v>
      </c>
      <c r="AG66" s="209" t="n">
        <f aca="false">('Modelo AHP'!$U$47*aux!V66)+('Modelo AHP'!$U$48*aux!W66)+('Modelo AHP'!$U$49*aux!X66)</f>
        <v>0.00841436264250073</v>
      </c>
      <c r="AH66" s="210" t="n">
        <f aca="false">Z66</f>
        <v>0.00765820514802376</v>
      </c>
      <c r="AI66" s="209" t="n">
        <f aca="false">('Modelo AHP'!$U$56*aux!AA66)+('Modelo AHP'!$U$57*aux!AB66)+('Modelo AHP'!$U$58*aux!AC66)+('Modelo AHP'!$U$59*aux!AD66)</f>
        <v>0.0132170459988158</v>
      </c>
      <c r="AJ66" s="211" t="n">
        <f aca="false">('Modelo AHP'!$U$23*aux!AE66)+('Modelo AHP'!$U$24*aux!AF66)+('Modelo AHP'!$U$25*aux!AG66)+('Modelo AHP'!$U$26*aux!AH66)+('Modelo AHP'!$U$27*aux!AI66)</f>
        <v>0.00882086257265001</v>
      </c>
    </row>
    <row r="67" customFormat="false" ht="15" hidden="false" customHeight="false" outlineLevel="0" collapsed="false">
      <c r="A67" s="195" t="n">
        <f aca="false">_xlfn.RANK.EQ(AJ67,AJ$5:AJ$135)</f>
        <v>35</v>
      </c>
      <c r="B67" s="196" t="s">
        <v>191</v>
      </c>
      <c r="C67" s="197" t="s">
        <v>196</v>
      </c>
      <c r="D67" s="198" t="n">
        <v>0.119896749723437</v>
      </c>
      <c r="E67" s="199" t="n">
        <v>82.55</v>
      </c>
      <c r="F67" s="198" t="n">
        <v>0.478142620232173</v>
      </c>
      <c r="G67" s="200" t="n">
        <v>31913.206846746</v>
      </c>
      <c r="H67" s="201" t="n">
        <v>7.33</v>
      </c>
      <c r="I67" s="201" t="n">
        <v>8.72</v>
      </c>
      <c r="J67" s="198" t="n">
        <v>0.0549234017942407</v>
      </c>
      <c r="K67" s="202" t="n">
        <v>63522.08</v>
      </c>
      <c r="L67" s="198" t="n">
        <v>0.105675375533345</v>
      </c>
      <c r="M67" s="203" t="n">
        <v>1230</v>
      </c>
      <c r="N67" s="198" t="n">
        <v>0.0998682984806142</v>
      </c>
      <c r="O67" s="198" t="n">
        <v>0.0830526447105788</v>
      </c>
      <c r="P67" s="204" t="n">
        <f aca="false">D67/$P$1</f>
        <v>0.0109744392325903</v>
      </c>
      <c r="Q67" s="204" t="n">
        <f aca="false">1-(E67/Q$1)</f>
        <v>0.992407785170211</v>
      </c>
      <c r="R67" s="204" t="n">
        <f aca="false">Q67/R$1</f>
        <v>0.00763390603977086</v>
      </c>
      <c r="S67" s="204" t="n">
        <f aca="false">F67/S$1</f>
        <v>0.00980293447284463</v>
      </c>
      <c r="T67" s="204" t="n">
        <f aca="false">1-(G67/T$1)</f>
        <v>0.994265901665865</v>
      </c>
      <c r="U67" s="205" t="n">
        <f aca="false">T67/U$1</f>
        <v>0.00764819924358357</v>
      </c>
      <c r="V67" s="204" t="n">
        <f aca="false">H67/V$1</f>
        <v>0.00744880849550328</v>
      </c>
      <c r="W67" s="204" t="n">
        <f aca="false">I67/W$1</f>
        <v>0.00722111347582335</v>
      </c>
      <c r="X67" s="204" t="n">
        <f aca="false">J67/X$1</f>
        <v>0.0088164630194676</v>
      </c>
      <c r="Y67" s="204" t="n">
        <f aca="false">1-(K67/Y$1)</f>
        <v>0.995225193025493</v>
      </c>
      <c r="Z67" s="205" t="n">
        <f aca="false">Y67/Z$1</f>
        <v>0.00765557840788841</v>
      </c>
      <c r="AA67" s="204" t="n">
        <f aca="false">L67/$AA$1</f>
        <v>0.01614156005321</v>
      </c>
      <c r="AB67" s="204" t="n">
        <f aca="false">M67/AB$1</f>
        <v>0.0115386780239779</v>
      </c>
      <c r="AC67" s="204" t="n">
        <f aca="false">N67/AC$1</f>
        <v>0.0151552080489802</v>
      </c>
      <c r="AD67" s="204" t="n">
        <f aca="false">O67/AD$1</f>
        <v>0.0126377433346938</v>
      </c>
      <c r="AE67" s="209" t="n">
        <f aca="false">('Modelo AHP'!$U$37*aux!P67)+('Modelo AHP'!$U$38*aux!R67)+('Modelo AHP'!$U$39*aux!S67)</f>
        <v>0.00993748305746097</v>
      </c>
      <c r="AF67" s="210" t="n">
        <f aca="false">aux!U67</f>
        <v>0.00764819924358357</v>
      </c>
      <c r="AG67" s="209" t="n">
        <f aca="false">('Modelo AHP'!$U$47*aux!V67)+('Modelo AHP'!$U$48*aux!W67)+('Modelo AHP'!$U$49*aux!X67)</f>
        <v>0.00787763161114475</v>
      </c>
      <c r="AH67" s="210" t="n">
        <f aca="false">Z67</f>
        <v>0.00765557840788841</v>
      </c>
      <c r="AI67" s="209" t="n">
        <f aca="false">('Modelo AHP'!$U$56*aux!AA67)+('Modelo AHP'!$U$57*aux!AB67)+('Modelo AHP'!$U$58*aux!AC67)+('Modelo AHP'!$U$59*aux!AD67)</f>
        <v>0.0132170459988158</v>
      </c>
      <c r="AJ67" s="211" t="n">
        <f aca="false">('Modelo AHP'!$U$23*aux!AE67)+('Modelo AHP'!$U$24*aux!AF67)+('Modelo AHP'!$U$25*aux!AG67)+('Modelo AHP'!$U$26*aux!AH67)+('Modelo AHP'!$U$27*aux!AI67)</f>
        <v>0.00863055201901216</v>
      </c>
    </row>
    <row r="68" customFormat="false" ht="15" hidden="false" customHeight="false" outlineLevel="0" collapsed="false">
      <c r="A68" s="195" t="n">
        <f aca="false">_xlfn.RANK.EQ(AJ68,AJ$5:AJ$135)</f>
        <v>49</v>
      </c>
      <c r="B68" s="196" t="s">
        <v>191</v>
      </c>
      <c r="C68" s="197" t="s">
        <v>197</v>
      </c>
      <c r="D68" s="198" t="n">
        <v>0.0376192158247969</v>
      </c>
      <c r="E68" s="199" t="n">
        <v>80.59</v>
      </c>
      <c r="F68" s="198" t="n">
        <v>0.300887198986058</v>
      </c>
      <c r="G68" s="200" t="n">
        <v>35197.13451</v>
      </c>
      <c r="H68" s="201" t="n">
        <v>7.68</v>
      </c>
      <c r="I68" s="201" t="n">
        <v>9.81</v>
      </c>
      <c r="J68" s="198" t="n">
        <v>0.0549234017942407</v>
      </c>
      <c r="K68" s="202" t="n">
        <v>60658.68</v>
      </c>
      <c r="L68" s="198" t="n">
        <v>0.105675375533345</v>
      </c>
      <c r="M68" s="203" t="n">
        <v>1230</v>
      </c>
      <c r="N68" s="198" t="n">
        <v>0.0998682984806142</v>
      </c>
      <c r="O68" s="198" t="n">
        <v>0.0830526447105788</v>
      </c>
      <c r="P68" s="204" t="n">
        <f aca="false">D68/$P$1</f>
        <v>0.00344337773124998</v>
      </c>
      <c r="Q68" s="204" t="n">
        <f aca="false">1-(E68/Q$1)</f>
        <v>0.992588048538671</v>
      </c>
      <c r="R68" s="204" t="n">
        <f aca="false">Q68/R$1</f>
        <v>0.0076352926810667</v>
      </c>
      <c r="S68" s="204" t="n">
        <f aca="false">F68/S$1</f>
        <v>0.00616882363246736</v>
      </c>
      <c r="T68" s="204" t="n">
        <f aca="false">1-(G68/T$1)</f>
        <v>0.993675852404011</v>
      </c>
      <c r="U68" s="205" t="n">
        <f aca="false">T68/U$1</f>
        <v>0.00764366040310778</v>
      </c>
      <c r="V68" s="204" t="n">
        <f aca="false">H68/V$1</f>
        <v>0.00780448147959961</v>
      </c>
      <c r="W68" s="204" t="n">
        <f aca="false">I68/W$1</f>
        <v>0.00812375266030126</v>
      </c>
      <c r="X68" s="204" t="n">
        <f aca="false">J68/X$1</f>
        <v>0.0088164630194676</v>
      </c>
      <c r="Y68" s="204" t="n">
        <f aca="false">1-(K68/Y$1)</f>
        <v>0.99544042814202</v>
      </c>
      <c r="Z68" s="205" t="n">
        <f aca="false">Y68/Z$1</f>
        <v>0.00765723406263092</v>
      </c>
      <c r="AA68" s="204" t="n">
        <f aca="false">L68/$AA$1</f>
        <v>0.01614156005321</v>
      </c>
      <c r="AB68" s="204" t="n">
        <f aca="false">M68/AB$1</f>
        <v>0.0115386780239779</v>
      </c>
      <c r="AC68" s="204" t="n">
        <f aca="false">N68/AC$1</f>
        <v>0.0151552080489802</v>
      </c>
      <c r="AD68" s="204" t="n">
        <f aca="false">O68/AD$1</f>
        <v>0.0126377433346938</v>
      </c>
      <c r="AE68" s="209" t="n">
        <f aca="false">('Modelo AHP'!$U$37*aux!P68)+('Modelo AHP'!$U$38*aux!R68)+('Modelo AHP'!$U$39*aux!S68)</f>
        <v>0.00549783676696208</v>
      </c>
      <c r="AF68" s="210" t="n">
        <f aca="false">aux!U68</f>
        <v>0.00764366040310778</v>
      </c>
      <c r="AG68" s="209" t="n">
        <f aca="false">('Modelo AHP'!$U$47*aux!V68)+('Modelo AHP'!$U$48*aux!W68)+('Modelo AHP'!$U$49*aux!X68)</f>
        <v>0.00833806792929805</v>
      </c>
      <c r="AH68" s="210" t="n">
        <f aca="false">Z68</f>
        <v>0.00765723406263092</v>
      </c>
      <c r="AI68" s="209" t="n">
        <f aca="false">('Modelo AHP'!$U$56*aux!AA68)+('Modelo AHP'!$U$57*aux!AB68)+('Modelo AHP'!$U$58*aux!AC68)+('Modelo AHP'!$U$59*aux!AD68)</f>
        <v>0.0132170459988158</v>
      </c>
      <c r="AJ68" s="211" t="n">
        <f aca="false">('Modelo AHP'!$U$23*aux!AE68)+('Modelo AHP'!$U$24*aux!AF68)+('Modelo AHP'!$U$25*aux!AG68)+('Modelo AHP'!$U$26*aux!AH68)+('Modelo AHP'!$U$27*aux!AI68)</f>
        <v>0.00804564491946699</v>
      </c>
    </row>
    <row r="69" customFormat="false" ht="15" hidden="false" customHeight="false" outlineLevel="0" collapsed="false">
      <c r="A69" s="195" t="n">
        <f aca="false">_xlfn.RANK.EQ(AJ69,AJ$5:AJ$135)</f>
        <v>34</v>
      </c>
      <c r="B69" s="196" t="s">
        <v>191</v>
      </c>
      <c r="C69" s="197" t="s">
        <v>198</v>
      </c>
      <c r="D69" s="198" t="n">
        <v>0.0700559664983758</v>
      </c>
      <c r="E69" s="199" t="n">
        <v>83.19</v>
      </c>
      <c r="F69" s="198" t="n">
        <v>0.538035522591978</v>
      </c>
      <c r="G69" s="200" t="n">
        <v>29910.4549361744</v>
      </c>
      <c r="H69" s="201" t="n">
        <v>8.41</v>
      </c>
      <c r="I69" s="201" t="n">
        <v>9.77</v>
      </c>
      <c r="J69" s="198" t="n">
        <v>0.0549234017942407</v>
      </c>
      <c r="K69" s="202" t="n">
        <v>55535.46</v>
      </c>
      <c r="L69" s="198" t="n">
        <v>0.105675375533345</v>
      </c>
      <c r="M69" s="203" t="n">
        <v>1230</v>
      </c>
      <c r="N69" s="198" t="n">
        <v>0.0998682984806142</v>
      </c>
      <c r="O69" s="198" t="n">
        <v>0.0830526447105788</v>
      </c>
      <c r="P69" s="204" t="n">
        <f aca="false">D69/$P$1</f>
        <v>0.0064123919037859</v>
      </c>
      <c r="Q69" s="204" t="n">
        <f aca="false">1-(E69/Q$1)</f>
        <v>0.992348923662142</v>
      </c>
      <c r="R69" s="204" t="n">
        <f aca="false">Q69/R$1</f>
        <v>0.00763345325893956</v>
      </c>
      <c r="S69" s="204" t="n">
        <f aca="false">F69/S$1</f>
        <v>0.0110308655803802</v>
      </c>
      <c r="T69" s="204" t="n">
        <f aca="false">1-(G69/T$1)</f>
        <v>0.994625751945068</v>
      </c>
      <c r="U69" s="205" t="n">
        <f aca="false">T69/U$1</f>
        <v>0.00765096732265437</v>
      </c>
      <c r="V69" s="204" t="n">
        <f aca="false">H69/V$1</f>
        <v>0.00854631370357197</v>
      </c>
      <c r="W69" s="204" t="n">
        <f aca="false">I69/W$1</f>
        <v>0.00809062828655896</v>
      </c>
      <c r="X69" s="204" t="n">
        <f aca="false">J69/X$1</f>
        <v>0.0088164630194676</v>
      </c>
      <c r="Y69" s="204" t="n">
        <f aca="false">1-(K69/Y$1)</f>
        <v>0.995825528670654</v>
      </c>
      <c r="Z69" s="205" t="n">
        <f aca="false">Y69/Z$1</f>
        <v>0.00766019637438964</v>
      </c>
      <c r="AA69" s="204" t="n">
        <f aca="false">L69/$AA$1</f>
        <v>0.01614156005321</v>
      </c>
      <c r="AB69" s="204" t="n">
        <f aca="false">M69/AB$1</f>
        <v>0.0115386780239779</v>
      </c>
      <c r="AC69" s="204" t="n">
        <f aca="false">N69/AC$1</f>
        <v>0.0151552080489802</v>
      </c>
      <c r="AD69" s="204" t="n">
        <f aca="false">O69/AD$1</f>
        <v>0.0126377433346938</v>
      </c>
      <c r="AE69" s="209" t="n">
        <f aca="false">('Modelo AHP'!$U$37*aux!P69)+('Modelo AHP'!$U$38*aux!R69)+('Modelo AHP'!$U$39*aux!S69)</f>
        <v>0.00930558224525785</v>
      </c>
      <c r="AF69" s="210" t="n">
        <f aca="false">aux!U69</f>
        <v>0.00765096732265437</v>
      </c>
      <c r="AG69" s="209" t="n">
        <f aca="false">('Modelo AHP'!$U$47*aux!V69)+('Modelo AHP'!$U$48*aux!W69)+('Modelo AHP'!$U$49*aux!X69)</f>
        <v>0.00844889753655538</v>
      </c>
      <c r="AH69" s="210" t="n">
        <f aca="false">Z69</f>
        <v>0.00766019637438964</v>
      </c>
      <c r="AI69" s="209" t="n">
        <f aca="false">('Modelo AHP'!$U$56*aux!AA69)+('Modelo AHP'!$U$57*aux!AB69)+('Modelo AHP'!$U$58*aux!AC69)+('Modelo AHP'!$U$59*aux!AD69)</f>
        <v>0.0132170459988158</v>
      </c>
      <c r="AJ69" s="211" t="n">
        <f aca="false">('Modelo AHP'!$U$23*aux!AE69)+('Modelo AHP'!$U$24*aux!AF69)+('Modelo AHP'!$U$25*aux!AG69)+('Modelo AHP'!$U$26*aux!AH69)+('Modelo AHP'!$U$27*aux!AI69)</f>
        <v>0.00872155362751369</v>
      </c>
    </row>
    <row r="70" customFormat="false" ht="15" hidden="false" customHeight="false" outlineLevel="0" collapsed="false">
      <c r="A70" s="195" t="n">
        <f aca="false">_xlfn.RANK.EQ(AJ70,AJ$5:AJ$135)</f>
        <v>23</v>
      </c>
      <c r="B70" s="196" t="s">
        <v>199</v>
      </c>
      <c r="C70" s="197" t="s">
        <v>200</v>
      </c>
      <c r="D70" s="198" t="n">
        <v>0.122482919813017</v>
      </c>
      <c r="E70" s="199" t="n">
        <v>83.3</v>
      </c>
      <c r="F70" s="198" t="n">
        <v>0.497644515878734</v>
      </c>
      <c r="G70" s="200" t="n">
        <v>27579.2279443115</v>
      </c>
      <c r="H70" s="201" t="n">
        <v>9.36</v>
      </c>
      <c r="I70" s="201" t="n">
        <v>11.61</v>
      </c>
      <c r="J70" s="198" t="n">
        <v>0.0622599579699993</v>
      </c>
      <c r="K70" s="202" t="n">
        <v>58639.77</v>
      </c>
      <c r="L70" s="198" t="n">
        <v>0.0940440703723187</v>
      </c>
      <c r="M70" s="203" t="n">
        <v>1964</v>
      </c>
      <c r="N70" s="198" t="n">
        <v>0.101988371719508</v>
      </c>
      <c r="O70" s="198" t="n">
        <v>0.094560878243513</v>
      </c>
      <c r="P70" s="204" t="n">
        <f aca="false">D70/$P$1</f>
        <v>0.0112111576303677</v>
      </c>
      <c r="Q70" s="204" t="n">
        <f aca="false">1-(E70/Q$1)</f>
        <v>0.992338806840443</v>
      </c>
      <c r="R70" s="204" t="n">
        <f aca="false">Q70/R$1</f>
        <v>0.00763337543723418</v>
      </c>
      <c r="S70" s="204" t="n">
        <f aca="false">F70/S$1</f>
        <v>0.0102027645591621</v>
      </c>
      <c r="T70" s="204" t="n">
        <f aca="false">1-(G70/T$1)</f>
        <v>0.995044621940639</v>
      </c>
      <c r="U70" s="205" t="n">
        <f aca="false">T70/U$1</f>
        <v>0.00765418939954338</v>
      </c>
      <c r="V70" s="204" t="n">
        <f aca="false">H70/V$1</f>
        <v>0.00951171180326203</v>
      </c>
      <c r="W70" s="204" t="n">
        <f aca="false">I70/W$1</f>
        <v>0.00961434947870517</v>
      </c>
      <c r="X70" s="204" t="n">
        <f aca="false">J70/X$1</f>
        <v>0.00999414819738396</v>
      </c>
      <c r="Y70" s="204" t="n">
        <f aca="false">1-(K70/Y$1)</f>
        <v>0.995592184909885</v>
      </c>
      <c r="Z70" s="205" t="n">
        <f aca="false">Y70/Z$1</f>
        <v>0.00765840142238373</v>
      </c>
      <c r="AA70" s="204" t="n">
        <f aca="false">L70/$AA$1</f>
        <v>0.0143649171048755</v>
      </c>
      <c r="AB70" s="204" t="n">
        <f aca="false">M70/AB$1</f>
        <v>0.0184243606821892</v>
      </c>
      <c r="AC70" s="204" t="n">
        <f aca="false">N70/AC$1</f>
        <v>0.0154769332761377</v>
      </c>
      <c r="AD70" s="204" t="n">
        <f aca="false">O70/AD$1</f>
        <v>0.0143888989075447</v>
      </c>
      <c r="AE70" s="209" t="n">
        <f aca="false">('Modelo AHP'!$U$37*aux!P70)+('Modelo AHP'!$U$38*aux!R70)+('Modelo AHP'!$U$39*aux!S70)</f>
        <v>0.010248343568331</v>
      </c>
      <c r="AF70" s="210" t="n">
        <f aca="false">aux!U70</f>
        <v>0.00765418939954338</v>
      </c>
      <c r="AG70" s="209" t="n">
        <f aca="false">('Modelo AHP'!$U$47*aux!V70)+('Modelo AHP'!$U$48*aux!W70)+('Modelo AHP'!$U$49*aux!X70)</f>
        <v>0.00974410621080707</v>
      </c>
      <c r="AH70" s="210" t="n">
        <f aca="false">Z70</f>
        <v>0.00765840142238373</v>
      </c>
      <c r="AI70" s="209" t="n">
        <f aca="false">('Modelo AHP'!$U$56*aux!AA70)+('Modelo AHP'!$U$57*aux!AB70)+('Modelo AHP'!$U$58*aux!AC70)+('Modelo AHP'!$U$59*aux!AD70)</f>
        <v>0.0166131481063229</v>
      </c>
      <c r="AJ70" s="211" t="n">
        <f aca="false">('Modelo AHP'!$U$23*aux!AE70)+('Modelo AHP'!$U$24*aux!AF70)+('Modelo AHP'!$U$25*aux!AG70)+('Modelo AHP'!$U$26*aux!AH70)+('Modelo AHP'!$U$27*aux!AI70)</f>
        <v>0.00964033573897244</v>
      </c>
    </row>
    <row r="71" customFormat="false" ht="15" hidden="false" customHeight="false" outlineLevel="0" collapsed="false">
      <c r="A71" s="195" t="n">
        <f aca="false">_xlfn.RANK.EQ(AJ71,AJ$5:AJ$135)</f>
        <v>21</v>
      </c>
      <c r="B71" s="196" t="s">
        <v>199</v>
      </c>
      <c r="C71" s="197" t="s">
        <v>201</v>
      </c>
      <c r="D71" s="198" t="n">
        <v>0.155792195001847</v>
      </c>
      <c r="E71" s="199" t="n">
        <v>82.66</v>
      </c>
      <c r="F71" s="198" t="n">
        <v>0.525640024976584</v>
      </c>
      <c r="G71" s="200" t="n">
        <v>28031.4791042033</v>
      </c>
      <c r="H71" s="201" t="n">
        <v>8.62</v>
      </c>
      <c r="I71" s="201" t="n">
        <v>10.41</v>
      </c>
      <c r="J71" s="198" t="n">
        <v>0.0622599579699993</v>
      </c>
      <c r="K71" s="202" t="n">
        <v>54050.37</v>
      </c>
      <c r="L71" s="198" t="n">
        <v>0.0940440703723187</v>
      </c>
      <c r="M71" s="203" t="n">
        <v>1964</v>
      </c>
      <c r="N71" s="198" t="n">
        <v>0.101988371719508</v>
      </c>
      <c r="O71" s="198" t="n">
        <v>0.094560878243513</v>
      </c>
      <c r="P71" s="204" t="n">
        <f aca="false">D71/$P$1</f>
        <v>0.0142600360802393</v>
      </c>
      <c r="Q71" s="204" t="n">
        <f aca="false">1-(E71/Q$1)</f>
        <v>0.992397668348512</v>
      </c>
      <c r="R71" s="204" t="n">
        <f aca="false">Q71/R$1</f>
        <v>0.00763382821806548</v>
      </c>
      <c r="S71" s="204" t="n">
        <f aca="false">F71/S$1</f>
        <v>0.0107767316761008</v>
      </c>
      <c r="T71" s="204" t="n">
        <f aca="false">1-(G71/T$1)</f>
        <v>0.994963362397059</v>
      </c>
      <c r="U71" s="205" t="n">
        <f aca="false">T71/U$1</f>
        <v>0.00765356432613122</v>
      </c>
      <c r="V71" s="204" t="n">
        <f aca="false">H71/V$1</f>
        <v>0.00875971749402977</v>
      </c>
      <c r="W71" s="204" t="n">
        <f aca="false">I71/W$1</f>
        <v>0.0086206182664359</v>
      </c>
      <c r="X71" s="204" t="n">
        <f aca="false">J71/X$1</f>
        <v>0.00999414819738396</v>
      </c>
      <c r="Y71" s="204" t="n">
        <f aca="false">1-(K71/Y$1)</f>
        <v>0.995937159431009</v>
      </c>
      <c r="Z71" s="205" t="n">
        <f aca="false">Y71/Z$1</f>
        <v>0.00766105507254623</v>
      </c>
      <c r="AA71" s="204" t="n">
        <f aca="false">L71/$AA$1</f>
        <v>0.0143649171048755</v>
      </c>
      <c r="AB71" s="204" t="n">
        <f aca="false">M71/AB$1</f>
        <v>0.0184243606821892</v>
      </c>
      <c r="AC71" s="204" t="n">
        <f aca="false">N71/AC$1</f>
        <v>0.0154769332761377</v>
      </c>
      <c r="AD71" s="204" t="n">
        <f aca="false">O71/AD$1</f>
        <v>0.0143888989075447</v>
      </c>
      <c r="AE71" s="209" t="n">
        <f aca="false">('Modelo AHP'!$U$37*aux!P71)+('Modelo AHP'!$U$38*aux!R71)+('Modelo AHP'!$U$39*aux!S71)</f>
        <v>0.0115074326515388</v>
      </c>
      <c r="AF71" s="210" t="n">
        <f aca="false">aux!U71</f>
        <v>0.00765356432613122</v>
      </c>
      <c r="AG71" s="209" t="n">
        <f aca="false">('Modelo AHP'!$U$47*aux!V71)+('Modelo AHP'!$U$48*aux!W71)+('Modelo AHP'!$U$49*aux!X71)</f>
        <v>0.00917621951711149</v>
      </c>
      <c r="AH71" s="210" t="n">
        <f aca="false">Z71</f>
        <v>0.00766105507254623</v>
      </c>
      <c r="AI71" s="209" t="n">
        <f aca="false">('Modelo AHP'!$U$56*aux!AA71)+('Modelo AHP'!$U$57*aux!AB71)+('Modelo AHP'!$U$58*aux!AC71)+('Modelo AHP'!$U$59*aux!AD71)</f>
        <v>0.0166131481063229</v>
      </c>
      <c r="AJ71" s="211" t="n">
        <f aca="false">('Modelo AHP'!$U$23*aux!AE71)+('Modelo AHP'!$U$24*aux!AF71)+('Modelo AHP'!$U$25*aux!AG71)+('Modelo AHP'!$U$26*aux!AH71)+('Modelo AHP'!$U$27*aux!AI71)</f>
        <v>0.00965639503118069</v>
      </c>
    </row>
    <row r="72" customFormat="false" ht="15" hidden="false" customHeight="false" outlineLevel="0" collapsed="false">
      <c r="A72" s="195" t="n">
        <f aca="false">_xlfn.RANK.EQ(AJ72,AJ$5:AJ$135)</f>
        <v>9</v>
      </c>
      <c r="B72" s="196" t="s">
        <v>199</v>
      </c>
      <c r="C72" s="197" t="s">
        <v>202</v>
      </c>
      <c r="D72" s="198" t="n">
        <v>0.140659853711677</v>
      </c>
      <c r="E72" s="199" t="n">
        <v>82.73</v>
      </c>
      <c r="F72" s="198" t="n">
        <v>0.568956828489837</v>
      </c>
      <c r="G72" s="200" t="n">
        <v>26282.7243978732</v>
      </c>
      <c r="H72" s="201" t="n">
        <v>11.55</v>
      </c>
      <c r="I72" s="201" t="n">
        <v>13.81</v>
      </c>
      <c r="J72" s="198" t="n">
        <v>0.0622599579699993</v>
      </c>
      <c r="K72" s="202" t="n">
        <v>50492.96</v>
      </c>
      <c r="L72" s="198" t="n">
        <v>0.0940440703723187</v>
      </c>
      <c r="M72" s="203" t="n">
        <v>1964</v>
      </c>
      <c r="N72" s="198" t="n">
        <v>0.101988371719508</v>
      </c>
      <c r="O72" s="198" t="n">
        <v>0.094560878243513</v>
      </c>
      <c r="P72" s="204" t="n">
        <f aca="false">D72/$P$1</f>
        <v>0.0128749363146589</v>
      </c>
      <c r="Q72" s="204" t="n">
        <f aca="false">1-(E72/Q$1)</f>
        <v>0.992391230371067</v>
      </c>
      <c r="R72" s="204" t="n">
        <f aca="false">Q72/R$1</f>
        <v>0.00763377869516205</v>
      </c>
      <c r="S72" s="204" t="n">
        <f aca="false">F72/S$1</f>
        <v>0.0116648177166368</v>
      </c>
      <c r="T72" s="204" t="n">
        <f aca="false">1-(G72/T$1)</f>
        <v>0.995277574989248</v>
      </c>
      <c r="U72" s="205" t="n">
        <f aca="false">T72/U$1</f>
        <v>0.00765598134607114</v>
      </c>
      <c r="V72" s="204" t="n">
        <f aca="false">H72/V$1</f>
        <v>0.0117372084751791</v>
      </c>
      <c r="W72" s="204" t="n">
        <f aca="false">I72/W$1</f>
        <v>0.0114361900345322</v>
      </c>
      <c r="X72" s="204" t="n">
        <f aca="false">J72/X$1</f>
        <v>0.00999414819738396</v>
      </c>
      <c r="Y72" s="204" t="n">
        <f aca="false">1-(K72/Y$1)</f>
        <v>0.996204561664676</v>
      </c>
      <c r="Z72" s="205" t="n">
        <f aca="false">Y72/Z$1</f>
        <v>0.0076631120128052</v>
      </c>
      <c r="AA72" s="204" t="n">
        <f aca="false">L72/$AA$1</f>
        <v>0.0143649171048755</v>
      </c>
      <c r="AB72" s="204" t="n">
        <f aca="false">M72/AB$1</f>
        <v>0.0184243606821892</v>
      </c>
      <c r="AC72" s="204" t="n">
        <f aca="false">N72/AC$1</f>
        <v>0.0154769332761377</v>
      </c>
      <c r="AD72" s="204" t="n">
        <f aca="false">O72/AD$1</f>
        <v>0.0143888989075447</v>
      </c>
      <c r="AE72" s="209" t="n">
        <f aca="false">('Modelo AHP'!$U$37*aux!P72)+('Modelo AHP'!$U$38*aux!R72)+('Modelo AHP'!$U$39*aux!S72)</f>
        <v>0.0116247493938959</v>
      </c>
      <c r="AF72" s="210" t="n">
        <f aca="false">aux!U72</f>
        <v>0.00765598134607114</v>
      </c>
      <c r="AG72" s="209" t="n">
        <f aca="false">('Modelo AHP'!$U$47*aux!V72)+('Modelo AHP'!$U$48*aux!W72)+('Modelo AHP'!$U$49*aux!X72)</f>
        <v>0.0109285171115361</v>
      </c>
      <c r="AH72" s="210" t="n">
        <f aca="false">Z72</f>
        <v>0.0076631120128052</v>
      </c>
      <c r="AI72" s="209" t="n">
        <f aca="false">('Modelo AHP'!$U$56*aux!AA72)+('Modelo AHP'!$U$57*aux!AB72)+('Modelo AHP'!$U$58*aux!AC72)+('Modelo AHP'!$U$59*aux!AD72)</f>
        <v>0.0166131481063229</v>
      </c>
      <c r="AJ72" s="211" t="n">
        <f aca="false">('Modelo AHP'!$U$23*aux!AE72)+('Modelo AHP'!$U$24*aux!AF72)+('Modelo AHP'!$U$25*aux!AG72)+('Modelo AHP'!$U$26*aux!AH72)+('Modelo AHP'!$U$27*aux!AI72)</f>
        <v>0.0102757129475027</v>
      </c>
    </row>
    <row r="73" customFormat="false" ht="15" hidden="false" customHeight="false" outlineLevel="0" collapsed="false">
      <c r="A73" s="195" t="n">
        <f aca="false">_xlfn.RANK.EQ(AJ73,AJ$5:AJ$135)</f>
        <v>14</v>
      </c>
      <c r="B73" s="196" t="s">
        <v>199</v>
      </c>
      <c r="C73" s="197" t="s">
        <v>203</v>
      </c>
      <c r="D73" s="198" t="n">
        <v>0.16321542836829</v>
      </c>
      <c r="E73" s="199" t="n">
        <v>83.15</v>
      </c>
      <c r="F73" s="198" t="n">
        <v>0.566425870534455</v>
      </c>
      <c r="G73" s="200" t="n">
        <v>27788.2132821128</v>
      </c>
      <c r="H73" s="201" t="n">
        <v>9.29</v>
      </c>
      <c r="I73" s="201" t="n">
        <v>11.02</v>
      </c>
      <c r="J73" s="198" t="n">
        <v>0.0622599579699993</v>
      </c>
      <c r="K73" s="202" t="n">
        <v>53480.84</v>
      </c>
      <c r="L73" s="198" t="n">
        <v>0.0940440703723187</v>
      </c>
      <c r="M73" s="203" t="n">
        <v>1964</v>
      </c>
      <c r="N73" s="198" t="n">
        <v>0.101988371719508</v>
      </c>
      <c r="O73" s="198" t="n">
        <v>0.094560878243513</v>
      </c>
      <c r="P73" s="204" t="n">
        <f aca="false">D73/$P$1</f>
        <v>0.0149395025685076</v>
      </c>
      <c r="Q73" s="204" t="n">
        <f aca="false">1-(E73/Q$1)</f>
        <v>0.992352602506397</v>
      </c>
      <c r="R73" s="204" t="n">
        <f aca="false">Q73/R$1</f>
        <v>0.00763348155774152</v>
      </c>
      <c r="S73" s="204" t="n">
        <f aca="false">F73/S$1</f>
        <v>0.0116129277282938</v>
      </c>
      <c r="T73" s="204" t="n">
        <f aca="false">1-(G73/T$1)</f>
        <v>0.995007071891748</v>
      </c>
      <c r="U73" s="205" t="n">
        <f aca="false">T73/U$1</f>
        <v>0.00765390055301345</v>
      </c>
      <c r="V73" s="204" t="n">
        <f aca="false">H73/V$1</f>
        <v>0.00944057720644276</v>
      </c>
      <c r="W73" s="204" t="n">
        <f aca="false">I73/W$1</f>
        <v>0.00912576496600611</v>
      </c>
      <c r="X73" s="204" t="n">
        <f aca="false">J73/X$1</f>
        <v>0.00999414819738396</v>
      </c>
      <c r="Y73" s="204" t="n">
        <f aca="false">1-(K73/Y$1)</f>
        <v>0.995979969676143</v>
      </c>
      <c r="Z73" s="205" t="n">
        <f aca="false">Y73/Z$1</f>
        <v>0.00766138438212418</v>
      </c>
      <c r="AA73" s="204" t="n">
        <f aca="false">L73/$AA$1</f>
        <v>0.0143649171048755</v>
      </c>
      <c r="AB73" s="204" t="n">
        <f aca="false">M73/AB$1</f>
        <v>0.0184243606821892</v>
      </c>
      <c r="AC73" s="204" t="n">
        <f aca="false">N73/AC$1</f>
        <v>0.0154769332761377</v>
      </c>
      <c r="AD73" s="204" t="n">
        <f aca="false">O73/AD$1</f>
        <v>0.0143888989075447</v>
      </c>
      <c r="AE73" s="209" t="n">
        <f aca="false">('Modelo AHP'!$U$37*aux!P73)+('Modelo AHP'!$U$38*aux!R73)+('Modelo AHP'!$U$39*aux!S73)</f>
        <v>0.0122129555633027</v>
      </c>
      <c r="AF73" s="210" t="n">
        <f aca="false">aux!U73</f>
        <v>0.00765390055301345</v>
      </c>
      <c r="AG73" s="209" t="n">
        <f aca="false">('Modelo AHP'!$U$47*aux!V73)+('Modelo AHP'!$U$48*aux!W73)+('Modelo AHP'!$U$49*aux!X73)</f>
        <v>0.00951541764830917</v>
      </c>
      <c r="AH73" s="210" t="n">
        <f aca="false">Z73</f>
        <v>0.00766138438212418</v>
      </c>
      <c r="AI73" s="209" t="n">
        <f aca="false">('Modelo AHP'!$U$56*aux!AA73)+('Modelo AHP'!$U$57*aux!AB73)+('Modelo AHP'!$U$58*aux!AC73)+('Modelo AHP'!$U$59*aux!AD73)</f>
        <v>0.0166131481063229</v>
      </c>
      <c r="AJ73" s="211" t="n">
        <f aca="false">('Modelo AHP'!$U$23*aux!AE73)+('Modelo AHP'!$U$24*aux!AF73)+('Modelo AHP'!$U$25*aux!AG73)+('Modelo AHP'!$U$26*aux!AH73)+('Modelo AHP'!$U$27*aux!AI73)</f>
        <v>0.00989018213307559</v>
      </c>
    </row>
    <row r="74" customFormat="false" ht="15" hidden="false" customHeight="false" outlineLevel="0" collapsed="false">
      <c r="A74" s="195" t="n">
        <f aca="false">_xlfn.RANK.EQ(AJ74,AJ$5:AJ$135)</f>
        <v>11</v>
      </c>
      <c r="B74" s="196" t="s">
        <v>199</v>
      </c>
      <c r="C74" s="197" t="s">
        <v>204</v>
      </c>
      <c r="D74" s="198" t="n">
        <v>0.158989773966345</v>
      </c>
      <c r="E74" s="199" t="n">
        <v>82.06</v>
      </c>
      <c r="F74" s="198" t="n">
        <v>0.600704087619793</v>
      </c>
      <c r="G74" s="200" t="n">
        <v>25725.1872554806</v>
      </c>
      <c r="H74" s="201" t="n">
        <v>10.58</v>
      </c>
      <c r="I74" s="201" t="n">
        <v>12.1</v>
      </c>
      <c r="J74" s="198" t="n">
        <v>0.0622599579699993</v>
      </c>
      <c r="K74" s="202" t="n">
        <v>50230.98</v>
      </c>
      <c r="L74" s="198" t="n">
        <v>0.0940440703723187</v>
      </c>
      <c r="M74" s="203" t="n">
        <v>1964</v>
      </c>
      <c r="N74" s="198" t="n">
        <v>0.101988371719508</v>
      </c>
      <c r="O74" s="198" t="n">
        <v>0.094560878243513</v>
      </c>
      <c r="P74" s="204" t="n">
        <f aca="false">D74/$P$1</f>
        <v>0.014552718209807</v>
      </c>
      <c r="Q74" s="204" t="n">
        <f aca="false">1-(E74/Q$1)</f>
        <v>0.992452851012326</v>
      </c>
      <c r="R74" s="204" t="n">
        <f aca="false">Q74/R$1</f>
        <v>0.00763425270009482</v>
      </c>
      <c r="S74" s="204" t="n">
        <f aca="false">F74/S$1</f>
        <v>0.0123157036401553</v>
      </c>
      <c r="T74" s="204" t="n">
        <f aca="false">1-(G74/T$1)</f>
        <v>0.995377752098203</v>
      </c>
      <c r="U74" s="205" t="n">
        <f aca="false">T74/U$1</f>
        <v>0.00765675193921695</v>
      </c>
      <c r="V74" s="204" t="n">
        <f aca="false">H74/V$1</f>
        <v>0.0107514862049693</v>
      </c>
      <c r="W74" s="204" t="n">
        <f aca="false">I74/W$1</f>
        <v>0.0100201230570485</v>
      </c>
      <c r="X74" s="204" t="n">
        <f aca="false">J74/X$1</f>
        <v>0.00999414819738396</v>
      </c>
      <c r="Y74" s="204" t="n">
        <f aca="false">1-(K74/Y$1)</f>
        <v>0.996224254091801</v>
      </c>
      <c r="Z74" s="205" t="n">
        <f aca="false">Y74/Z$1</f>
        <v>0.00766326349301385</v>
      </c>
      <c r="AA74" s="204" t="n">
        <f aca="false">L74/$AA$1</f>
        <v>0.0143649171048755</v>
      </c>
      <c r="AB74" s="204" t="n">
        <f aca="false">M74/AB$1</f>
        <v>0.0184243606821892</v>
      </c>
      <c r="AC74" s="204" t="n">
        <f aca="false">N74/AC$1</f>
        <v>0.0154769332761377</v>
      </c>
      <c r="AD74" s="204" t="n">
        <f aca="false">O74/AD$1</f>
        <v>0.0143888989075447</v>
      </c>
      <c r="AE74" s="209" t="n">
        <f aca="false">('Modelo AHP'!$U$37*aux!P74)+('Modelo AHP'!$U$38*aux!R74)+('Modelo AHP'!$U$39*aux!S74)</f>
        <v>0.0125186629170448</v>
      </c>
      <c r="AF74" s="210" t="n">
        <f aca="false">aux!U74</f>
        <v>0.00765675193921695</v>
      </c>
      <c r="AG74" s="209" t="n">
        <f aca="false">('Modelo AHP'!$U$47*aux!V74)+('Modelo AHP'!$U$48*aux!W74)+('Modelo AHP'!$U$49*aux!X74)</f>
        <v>0.0101338077019958</v>
      </c>
      <c r="AH74" s="210" t="n">
        <f aca="false">Z74</f>
        <v>0.00766326349301385</v>
      </c>
      <c r="AI74" s="209" t="n">
        <f aca="false">('Modelo AHP'!$U$56*aux!AA74)+('Modelo AHP'!$U$57*aux!AB74)+('Modelo AHP'!$U$58*aux!AC74)+('Modelo AHP'!$U$59*aux!AD74)</f>
        <v>0.0166131481063229</v>
      </c>
      <c r="AJ74" s="211" t="n">
        <f aca="false">('Modelo AHP'!$U$23*aux!AE74)+('Modelo AHP'!$U$24*aux!AF74)+('Modelo AHP'!$U$25*aux!AG74)+('Modelo AHP'!$U$26*aux!AH74)+('Modelo AHP'!$U$27*aux!AI74)</f>
        <v>0.0101535810055278</v>
      </c>
    </row>
    <row r="75" customFormat="false" ht="15" hidden="false" customHeight="false" outlineLevel="0" collapsed="false">
      <c r="A75" s="195" t="n">
        <f aca="false">_xlfn.RANK.EQ(AJ75,AJ$5:AJ$135)</f>
        <v>32</v>
      </c>
      <c r="B75" s="196" t="s">
        <v>199</v>
      </c>
      <c r="C75" s="197" t="s">
        <v>205</v>
      </c>
      <c r="D75" s="198" t="n">
        <v>0.0797775662108361</v>
      </c>
      <c r="E75" s="199" t="n">
        <v>82.8</v>
      </c>
      <c r="F75" s="198" t="n">
        <v>0.452542476469869</v>
      </c>
      <c r="G75" s="200" t="n">
        <v>31280.5620099041</v>
      </c>
      <c r="H75" s="201" t="n">
        <v>8.25</v>
      </c>
      <c r="I75" s="201" t="n">
        <v>9.22</v>
      </c>
      <c r="J75" s="198" t="n">
        <v>0.0622599579699993</v>
      </c>
      <c r="K75" s="202" t="n">
        <v>53572.15</v>
      </c>
      <c r="L75" s="198" t="n">
        <v>0.0940440703723187</v>
      </c>
      <c r="M75" s="203" t="n">
        <v>1964</v>
      </c>
      <c r="N75" s="198" t="n">
        <v>0.101988371719508</v>
      </c>
      <c r="O75" s="198" t="n">
        <v>0.094560878243513</v>
      </c>
      <c r="P75" s="204" t="n">
        <f aca="false">D75/$P$1</f>
        <v>0.00730223341770567</v>
      </c>
      <c r="Q75" s="204" t="n">
        <f aca="false">1-(E75/Q$1)</f>
        <v>0.992384792393622</v>
      </c>
      <c r="R75" s="204" t="n">
        <f aca="false">Q75/R$1</f>
        <v>0.00763372917225863</v>
      </c>
      <c r="S75" s="204" t="n">
        <f aca="false">F75/S$1</f>
        <v>0.0092780774089096</v>
      </c>
      <c r="T75" s="204" t="n">
        <f aca="false">1-(G75/T$1)</f>
        <v>0.994379573968446</v>
      </c>
      <c r="U75" s="205" t="n">
        <f aca="false">T75/U$1</f>
        <v>0.00764907364591113</v>
      </c>
      <c r="V75" s="204" t="n">
        <f aca="false">H75/V$1</f>
        <v>0.00838372033941365</v>
      </c>
      <c r="W75" s="204" t="n">
        <f aca="false">I75/W$1</f>
        <v>0.00763516814760221</v>
      </c>
      <c r="X75" s="204" t="n">
        <f aca="false">J75/X$1</f>
        <v>0.00999414819738396</v>
      </c>
      <c r="Y75" s="204" t="n">
        <f aca="false">1-(K75/Y$1)</f>
        <v>0.995973106115868</v>
      </c>
      <c r="Z75" s="205" t="n">
        <f aca="false">Y75/Z$1</f>
        <v>0.00766133158550668</v>
      </c>
      <c r="AA75" s="204" t="n">
        <f aca="false">L75/$AA$1</f>
        <v>0.0143649171048755</v>
      </c>
      <c r="AB75" s="204" t="n">
        <f aca="false">M75/AB$1</f>
        <v>0.0184243606821892</v>
      </c>
      <c r="AC75" s="204" t="n">
        <f aca="false">N75/AC$1</f>
        <v>0.0154769332761377</v>
      </c>
      <c r="AD75" s="204" t="n">
        <f aca="false">O75/AD$1</f>
        <v>0.0143888989075447</v>
      </c>
      <c r="AE75" s="209" t="n">
        <f aca="false">('Modelo AHP'!$U$37*aux!P75)+('Modelo AHP'!$U$38*aux!R75)+('Modelo AHP'!$U$39*aux!S75)</f>
        <v>0.00852088938788332</v>
      </c>
      <c r="AF75" s="210" t="n">
        <f aca="false">aux!U75</f>
        <v>0.00764907364591113</v>
      </c>
      <c r="AG75" s="209" t="n">
        <f aca="false">('Modelo AHP'!$U$47*aux!V75)+('Modelo AHP'!$U$48*aux!W75)+('Modelo AHP'!$U$49*aux!X75)</f>
        <v>0.00867562357259792</v>
      </c>
      <c r="AH75" s="210" t="n">
        <f aca="false">Z75</f>
        <v>0.00766133158550668</v>
      </c>
      <c r="AI75" s="209" t="n">
        <f aca="false">('Modelo AHP'!$U$56*aux!AA75)+('Modelo AHP'!$U$57*aux!AB75)+('Modelo AHP'!$U$58*aux!AC75)+('Modelo AHP'!$U$59*aux!AD75)</f>
        <v>0.0166131481063229</v>
      </c>
      <c r="AJ75" s="211" t="n">
        <f aca="false">('Modelo AHP'!$U$23*aux!AE75)+('Modelo AHP'!$U$24*aux!AF75)+('Modelo AHP'!$U$25*aux!AG75)+('Modelo AHP'!$U$26*aux!AH75)+('Modelo AHP'!$U$27*aux!AI75)</f>
        <v>0.00898549140482707</v>
      </c>
    </row>
    <row r="76" customFormat="false" ht="15" hidden="false" customHeight="false" outlineLevel="0" collapsed="false">
      <c r="A76" s="195" t="n">
        <f aca="false">_xlfn.RANK.EQ(AJ76,AJ$5:AJ$135)</f>
        <v>16</v>
      </c>
      <c r="B76" s="196" t="s">
        <v>199</v>
      </c>
      <c r="C76" s="197" t="s">
        <v>206</v>
      </c>
      <c r="D76" s="198" t="n">
        <v>0.138734925593738</v>
      </c>
      <c r="E76" s="199" t="n">
        <v>82.56</v>
      </c>
      <c r="F76" s="198" t="n">
        <v>0.56429344883595</v>
      </c>
      <c r="G76" s="200" t="n">
        <v>27997.6117863216</v>
      </c>
      <c r="H76" s="201" t="n">
        <v>9.72</v>
      </c>
      <c r="I76" s="201" t="n">
        <v>11.16</v>
      </c>
      <c r="J76" s="198" t="n">
        <v>0.0622599579699993</v>
      </c>
      <c r="K76" s="202" t="n">
        <v>51026.14</v>
      </c>
      <c r="L76" s="198" t="n">
        <v>0.0940440703723187</v>
      </c>
      <c r="M76" s="203" t="n">
        <v>1964</v>
      </c>
      <c r="N76" s="198" t="n">
        <v>0.101988371719508</v>
      </c>
      <c r="O76" s="198" t="n">
        <v>0.094560878243513</v>
      </c>
      <c r="P76" s="204" t="n">
        <f aca="false">D76/$P$1</f>
        <v>0.0126987429924367</v>
      </c>
      <c r="Q76" s="204" t="n">
        <f aca="false">1-(E76/Q$1)</f>
        <v>0.992406865459147</v>
      </c>
      <c r="R76" s="204" t="n">
        <f aca="false">Q76/R$1</f>
        <v>0.00763389896507037</v>
      </c>
      <c r="S76" s="204" t="n">
        <f aca="false">F76/S$1</f>
        <v>0.0115692085756929</v>
      </c>
      <c r="T76" s="204" t="n">
        <f aca="false">1-(G76/T$1)</f>
        <v>0.994969447605981</v>
      </c>
      <c r="U76" s="205" t="n">
        <f aca="false">T76/U$1</f>
        <v>0.00765361113543063</v>
      </c>
      <c r="V76" s="204" t="n">
        <f aca="false">H76/V$1</f>
        <v>0.00987754687261826</v>
      </c>
      <c r="W76" s="204" t="n">
        <f aca="false">I76/W$1</f>
        <v>0.00924170027410419</v>
      </c>
      <c r="X76" s="204" t="n">
        <f aca="false">J76/X$1</f>
        <v>0.00999414819738396</v>
      </c>
      <c r="Y76" s="204" t="n">
        <f aca="false">1-(K76/Y$1)</f>
        <v>0.996164483764477</v>
      </c>
      <c r="Z76" s="205" t="n">
        <f aca="false">Y76/Z$1</f>
        <v>0.00766280372126521</v>
      </c>
      <c r="AA76" s="204" t="n">
        <f aca="false">L76/$AA$1</f>
        <v>0.0143649171048755</v>
      </c>
      <c r="AB76" s="204" t="n">
        <f aca="false">M76/AB$1</f>
        <v>0.0184243606821892</v>
      </c>
      <c r="AC76" s="204" t="n">
        <f aca="false">N76/AC$1</f>
        <v>0.0154769332761377</v>
      </c>
      <c r="AD76" s="204" t="n">
        <f aca="false">O76/AD$1</f>
        <v>0.0143888989075447</v>
      </c>
      <c r="AE76" s="209" t="n">
        <f aca="false">('Modelo AHP'!$U$37*aux!P76)+('Modelo AHP'!$U$38*aux!R76)+('Modelo AHP'!$U$39*aux!S76)</f>
        <v>0.0115145379396538</v>
      </c>
      <c r="AF76" s="210" t="n">
        <f aca="false">aux!U76</f>
        <v>0.00765361113543063</v>
      </c>
      <c r="AG76" s="209" t="n">
        <f aca="false">('Modelo AHP'!$U$47*aux!V76)+('Modelo AHP'!$U$48*aux!W76)+('Modelo AHP'!$U$49*aux!X76)</f>
        <v>0.00964076195182085</v>
      </c>
      <c r="AH76" s="210" t="n">
        <f aca="false">Z76</f>
        <v>0.00766280372126521</v>
      </c>
      <c r="AI76" s="209" t="n">
        <f aca="false">('Modelo AHP'!$U$56*aux!AA76)+('Modelo AHP'!$U$57*aux!AB76)+('Modelo AHP'!$U$58*aux!AC76)+('Modelo AHP'!$U$59*aux!AD76)</f>
        <v>0.0166131481063229</v>
      </c>
      <c r="AJ76" s="211" t="n">
        <f aca="false">('Modelo AHP'!$U$23*aux!AE76)+('Modelo AHP'!$U$24*aux!AF76)+('Modelo AHP'!$U$25*aux!AG76)+('Modelo AHP'!$U$26*aux!AH76)+('Modelo AHP'!$U$27*aux!AI76)</f>
        <v>0.00981647341064218</v>
      </c>
    </row>
    <row r="77" customFormat="false" ht="15" hidden="false" customHeight="false" outlineLevel="0" collapsed="false">
      <c r="A77" s="195" t="n">
        <f aca="false">_xlfn.RANK.EQ(AJ77,AJ$5:AJ$135)</f>
        <v>25</v>
      </c>
      <c r="B77" s="196" t="s">
        <v>207</v>
      </c>
      <c r="C77" s="197" t="s">
        <v>208</v>
      </c>
      <c r="D77" s="198" t="n">
        <v>0.0504544446907559</v>
      </c>
      <c r="E77" s="199" t="n">
        <v>81.31</v>
      </c>
      <c r="F77" s="198" t="n">
        <v>0.62287499249114</v>
      </c>
      <c r="G77" s="200" t="n">
        <v>26857.9425527045</v>
      </c>
      <c r="H77" s="201" t="n">
        <v>10.62</v>
      </c>
      <c r="I77" s="201" t="n">
        <v>11.82</v>
      </c>
      <c r="J77" s="198" t="n">
        <v>0.0661265225089875</v>
      </c>
      <c r="K77" s="202" t="n">
        <v>53708.18</v>
      </c>
      <c r="L77" s="198" t="n">
        <v>0.0576889356479046</v>
      </c>
      <c r="M77" s="203" t="n">
        <v>1540</v>
      </c>
      <c r="N77" s="198" t="n">
        <v>0.0673926311393788</v>
      </c>
      <c r="O77" s="198" t="n">
        <v>0.0644336327345309</v>
      </c>
      <c r="P77" s="204" t="n">
        <f aca="false">D77/$P$1</f>
        <v>0.00461821724567197</v>
      </c>
      <c r="Q77" s="204" t="n">
        <f aca="false">1-(E77/Q$1)</f>
        <v>0.992521829342094</v>
      </c>
      <c r="R77" s="204" t="n">
        <f aca="false">Q77/R$1</f>
        <v>0.00763478330263149</v>
      </c>
      <c r="S77" s="204" t="n">
        <f aca="false">F77/S$1</f>
        <v>0.0127702540576687</v>
      </c>
      <c r="T77" s="204" t="n">
        <f aca="false">1-(G77/T$1)</f>
        <v>0.995174220992915</v>
      </c>
      <c r="U77" s="205" t="n">
        <f aca="false">T77/U$1</f>
        <v>0.00765518631533012</v>
      </c>
      <c r="V77" s="204" t="n">
        <f aca="false">H77/V$1</f>
        <v>0.0107921345460088</v>
      </c>
      <c r="W77" s="204" t="n">
        <f aca="false">I77/W$1</f>
        <v>0.00978825244085229</v>
      </c>
      <c r="X77" s="204" t="n">
        <f aca="false">J77/X$1</f>
        <v>0.0106148202999257</v>
      </c>
      <c r="Y77" s="204" t="n">
        <f aca="false">1-(K77/Y$1)</f>
        <v>0.995962881057231</v>
      </c>
      <c r="Z77" s="205" t="n">
        <f aca="false">Y77/Z$1</f>
        <v>0.00766125293120947</v>
      </c>
      <c r="AA77" s="204" t="n">
        <f aca="false">L77/$AA$1</f>
        <v>0.00881179190957869</v>
      </c>
      <c r="AB77" s="204" t="n">
        <f aca="false">M77/AB$1</f>
        <v>0.0144468001275821</v>
      </c>
      <c r="AC77" s="204" t="n">
        <f aca="false">N77/AC$1</f>
        <v>0.0102269625238857</v>
      </c>
      <c r="AD77" s="204" t="n">
        <f aca="false">O77/AD$1</f>
        <v>0.00980457293634146</v>
      </c>
      <c r="AE77" s="209" t="n">
        <f aca="false">('Modelo AHP'!$U$37*aux!P77)+('Modelo AHP'!$U$38*aux!R77)+('Modelo AHP'!$U$39*aux!S77)</f>
        <v>0.00981109593856594</v>
      </c>
      <c r="AF77" s="210" t="n">
        <f aca="false">aux!U77</f>
        <v>0.00765518631533012</v>
      </c>
      <c r="AG77" s="209" t="n">
        <f aca="false">('Modelo AHP'!$U$47*aux!V77)+('Modelo AHP'!$U$48*aux!W77)+('Modelo AHP'!$U$49*aux!X77)</f>
        <v>0.0102782975944999</v>
      </c>
      <c r="AH77" s="210" t="n">
        <f aca="false">Z77</f>
        <v>0.00766125293120947</v>
      </c>
      <c r="AI77" s="209" t="n">
        <f aca="false">('Modelo AHP'!$U$56*aux!AA77)+('Modelo AHP'!$U$57*aux!AB77)+('Modelo AHP'!$U$58*aux!AC77)+('Modelo AHP'!$U$59*aux!AD77)</f>
        <v>0.012024783106609</v>
      </c>
      <c r="AJ77" s="211" t="n">
        <f aca="false">('Modelo AHP'!$U$23*aux!AE77)+('Modelo AHP'!$U$24*aux!AF77)+('Modelo AHP'!$U$25*aux!AG77)+('Modelo AHP'!$U$26*aux!AH77)+('Modelo AHP'!$U$27*aux!AI77)</f>
        <v>0.00932089171925905</v>
      </c>
    </row>
    <row r="78" customFormat="false" ht="15" hidden="false" customHeight="false" outlineLevel="0" collapsed="false">
      <c r="A78" s="195" t="n">
        <f aca="false">_xlfn.RANK.EQ(AJ78,AJ$5:AJ$135)</f>
        <v>12</v>
      </c>
      <c r="B78" s="196" t="s">
        <v>207</v>
      </c>
      <c r="C78" s="197" t="s">
        <v>209</v>
      </c>
      <c r="D78" s="198" t="n">
        <v>0.108016504568229</v>
      </c>
      <c r="E78" s="199" t="n">
        <v>80.58</v>
      </c>
      <c r="F78" s="198" t="n">
        <v>0.662660419637401</v>
      </c>
      <c r="G78" s="200" t="n">
        <v>24995.8694500883</v>
      </c>
      <c r="H78" s="201" t="n">
        <v>13.14</v>
      </c>
      <c r="I78" s="201" t="n">
        <v>14.04</v>
      </c>
      <c r="J78" s="198" t="n">
        <v>0.0661265225089875</v>
      </c>
      <c r="K78" s="202" t="n">
        <v>53439.81</v>
      </c>
      <c r="L78" s="198" t="n">
        <v>0.0576889356479046</v>
      </c>
      <c r="M78" s="203" t="n">
        <v>1540</v>
      </c>
      <c r="N78" s="198" t="n">
        <v>0.0673926311393788</v>
      </c>
      <c r="O78" s="198" t="n">
        <v>0.0644336327345309</v>
      </c>
      <c r="P78" s="204" t="n">
        <f aca="false">D78/$P$1</f>
        <v>0.0098870116849308</v>
      </c>
      <c r="Q78" s="204" t="n">
        <f aca="false">1-(E78/Q$1)</f>
        <v>0.992588968249735</v>
      </c>
      <c r="R78" s="204" t="n">
        <f aca="false">Q78/R$1</f>
        <v>0.00763529975576719</v>
      </c>
      <c r="S78" s="204" t="n">
        <f aca="false">F78/S$1</f>
        <v>0.0135859394176133</v>
      </c>
      <c r="T78" s="204" t="n">
        <f aca="false">1-(G78/T$1)</f>
        <v>0.995508794397808</v>
      </c>
      <c r="U78" s="205" t="n">
        <f aca="false">T78/U$1</f>
        <v>0.00765775995690622</v>
      </c>
      <c r="V78" s="204" t="n">
        <f aca="false">H78/V$1</f>
        <v>0.0133529800315025</v>
      </c>
      <c r="W78" s="204" t="n">
        <f aca="false">I78/W$1</f>
        <v>0.0116266551835504</v>
      </c>
      <c r="X78" s="204" t="n">
        <f aca="false">J78/X$1</f>
        <v>0.0106148202999257</v>
      </c>
      <c r="Y78" s="204" t="n">
        <f aca="false">1-(K78/Y$1)</f>
        <v>0.99598305380579</v>
      </c>
      <c r="Z78" s="205" t="n">
        <f aca="false">Y78/Z$1</f>
        <v>0.00766140810619838</v>
      </c>
      <c r="AA78" s="204" t="n">
        <f aca="false">L78/$AA$1</f>
        <v>0.00881179190957869</v>
      </c>
      <c r="AB78" s="204" t="n">
        <f aca="false">M78/AB$1</f>
        <v>0.0144468001275821</v>
      </c>
      <c r="AC78" s="204" t="n">
        <f aca="false">N78/AC$1</f>
        <v>0.0102269625238857</v>
      </c>
      <c r="AD78" s="204" t="n">
        <f aca="false">O78/AD$1</f>
        <v>0.00980457293634146</v>
      </c>
      <c r="AE78" s="209" t="n">
        <f aca="false">('Modelo AHP'!$U$37*aux!P78)+('Modelo AHP'!$U$38*aux!R78)+('Modelo AHP'!$U$39*aux!S78)</f>
        <v>0.0118811971316239</v>
      </c>
      <c r="AF78" s="210" t="n">
        <f aca="false">aux!U78</f>
        <v>0.00765775995690622</v>
      </c>
      <c r="AG78" s="209" t="n">
        <f aca="false">('Modelo AHP'!$U$47*aux!V78)+('Modelo AHP'!$U$48*aux!W78)+('Modelo AHP'!$U$49*aux!X78)</f>
        <v>0.0115267936281477</v>
      </c>
      <c r="AH78" s="210" t="n">
        <f aca="false">Z78</f>
        <v>0.00766140810619838</v>
      </c>
      <c r="AI78" s="209" t="n">
        <f aca="false">('Modelo AHP'!$U$56*aux!AA78)+('Modelo AHP'!$U$57*aux!AB78)+('Modelo AHP'!$U$58*aux!AC78)+('Modelo AHP'!$U$59*aux!AD78)</f>
        <v>0.012024783106609</v>
      </c>
      <c r="AJ78" s="211" t="n">
        <f aca="false">('Modelo AHP'!$U$23*aux!AE78)+('Modelo AHP'!$U$24*aux!AF78)+('Modelo AHP'!$U$25*aux!AG78)+('Modelo AHP'!$U$26*aux!AH78)+('Modelo AHP'!$U$27*aux!AI78)</f>
        <v>0.0100938456243014</v>
      </c>
    </row>
    <row r="79" customFormat="false" ht="15" hidden="false" customHeight="false" outlineLevel="0" collapsed="false">
      <c r="A79" s="195" t="n">
        <f aca="false">_xlfn.RANK.EQ(AJ79,AJ$5:AJ$135)</f>
        <v>19</v>
      </c>
      <c r="B79" s="196" t="s">
        <v>207</v>
      </c>
      <c r="C79" s="197" t="s">
        <v>210</v>
      </c>
      <c r="D79" s="198" t="n">
        <v>0.139644103580508</v>
      </c>
      <c r="E79" s="199" t="n">
        <v>82.12</v>
      </c>
      <c r="F79" s="198" t="n">
        <v>0.594794636898623</v>
      </c>
      <c r="G79" s="200" t="n">
        <v>25440.2477533762</v>
      </c>
      <c r="H79" s="201" t="n">
        <v>10.86</v>
      </c>
      <c r="I79" s="201" t="n">
        <v>12.18</v>
      </c>
      <c r="J79" s="198" t="n">
        <v>0.0661265225089875</v>
      </c>
      <c r="K79" s="202" t="n">
        <v>50304.3</v>
      </c>
      <c r="L79" s="198" t="n">
        <v>0.0576889356479046</v>
      </c>
      <c r="M79" s="203" t="n">
        <v>1540</v>
      </c>
      <c r="N79" s="198" t="n">
        <v>0.0673926311393788</v>
      </c>
      <c r="O79" s="198" t="n">
        <v>0.0644336327345309</v>
      </c>
      <c r="P79" s="204" t="n">
        <f aca="false">D79/$P$1</f>
        <v>0.0127819622505936</v>
      </c>
      <c r="Q79" s="204" t="n">
        <f aca="false">1-(E79/Q$1)</f>
        <v>0.992447332745945</v>
      </c>
      <c r="R79" s="204" t="n">
        <f aca="false">Q79/R$1</f>
        <v>0.00763421025189188</v>
      </c>
      <c r="S79" s="204" t="n">
        <f aca="false">F79/S$1</f>
        <v>0.0121945474082302</v>
      </c>
      <c r="T79" s="204" t="n">
        <f aca="false">1-(G79/T$1)</f>
        <v>0.995428949432655</v>
      </c>
      <c r="U79" s="205" t="n">
        <f aca="false">T79/U$1</f>
        <v>0.00765714576486658</v>
      </c>
      <c r="V79" s="204" t="n">
        <f aca="false">H79/V$1</f>
        <v>0.0110360245922463</v>
      </c>
      <c r="W79" s="204" t="n">
        <f aca="false">I79/W$1</f>
        <v>0.0100863718045331</v>
      </c>
      <c r="X79" s="204" t="n">
        <f aca="false">J79/X$1</f>
        <v>0.0106148202999257</v>
      </c>
      <c r="Y79" s="204" t="n">
        <f aca="false">1-(K79/Y$1)</f>
        <v>0.996218742797974</v>
      </c>
      <c r="Z79" s="205" t="n">
        <f aca="false">Y79/Z$1</f>
        <v>0.00766322109844595</v>
      </c>
      <c r="AA79" s="204" t="n">
        <f aca="false">L79/$AA$1</f>
        <v>0.00881179190957869</v>
      </c>
      <c r="AB79" s="204" t="n">
        <f aca="false">M79/AB$1</f>
        <v>0.0144468001275821</v>
      </c>
      <c r="AC79" s="204" t="n">
        <f aca="false">N79/AC$1</f>
        <v>0.0102269625238857</v>
      </c>
      <c r="AD79" s="204" t="n">
        <f aca="false">O79/AD$1</f>
        <v>0.00980457293634146</v>
      </c>
      <c r="AE79" s="209" t="n">
        <f aca="false">('Modelo AHP'!$U$37*aux!P79)+('Modelo AHP'!$U$38*aux!R79)+('Modelo AHP'!$U$39*aux!S79)</f>
        <v>0.0119147381453053</v>
      </c>
      <c r="AF79" s="210" t="n">
        <f aca="false">aux!U79</f>
        <v>0.00765714576486658</v>
      </c>
      <c r="AG79" s="209" t="n">
        <f aca="false">('Modelo AHP'!$U$47*aux!V79)+('Modelo AHP'!$U$48*aux!W79)+('Modelo AHP'!$U$49*aux!X79)</f>
        <v>0.010451758564994</v>
      </c>
      <c r="AH79" s="210" t="n">
        <f aca="false">Z79</f>
        <v>0.00766322109844595</v>
      </c>
      <c r="AI79" s="209" t="n">
        <f aca="false">('Modelo AHP'!$U$56*aux!AA79)+('Modelo AHP'!$U$57*aux!AB79)+('Modelo AHP'!$U$58*aux!AC79)+('Modelo AHP'!$U$59*aux!AD79)</f>
        <v>0.012024783106609</v>
      </c>
      <c r="AJ79" s="211" t="n">
        <f aca="false">('Modelo AHP'!$U$23*aux!AE79)+('Modelo AHP'!$U$24*aux!AF79)+('Modelo AHP'!$U$25*aux!AG79)+('Modelo AHP'!$U$26*aux!AH79)+('Modelo AHP'!$U$27*aux!AI79)</f>
        <v>0.00973201408186233</v>
      </c>
    </row>
    <row r="80" customFormat="false" ht="15" hidden="false" customHeight="false" outlineLevel="0" collapsed="false">
      <c r="A80" s="195" t="n">
        <f aca="false">_xlfn.RANK.EQ(AJ80,AJ$5:AJ$135)</f>
        <v>13</v>
      </c>
      <c r="B80" s="196" t="s">
        <v>207</v>
      </c>
      <c r="C80" s="197" t="s">
        <v>211</v>
      </c>
      <c r="D80" s="198" t="n">
        <v>0.233346040217288</v>
      </c>
      <c r="E80" s="199" t="n">
        <v>83.41</v>
      </c>
      <c r="F80" s="198" t="n">
        <v>0.613557174532784</v>
      </c>
      <c r="G80" s="200" t="n">
        <v>25506.2488443106</v>
      </c>
      <c r="H80" s="201" t="n">
        <v>9.6</v>
      </c>
      <c r="I80" s="201" t="n">
        <v>11.08</v>
      </c>
      <c r="J80" s="198" t="n">
        <v>0.0661265225089875</v>
      </c>
      <c r="K80" s="202" t="n">
        <v>54512.7</v>
      </c>
      <c r="L80" s="198" t="n">
        <v>0.0576889356479046</v>
      </c>
      <c r="M80" s="203" t="n">
        <v>1540</v>
      </c>
      <c r="N80" s="198" t="n">
        <v>0.0673926311393788</v>
      </c>
      <c r="O80" s="198" t="n">
        <v>0.0644336327345309</v>
      </c>
      <c r="P80" s="204" t="n">
        <f aca="false">D80/$P$1</f>
        <v>0.0213587269416164</v>
      </c>
      <c r="Q80" s="204" t="n">
        <f aca="false">1-(E80/Q$1)</f>
        <v>0.992328690018744</v>
      </c>
      <c r="R80" s="204" t="n">
        <f aca="false">Q80/R$1</f>
        <v>0.0076332976155288</v>
      </c>
      <c r="S80" s="204" t="n">
        <f aca="false">F80/S$1</f>
        <v>0.0125792190923454</v>
      </c>
      <c r="T80" s="204" t="n">
        <f aca="false">1-(G80/T$1)</f>
        <v>0.995417090494523</v>
      </c>
      <c r="U80" s="205" t="n">
        <f aca="false">T80/U$1</f>
        <v>0.00765705454226556</v>
      </c>
      <c r="V80" s="204" t="n">
        <f aca="false">H80/V$1</f>
        <v>0.00975560184949952</v>
      </c>
      <c r="W80" s="204" t="n">
        <f aca="false">I80/W$1</f>
        <v>0.00917545152661957</v>
      </c>
      <c r="X80" s="204" t="n">
        <f aca="false">J80/X$1</f>
        <v>0.0106148202999257</v>
      </c>
      <c r="Y80" s="204" t="n">
        <f aca="false">1-(K80/Y$1)</f>
        <v>0.995902407160483</v>
      </c>
      <c r="Z80" s="205" t="n">
        <f aca="false">Y80/Z$1</f>
        <v>0.00766078774738833</v>
      </c>
      <c r="AA80" s="204" t="n">
        <f aca="false">L80/$AA$1</f>
        <v>0.00881179190957869</v>
      </c>
      <c r="AB80" s="204" t="n">
        <f aca="false">M80/AB$1</f>
        <v>0.0144468001275821</v>
      </c>
      <c r="AC80" s="204" t="n">
        <f aca="false">N80/AC$1</f>
        <v>0.0102269625238857</v>
      </c>
      <c r="AD80" s="204" t="n">
        <f aca="false">O80/AD$1</f>
        <v>0.00980457293634146</v>
      </c>
      <c r="AE80" s="209" t="n">
        <f aca="false">('Modelo AHP'!$U$37*aux!P80)+('Modelo AHP'!$U$38*aux!R80)+('Modelo AHP'!$U$39*aux!S80)</f>
        <v>0.014718479299445</v>
      </c>
      <c r="AF80" s="210" t="n">
        <f aca="false">aux!U80</f>
        <v>0.00765705454226556</v>
      </c>
      <c r="AG80" s="209" t="n">
        <f aca="false">('Modelo AHP'!$U$47*aux!V80)+('Modelo AHP'!$U$48*aux!W80)+('Modelo AHP'!$U$49*aux!X80)</f>
        <v>0.00983118262609666</v>
      </c>
      <c r="AH80" s="210" t="n">
        <f aca="false">Z80</f>
        <v>0.00766078774738833</v>
      </c>
      <c r="AI80" s="209" t="n">
        <f aca="false">('Modelo AHP'!$U$56*aux!AA80)+('Modelo AHP'!$U$57*aux!AB80)+('Modelo AHP'!$U$58*aux!AC80)+('Modelo AHP'!$U$59*aux!AD80)</f>
        <v>0.012024783106609</v>
      </c>
      <c r="AJ80" s="211" t="n">
        <f aca="false">('Modelo AHP'!$U$23*aux!AE80)+('Modelo AHP'!$U$24*aux!AF80)+('Modelo AHP'!$U$25*aux!AG80)+('Modelo AHP'!$U$26*aux!AH80)+('Modelo AHP'!$U$27*aux!AI80)</f>
        <v>0.00998763721863504</v>
      </c>
    </row>
    <row r="81" customFormat="false" ht="15" hidden="false" customHeight="false" outlineLevel="0" collapsed="false">
      <c r="A81" s="195" t="n">
        <f aca="false">_xlfn.RANK.EQ(AJ81,AJ$5:AJ$135)</f>
        <v>15</v>
      </c>
      <c r="B81" s="196" t="s">
        <v>207</v>
      </c>
      <c r="C81" s="197" t="s">
        <v>212</v>
      </c>
      <c r="D81" s="198" t="n">
        <v>0.222459768327762</v>
      </c>
      <c r="E81" s="199" t="n">
        <v>82.16</v>
      </c>
      <c r="F81" s="198" t="n">
        <v>0.582019556974656</v>
      </c>
      <c r="G81" s="200" t="n">
        <v>26358.1596933887</v>
      </c>
      <c r="H81" s="201" t="n">
        <v>8.84</v>
      </c>
      <c r="I81" s="201" t="n">
        <v>11.02</v>
      </c>
      <c r="J81" s="198" t="n">
        <v>0.0661265225089875</v>
      </c>
      <c r="K81" s="202" t="n">
        <v>51943.63</v>
      </c>
      <c r="L81" s="198" t="n">
        <v>0.0576889356479046</v>
      </c>
      <c r="M81" s="203" t="n">
        <v>1540</v>
      </c>
      <c r="N81" s="198" t="n">
        <v>0.0673926311393788</v>
      </c>
      <c r="O81" s="198" t="n">
        <v>0.0644336327345309</v>
      </c>
      <c r="P81" s="204" t="n">
        <f aca="false">D81/$P$1</f>
        <v>0.0203622801689004</v>
      </c>
      <c r="Q81" s="204" t="n">
        <f aca="false">1-(E81/Q$1)</f>
        <v>0.99244365390169</v>
      </c>
      <c r="R81" s="204" t="n">
        <f aca="false">Q81/R$1</f>
        <v>0.00763418195308993</v>
      </c>
      <c r="S81" s="204" t="n">
        <f aca="false">F81/S$1</f>
        <v>0.0119326312642161</v>
      </c>
      <c r="T81" s="204" t="n">
        <f aca="false">1-(G81/T$1)</f>
        <v>0.995264020932946</v>
      </c>
      <c r="U81" s="205" t="n">
        <f aca="false">T81/U$1</f>
        <v>0.00765587708409959</v>
      </c>
      <c r="V81" s="204" t="n">
        <f aca="false">H81/V$1</f>
        <v>0.00898328336974747</v>
      </c>
      <c r="W81" s="204" t="n">
        <f aca="false">I81/W$1</f>
        <v>0.00912576496600611</v>
      </c>
      <c r="X81" s="204" t="n">
        <f aca="false">J81/X$1</f>
        <v>0.0106148202999257</v>
      </c>
      <c r="Y81" s="204" t="n">
        <f aca="false">1-(K81/Y$1)</f>
        <v>0.996095518175645</v>
      </c>
      <c r="Z81" s="205" t="n">
        <f aca="false">Y81/Z$1</f>
        <v>0.00766227321673573</v>
      </c>
      <c r="AA81" s="204" t="n">
        <f aca="false">L81/$AA$1</f>
        <v>0.00881179190957869</v>
      </c>
      <c r="AB81" s="204" t="n">
        <f aca="false">M81/AB$1</f>
        <v>0.0144468001275821</v>
      </c>
      <c r="AC81" s="204" t="n">
        <f aca="false">N81/AC$1</f>
        <v>0.0102269625238857</v>
      </c>
      <c r="AD81" s="204" t="n">
        <f aca="false">O81/AD$1</f>
        <v>0.00980457293634146</v>
      </c>
      <c r="AE81" s="209" t="n">
        <f aca="false">('Modelo AHP'!$U$37*aux!P81)+('Modelo AHP'!$U$38*aux!R81)+('Modelo AHP'!$U$39*aux!S81)</f>
        <v>0.0140316810045087</v>
      </c>
      <c r="AF81" s="210" t="n">
        <f aca="false">aux!U81</f>
        <v>0.00765587708409959</v>
      </c>
      <c r="AG81" s="209" t="n">
        <f aca="false">('Modelo AHP'!$U$47*aux!V81)+('Modelo AHP'!$U$48*aux!W81)+('Modelo AHP'!$U$49*aux!X81)</f>
        <v>0.00967847396893161</v>
      </c>
      <c r="AH81" s="210" t="n">
        <f aca="false">Z81</f>
        <v>0.00766227321673573</v>
      </c>
      <c r="AI81" s="209" t="n">
        <f aca="false">('Modelo AHP'!$U$56*aux!AA81)+('Modelo AHP'!$U$57*aux!AB81)+('Modelo AHP'!$U$58*aux!AC81)+('Modelo AHP'!$U$59*aux!AD81)</f>
        <v>0.012024783106609</v>
      </c>
      <c r="AJ81" s="211" t="n">
        <f aca="false">('Modelo AHP'!$U$23*aux!AE81)+('Modelo AHP'!$U$24*aux!AF81)+('Modelo AHP'!$U$25*aux!AG81)+('Modelo AHP'!$U$26*aux!AH81)+('Modelo AHP'!$U$27*aux!AI81)</f>
        <v>0.00982056820984257</v>
      </c>
    </row>
    <row r="82" customFormat="false" ht="15" hidden="false" customHeight="false" outlineLevel="0" collapsed="false">
      <c r="A82" s="195" t="n">
        <f aca="false">_xlfn.RANK.EQ(AJ82,AJ$5:AJ$135)</f>
        <v>18</v>
      </c>
      <c r="B82" s="196" t="s">
        <v>207</v>
      </c>
      <c r="C82" s="197" t="s">
        <v>213</v>
      </c>
      <c r="D82" s="198" t="n">
        <v>0.179455355187267</v>
      </c>
      <c r="E82" s="199" t="n">
        <v>84.25</v>
      </c>
      <c r="F82" s="198" t="n">
        <v>0.637739851509016</v>
      </c>
      <c r="G82" s="200" t="n">
        <v>25498.3842078898</v>
      </c>
      <c r="H82" s="201" t="n">
        <v>9.24</v>
      </c>
      <c r="I82" s="201" t="n">
        <v>11.17</v>
      </c>
      <c r="J82" s="198" t="n">
        <v>0.0661265225089875</v>
      </c>
      <c r="K82" s="202" t="n">
        <v>42213.74</v>
      </c>
      <c r="L82" s="198" t="n">
        <v>0.0576889356479046</v>
      </c>
      <c r="M82" s="203" t="n">
        <v>1540</v>
      </c>
      <c r="N82" s="198" t="n">
        <v>0.0673926311393788</v>
      </c>
      <c r="O82" s="198" t="n">
        <v>0.0644336327345309</v>
      </c>
      <c r="P82" s="204" t="n">
        <f aca="false">D82/$P$1</f>
        <v>0.0164259823140194</v>
      </c>
      <c r="Q82" s="204" t="n">
        <f aca="false">1-(E82/Q$1)</f>
        <v>0.992251434289404</v>
      </c>
      <c r="R82" s="204" t="n">
        <f aca="false">Q82/R$1</f>
        <v>0.00763270334068772</v>
      </c>
      <c r="S82" s="204" t="n">
        <f aca="false">F82/S$1</f>
        <v>0.0130750150907461</v>
      </c>
      <c r="T82" s="204" t="n">
        <f aca="false">1-(G82/T$1)</f>
        <v>0.995418503595965</v>
      </c>
      <c r="U82" s="205" t="n">
        <f aca="false">T82/U$1</f>
        <v>0.00765706541227665</v>
      </c>
      <c r="V82" s="204" t="n">
        <f aca="false">H82/V$1</f>
        <v>0.00938976678014329</v>
      </c>
      <c r="W82" s="204" t="n">
        <f aca="false">I82/W$1</f>
        <v>0.00924998136753977</v>
      </c>
      <c r="X82" s="204" t="n">
        <f aca="false">J82/X$1</f>
        <v>0.0106148202999257</v>
      </c>
      <c r="Y82" s="204" t="n">
        <f aca="false">1-(K82/Y$1)</f>
        <v>0.996826891371126</v>
      </c>
      <c r="Z82" s="205" t="n">
        <f aca="false">Y82/Z$1</f>
        <v>0.00766789916439328</v>
      </c>
      <c r="AA82" s="204" t="n">
        <f aca="false">L82/$AA$1</f>
        <v>0.00881179190957869</v>
      </c>
      <c r="AB82" s="204" t="n">
        <f aca="false">M82/AB$1</f>
        <v>0.0144468001275821</v>
      </c>
      <c r="AC82" s="204" t="n">
        <f aca="false">N82/AC$1</f>
        <v>0.0102269625238857</v>
      </c>
      <c r="AD82" s="204" t="n">
        <f aca="false">O82/AD$1</f>
        <v>0.00980457293634146</v>
      </c>
      <c r="AE82" s="209" t="n">
        <f aca="false">('Modelo AHP'!$U$37*aux!P82)+('Modelo AHP'!$U$38*aux!R82)+('Modelo AHP'!$U$39*aux!S82)</f>
        <v>0.0135360740827223</v>
      </c>
      <c r="AF82" s="210" t="n">
        <f aca="false">aux!U82</f>
        <v>0.00765706541227665</v>
      </c>
      <c r="AG82" s="209" t="n">
        <f aca="false">('Modelo AHP'!$U$47*aux!V82)+('Modelo AHP'!$U$48*aux!W82)+('Modelo AHP'!$U$49*aux!X82)</f>
        <v>0.00980233207972749</v>
      </c>
      <c r="AH82" s="210" t="n">
        <f aca="false">Z82</f>
        <v>0.00766789916439328</v>
      </c>
      <c r="AI82" s="209" t="n">
        <f aca="false">('Modelo AHP'!$U$56*aux!AA82)+('Modelo AHP'!$U$57*aux!AB82)+('Modelo AHP'!$U$58*aux!AC82)+('Modelo AHP'!$U$59*aux!AD82)</f>
        <v>0.012024783106609</v>
      </c>
      <c r="AJ82" s="211" t="n">
        <f aca="false">('Modelo AHP'!$U$23*aux!AE82)+('Modelo AHP'!$U$24*aux!AF82)+('Modelo AHP'!$U$25*aux!AG82)+('Modelo AHP'!$U$26*aux!AH82)+('Modelo AHP'!$U$27*aux!AI82)</f>
        <v>0.00978099055294808</v>
      </c>
    </row>
    <row r="83" customFormat="false" ht="15" hidden="false" customHeight="false" outlineLevel="0" collapsed="false">
      <c r="A83" s="195" t="n">
        <f aca="false">_xlfn.RANK.EQ(AJ83,AJ$5:AJ$135)</f>
        <v>8</v>
      </c>
      <c r="B83" s="196" t="s">
        <v>207</v>
      </c>
      <c r="C83" s="197" t="s">
        <v>214</v>
      </c>
      <c r="D83" s="198" t="n">
        <v>0.291881854581326</v>
      </c>
      <c r="E83" s="199" t="n">
        <v>82.73</v>
      </c>
      <c r="F83" s="198" t="n">
        <v>0.697656608975341</v>
      </c>
      <c r="G83" s="200" t="n">
        <v>23173.8699772727</v>
      </c>
      <c r="H83" s="201" t="n">
        <v>9.48</v>
      </c>
      <c r="I83" s="201" t="n">
        <v>11.76</v>
      </c>
      <c r="J83" s="198" t="n">
        <v>0.0661265225089875</v>
      </c>
      <c r="K83" s="202" t="n">
        <v>44169.38</v>
      </c>
      <c r="L83" s="198" t="n">
        <v>0.0576889356479046</v>
      </c>
      <c r="M83" s="203" t="n">
        <v>1540</v>
      </c>
      <c r="N83" s="198" t="n">
        <v>0.0673926311393788</v>
      </c>
      <c r="O83" s="198" t="n">
        <v>0.0644336327345309</v>
      </c>
      <c r="P83" s="204" t="n">
        <f aca="false">D83/$P$1</f>
        <v>0.0267166514821076</v>
      </c>
      <c r="Q83" s="204" t="n">
        <f aca="false">1-(E83/Q$1)</f>
        <v>0.992391230371067</v>
      </c>
      <c r="R83" s="204" t="n">
        <f aca="false">Q83/R$1</f>
        <v>0.00763377869516205</v>
      </c>
      <c r="S83" s="204" t="n">
        <f aca="false">F83/S$1</f>
        <v>0.0143034352783933</v>
      </c>
      <c r="T83" s="204" t="n">
        <f aca="false">1-(G83/T$1)</f>
        <v>0.995836167456618</v>
      </c>
      <c r="U83" s="205" t="n">
        <f aca="false">T83/U$1</f>
        <v>0.00766027821120476</v>
      </c>
      <c r="V83" s="204" t="n">
        <f aca="false">H83/V$1</f>
        <v>0.00963365682638077</v>
      </c>
      <c r="W83" s="204" t="n">
        <f aca="false">I83/W$1</f>
        <v>0.00973856588023883</v>
      </c>
      <c r="X83" s="204" t="n">
        <f aca="false">J83/X$1</f>
        <v>0.0106148202999257</v>
      </c>
      <c r="Y83" s="204" t="n">
        <f aca="false">1-(K83/Y$1)</f>
        <v>0.996679890461968</v>
      </c>
      <c r="Z83" s="205" t="n">
        <f aca="false">Y83/Z$1</f>
        <v>0.00766676838816898</v>
      </c>
      <c r="AA83" s="204" t="n">
        <f aca="false">L83/$AA$1</f>
        <v>0.00881179190957869</v>
      </c>
      <c r="AB83" s="204" t="n">
        <f aca="false">M83/AB$1</f>
        <v>0.0144468001275821</v>
      </c>
      <c r="AC83" s="204" t="n">
        <f aca="false">N83/AC$1</f>
        <v>0.0102269625238857</v>
      </c>
      <c r="AD83" s="204" t="n">
        <f aca="false">O83/AD$1</f>
        <v>0.00980457293634146</v>
      </c>
      <c r="AE83" s="209" t="n">
        <f aca="false">('Modelo AHP'!$U$37*aux!P83)+('Modelo AHP'!$U$38*aux!R83)+('Modelo AHP'!$U$39*aux!S83)</f>
        <v>0.0173604344811844</v>
      </c>
      <c r="AF83" s="210" t="n">
        <f aca="false">aux!U83</f>
        <v>0.00766027821120476</v>
      </c>
      <c r="AG83" s="209" t="n">
        <f aca="false">('Modelo AHP'!$U$47*aux!V83)+('Modelo AHP'!$U$48*aux!W83)+('Modelo AHP'!$U$49*aux!X83)</f>
        <v>0.010060250842532</v>
      </c>
      <c r="AH83" s="210" t="n">
        <f aca="false">Z83</f>
        <v>0.00766676838816898</v>
      </c>
      <c r="AI83" s="209" t="n">
        <f aca="false">('Modelo AHP'!$U$56*aux!AA83)+('Modelo AHP'!$U$57*aux!AB83)+('Modelo AHP'!$U$58*aux!AC83)+('Modelo AHP'!$U$59*aux!AD83)</f>
        <v>0.012024783106609</v>
      </c>
      <c r="AJ83" s="211" t="n">
        <f aca="false">('Modelo AHP'!$U$23*aux!AE83)+('Modelo AHP'!$U$24*aux!AF83)+('Modelo AHP'!$U$25*aux!AG83)+('Modelo AHP'!$U$26*aux!AH83)+('Modelo AHP'!$U$27*aux!AI83)</f>
        <v>0.0105083077455388</v>
      </c>
    </row>
    <row r="84" customFormat="false" ht="15" hidden="false" customHeight="false" outlineLevel="0" collapsed="false">
      <c r="A84" s="195" t="n">
        <f aca="false">_xlfn.RANK.EQ(AJ84,AJ$5:AJ$135)</f>
        <v>2</v>
      </c>
      <c r="B84" s="196" t="s">
        <v>215</v>
      </c>
      <c r="C84" s="197" t="s">
        <v>216</v>
      </c>
      <c r="D84" s="198" t="n">
        <v>0.102571647148826</v>
      </c>
      <c r="E84" s="199" t="n">
        <v>80.02</v>
      </c>
      <c r="F84" s="198" t="n">
        <v>0.728715953307393</v>
      </c>
      <c r="G84" s="200" t="n">
        <v>22055.0909948959</v>
      </c>
      <c r="H84" s="201" t="n">
        <v>13.56</v>
      </c>
      <c r="I84" s="201" t="n">
        <v>14.68</v>
      </c>
      <c r="J84" s="198" t="n">
        <v>0.077258347536777</v>
      </c>
      <c r="K84" s="202" t="n">
        <v>43010.62</v>
      </c>
      <c r="L84" s="198" t="n">
        <v>0.102811385820329</v>
      </c>
      <c r="M84" s="203" t="n">
        <v>3327</v>
      </c>
      <c r="N84" s="198" t="n">
        <v>0.119045324596062</v>
      </c>
      <c r="O84" s="198" t="n">
        <v>0.1156125249501</v>
      </c>
      <c r="P84" s="204" t="n">
        <f aca="false">D84/$P$1</f>
        <v>0.00938863072783908</v>
      </c>
      <c r="Q84" s="204" t="n">
        <f aca="false">1-(E84/Q$1)</f>
        <v>0.992640472069295</v>
      </c>
      <c r="R84" s="204" t="n">
        <f aca="false">Q84/R$1</f>
        <v>0.00763569593899458</v>
      </c>
      <c r="S84" s="204" t="n">
        <f aca="false">F84/S$1</f>
        <v>0.0149402174943538</v>
      </c>
      <c r="T84" s="204" t="n">
        <f aca="false">1-(G84/T$1)</f>
        <v>0.996037187326853</v>
      </c>
      <c r="U84" s="205" t="n">
        <f aca="false">T84/U$1</f>
        <v>0.00766182451789887</v>
      </c>
      <c r="V84" s="204" t="n">
        <f aca="false">H84/V$1</f>
        <v>0.0137797876124181</v>
      </c>
      <c r="W84" s="204" t="n">
        <f aca="false">I84/W$1</f>
        <v>0.0121566451634274</v>
      </c>
      <c r="X84" s="204" t="n">
        <f aca="false">J84/X$1</f>
        <v>0.0124017329908832</v>
      </c>
      <c r="Y84" s="204" t="n">
        <f aca="false">1-(K84/Y$1)</f>
        <v>0.996766991755404</v>
      </c>
      <c r="Z84" s="205" t="n">
        <f aca="false">Y84/Z$1</f>
        <v>0.0076674383981185</v>
      </c>
      <c r="AA84" s="204" t="n">
        <f aca="false">L84/$AA$1</f>
        <v>0.0157040952066352</v>
      </c>
      <c r="AB84" s="204" t="n">
        <f aca="false">M84/AB$1</f>
        <v>0.0312107168990037</v>
      </c>
      <c r="AC84" s="204" t="n">
        <f aca="false">N84/AC$1</f>
        <v>0.0180653589673595</v>
      </c>
      <c r="AD84" s="204" t="n">
        <f aca="false">O84/AD$1</f>
        <v>0.0175922322725159</v>
      </c>
      <c r="AE84" s="209" t="n">
        <f aca="false">('Modelo AHP'!$U$37*aux!P84)+('Modelo AHP'!$U$38*aux!R84)+('Modelo AHP'!$U$39*aux!S84)</f>
        <v>0.0125442893088635</v>
      </c>
      <c r="AF84" s="210" t="n">
        <f aca="false">aux!U84</f>
        <v>0.00766182451789887</v>
      </c>
      <c r="AG84" s="209" t="n">
        <f aca="false">('Modelo AHP'!$U$47*aux!V84)+('Modelo AHP'!$U$48*aux!W84)+('Modelo AHP'!$U$49*aux!X84)</f>
        <v>0.012526220581245</v>
      </c>
      <c r="AH84" s="210" t="n">
        <f aca="false">Z84</f>
        <v>0.0076674383981185</v>
      </c>
      <c r="AI84" s="209" t="n">
        <f aca="false">('Modelo AHP'!$U$56*aux!AA84)+('Modelo AHP'!$U$57*aux!AB84)+('Modelo AHP'!$U$58*aux!AC84)+('Modelo AHP'!$U$59*aux!AD84)</f>
        <v>0.0241081267682152</v>
      </c>
      <c r="AJ84" s="211" t="n">
        <f aca="false">('Modelo AHP'!$U$23*aux!AE84)+('Modelo AHP'!$U$24*aux!AF84)+('Modelo AHP'!$U$25*aux!AG84)+('Modelo AHP'!$U$26*aux!AH84)+('Modelo AHP'!$U$27*aux!AI84)</f>
        <v>0.0116790271995754</v>
      </c>
    </row>
    <row r="85" customFormat="false" ht="15" hidden="false" customHeight="false" outlineLevel="0" collapsed="false">
      <c r="A85" s="195" t="n">
        <f aca="false">_xlfn.RANK.EQ(AJ85,AJ$5:AJ$135)</f>
        <v>1</v>
      </c>
      <c r="B85" s="196" t="s">
        <v>215</v>
      </c>
      <c r="C85" s="197" t="s">
        <v>217</v>
      </c>
      <c r="D85" s="198" t="n">
        <v>0.220006456900191</v>
      </c>
      <c r="E85" s="199" t="n">
        <v>82.14</v>
      </c>
      <c r="F85" s="198" t="n">
        <v>0.631506081682434</v>
      </c>
      <c r="G85" s="200" t="n">
        <v>21224.7913612672</v>
      </c>
      <c r="H85" s="201" t="n">
        <v>11.16</v>
      </c>
      <c r="I85" s="201" t="n">
        <v>14.13</v>
      </c>
      <c r="J85" s="198" t="n">
        <v>0.077258347536777</v>
      </c>
      <c r="K85" s="202" t="n">
        <v>45412.27</v>
      </c>
      <c r="L85" s="198" t="n">
        <v>0.102811385820329</v>
      </c>
      <c r="M85" s="203" t="n">
        <v>3327</v>
      </c>
      <c r="N85" s="198" t="n">
        <v>0.119045324596062</v>
      </c>
      <c r="O85" s="198" t="n">
        <v>0.1156125249501</v>
      </c>
      <c r="P85" s="204" t="n">
        <f aca="false">D85/$P$1</f>
        <v>0.0201377226455096</v>
      </c>
      <c r="Q85" s="204" t="n">
        <f aca="false">1-(E85/Q$1)</f>
        <v>0.992445493323817</v>
      </c>
      <c r="R85" s="204" t="n">
        <f aca="false">Q85/R$1</f>
        <v>0.00763419610249091</v>
      </c>
      <c r="S85" s="204" t="n">
        <f aca="false">F85/S$1</f>
        <v>0.0129472096315735</v>
      </c>
      <c r="T85" s="204" t="n">
        <f aca="false">1-(G85/T$1)</f>
        <v>0.996186373830387</v>
      </c>
      <c r="U85" s="205" t="n">
        <f aca="false">T85/U$1</f>
        <v>0.0076629721063876</v>
      </c>
      <c r="V85" s="204" t="n">
        <f aca="false">H85/V$1</f>
        <v>0.0113408871500432</v>
      </c>
      <c r="W85" s="204" t="n">
        <f aca="false">I85/W$1</f>
        <v>0.0117011850244706</v>
      </c>
      <c r="X85" s="204" t="n">
        <f aca="false">J85/X$1</f>
        <v>0.0124017329908832</v>
      </c>
      <c r="Y85" s="204" t="n">
        <f aca="false">1-(K85/Y$1)</f>
        <v>0.996586465312153</v>
      </c>
      <c r="Z85" s="205" t="n">
        <f aca="false">Y85/Z$1</f>
        <v>0.00766604973317041</v>
      </c>
      <c r="AA85" s="204" t="n">
        <f aca="false">L85/$AA$1</f>
        <v>0.0157040952066352</v>
      </c>
      <c r="AB85" s="204" t="n">
        <f aca="false">M85/AB$1</f>
        <v>0.0312107168990037</v>
      </c>
      <c r="AC85" s="204" t="n">
        <f aca="false">N85/AC$1</f>
        <v>0.0180653589673595</v>
      </c>
      <c r="AD85" s="204" t="n">
        <f aca="false">O85/AD$1</f>
        <v>0.0175922322725159</v>
      </c>
      <c r="AE85" s="209" t="n">
        <f aca="false">('Modelo AHP'!$U$37*aux!P85)+('Modelo AHP'!$U$38*aux!R85)+('Modelo AHP'!$U$39*aux!S85)</f>
        <v>0.0145730621828461</v>
      </c>
      <c r="AF85" s="210" t="n">
        <f aca="false">aux!U85</f>
        <v>0.0076629721063876</v>
      </c>
      <c r="AG85" s="209" t="n">
        <f aca="false">('Modelo AHP'!$U$47*aux!V85)+('Modelo AHP'!$U$48*aux!W85)+('Modelo AHP'!$U$49*aux!X85)</f>
        <v>0.0119115946438985</v>
      </c>
      <c r="AH85" s="210" t="n">
        <f aca="false">Z85</f>
        <v>0.00766604973317041</v>
      </c>
      <c r="AI85" s="209" t="n">
        <f aca="false">('Modelo AHP'!$U$56*aux!AA85)+('Modelo AHP'!$U$57*aux!AB85)+('Modelo AHP'!$U$58*aux!AC85)+('Modelo AHP'!$U$59*aux!AD85)</f>
        <v>0.0241081267682152</v>
      </c>
      <c r="AJ85" s="211" t="n">
        <f aca="false">('Modelo AHP'!$U$23*aux!AE85)+('Modelo AHP'!$U$24*aux!AF85)+('Modelo AHP'!$U$25*aux!AG85)+('Modelo AHP'!$U$26*aux!AH85)+('Modelo AHP'!$U$27*aux!AI85)</f>
        <v>0.0118078312374387</v>
      </c>
    </row>
    <row r="86" customFormat="false" ht="15" hidden="false" customHeight="false" outlineLevel="0" collapsed="false">
      <c r="A86" s="195" t="n">
        <f aca="false">_xlfn.RANK.EQ(AJ86,AJ$5:AJ$135)</f>
        <v>7</v>
      </c>
      <c r="B86" s="196" t="s">
        <v>215</v>
      </c>
      <c r="C86" s="197" t="s">
        <v>218</v>
      </c>
      <c r="D86" s="198" t="n">
        <v>0.096977488719151</v>
      </c>
      <c r="E86" s="199" t="n">
        <v>82.77</v>
      </c>
      <c r="F86" s="198" t="n">
        <v>0.543088001622773</v>
      </c>
      <c r="G86" s="200" t="n">
        <v>28754.3117819879</v>
      </c>
      <c r="H86" s="201" t="n">
        <v>9.7</v>
      </c>
      <c r="I86" s="201" t="n">
        <v>10.66</v>
      </c>
      <c r="J86" s="198" t="n">
        <v>0.077258347536777</v>
      </c>
      <c r="K86" s="202" t="n">
        <v>44166.15</v>
      </c>
      <c r="L86" s="198" t="n">
        <v>0.102811385820329</v>
      </c>
      <c r="M86" s="203" t="n">
        <v>3327</v>
      </c>
      <c r="N86" s="198" t="n">
        <v>0.119045324596062</v>
      </c>
      <c r="O86" s="198" t="n">
        <v>0.1156125249501</v>
      </c>
      <c r="P86" s="204" t="n">
        <f aca="false">D86/$P$1</f>
        <v>0.00887658388849134</v>
      </c>
      <c r="Q86" s="204" t="n">
        <f aca="false">1-(E86/Q$1)</f>
        <v>0.992387551526812</v>
      </c>
      <c r="R86" s="204" t="n">
        <f aca="false">Q86/R$1</f>
        <v>0.0076337503963601</v>
      </c>
      <c r="S86" s="204" t="n">
        <f aca="false">F86/S$1</f>
        <v>0.011134452081078</v>
      </c>
      <c r="T86" s="204" t="n">
        <f aca="false">1-(G86/T$1)</f>
        <v>0.994833485331634</v>
      </c>
      <c r="U86" s="205" t="n">
        <f aca="false">T86/U$1</f>
        <v>0.0076525652717818</v>
      </c>
      <c r="V86" s="204" t="n">
        <f aca="false">H86/V$1</f>
        <v>0.00985722270209847</v>
      </c>
      <c r="W86" s="204" t="n">
        <f aca="false">I86/W$1</f>
        <v>0.00882764560232533</v>
      </c>
      <c r="X86" s="204" t="n">
        <f aca="false">J86/X$1</f>
        <v>0.0124017329908832</v>
      </c>
      <c r="Y86" s="204" t="n">
        <f aca="false">1-(K86/Y$1)</f>
        <v>0.996680133253553</v>
      </c>
      <c r="Z86" s="205" t="n">
        <f aca="false">Y86/Z$1</f>
        <v>0.00766677025579657</v>
      </c>
      <c r="AA86" s="204" t="n">
        <f aca="false">L86/$AA$1</f>
        <v>0.0157040952066352</v>
      </c>
      <c r="AB86" s="204" t="n">
        <f aca="false">M86/AB$1</f>
        <v>0.0312107168990037</v>
      </c>
      <c r="AC86" s="204" t="n">
        <f aca="false">N86/AC$1</f>
        <v>0.0180653589673595</v>
      </c>
      <c r="AD86" s="204" t="n">
        <f aca="false">O86/AD$1</f>
        <v>0.0175922322725159</v>
      </c>
      <c r="AE86" s="209" t="n">
        <f aca="false">('Modelo AHP'!$U$37*aux!P86)+('Modelo AHP'!$U$38*aux!R86)+('Modelo AHP'!$U$39*aux!S86)</f>
        <v>0.0101070214548302</v>
      </c>
      <c r="AF86" s="210" t="n">
        <f aca="false">aux!U86</f>
        <v>0.0076525652717818</v>
      </c>
      <c r="AG86" s="209" t="n">
        <f aca="false">('Modelo AHP'!$U$47*aux!V86)+('Modelo AHP'!$U$48*aux!W86)+('Modelo AHP'!$U$49*aux!X86)</f>
        <v>0.0103863477654626</v>
      </c>
      <c r="AH86" s="210" t="n">
        <f aca="false">Z86</f>
        <v>0.00766677025579657</v>
      </c>
      <c r="AI86" s="209" t="n">
        <f aca="false">('Modelo AHP'!$U$56*aux!AA86)+('Modelo AHP'!$U$57*aux!AB86)+('Modelo AHP'!$U$58*aux!AC86)+('Modelo AHP'!$U$59*aux!AD86)</f>
        <v>0.0241081267682152</v>
      </c>
      <c r="AJ86" s="211" t="n">
        <f aca="false">('Modelo AHP'!$U$23*aux!AE86)+('Modelo AHP'!$U$24*aux!AF86)+('Modelo AHP'!$U$25*aux!AG86)+('Modelo AHP'!$U$26*aux!AH86)+('Modelo AHP'!$U$27*aux!AI86)</f>
        <v>0.0105379968784524</v>
      </c>
    </row>
    <row r="87" customFormat="false" ht="15" hidden="false" customHeight="false" outlineLevel="0" collapsed="false">
      <c r="A87" s="195" t="n">
        <f aca="false">_xlfn.RANK.EQ(AJ87,AJ$5:AJ$135)</f>
        <v>6</v>
      </c>
      <c r="B87" s="196" t="s">
        <v>215</v>
      </c>
      <c r="C87" s="197" t="s">
        <v>219</v>
      </c>
      <c r="D87" s="198" t="n">
        <v>0.0742165242165242</v>
      </c>
      <c r="E87" s="199" t="n">
        <v>82.31</v>
      </c>
      <c r="F87" s="198" t="n">
        <v>0.624685216850614</v>
      </c>
      <c r="G87" s="200" t="n">
        <v>26632.0903675335</v>
      </c>
      <c r="H87" s="201" t="n">
        <v>10.87</v>
      </c>
      <c r="I87" s="201" t="n">
        <v>11.93</v>
      </c>
      <c r="J87" s="198" t="n">
        <v>0.077258347536777</v>
      </c>
      <c r="K87" s="202" t="n">
        <v>42372.63</v>
      </c>
      <c r="L87" s="198" t="n">
        <v>0.102811385820329</v>
      </c>
      <c r="M87" s="203" t="n">
        <v>3327</v>
      </c>
      <c r="N87" s="198" t="n">
        <v>0.119045324596062</v>
      </c>
      <c r="O87" s="198" t="n">
        <v>0.1156125249501</v>
      </c>
      <c r="P87" s="204" t="n">
        <f aca="false">D87/$P$1</f>
        <v>0.00679321780571257</v>
      </c>
      <c r="Q87" s="204" t="n">
        <f aca="false">1-(E87/Q$1)</f>
        <v>0.992429858235737</v>
      </c>
      <c r="R87" s="204" t="n">
        <f aca="false">Q87/R$1</f>
        <v>0.00763407583258259</v>
      </c>
      <c r="S87" s="204" t="n">
        <f aca="false">F87/S$1</f>
        <v>0.0128073674837181</v>
      </c>
      <c r="T87" s="204" t="n">
        <f aca="false">1-(G87/T$1)</f>
        <v>0.995214801641704</v>
      </c>
      <c r="U87" s="205" t="n">
        <f aca="false">T87/U$1</f>
        <v>0.00765549847416695</v>
      </c>
      <c r="V87" s="204" t="n">
        <f aca="false">H87/V$1</f>
        <v>0.0110461866775062</v>
      </c>
      <c r="W87" s="204" t="n">
        <f aca="false">I87/W$1</f>
        <v>0.00987934446864364</v>
      </c>
      <c r="X87" s="204" t="n">
        <f aca="false">J87/X$1</f>
        <v>0.0124017329908832</v>
      </c>
      <c r="Y87" s="204" t="n">
        <f aca="false">1-(K87/Y$1)</f>
        <v>0.996814947979471</v>
      </c>
      <c r="Z87" s="205" t="n">
        <f aca="false">Y87/Z$1</f>
        <v>0.00766780729214978</v>
      </c>
      <c r="AA87" s="204" t="n">
        <f aca="false">L87/$AA$1</f>
        <v>0.0157040952066352</v>
      </c>
      <c r="AB87" s="204" t="n">
        <f aca="false">M87/AB$1</f>
        <v>0.0312107168990037</v>
      </c>
      <c r="AC87" s="204" t="n">
        <f aca="false">N87/AC$1</f>
        <v>0.0180653589673595</v>
      </c>
      <c r="AD87" s="204" t="n">
        <f aca="false">O87/AD$1</f>
        <v>0.0175922322725159</v>
      </c>
      <c r="AE87" s="209" t="n">
        <f aca="false">('Modelo AHP'!$U$37*aux!P87)+('Modelo AHP'!$U$38*aux!R87)+('Modelo AHP'!$U$39*aux!S87)</f>
        <v>0.0104857934152029</v>
      </c>
      <c r="AF87" s="210" t="n">
        <f aca="false">aux!U87</f>
        <v>0.00765549847416695</v>
      </c>
      <c r="AG87" s="209" t="n">
        <f aca="false">('Modelo AHP'!$U$47*aux!V87)+('Modelo AHP'!$U$48*aux!W87)+('Modelo AHP'!$U$49*aux!X87)</f>
        <v>0.0110538742171841</v>
      </c>
      <c r="AH87" s="210" t="n">
        <f aca="false">Z87</f>
        <v>0.00766780729214978</v>
      </c>
      <c r="AI87" s="209" t="n">
        <f aca="false">('Modelo AHP'!$U$56*aux!AA87)+('Modelo AHP'!$U$57*aux!AB87)+('Modelo AHP'!$U$58*aux!AC87)+('Modelo AHP'!$U$59*aux!AD87)</f>
        <v>0.0241081267682152</v>
      </c>
      <c r="AJ87" s="211" t="n">
        <f aca="false">('Modelo AHP'!$U$23*aux!AE87)+('Modelo AHP'!$U$24*aux!AF87)+('Modelo AHP'!$U$25*aux!AG87)+('Modelo AHP'!$U$26*aux!AH87)+('Modelo AHP'!$U$27*aux!AI87)</f>
        <v>0.0108303434172253</v>
      </c>
    </row>
    <row r="88" customFormat="false" ht="15" hidden="false" customHeight="false" outlineLevel="0" collapsed="false">
      <c r="A88" s="195" t="n">
        <f aca="false">_xlfn.RANK.EQ(AJ88,AJ$5:AJ$135)</f>
        <v>4</v>
      </c>
      <c r="B88" s="196" t="s">
        <v>215</v>
      </c>
      <c r="C88" s="197" t="s">
        <v>220</v>
      </c>
      <c r="D88" s="198" t="n">
        <v>0.0975705890784005</v>
      </c>
      <c r="E88" s="199" t="n">
        <v>81.26</v>
      </c>
      <c r="F88" s="198" t="n">
        <v>0.671866346686358</v>
      </c>
      <c r="G88" s="200" t="n">
        <v>23824.7011850072</v>
      </c>
      <c r="H88" s="201" t="n">
        <v>12.19</v>
      </c>
      <c r="I88" s="201" t="n">
        <v>13.76</v>
      </c>
      <c r="J88" s="198" t="n">
        <v>0.077258347536777</v>
      </c>
      <c r="K88" s="202" t="n">
        <v>39888.36</v>
      </c>
      <c r="L88" s="198" t="n">
        <v>0.102811385820329</v>
      </c>
      <c r="M88" s="203" t="n">
        <v>3327</v>
      </c>
      <c r="N88" s="198" t="n">
        <v>0.119045324596062</v>
      </c>
      <c r="O88" s="198" t="n">
        <v>0.1156125249501</v>
      </c>
      <c r="P88" s="204" t="n">
        <f aca="false">D88/$P$1</f>
        <v>0.00893087179760002</v>
      </c>
      <c r="Q88" s="204" t="n">
        <f aca="false">1-(E88/Q$1)</f>
        <v>0.992526427897412</v>
      </c>
      <c r="R88" s="204" t="n">
        <f aca="false">Q88/R$1</f>
        <v>0.00763481867613394</v>
      </c>
      <c r="S88" s="204" t="n">
        <f aca="false">F88/S$1</f>
        <v>0.0137746803827648</v>
      </c>
      <c r="T88" s="204" t="n">
        <f aca="false">1-(G88/T$1)</f>
        <v>0.995719227464909</v>
      </c>
      <c r="U88" s="205" t="n">
        <f aca="false">T88/U$1</f>
        <v>0.00765937867280699</v>
      </c>
      <c r="V88" s="204" t="n">
        <f aca="false">H88/V$1</f>
        <v>0.0123875819318124</v>
      </c>
      <c r="W88" s="204" t="n">
        <f aca="false">I88/W$1</f>
        <v>0.0113947845673543</v>
      </c>
      <c r="X88" s="204" t="n">
        <f aca="false">J88/X$1</f>
        <v>0.0124017329908832</v>
      </c>
      <c r="Y88" s="204" t="n">
        <f aca="false">1-(K88/Y$1)</f>
        <v>0.997001684775914</v>
      </c>
      <c r="Z88" s="205" t="n">
        <f aca="false">Y88/Z$1</f>
        <v>0.00766924372904549</v>
      </c>
      <c r="AA88" s="204" t="n">
        <f aca="false">L88/$AA$1</f>
        <v>0.0157040952066352</v>
      </c>
      <c r="AB88" s="204" t="n">
        <f aca="false">M88/AB$1</f>
        <v>0.0312107168990037</v>
      </c>
      <c r="AC88" s="204" t="n">
        <f aca="false">N88/AC$1</f>
        <v>0.0180653589673595</v>
      </c>
      <c r="AD88" s="204" t="n">
        <f aca="false">O88/AD$1</f>
        <v>0.0175922322725159</v>
      </c>
      <c r="AE88" s="209" t="n">
        <f aca="false">('Modelo AHP'!$U$37*aux!P88)+('Modelo AHP'!$U$38*aux!R88)+('Modelo AHP'!$U$39*aux!S88)</f>
        <v>0.0117075516365523</v>
      </c>
      <c r="AF88" s="210" t="n">
        <f aca="false">aux!U88</f>
        <v>0.00765937867280699</v>
      </c>
      <c r="AG88" s="209" t="n">
        <f aca="false">('Modelo AHP'!$U$47*aux!V88)+('Modelo AHP'!$U$48*aux!W88)+('Modelo AHP'!$U$49*aux!X88)</f>
        <v>0.0119528283860034</v>
      </c>
      <c r="AH88" s="210" t="n">
        <f aca="false">Z88</f>
        <v>0.00766924372904549</v>
      </c>
      <c r="AI88" s="209" t="n">
        <f aca="false">('Modelo AHP'!$U$56*aux!AA88)+('Modelo AHP'!$U$57*aux!AB88)+('Modelo AHP'!$U$58*aux!AC88)+('Modelo AHP'!$U$59*aux!AD88)</f>
        <v>0.0241081267682152</v>
      </c>
      <c r="AJ88" s="211" t="n">
        <f aca="false">('Modelo AHP'!$U$23*aux!AE88)+('Modelo AHP'!$U$24*aux!AF88)+('Modelo AHP'!$U$25*aux!AG88)+('Modelo AHP'!$U$26*aux!AH88)+('Modelo AHP'!$U$27*aux!AI88)</f>
        <v>0.0113427920125937</v>
      </c>
    </row>
    <row r="89" customFormat="false" ht="15" hidden="false" customHeight="false" outlineLevel="0" collapsed="false">
      <c r="A89" s="195" t="n">
        <f aca="false">_xlfn.RANK.EQ(AJ89,AJ$5:AJ$135)</f>
        <v>5</v>
      </c>
      <c r="B89" s="196" t="s">
        <v>215</v>
      </c>
      <c r="C89" s="197" t="s">
        <v>221</v>
      </c>
      <c r="D89" s="198" t="n">
        <v>0.153401521337402</v>
      </c>
      <c r="E89" s="199" t="n">
        <v>82.83</v>
      </c>
      <c r="F89" s="198" t="n">
        <v>0.598297943116926</v>
      </c>
      <c r="G89" s="200" t="n">
        <v>24872.5386984291</v>
      </c>
      <c r="H89" s="201" t="n">
        <v>11.28</v>
      </c>
      <c r="I89" s="201" t="n">
        <v>12.91</v>
      </c>
      <c r="J89" s="198" t="n">
        <v>0.077258347536777</v>
      </c>
      <c r="K89" s="202" t="n">
        <v>46440.28</v>
      </c>
      <c r="L89" s="198" t="n">
        <v>0.102811385820329</v>
      </c>
      <c r="M89" s="203" t="n">
        <v>3327</v>
      </c>
      <c r="N89" s="198" t="n">
        <v>0.119045324596062</v>
      </c>
      <c r="O89" s="198" t="n">
        <v>0.1156125249501</v>
      </c>
      <c r="P89" s="204" t="n">
        <f aca="false">D89/$P$1</f>
        <v>0.0140412119426716</v>
      </c>
      <c r="Q89" s="204" t="n">
        <f aca="false">1-(E89/Q$1)</f>
        <v>0.992382033260431</v>
      </c>
      <c r="R89" s="204" t="n">
        <f aca="false">Q89/R$1</f>
        <v>0.00763370794815716</v>
      </c>
      <c r="S89" s="204" t="n">
        <f aca="false">F89/S$1</f>
        <v>0.0122663725914352</v>
      </c>
      <c r="T89" s="204" t="n">
        <f aca="false">1-(G89/T$1)</f>
        <v>0.995530954209607</v>
      </c>
      <c r="U89" s="205" t="n">
        <f aca="false">T89/U$1</f>
        <v>0.00765793041699698</v>
      </c>
      <c r="V89" s="204" t="n">
        <f aca="false">H89/V$1</f>
        <v>0.0114628321731619</v>
      </c>
      <c r="W89" s="204" t="n">
        <f aca="false">I89/W$1</f>
        <v>0.0106908916253302</v>
      </c>
      <c r="X89" s="204" t="n">
        <f aca="false">J89/X$1</f>
        <v>0.0124017329908832</v>
      </c>
      <c r="Y89" s="204" t="n">
        <f aca="false">1-(K89/Y$1)</f>
        <v>0.996509192192037</v>
      </c>
      <c r="Z89" s="205" t="n">
        <f aca="false">Y89/Z$1</f>
        <v>0.00766545532455413</v>
      </c>
      <c r="AA89" s="204" t="n">
        <f aca="false">L89/$AA$1</f>
        <v>0.0157040952066352</v>
      </c>
      <c r="AB89" s="204" t="n">
        <f aca="false">M89/AB$1</f>
        <v>0.0312107168990037</v>
      </c>
      <c r="AC89" s="204" t="n">
        <f aca="false">N89/AC$1</f>
        <v>0.0180653589673595</v>
      </c>
      <c r="AD89" s="204" t="n">
        <f aca="false">O89/AD$1</f>
        <v>0.0175922322725159</v>
      </c>
      <c r="AE89" s="209" t="n">
        <f aca="false">('Modelo AHP'!$U$37*aux!P89)+('Modelo AHP'!$U$38*aux!R89)+('Modelo AHP'!$U$39*aux!S89)</f>
        <v>0.0123355579324783</v>
      </c>
      <c r="AF89" s="210" t="n">
        <f aca="false">aux!U89</f>
        <v>0.00765793041699698</v>
      </c>
      <c r="AG89" s="209" t="n">
        <f aca="false">('Modelo AHP'!$U$47*aux!V89)+('Modelo AHP'!$U$48*aux!W89)+('Modelo AHP'!$U$49*aux!X89)</f>
        <v>0.0114842342194302</v>
      </c>
      <c r="AH89" s="210" t="n">
        <f aca="false">Z89</f>
        <v>0.00766545532455413</v>
      </c>
      <c r="AI89" s="209" t="n">
        <f aca="false">('Modelo AHP'!$U$56*aux!AA89)+('Modelo AHP'!$U$57*aux!AB89)+('Modelo AHP'!$U$58*aux!AC89)+('Modelo AHP'!$U$59*aux!AD89)</f>
        <v>0.0241081267682152</v>
      </c>
      <c r="AJ89" s="211" t="n">
        <f aca="false">('Modelo AHP'!$U$23*aux!AE89)+('Modelo AHP'!$U$24*aux!AF89)+('Modelo AHP'!$U$25*aux!AG89)+('Modelo AHP'!$U$26*aux!AH89)+('Modelo AHP'!$U$27*aux!AI89)</f>
        <v>0.011286714191743</v>
      </c>
    </row>
    <row r="90" customFormat="false" ht="15" hidden="false" customHeight="false" outlineLevel="0" collapsed="false">
      <c r="A90" s="195" t="n">
        <f aca="false">_xlfn.RANK.EQ(AJ90,AJ$5:AJ$135)</f>
        <v>51</v>
      </c>
      <c r="B90" s="196" t="s">
        <v>222</v>
      </c>
      <c r="C90" s="197" t="s">
        <v>223</v>
      </c>
      <c r="D90" s="198" t="n">
        <v>0.05065521418346</v>
      </c>
      <c r="E90" s="199" t="n">
        <v>81</v>
      </c>
      <c r="F90" s="198" t="n">
        <v>0.466704854647</v>
      </c>
      <c r="G90" s="200" t="n">
        <v>34024.5241388975</v>
      </c>
      <c r="H90" s="201" t="n">
        <v>10.24</v>
      </c>
      <c r="I90" s="201" t="n">
        <v>10.2</v>
      </c>
      <c r="J90" s="198" t="n">
        <v>0.0571078097314979</v>
      </c>
      <c r="K90" s="202" t="n">
        <v>98890.1</v>
      </c>
      <c r="L90" s="198" t="n">
        <v>0.0391606756677772</v>
      </c>
      <c r="M90" s="203" t="n">
        <v>520</v>
      </c>
      <c r="N90" s="198" t="n">
        <v>0.0372940156114484</v>
      </c>
      <c r="O90" s="198" t="n">
        <v>0.0434443612774451</v>
      </c>
      <c r="P90" s="204" t="n">
        <f aca="false">D90/$P$1</f>
        <v>0.0046365941624985</v>
      </c>
      <c r="Q90" s="204" t="n">
        <f aca="false">1-(E90/Q$1)</f>
        <v>0.992550340385065</v>
      </c>
      <c r="R90" s="204" t="n">
        <f aca="false">Q90/R$1</f>
        <v>0.00763500261834665</v>
      </c>
      <c r="S90" s="204" t="n">
        <f aca="false">F90/S$1</f>
        <v>0.00956843609975929</v>
      </c>
      <c r="T90" s="204" t="n">
        <f aca="false">1-(G90/T$1)</f>
        <v>0.99388654458571</v>
      </c>
      <c r="U90" s="205" t="n">
        <f aca="false">T90/U$1</f>
        <v>0.00764528111219777</v>
      </c>
      <c r="V90" s="204" t="n">
        <f aca="false">H90/V$1</f>
        <v>0.0104059753061328</v>
      </c>
      <c r="W90" s="204" t="n">
        <f aca="false">I90/W$1</f>
        <v>0.00844671530428878</v>
      </c>
      <c r="X90" s="204" t="n">
        <f aca="false">J90/X$1</f>
        <v>0.00916711048792573</v>
      </c>
      <c r="Y90" s="204" t="n">
        <f aca="false">1-(K90/Y$1)</f>
        <v>0.992566661242993</v>
      </c>
      <c r="Z90" s="205" t="n">
        <f aca="false">Y90/Z$1</f>
        <v>0.00763512816340764</v>
      </c>
      <c r="AA90" s="204" t="n">
        <f aca="false">L90/$AA$1</f>
        <v>0.0059816621878599</v>
      </c>
      <c r="AB90" s="204" t="n">
        <f aca="false">M90/AB$1</f>
        <v>0.00487814030281994</v>
      </c>
      <c r="AC90" s="204" t="n">
        <f aca="false">N90/AC$1</f>
        <v>0.00565943922317982</v>
      </c>
      <c r="AD90" s="204" t="n">
        <f aca="false">O90/AD$1</f>
        <v>0.0066107309294887</v>
      </c>
      <c r="AE90" s="209" t="n">
        <f aca="false">('Modelo AHP'!$U$37*aux!P90)+('Modelo AHP'!$U$38*aux!R90)+('Modelo AHP'!$U$39*aux!S90)</f>
        <v>0.00789554017043979</v>
      </c>
      <c r="AF90" s="210" t="n">
        <f aca="false">aux!U90</f>
        <v>0.00764528111219777</v>
      </c>
      <c r="AG90" s="209" t="n">
        <f aca="false">('Modelo AHP'!$U$47*aux!V90)+('Modelo AHP'!$U$48*aux!W90)+('Modelo AHP'!$U$49*aux!X90)</f>
        <v>0.00905728206116414</v>
      </c>
      <c r="AH90" s="210" t="n">
        <f aca="false">Z90</f>
        <v>0.00763512816340764</v>
      </c>
      <c r="AI90" s="209" t="n">
        <f aca="false">('Modelo AHP'!$U$56*aux!AA90)+('Modelo AHP'!$U$57*aux!AB90)+('Modelo AHP'!$U$58*aux!AC90)+('Modelo AHP'!$U$59*aux!AD90)</f>
        <v>0.0054456690266313</v>
      </c>
      <c r="AJ90" s="211" t="n">
        <f aca="false">('Modelo AHP'!$U$23*aux!AE90)+('Modelo AHP'!$U$24*aux!AF90)+('Modelo AHP'!$U$25*aux!AG90)+('Modelo AHP'!$U$26*aux!AH90)+('Modelo AHP'!$U$27*aux!AI90)</f>
        <v>0.00796287476091899</v>
      </c>
    </row>
    <row r="91" customFormat="false" ht="15" hidden="false" customHeight="false" outlineLevel="0" collapsed="false">
      <c r="A91" s="195" t="n">
        <f aca="false">_xlfn.RANK.EQ(AJ91,AJ$5:AJ$135)</f>
        <v>72</v>
      </c>
      <c r="B91" s="196" t="s">
        <v>222</v>
      </c>
      <c r="C91" s="197" t="s">
        <v>224</v>
      </c>
      <c r="D91" s="198" t="n">
        <v>0.0192854884603225</v>
      </c>
      <c r="E91" s="199" t="n">
        <v>82.23</v>
      </c>
      <c r="F91" s="198" t="n">
        <v>0.290661571530929</v>
      </c>
      <c r="G91" s="200" t="n">
        <v>45040.7301922175</v>
      </c>
      <c r="H91" s="201" t="n">
        <v>8.38</v>
      </c>
      <c r="I91" s="201" t="n">
        <v>9.24</v>
      </c>
      <c r="J91" s="198" t="n">
        <v>0.0571078097314979</v>
      </c>
      <c r="K91" s="202" t="n">
        <v>96989.93</v>
      </c>
      <c r="L91" s="198" t="n">
        <v>0.0391606756677772</v>
      </c>
      <c r="M91" s="203" t="n">
        <v>520</v>
      </c>
      <c r="N91" s="198" t="n">
        <v>0.0372940156114484</v>
      </c>
      <c r="O91" s="198" t="n">
        <v>0.0434443612774451</v>
      </c>
      <c r="P91" s="204" t="n">
        <f aca="false">D91/$P$1</f>
        <v>0.00176524736214146</v>
      </c>
      <c r="Q91" s="204" t="n">
        <f aca="false">1-(E91/Q$1)</f>
        <v>0.992437215924245</v>
      </c>
      <c r="R91" s="204" t="n">
        <f aca="false">Q91/R$1</f>
        <v>0.00763413243018651</v>
      </c>
      <c r="S91" s="204" t="n">
        <f aca="false">F91/S$1</f>
        <v>0.00595917665341814</v>
      </c>
      <c r="T91" s="204" t="n">
        <f aca="false">1-(G91/T$1)</f>
        <v>0.991907175696767</v>
      </c>
      <c r="U91" s="205" t="n">
        <f aca="false">T91/U$1</f>
        <v>0.00763005519766744</v>
      </c>
      <c r="V91" s="204" t="n">
        <f aca="false">H91/V$1</f>
        <v>0.00851582744779229</v>
      </c>
      <c r="W91" s="204" t="n">
        <f aca="false">I91/W$1</f>
        <v>0.00765173033447336</v>
      </c>
      <c r="X91" s="204" t="n">
        <f aca="false">J91/X$1</f>
        <v>0.00916711048792573</v>
      </c>
      <c r="Y91" s="204" t="n">
        <f aca="false">1-(K91/Y$1)</f>
        <v>0.992709492601298</v>
      </c>
      <c r="Z91" s="205" t="n">
        <f aca="false">Y91/Z$1</f>
        <v>0.00763622686616383</v>
      </c>
      <c r="AA91" s="204" t="n">
        <f aca="false">L91/$AA$1</f>
        <v>0.0059816621878599</v>
      </c>
      <c r="AB91" s="204" t="n">
        <f aca="false">M91/AB$1</f>
        <v>0.00487814030281994</v>
      </c>
      <c r="AC91" s="204" t="n">
        <f aca="false">N91/AC$1</f>
        <v>0.00565943922317982</v>
      </c>
      <c r="AD91" s="204" t="n">
        <f aca="false">O91/AD$1</f>
        <v>0.0066107309294887</v>
      </c>
      <c r="AE91" s="209" t="n">
        <f aca="false">('Modelo AHP'!$U$37*aux!P91)+('Modelo AHP'!$U$38*aux!R91)+('Modelo AHP'!$U$39*aux!S91)</f>
        <v>0.00486849344371197</v>
      </c>
      <c r="AF91" s="210" t="n">
        <f aca="false">aux!U91</f>
        <v>0.00763005519766744</v>
      </c>
      <c r="AG91" s="209" t="n">
        <f aca="false">('Modelo AHP'!$U$47*aux!V91)+('Modelo AHP'!$U$48*aux!W91)+('Modelo AHP'!$U$49*aux!X91)</f>
        <v>0.00838494980039165</v>
      </c>
      <c r="AH91" s="210" t="n">
        <f aca="false">Z91</f>
        <v>0.00763622686616383</v>
      </c>
      <c r="AI91" s="209" t="n">
        <f aca="false">('Modelo AHP'!$U$56*aux!AA91)+('Modelo AHP'!$U$57*aux!AB91)+('Modelo AHP'!$U$58*aux!AC91)+('Modelo AHP'!$U$59*aux!AD91)</f>
        <v>0.0054456690266313</v>
      </c>
      <c r="AJ91" s="211" t="n">
        <f aca="false">('Modelo AHP'!$U$23*aux!AE91)+('Modelo AHP'!$U$24*aux!AF91)+('Modelo AHP'!$U$25*aux!AG91)+('Modelo AHP'!$U$26*aux!AH91)+('Modelo AHP'!$U$27*aux!AI91)</f>
        <v>0.00722312339822958</v>
      </c>
    </row>
    <row r="92" customFormat="false" ht="15" hidden="false" customHeight="false" outlineLevel="0" collapsed="false">
      <c r="A92" s="195" t="n">
        <f aca="false">_xlfn.RANK.EQ(AJ92,AJ$5:AJ$135)</f>
        <v>64</v>
      </c>
      <c r="B92" s="196" t="s">
        <v>222</v>
      </c>
      <c r="C92" s="197" t="s">
        <v>225</v>
      </c>
      <c r="D92" s="198" t="n">
        <v>0.0365622032288699</v>
      </c>
      <c r="E92" s="199" t="n">
        <v>83.47</v>
      </c>
      <c r="F92" s="198" t="n">
        <v>0.383267853015946</v>
      </c>
      <c r="G92" s="200" t="n">
        <v>40428.4098530513</v>
      </c>
      <c r="H92" s="201" t="n">
        <v>7.71</v>
      </c>
      <c r="I92" s="201" t="n">
        <v>8.79</v>
      </c>
      <c r="J92" s="198" t="n">
        <v>0.0571078097314979</v>
      </c>
      <c r="K92" s="202" t="n">
        <v>81953.86</v>
      </c>
      <c r="L92" s="198" t="n">
        <v>0.0391606756677772</v>
      </c>
      <c r="M92" s="203" t="n">
        <v>520</v>
      </c>
      <c r="N92" s="198" t="n">
        <v>0.0372940156114484</v>
      </c>
      <c r="O92" s="198" t="n">
        <v>0.0434443612774451</v>
      </c>
      <c r="P92" s="204" t="n">
        <f aca="false">D92/$P$1</f>
        <v>0.00334662681407465</v>
      </c>
      <c r="Q92" s="204" t="n">
        <f aca="false">1-(E92/Q$1)</f>
        <v>0.992323171752362</v>
      </c>
      <c r="R92" s="204" t="n">
        <f aca="false">Q92/R$1</f>
        <v>0.00763325516732587</v>
      </c>
      <c r="S92" s="204" t="n">
        <f aca="false">F92/S$1</f>
        <v>0.00785780118668109</v>
      </c>
      <c r="T92" s="204" t="n">
        <f aca="false">1-(G92/T$1)</f>
        <v>0.992735907779391</v>
      </c>
      <c r="U92" s="205" t="n">
        <f aca="false">T92/U$1</f>
        <v>0.00763643005984147</v>
      </c>
      <c r="V92" s="204" t="n">
        <f aca="false">H92/V$1</f>
        <v>0.0078349677353793</v>
      </c>
      <c r="W92" s="204" t="n">
        <f aca="false">I92/W$1</f>
        <v>0.00727908112987239</v>
      </c>
      <c r="X92" s="204" t="n">
        <f aca="false">J92/X$1</f>
        <v>0.00916711048792573</v>
      </c>
      <c r="Y92" s="204" t="n">
        <f aca="false">1-(K92/Y$1)</f>
        <v>0.993839719002971</v>
      </c>
      <c r="Z92" s="205" t="n">
        <f aca="false">Y92/Z$1</f>
        <v>0.00764492091540747</v>
      </c>
      <c r="AA92" s="204" t="n">
        <f aca="false">L92/$AA$1</f>
        <v>0.0059816621878599</v>
      </c>
      <c r="AB92" s="204" t="n">
        <f aca="false">M92/AB$1</f>
        <v>0.00487814030281994</v>
      </c>
      <c r="AC92" s="204" t="n">
        <f aca="false">N92/AC$1</f>
        <v>0.00565943922317982</v>
      </c>
      <c r="AD92" s="204" t="n">
        <f aca="false">O92/AD$1</f>
        <v>0.0066107309294887</v>
      </c>
      <c r="AE92" s="209" t="n">
        <f aca="false">('Modelo AHP'!$U$37*aux!P92)+('Modelo AHP'!$U$38*aux!R92)+('Modelo AHP'!$U$39*aux!S92)</f>
        <v>0.00648199427296364</v>
      </c>
      <c r="AF92" s="210" t="n">
        <f aca="false">aux!U92</f>
        <v>0.00763643005984147</v>
      </c>
      <c r="AG92" s="209" t="n">
        <f aca="false">('Modelo AHP'!$U$47*aux!V92)+('Modelo AHP'!$U$48*aux!W92)+('Modelo AHP'!$U$49*aux!X92)</f>
        <v>0.00810450491601859</v>
      </c>
      <c r="AH92" s="210" t="n">
        <f aca="false">Z92</f>
        <v>0.00764492091540747</v>
      </c>
      <c r="AI92" s="209" t="n">
        <f aca="false">('Modelo AHP'!$U$56*aux!AA92)+('Modelo AHP'!$U$57*aux!AB92)+('Modelo AHP'!$U$58*aux!AC92)+('Modelo AHP'!$U$59*aux!AD92)</f>
        <v>0.0054456690266313</v>
      </c>
      <c r="AJ92" s="211" t="n">
        <f aca="false">('Modelo AHP'!$U$23*aux!AE92)+('Modelo AHP'!$U$24*aux!AF92)+('Modelo AHP'!$U$25*aux!AG92)+('Modelo AHP'!$U$26*aux!AH92)+('Modelo AHP'!$U$27*aux!AI92)</f>
        <v>0.00739926719384283</v>
      </c>
    </row>
    <row r="93" customFormat="false" ht="15" hidden="false" customHeight="false" outlineLevel="0" collapsed="false">
      <c r="A93" s="195" t="n">
        <f aca="false">_xlfn.RANK.EQ(AJ93,AJ$5:AJ$135)</f>
        <v>50</v>
      </c>
      <c r="B93" s="196" t="s">
        <v>222</v>
      </c>
      <c r="C93" s="197" t="s">
        <v>226</v>
      </c>
      <c r="D93" s="198" t="n">
        <v>0.0566537140282705</v>
      </c>
      <c r="E93" s="199" t="n">
        <v>83.52</v>
      </c>
      <c r="F93" s="198" t="n">
        <v>0.443762348292408</v>
      </c>
      <c r="G93" s="200" t="n">
        <v>35438.8711740488</v>
      </c>
      <c r="H93" s="201" t="n">
        <v>9.62</v>
      </c>
      <c r="I93" s="201" t="n">
        <v>10.73</v>
      </c>
      <c r="J93" s="198" t="n">
        <v>0.0571078097314979</v>
      </c>
      <c r="K93" s="202" t="n">
        <v>87817.15</v>
      </c>
      <c r="L93" s="198" t="n">
        <v>0.0391606756677772</v>
      </c>
      <c r="M93" s="203" t="n">
        <v>520</v>
      </c>
      <c r="N93" s="198" t="n">
        <v>0.0372940156114484</v>
      </c>
      <c r="O93" s="198" t="n">
        <v>0.0434443612774451</v>
      </c>
      <c r="P93" s="204" t="n">
        <f aca="false">D93/$P$1</f>
        <v>0.0051856513486643</v>
      </c>
      <c r="Q93" s="204" t="n">
        <f aca="false">1-(E93/Q$1)</f>
        <v>0.992318573197044</v>
      </c>
      <c r="R93" s="204" t="n">
        <f aca="false">Q93/R$1</f>
        <v>0.00763321979382342</v>
      </c>
      <c r="S93" s="204" t="n">
        <f aca="false">F93/S$1</f>
        <v>0.00909806622073098</v>
      </c>
      <c r="T93" s="204" t="n">
        <f aca="false">1-(G93/T$1)</f>
        <v>0.993632417665244</v>
      </c>
      <c r="U93" s="205" t="n">
        <f aca="false">T93/U$1</f>
        <v>0.00764332628973265</v>
      </c>
      <c r="V93" s="204" t="n">
        <f aca="false">H93/V$1</f>
        <v>0.00977592602001931</v>
      </c>
      <c r="W93" s="204" t="n">
        <f aca="false">I93/W$1</f>
        <v>0.00888561325637437</v>
      </c>
      <c r="X93" s="204" t="n">
        <f aca="false">J93/X$1</f>
        <v>0.00916711048792573</v>
      </c>
      <c r="Y93" s="204" t="n">
        <f aca="false">1-(K93/Y$1)</f>
        <v>0.993398989134151</v>
      </c>
      <c r="Z93" s="205" t="n">
        <f aca="false">Y93/Z$1</f>
        <v>0.00764153068564732</v>
      </c>
      <c r="AA93" s="204" t="n">
        <f aca="false">L93/$AA$1</f>
        <v>0.0059816621878599</v>
      </c>
      <c r="AB93" s="204" t="n">
        <f aca="false">M93/AB$1</f>
        <v>0.00487814030281994</v>
      </c>
      <c r="AC93" s="204" t="n">
        <f aca="false">N93/AC$1</f>
        <v>0.00565943922317982</v>
      </c>
      <c r="AD93" s="204" t="n">
        <f aca="false">O93/AD$1</f>
        <v>0.0066107309294887</v>
      </c>
      <c r="AE93" s="209" t="n">
        <f aca="false">('Modelo AHP'!$U$37*aux!P93)+('Modelo AHP'!$U$38*aux!R93)+('Modelo AHP'!$U$39*aux!S93)</f>
        <v>0.00777785711642022</v>
      </c>
      <c r="AF93" s="210" t="n">
        <f aca="false">aux!U93</f>
        <v>0.00764332628973265</v>
      </c>
      <c r="AG93" s="209" t="n">
        <f aca="false">('Modelo AHP'!$U$47*aux!V93)+('Modelo AHP'!$U$48*aux!W93)+('Modelo AHP'!$U$49*aux!X93)</f>
        <v>0.0091452979313291</v>
      </c>
      <c r="AH93" s="210" t="n">
        <f aca="false">Z93</f>
        <v>0.00764153068564732</v>
      </c>
      <c r="AI93" s="209" t="n">
        <f aca="false">('Modelo AHP'!$U$56*aux!AA93)+('Modelo AHP'!$U$57*aux!AB93)+('Modelo AHP'!$U$58*aux!AC93)+('Modelo AHP'!$U$59*aux!AD93)</f>
        <v>0.0054456690266313</v>
      </c>
      <c r="AJ93" s="211" t="n">
        <f aca="false">('Modelo AHP'!$U$23*aux!AE93)+('Modelo AHP'!$U$24*aux!AF93)+('Modelo AHP'!$U$25*aux!AG93)+('Modelo AHP'!$U$26*aux!AH93)+('Modelo AHP'!$U$27*aux!AI93)</f>
        <v>0.00797316301438885</v>
      </c>
    </row>
    <row r="94" customFormat="false" ht="15" hidden="false" customHeight="false" outlineLevel="0" collapsed="false">
      <c r="A94" s="195" t="n">
        <f aca="false">_xlfn.RANK.EQ(AJ94,AJ$5:AJ$135)</f>
        <v>40</v>
      </c>
      <c r="B94" s="196" t="s">
        <v>222</v>
      </c>
      <c r="C94" s="197" t="s">
        <v>227</v>
      </c>
      <c r="D94" s="198" t="n">
        <v>0.0853745118920838</v>
      </c>
      <c r="E94" s="199" t="n">
        <v>81.81</v>
      </c>
      <c r="F94" s="198" t="n">
        <v>0.533135215453195</v>
      </c>
      <c r="G94" s="200" t="n">
        <v>28013.7068747194</v>
      </c>
      <c r="H94" s="201" t="n">
        <v>9.92</v>
      </c>
      <c r="I94" s="201" t="n">
        <v>11.84</v>
      </c>
      <c r="J94" s="198" t="n">
        <v>0.0571078097314979</v>
      </c>
      <c r="K94" s="202" t="n">
        <v>72379.86</v>
      </c>
      <c r="L94" s="198" t="n">
        <v>0.0391606756677772</v>
      </c>
      <c r="M94" s="203" t="n">
        <v>520</v>
      </c>
      <c r="N94" s="198" t="n">
        <v>0.0372940156114484</v>
      </c>
      <c r="O94" s="198" t="n">
        <v>0.0434443612774451</v>
      </c>
      <c r="P94" s="204" t="n">
        <f aca="false">D94/$P$1</f>
        <v>0.00781453538092524</v>
      </c>
      <c r="Q94" s="204" t="n">
        <f aca="false">1-(E94/Q$1)</f>
        <v>0.992475843788915</v>
      </c>
      <c r="R94" s="204" t="n">
        <f aca="false">Q94/R$1</f>
        <v>0.00763442956760704</v>
      </c>
      <c r="S94" s="204" t="n">
        <f aca="false">F94/S$1</f>
        <v>0.0109303989251488</v>
      </c>
      <c r="T94" s="204" t="n">
        <f aca="false">1-(G94/T$1)</f>
        <v>0.994966555674123</v>
      </c>
      <c r="U94" s="205" t="n">
        <f aca="false">T94/U$1</f>
        <v>0.00765358888980095</v>
      </c>
      <c r="V94" s="204" t="n">
        <f aca="false">H94/V$1</f>
        <v>0.0100807885778162</v>
      </c>
      <c r="W94" s="204" t="n">
        <f aca="false">I94/W$1</f>
        <v>0.00980481462772344</v>
      </c>
      <c r="X94" s="204" t="n">
        <f aca="false">J94/X$1</f>
        <v>0.00916711048792573</v>
      </c>
      <c r="Y94" s="204" t="n">
        <f aca="false">1-(K94/Y$1)</f>
        <v>0.994559374309817</v>
      </c>
      <c r="Z94" s="205" t="n">
        <f aca="false">Y94/Z$1</f>
        <v>0.00765045672546014</v>
      </c>
      <c r="AA94" s="204" t="n">
        <f aca="false">L94/$AA$1</f>
        <v>0.0059816621878599</v>
      </c>
      <c r="AB94" s="204" t="n">
        <f aca="false">M94/AB$1</f>
        <v>0.00487814030281994</v>
      </c>
      <c r="AC94" s="204" t="n">
        <f aca="false">N94/AC$1</f>
        <v>0.00565943922317982</v>
      </c>
      <c r="AD94" s="204" t="n">
        <f aca="false">O94/AD$1</f>
        <v>0.0066107309294887</v>
      </c>
      <c r="AE94" s="209" t="n">
        <f aca="false">('Modelo AHP'!$U$37*aux!P94)+('Modelo AHP'!$U$38*aux!R94)+('Modelo AHP'!$U$39*aux!S94)</f>
        <v>0.00966604292612756</v>
      </c>
      <c r="AF94" s="210" t="n">
        <f aca="false">aux!U94</f>
        <v>0.00765358888980095</v>
      </c>
      <c r="AG94" s="209" t="n">
        <f aca="false">('Modelo AHP'!$U$47*aux!V94)+('Modelo AHP'!$U$48*aux!W94)+('Modelo AHP'!$U$49*aux!X94)</f>
        <v>0.00960448128759825</v>
      </c>
      <c r="AH94" s="210" t="n">
        <f aca="false">Z94</f>
        <v>0.00765045672546014</v>
      </c>
      <c r="AI94" s="209" t="n">
        <f aca="false">('Modelo AHP'!$U$56*aux!AA94)+('Modelo AHP'!$U$57*aux!AB94)+('Modelo AHP'!$U$58*aux!AC94)+('Modelo AHP'!$U$59*aux!AD94)</f>
        <v>0.0054456690266313</v>
      </c>
      <c r="AJ94" s="211" t="n">
        <f aca="false">('Modelo AHP'!$U$23*aux!AE94)+('Modelo AHP'!$U$24*aux!AF94)+('Modelo AHP'!$U$25*aux!AG94)+('Modelo AHP'!$U$26*aux!AH94)+('Modelo AHP'!$U$27*aux!AI94)</f>
        <v>0.00844916928509827</v>
      </c>
    </row>
    <row r="95" customFormat="false" ht="15" hidden="false" customHeight="false" outlineLevel="0" collapsed="false">
      <c r="A95" s="195" t="n">
        <f aca="false">_xlfn.RANK.EQ(AJ95,AJ$5:AJ$135)</f>
        <v>52</v>
      </c>
      <c r="B95" s="196" t="s">
        <v>222</v>
      </c>
      <c r="C95" s="197" t="s">
        <v>228</v>
      </c>
      <c r="D95" s="198" t="n">
        <v>0.0662424927157043</v>
      </c>
      <c r="E95" s="199" t="n">
        <v>84.3</v>
      </c>
      <c r="F95" s="198" t="n">
        <v>0.481349003576903</v>
      </c>
      <c r="G95" s="200" t="n">
        <v>29156.1159960856</v>
      </c>
      <c r="H95" s="201" t="n">
        <v>8.8</v>
      </c>
      <c r="I95" s="201" t="n">
        <v>9.86</v>
      </c>
      <c r="J95" s="198" t="n">
        <v>0.0571078097314979</v>
      </c>
      <c r="K95" s="202" t="n">
        <v>74639.28</v>
      </c>
      <c r="L95" s="198" t="n">
        <v>0.0391606756677772</v>
      </c>
      <c r="M95" s="203" t="n">
        <v>520</v>
      </c>
      <c r="N95" s="198" t="n">
        <v>0.0372940156114484</v>
      </c>
      <c r="O95" s="198" t="n">
        <v>0.0434443612774451</v>
      </c>
      <c r="P95" s="204" t="n">
        <f aca="false">D95/$P$1</f>
        <v>0.0060633354332015</v>
      </c>
      <c r="Q95" s="204" t="n">
        <f aca="false">1-(E95/Q$1)</f>
        <v>0.992246835734086</v>
      </c>
      <c r="R95" s="204" t="n">
        <f aca="false">Q95/R$1</f>
        <v>0.00763266796718528</v>
      </c>
      <c r="S95" s="204" t="n">
        <f aca="false">F95/S$1</f>
        <v>0.00986867210946852</v>
      </c>
      <c r="T95" s="204" t="n">
        <f aca="false">1-(G95/T$1)</f>
        <v>0.994761289989882</v>
      </c>
      <c r="U95" s="205" t="n">
        <f aca="false">T95/U$1</f>
        <v>0.00765200992299909</v>
      </c>
      <c r="V95" s="204" t="n">
        <f aca="false">H95/V$1</f>
        <v>0.00894263502870789</v>
      </c>
      <c r="W95" s="204" t="n">
        <f aca="false">I95/W$1</f>
        <v>0.00816515812747915</v>
      </c>
      <c r="X95" s="204" t="n">
        <f aca="false">J95/X$1</f>
        <v>0.00916711048792573</v>
      </c>
      <c r="Y95" s="204" t="n">
        <f aca="false">1-(K95/Y$1)</f>
        <v>0.994389538964779</v>
      </c>
      <c r="Z95" s="205" t="n">
        <f aca="false">Y95/Z$1</f>
        <v>0.00764915029972907</v>
      </c>
      <c r="AA95" s="204" t="n">
        <f aca="false">L95/$AA$1</f>
        <v>0.0059816621878599</v>
      </c>
      <c r="AB95" s="204" t="n">
        <f aca="false">M95/AB$1</f>
        <v>0.00487814030281994</v>
      </c>
      <c r="AC95" s="204" t="n">
        <f aca="false">N95/AC$1</f>
        <v>0.00565943922317982</v>
      </c>
      <c r="AD95" s="204" t="n">
        <f aca="false">O95/AD$1</f>
        <v>0.0066107309294887</v>
      </c>
      <c r="AE95" s="209" t="n">
        <f aca="false">('Modelo AHP'!$U$37*aux!P95)+('Modelo AHP'!$U$38*aux!R95)+('Modelo AHP'!$U$39*aux!S95)</f>
        <v>0.00850347069236009</v>
      </c>
      <c r="AF95" s="210" t="n">
        <f aca="false">aux!U95</f>
        <v>0.00765200992299909</v>
      </c>
      <c r="AG95" s="209" t="n">
        <f aca="false">('Modelo AHP'!$U$47*aux!V95)+('Modelo AHP'!$U$48*aux!W95)+('Modelo AHP'!$U$49*aux!X95)</f>
        <v>0.00868483442082974</v>
      </c>
      <c r="AH95" s="210" t="n">
        <f aca="false">Z95</f>
        <v>0.00764915029972907</v>
      </c>
      <c r="AI95" s="209" t="n">
        <f aca="false">('Modelo AHP'!$U$56*aux!AA95)+('Modelo AHP'!$U$57*aux!AB95)+('Modelo AHP'!$U$58*aux!AC95)+('Modelo AHP'!$U$59*aux!AD95)</f>
        <v>0.0054456690266313</v>
      </c>
      <c r="AJ95" s="211" t="n">
        <f aca="false">('Modelo AHP'!$U$23*aux!AE95)+('Modelo AHP'!$U$24*aux!AF95)+('Modelo AHP'!$U$25*aux!AG95)+('Modelo AHP'!$U$26*aux!AH95)+('Modelo AHP'!$U$27*aux!AI95)</f>
        <v>0.00794027890470963</v>
      </c>
    </row>
    <row r="96" customFormat="false" ht="15" hidden="false" customHeight="false" outlineLevel="0" collapsed="false">
      <c r="A96" s="195" t="n">
        <f aca="false">_xlfn.RANK.EQ(AJ96,AJ$5:AJ$135)</f>
        <v>43</v>
      </c>
      <c r="B96" s="196" t="s">
        <v>229</v>
      </c>
      <c r="C96" s="197" t="s">
        <v>230</v>
      </c>
      <c r="D96" s="198" t="n">
        <v>0.114527479892761</v>
      </c>
      <c r="E96" s="199" t="n">
        <v>83.91</v>
      </c>
      <c r="F96" s="198" t="n">
        <v>0.49792650165619</v>
      </c>
      <c r="G96" s="200" t="n">
        <v>28196.6239385058</v>
      </c>
      <c r="H96" s="201" t="n">
        <v>8.43</v>
      </c>
      <c r="I96" s="201" t="n">
        <v>10.82</v>
      </c>
      <c r="J96" s="198" t="n">
        <v>0.0464707450449217</v>
      </c>
      <c r="K96" s="202" t="n">
        <v>69508.26</v>
      </c>
      <c r="L96" s="198" t="n">
        <v>0.0730609620667485</v>
      </c>
      <c r="M96" s="203" t="n">
        <v>596</v>
      </c>
      <c r="N96" s="198" t="n">
        <v>0.0646622337862581</v>
      </c>
      <c r="O96" s="198" t="n">
        <v>0.0753804890219561</v>
      </c>
      <c r="P96" s="204" t="n">
        <f aca="false">D96/$P$1</f>
        <v>0.0104829769901522</v>
      </c>
      <c r="Q96" s="204" t="n">
        <f aca="false">1-(E96/Q$1)</f>
        <v>0.992282704465565</v>
      </c>
      <c r="R96" s="204" t="n">
        <f aca="false">Q96/R$1</f>
        <v>0.00763294388050435</v>
      </c>
      <c r="S96" s="204" t="n">
        <f aca="false">F96/S$1</f>
        <v>0.010208545863697</v>
      </c>
      <c r="T96" s="204" t="n">
        <f aca="false">1-(G96/T$1)</f>
        <v>0.994933689518247</v>
      </c>
      <c r="U96" s="205" t="n">
        <f aca="false">T96/U$1</f>
        <v>0.00765333607321728</v>
      </c>
      <c r="V96" s="204" t="n">
        <f aca="false">H96/V$1</f>
        <v>0.00856663787409176</v>
      </c>
      <c r="W96" s="204" t="n">
        <f aca="false">I96/W$1</f>
        <v>0.00896014309729457</v>
      </c>
      <c r="X96" s="204" t="n">
        <f aca="false">J96/X$1</f>
        <v>0.0074596181553092</v>
      </c>
      <c r="Y96" s="204" t="n">
        <f aca="false">1-(K96/Y$1)</f>
        <v>0.994775225801267</v>
      </c>
      <c r="Z96" s="205" t="n">
        <f aca="false">Y96/Z$1</f>
        <v>0.00765211712154821</v>
      </c>
      <c r="AA96" s="204" t="n">
        <f aca="false">L96/$AA$1</f>
        <v>0.011159817514664</v>
      </c>
      <c r="AB96" s="204" t="n">
        <f aca="false">M96/AB$1</f>
        <v>0.00559109927015516</v>
      </c>
      <c r="AC96" s="204" t="n">
        <f aca="false">N96/AC$1</f>
        <v>0.00981261942830402</v>
      </c>
      <c r="AD96" s="204" t="n">
        <f aca="false">O96/AD$1</f>
        <v>0.0114703062861265</v>
      </c>
      <c r="AE96" s="209" t="n">
        <f aca="false">('Modelo AHP'!$U$37*aux!P96)+('Modelo AHP'!$U$38*aux!R96)+('Modelo AHP'!$U$39*aux!S96)</f>
        <v>0.0100333150033143</v>
      </c>
      <c r="AF96" s="210" t="n">
        <f aca="false">aux!U96</f>
        <v>0.00765333607321728</v>
      </c>
      <c r="AG96" s="209" t="n">
        <f aca="false">('Modelo AHP'!$U$47*aux!V96)+('Modelo AHP'!$U$48*aux!W96)+('Modelo AHP'!$U$49*aux!X96)</f>
        <v>0.00831230219827111</v>
      </c>
      <c r="AH96" s="210" t="n">
        <f aca="false">Z96</f>
        <v>0.00765211712154821</v>
      </c>
      <c r="AI96" s="209" t="n">
        <f aca="false">('Modelo AHP'!$U$56*aux!AA96)+('Modelo AHP'!$U$57*aux!AB96)+('Modelo AHP'!$U$58*aux!AC96)+('Modelo AHP'!$U$59*aux!AD96)</f>
        <v>0.00815726356279664</v>
      </c>
      <c r="AJ96" s="211" t="n">
        <f aca="false">('Modelo AHP'!$U$23*aux!AE96)+('Modelo AHP'!$U$24*aux!AF96)+('Modelo AHP'!$U$25*aux!AG96)+('Modelo AHP'!$U$26*aux!AH96)+('Modelo AHP'!$U$27*aux!AI96)</f>
        <v>0.008322789844905</v>
      </c>
    </row>
    <row r="97" customFormat="false" ht="15" hidden="false" customHeight="false" outlineLevel="0" collapsed="false">
      <c r="A97" s="195" t="n">
        <f aca="false">_xlfn.RANK.EQ(AJ97,AJ$5:AJ$135)</f>
        <v>46</v>
      </c>
      <c r="B97" s="196" t="s">
        <v>229</v>
      </c>
      <c r="C97" s="197" t="s">
        <v>231</v>
      </c>
      <c r="D97" s="198" t="n">
        <v>0.119391759319817</v>
      </c>
      <c r="E97" s="199" t="n">
        <v>82.85</v>
      </c>
      <c r="F97" s="198" t="n">
        <v>0.507818008377919</v>
      </c>
      <c r="G97" s="200" t="n">
        <v>30038.9555432669</v>
      </c>
      <c r="H97" s="201" t="n">
        <v>8.18</v>
      </c>
      <c r="I97" s="201" t="n">
        <v>9.95</v>
      </c>
      <c r="J97" s="198" t="n">
        <v>0.0464707450449217</v>
      </c>
      <c r="K97" s="202" t="n">
        <v>70105.52</v>
      </c>
      <c r="L97" s="198" t="n">
        <v>0.0730609620667485</v>
      </c>
      <c r="M97" s="203" t="n">
        <v>596</v>
      </c>
      <c r="N97" s="198" t="n">
        <v>0.0646622337862581</v>
      </c>
      <c r="O97" s="198" t="n">
        <v>0.0753804890219561</v>
      </c>
      <c r="P97" s="204" t="n">
        <f aca="false">D97/$P$1</f>
        <v>0.0109282162406381</v>
      </c>
      <c r="Q97" s="204" t="n">
        <f aca="false">1-(E97/Q$1)</f>
        <v>0.992380193838304</v>
      </c>
      <c r="R97" s="204" t="n">
        <f aca="false">Q97/R$1</f>
        <v>0.00763369379875619</v>
      </c>
      <c r="S97" s="204" t="n">
        <f aca="false">F97/S$1</f>
        <v>0.010411342661405</v>
      </c>
      <c r="T97" s="204" t="n">
        <f aca="false">1-(G97/T$1)</f>
        <v>0.994602663224446</v>
      </c>
      <c r="U97" s="205" t="n">
        <f aca="false">T97/U$1</f>
        <v>0.00765078971711112</v>
      </c>
      <c r="V97" s="204" t="n">
        <f aca="false">H97/V$1</f>
        <v>0.00831258574259438</v>
      </c>
      <c r="W97" s="204" t="n">
        <f aca="false">I97/W$1</f>
        <v>0.00823968796839935</v>
      </c>
      <c r="X97" s="204" t="n">
        <f aca="false">J97/X$1</f>
        <v>0.0074596181553092</v>
      </c>
      <c r="Y97" s="204" t="n">
        <f aca="false">1-(K97/Y$1)</f>
        <v>0.994730331156545</v>
      </c>
      <c r="Z97" s="205" t="n">
        <f aca="false">Y97/Z$1</f>
        <v>0.00765177177812727</v>
      </c>
      <c r="AA97" s="204" t="n">
        <f aca="false">L97/$AA$1</f>
        <v>0.011159817514664</v>
      </c>
      <c r="AB97" s="204" t="n">
        <f aca="false">M97/AB$1</f>
        <v>0.00559109927015516</v>
      </c>
      <c r="AC97" s="204" t="n">
        <f aca="false">N97/AC$1</f>
        <v>0.00981261942830402</v>
      </c>
      <c r="AD97" s="204" t="n">
        <f aca="false">O97/AD$1</f>
        <v>0.0114703062861265</v>
      </c>
      <c r="AE97" s="209" t="n">
        <f aca="false">('Modelo AHP'!$U$37*aux!P97)+('Modelo AHP'!$U$38*aux!R97)+('Modelo AHP'!$U$39*aux!S97)</f>
        <v>0.0102886398489101</v>
      </c>
      <c r="AF97" s="210" t="n">
        <f aca="false">aux!U97</f>
        <v>0.00765078971711112</v>
      </c>
      <c r="AG97" s="209" t="n">
        <f aca="false">('Modelo AHP'!$U$47*aux!V97)+('Modelo AHP'!$U$48*aux!W97)+('Modelo AHP'!$U$49*aux!X97)</f>
        <v>0.00794984582997612</v>
      </c>
      <c r="AH97" s="210" t="n">
        <f aca="false">Z97</f>
        <v>0.00765177177812727</v>
      </c>
      <c r="AI97" s="209" t="n">
        <f aca="false">('Modelo AHP'!$U$56*aux!AA97)+('Modelo AHP'!$U$57*aux!AB97)+('Modelo AHP'!$U$58*aux!AC97)+('Modelo AHP'!$U$59*aux!AD97)</f>
        <v>0.00815726356279664</v>
      </c>
      <c r="AJ97" s="211" t="n">
        <f aca="false">('Modelo AHP'!$U$23*aux!AE97)+('Modelo AHP'!$U$24*aux!AF97)+('Modelo AHP'!$U$25*aux!AG97)+('Modelo AHP'!$U$26*aux!AH97)+('Modelo AHP'!$U$27*aux!AI97)</f>
        <v>0.00824069159880532</v>
      </c>
    </row>
    <row r="98" customFormat="false" ht="15" hidden="false" customHeight="false" outlineLevel="0" collapsed="false">
      <c r="A98" s="195" t="n">
        <f aca="false">_xlfn.RANK.EQ(AJ98,AJ$5:AJ$135)</f>
        <v>45</v>
      </c>
      <c r="B98" s="196" t="s">
        <v>229</v>
      </c>
      <c r="C98" s="197" t="s">
        <v>232</v>
      </c>
      <c r="D98" s="198" t="n">
        <v>0.13387765149961</v>
      </c>
      <c r="E98" s="199" t="n">
        <v>83.58</v>
      </c>
      <c r="F98" s="198" t="n">
        <v>0.440042826552463</v>
      </c>
      <c r="G98" s="200" t="n">
        <v>30421.5557167099</v>
      </c>
      <c r="H98" s="201" t="n">
        <v>8.21</v>
      </c>
      <c r="I98" s="201" t="n">
        <v>10.76</v>
      </c>
      <c r="J98" s="198" t="n">
        <v>0.0464707450449217</v>
      </c>
      <c r="K98" s="202" t="n">
        <v>78617.45</v>
      </c>
      <c r="L98" s="198" t="n">
        <v>0.0730609620667485</v>
      </c>
      <c r="M98" s="203" t="n">
        <v>596</v>
      </c>
      <c r="N98" s="198" t="n">
        <v>0.0646622337862581</v>
      </c>
      <c r="O98" s="198" t="n">
        <v>0.0753804890219561</v>
      </c>
      <c r="P98" s="204" t="n">
        <f aca="false">D98/$P$1</f>
        <v>0.012254144957002</v>
      </c>
      <c r="Q98" s="204" t="n">
        <f aca="false">1-(E98/Q$1)</f>
        <v>0.992313054930663</v>
      </c>
      <c r="R98" s="204" t="n">
        <f aca="false">Q98/R$1</f>
        <v>0.00763317734562049</v>
      </c>
      <c r="S98" s="204" t="n">
        <f aca="false">F98/S$1</f>
        <v>0.00902180816226863</v>
      </c>
      <c r="T98" s="204" t="n">
        <f aca="false">1-(G98/T$1)</f>
        <v>0.994533918424598</v>
      </c>
      <c r="U98" s="205" t="n">
        <f aca="false">T98/U$1</f>
        <v>0.00765026091095845</v>
      </c>
      <c r="V98" s="204" t="n">
        <f aca="false">H98/V$1</f>
        <v>0.00834307199837407</v>
      </c>
      <c r="W98" s="204" t="n">
        <f aca="false">I98/W$1</f>
        <v>0.0089104565366811</v>
      </c>
      <c r="X98" s="204" t="n">
        <f aca="false">J98/X$1</f>
        <v>0.0074596181553092</v>
      </c>
      <c r="Y98" s="204" t="n">
        <f aca="false">1-(K98/Y$1)</f>
        <v>0.994090509180777</v>
      </c>
      <c r="Z98" s="205" t="n">
        <f aca="false">Y98/Z$1</f>
        <v>0.00764685007062136</v>
      </c>
      <c r="AA98" s="204" t="n">
        <f aca="false">L98/$AA$1</f>
        <v>0.011159817514664</v>
      </c>
      <c r="AB98" s="204" t="n">
        <f aca="false">M98/AB$1</f>
        <v>0.00559109927015516</v>
      </c>
      <c r="AC98" s="204" t="n">
        <f aca="false">N98/AC$1</f>
        <v>0.00981261942830402</v>
      </c>
      <c r="AD98" s="204" t="n">
        <f aca="false">O98/AD$1</f>
        <v>0.0114703062861265</v>
      </c>
      <c r="AE98" s="209" t="n">
        <f aca="false">('Modelo AHP'!$U$37*aux!P98)+('Modelo AHP'!$U$38*aux!R98)+('Modelo AHP'!$U$39*aux!S98)</f>
        <v>0.00985264611902382</v>
      </c>
      <c r="AF98" s="210" t="n">
        <f aca="false">aux!U98</f>
        <v>0.00765026091095845</v>
      </c>
      <c r="AG98" s="209" t="n">
        <f aca="false">('Modelo AHP'!$U$47*aux!V98)+('Modelo AHP'!$U$48*aux!W98)+('Modelo AHP'!$U$49*aux!X98)</f>
        <v>0.00825244241266809</v>
      </c>
      <c r="AH98" s="210" t="n">
        <f aca="false">Z98</f>
        <v>0.00764685007062136</v>
      </c>
      <c r="AI98" s="209" t="n">
        <f aca="false">('Modelo AHP'!$U$56*aux!AA98)+('Modelo AHP'!$U$57*aux!AB98)+('Modelo AHP'!$U$58*aux!AC98)+('Modelo AHP'!$U$59*aux!AD98)</f>
        <v>0.00815726356279664</v>
      </c>
      <c r="AJ98" s="211" t="n">
        <f aca="false">('Modelo AHP'!$U$23*aux!AE98)+('Modelo AHP'!$U$24*aux!AF98)+('Modelo AHP'!$U$25*aux!AG98)+('Modelo AHP'!$U$26*aux!AH98)+('Modelo AHP'!$U$27*aux!AI98)</f>
        <v>0.00827079536590433</v>
      </c>
    </row>
    <row r="99" customFormat="false" ht="15" hidden="false" customHeight="false" outlineLevel="0" collapsed="false">
      <c r="A99" s="195" t="n">
        <f aca="false">_xlfn.RANK.EQ(AJ99,AJ$5:AJ$135)</f>
        <v>55</v>
      </c>
      <c r="B99" s="196" t="s">
        <v>229</v>
      </c>
      <c r="C99" s="197" t="s">
        <v>233</v>
      </c>
      <c r="D99" s="198" t="n">
        <v>0.0872951016680286</v>
      </c>
      <c r="E99" s="199" t="n">
        <v>83.74</v>
      </c>
      <c r="F99" s="198" t="n">
        <v>0.361017964071856</v>
      </c>
      <c r="G99" s="200" t="n">
        <v>34263.2416840776</v>
      </c>
      <c r="H99" s="201" t="n">
        <v>7.71</v>
      </c>
      <c r="I99" s="201" t="n">
        <v>9.43</v>
      </c>
      <c r="J99" s="198" t="n">
        <v>0.0464707450449217</v>
      </c>
      <c r="K99" s="202" t="n">
        <v>84627.53</v>
      </c>
      <c r="L99" s="198" t="n">
        <v>0.0730609620667485</v>
      </c>
      <c r="M99" s="203" t="n">
        <v>596</v>
      </c>
      <c r="N99" s="198" t="n">
        <v>0.0646622337862581</v>
      </c>
      <c r="O99" s="198" t="n">
        <v>0.0753804890219561</v>
      </c>
      <c r="P99" s="204" t="n">
        <f aca="false">D99/$P$1</f>
        <v>0.0079903316042212</v>
      </c>
      <c r="Q99" s="204" t="n">
        <f aca="false">1-(E99/Q$1)</f>
        <v>0.992298339553646</v>
      </c>
      <c r="R99" s="204" t="n">
        <f aca="false">Q99/R$1</f>
        <v>0.00763306415041266</v>
      </c>
      <c r="S99" s="204" t="n">
        <f aca="false">F99/S$1</f>
        <v>0.00740163142870997</v>
      </c>
      <c r="T99" s="204" t="n">
        <f aca="false">1-(G99/T$1)</f>
        <v>0.993843652315913</v>
      </c>
      <c r="U99" s="205" t="n">
        <f aca="false">T99/U$1</f>
        <v>0.00764495117166087</v>
      </c>
      <c r="V99" s="204" t="n">
        <f aca="false">H99/V$1</f>
        <v>0.0078349677353793</v>
      </c>
      <c r="W99" s="204" t="n">
        <f aca="false">I99/W$1</f>
        <v>0.00780907110974933</v>
      </c>
      <c r="X99" s="204" t="n">
        <f aca="false">J99/X$1</f>
        <v>0.0074596181553092</v>
      </c>
      <c r="Y99" s="204" t="n">
        <f aca="false">1-(K99/Y$1)</f>
        <v>0.993638745449153</v>
      </c>
      <c r="Z99" s="205" t="n">
        <f aca="false">Y99/Z$1</f>
        <v>0.00764337496499348</v>
      </c>
      <c r="AA99" s="204" t="n">
        <f aca="false">L99/$AA$1</f>
        <v>0.011159817514664</v>
      </c>
      <c r="AB99" s="204" t="n">
        <f aca="false">M99/AB$1</f>
        <v>0.00559109927015516</v>
      </c>
      <c r="AC99" s="204" t="n">
        <f aca="false">N99/AC$1</f>
        <v>0.00981261942830402</v>
      </c>
      <c r="AD99" s="204" t="n">
        <f aca="false">O99/AD$1</f>
        <v>0.0114703062861265</v>
      </c>
      <c r="AE99" s="209" t="n">
        <f aca="false">('Modelo AHP'!$U$37*aux!P99)+('Modelo AHP'!$U$38*aux!R99)+('Modelo AHP'!$U$39*aux!S99)</f>
        <v>0.00760138475353361</v>
      </c>
      <c r="AF99" s="210" t="n">
        <f aca="false">aux!U99</f>
        <v>0.00764495117166087</v>
      </c>
      <c r="AG99" s="209" t="n">
        <f aca="false">('Modelo AHP'!$U$47*aux!V99)+('Modelo AHP'!$U$48*aux!W99)+('Modelo AHP'!$U$49*aux!X99)</f>
        <v>0.00767808487106619</v>
      </c>
      <c r="AH99" s="210" t="n">
        <f aca="false">Z99</f>
        <v>0.00764337496499348</v>
      </c>
      <c r="AI99" s="209" t="n">
        <f aca="false">('Modelo AHP'!$U$56*aux!AA99)+('Modelo AHP'!$U$57*aux!AB99)+('Modelo AHP'!$U$58*aux!AC99)+('Modelo AHP'!$U$59*aux!AD99)</f>
        <v>0.00815726356279664</v>
      </c>
      <c r="AJ99" s="211" t="n">
        <f aca="false">('Modelo AHP'!$U$23*aux!AE99)+('Modelo AHP'!$U$24*aux!AF99)+('Modelo AHP'!$U$25*aux!AG99)+('Modelo AHP'!$U$26*aux!AH99)+('Modelo AHP'!$U$27*aux!AI99)</f>
        <v>0.00769684680185131</v>
      </c>
    </row>
    <row r="100" customFormat="false" ht="15" hidden="false" customHeight="false" outlineLevel="0" collapsed="false">
      <c r="A100" s="195" t="n">
        <f aca="false">_xlfn.RANK.EQ(AJ100,AJ$5:AJ$135)</f>
        <v>62</v>
      </c>
      <c r="B100" s="196" t="s">
        <v>229</v>
      </c>
      <c r="C100" s="197" t="s">
        <v>234</v>
      </c>
      <c r="D100" s="198" t="n">
        <v>0.0478746955944211</v>
      </c>
      <c r="E100" s="199" t="n">
        <v>84.16</v>
      </c>
      <c r="F100" s="198" t="n">
        <v>0.346169887390519</v>
      </c>
      <c r="G100" s="200" t="n">
        <v>42449.9468798582</v>
      </c>
      <c r="H100" s="201" t="n">
        <v>7.46</v>
      </c>
      <c r="I100" s="201" t="n">
        <v>9.14</v>
      </c>
      <c r="J100" s="198" t="n">
        <v>0.0464707450449217</v>
      </c>
      <c r="K100" s="202" t="n">
        <v>94529</v>
      </c>
      <c r="L100" s="198" t="n">
        <v>0.0730609620667485</v>
      </c>
      <c r="M100" s="203" t="n">
        <v>596</v>
      </c>
      <c r="N100" s="198" t="n">
        <v>0.0646622337862581</v>
      </c>
      <c r="O100" s="198" t="n">
        <v>0.0753804890219561</v>
      </c>
      <c r="P100" s="204" t="n">
        <f aca="false">D100/$P$1</f>
        <v>0.00438208657692272</v>
      </c>
      <c r="Q100" s="204" t="n">
        <f aca="false">1-(E100/Q$1)</f>
        <v>0.992259711688976</v>
      </c>
      <c r="R100" s="204" t="n">
        <f aca="false">Q100/R$1</f>
        <v>0.00763276701299212</v>
      </c>
      <c r="S100" s="204" t="n">
        <f aca="false">F100/S$1</f>
        <v>0.00709721446900818</v>
      </c>
      <c r="T100" s="204" t="n">
        <f aca="false">1-(G100/T$1)</f>
        <v>0.992372682229747</v>
      </c>
      <c r="U100" s="205" t="n">
        <f aca="false">T100/U$1</f>
        <v>0.0076336360171519</v>
      </c>
      <c r="V100" s="204" t="n">
        <f aca="false">H100/V$1</f>
        <v>0.00758091560388192</v>
      </c>
      <c r="W100" s="204" t="n">
        <f aca="false">I100/W$1</f>
        <v>0.00756891940011759</v>
      </c>
      <c r="X100" s="204" t="n">
        <f aca="false">J100/X$1</f>
        <v>0.0074596181553092</v>
      </c>
      <c r="Y100" s="204" t="n">
        <f aca="false">1-(K100/Y$1)</f>
        <v>0.992894474984239</v>
      </c>
      <c r="Z100" s="205" t="n">
        <f aca="false">Y100/Z$1</f>
        <v>0.00763764980757107</v>
      </c>
      <c r="AA100" s="204" t="n">
        <f aca="false">L100/$AA$1</f>
        <v>0.011159817514664</v>
      </c>
      <c r="AB100" s="204" t="n">
        <f aca="false">M100/AB$1</f>
        <v>0.00559109927015516</v>
      </c>
      <c r="AC100" s="204" t="n">
        <f aca="false">N100/AC$1</f>
        <v>0.00981261942830402</v>
      </c>
      <c r="AD100" s="204" t="n">
        <f aca="false">O100/AD$1</f>
        <v>0.0114703062861265</v>
      </c>
      <c r="AE100" s="209" t="n">
        <f aca="false">('Modelo AHP'!$U$37*aux!P100)+('Modelo AHP'!$U$38*aux!R100)+('Modelo AHP'!$U$39*aux!S100)</f>
        <v>0.00633623135578094</v>
      </c>
      <c r="AF100" s="210" t="n">
        <f aca="false">aux!U100</f>
        <v>0.0076336360171519</v>
      </c>
      <c r="AG100" s="209" t="n">
        <f aca="false">('Modelo AHP'!$U$47*aux!V100)+('Modelo AHP'!$U$48*aux!W100)+('Modelo AHP'!$U$49*aux!X100)</f>
        <v>0.00752860902251044</v>
      </c>
      <c r="AH100" s="210" t="n">
        <f aca="false">Z100</f>
        <v>0.00763764980757107</v>
      </c>
      <c r="AI100" s="209" t="n">
        <f aca="false">('Modelo AHP'!$U$56*aux!AA100)+('Modelo AHP'!$U$57*aux!AB100)+('Modelo AHP'!$U$58*aux!AC100)+('Modelo AHP'!$U$59*aux!AD100)</f>
        <v>0.00815726356279664</v>
      </c>
      <c r="AJ100" s="211" t="n">
        <f aca="false">('Modelo AHP'!$U$23*aux!AE100)+('Modelo AHP'!$U$24*aux!AF100)+('Modelo AHP'!$U$25*aux!AG100)+('Modelo AHP'!$U$26*aux!AH100)+('Modelo AHP'!$U$27*aux!AI100)</f>
        <v>0.00743055126183392</v>
      </c>
    </row>
    <row r="101" customFormat="false" ht="15" hidden="false" customHeight="false" outlineLevel="0" collapsed="false">
      <c r="A101" s="195" t="n">
        <f aca="false">_xlfn.RANK.EQ(AJ101,AJ$5:AJ$135)</f>
        <v>83</v>
      </c>
      <c r="B101" s="196" t="s">
        <v>229</v>
      </c>
      <c r="C101" s="197" t="s">
        <v>235</v>
      </c>
      <c r="D101" s="198" t="n">
        <v>0.0477760797876619</v>
      </c>
      <c r="E101" s="199" t="n">
        <v>83.87</v>
      </c>
      <c r="F101" s="198" t="n">
        <v>0.193113126079447</v>
      </c>
      <c r="G101" s="200" t="n">
        <v>56198.1898953215</v>
      </c>
      <c r="H101" s="201" t="n">
        <v>5.16</v>
      </c>
      <c r="I101" s="201" t="n">
        <v>7.33</v>
      </c>
      <c r="J101" s="198" t="n">
        <v>0.0464707450449217</v>
      </c>
      <c r="K101" s="202" t="n">
        <v>102522.46</v>
      </c>
      <c r="L101" s="198" t="n">
        <v>0.0730609620667485</v>
      </c>
      <c r="M101" s="203" t="n">
        <v>596</v>
      </c>
      <c r="N101" s="198" t="n">
        <v>0.0646622337862581</v>
      </c>
      <c r="O101" s="198" t="n">
        <v>0.0753804890219561</v>
      </c>
      <c r="P101" s="204" t="n">
        <f aca="false">D101/$P$1</f>
        <v>0.00437306003382503</v>
      </c>
      <c r="Q101" s="204" t="n">
        <f aca="false">1-(E101/Q$1)</f>
        <v>0.992286383309819</v>
      </c>
      <c r="R101" s="204" t="n">
        <f aca="false">Q101/R$1</f>
        <v>0.00763297217930631</v>
      </c>
      <c r="S101" s="204" t="n">
        <f aca="false">F101/S$1</f>
        <v>0.0039592273114741</v>
      </c>
      <c r="T101" s="204" t="n">
        <f aca="false">1-(G101/T$1)</f>
        <v>0.989902426647134</v>
      </c>
      <c r="U101" s="205" t="n">
        <f aca="false">T101/U$1</f>
        <v>0.0076146340511318</v>
      </c>
      <c r="V101" s="204" t="n">
        <f aca="false">H101/V$1</f>
        <v>0.00524363599410599</v>
      </c>
      <c r="W101" s="204" t="n">
        <f aca="false">I101/W$1</f>
        <v>0.00607004148827811</v>
      </c>
      <c r="X101" s="204" t="n">
        <f aca="false">J101/X$1</f>
        <v>0.0074596181553092</v>
      </c>
      <c r="Y101" s="204" t="n">
        <f aca="false">1-(K101/Y$1)</f>
        <v>0.992293625192191</v>
      </c>
      <c r="Z101" s="205" t="n">
        <f aca="false">Y101/Z$1</f>
        <v>0.00763302788609378</v>
      </c>
      <c r="AA101" s="204" t="n">
        <f aca="false">L101/$AA$1</f>
        <v>0.011159817514664</v>
      </c>
      <c r="AB101" s="204" t="n">
        <f aca="false">M101/AB$1</f>
        <v>0.00559109927015516</v>
      </c>
      <c r="AC101" s="204" t="n">
        <f aca="false">N101/AC$1</f>
        <v>0.00981261942830402</v>
      </c>
      <c r="AD101" s="204" t="n">
        <f aca="false">O101/AD$1</f>
        <v>0.0114703062861265</v>
      </c>
      <c r="AE101" s="209" t="n">
        <f aca="false">('Modelo AHP'!$U$37*aux!P101)+('Modelo AHP'!$U$38*aux!R101)+('Modelo AHP'!$U$39*aux!S101)</f>
        <v>0.0044507516149626</v>
      </c>
      <c r="AF101" s="210" t="n">
        <f aca="false">aux!U101</f>
        <v>0.0076146340511318</v>
      </c>
      <c r="AG101" s="209" t="n">
        <f aca="false">('Modelo AHP'!$U$47*aux!V101)+('Modelo AHP'!$U$48*aux!W101)+('Modelo AHP'!$U$49*aux!X101)</f>
        <v>0.00646849550189458</v>
      </c>
      <c r="AH101" s="210" t="n">
        <f aca="false">Z101</f>
        <v>0.00763302788609378</v>
      </c>
      <c r="AI101" s="209" t="n">
        <f aca="false">('Modelo AHP'!$U$56*aux!AA101)+('Modelo AHP'!$U$57*aux!AB101)+('Modelo AHP'!$U$58*aux!AC101)+('Modelo AHP'!$U$59*aux!AD101)</f>
        <v>0.00815726356279664</v>
      </c>
      <c r="AJ101" s="211" t="n">
        <f aca="false">('Modelo AHP'!$U$23*aux!AE101)+('Modelo AHP'!$U$24*aux!AF101)+('Modelo AHP'!$U$25*aux!AG101)+('Modelo AHP'!$U$26*aux!AH101)+('Modelo AHP'!$U$27*aux!AI101)</f>
        <v>0.00674714727573312</v>
      </c>
    </row>
    <row r="102" customFormat="false" ht="15" hidden="false" customHeight="false" outlineLevel="0" collapsed="false">
      <c r="A102" s="195" t="n">
        <f aca="false">_xlfn.RANK.EQ(AJ102,AJ$5:AJ$135)</f>
        <v>79</v>
      </c>
      <c r="B102" s="196" t="s">
        <v>229</v>
      </c>
      <c r="C102" s="197" t="s">
        <v>236</v>
      </c>
      <c r="D102" s="198" t="n">
        <v>0.0489821882951654</v>
      </c>
      <c r="E102" s="199" t="n">
        <v>83.89</v>
      </c>
      <c r="F102" s="198" t="n">
        <v>0.198183319570603</v>
      </c>
      <c r="G102" s="200" t="n">
        <v>54247.1572063758</v>
      </c>
      <c r="H102" s="201" t="n">
        <v>5.92</v>
      </c>
      <c r="I102" s="201" t="n">
        <v>8.5</v>
      </c>
      <c r="J102" s="198" t="n">
        <v>0.0464707450449217</v>
      </c>
      <c r="K102" s="202" t="n">
        <v>112367.5</v>
      </c>
      <c r="L102" s="198" t="n">
        <v>0.0730609620667485</v>
      </c>
      <c r="M102" s="203" t="n">
        <v>596</v>
      </c>
      <c r="N102" s="198" t="n">
        <v>0.0646622337862581</v>
      </c>
      <c r="O102" s="198" t="n">
        <v>0.0753804890219561</v>
      </c>
      <c r="P102" s="204" t="n">
        <f aca="false">D102/$P$1</f>
        <v>0.00448345806007711</v>
      </c>
      <c r="Q102" s="204" t="n">
        <f aca="false">1-(E102/Q$1)</f>
        <v>0.992284543887692</v>
      </c>
      <c r="R102" s="204" t="n">
        <f aca="false">Q102/R$1</f>
        <v>0.00763295802990533</v>
      </c>
      <c r="S102" s="204" t="n">
        <f aca="false">F102/S$1</f>
        <v>0.0040631769960563</v>
      </c>
      <c r="T102" s="204" t="n">
        <f aca="false">1-(G102/T$1)</f>
        <v>0.990252984124647</v>
      </c>
      <c r="U102" s="205" t="n">
        <f aca="false">T102/U$1</f>
        <v>0.00761733064711267</v>
      </c>
      <c r="V102" s="204" t="n">
        <f aca="false">H102/V$1</f>
        <v>0.00601595447385803</v>
      </c>
      <c r="W102" s="204" t="n">
        <f aca="false">I102/W$1</f>
        <v>0.00703892942024065</v>
      </c>
      <c r="X102" s="204" t="n">
        <f aca="false">J102/X$1</f>
        <v>0.0074596181553092</v>
      </c>
      <c r="Y102" s="204" t="n">
        <f aca="false">1-(K102/Y$1)</f>
        <v>0.991553596439098</v>
      </c>
      <c r="Z102" s="205" t="n">
        <f aca="false">Y102/Z$1</f>
        <v>0.00762733535722383</v>
      </c>
      <c r="AA102" s="204" t="n">
        <f aca="false">L102/$AA$1</f>
        <v>0.011159817514664</v>
      </c>
      <c r="AB102" s="204" t="n">
        <f aca="false">M102/AB$1</f>
        <v>0.00559109927015516</v>
      </c>
      <c r="AC102" s="204" t="n">
        <f aca="false">N102/AC$1</f>
        <v>0.00981261942830402</v>
      </c>
      <c r="AD102" s="204" t="n">
        <f aca="false">O102/AD$1</f>
        <v>0.0114703062861265</v>
      </c>
      <c r="AE102" s="209" t="n">
        <f aca="false">('Modelo AHP'!$U$37*aux!P102)+('Modelo AHP'!$U$38*aux!R102)+('Modelo AHP'!$U$39*aux!S102)</f>
        <v>0.00454623941864745</v>
      </c>
      <c r="AF102" s="210" t="n">
        <f aca="false">aux!U102</f>
        <v>0.00761733064711267</v>
      </c>
      <c r="AG102" s="209" t="n">
        <f aca="false">('Modelo AHP'!$U$47*aux!V102)+('Modelo AHP'!$U$48*aux!W102)+('Modelo AHP'!$U$49*aux!X102)</f>
        <v>0.00702880480890543</v>
      </c>
      <c r="AH102" s="210" t="n">
        <f aca="false">Z102</f>
        <v>0.00762733535722383</v>
      </c>
      <c r="AI102" s="209" t="n">
        <f aca="false">('Modelo AHP'!$U$56*aux!AA102)+('Modelo AHP'!$U$57*aux!AB102)+('Modelo AHP'!$U$58*aux!AC102)+('Modelo AHP'!$U$59*aux!AD102)</f>
        <v>0.00815726356279664</v>
      </c>
      <c r="AJ102" s="211" t="n">
        <f aca="false">('Modelo AHP'!$U$23*aux!AE102)+('Modelo AHP'!$U$24*aux!AF102)+('Modelo AHP'!$U$25*aux!AG102)+('Modelo AHP'!$U$26*aux!AH102)+('Modelo AHP'!$U$27*aux!AI102)</f>
        <v>0.0069549970250695</v>
      </c>
    </row>
    <row r="103" customFormat="false" ht="15" hidden="false" customHeight="false" outlineLevel="0" collapsed="false">
      <c r="A103" s="195" t="n">
        <f aca="false">_xlfn.RANK.EQ(AJ103,AJ$5:AJ$135)</f>
        <v>91</v>
      </c>
      <c r="B103" s="196" t="s">
        <v>229</v>
      </c>
      <c r="C103" s="197" t="s">
        <v>237</v>
      </c>
      <c r="D103" s="198" t="n">
        <v>0.0482539682539683</v>
      </c>
      <c r="E103" s="199" t="n">
        <v>84.1</v>
      </c>
      <c r="F103" s="198" t="n">
        <v>0.168430335097002</v>
      </c>
      <c r="G103" s="200" t="n">
        <v>67826.1492998205</v>
      </c>
      <c r="H103" s="201" t="n">
        <v>4.01</v>
      </c>
      <c r="I103" s="201" t="n">
        <v>4.61</v>
      </c>
      <c r="J103" s="198" t="n">
        <v>0.0464707450449217</v>
      </c>
      <c r="K103" s="202" t="n">
        <v>168128.52</v>
      </c>
      <c r="L103" s="198" t="n">
        <v>0.0730609620667485</v>
      </c>
      <c r="M103" s="203" t="n">
        <v>596</v>
      </c>
      <c r="N103" s="198" t="n">
        <v>0.0646622337862581</v>
      </c>
      <c r="O103" s="198" t="n">
        <v>0.0753804890219561</v>
      </c>
      <c r="P103" s="204" t="n">
        <f aca="false">D103/$P$1</f>
        <v>0.00441680231996316</v>
      </c>
      <c r="Q103" s="204" t="n">
        <f aca="false">1-(E103/Q$1)</f>
        <v>0.992265229955357</v>
      </c>
      <c r="R103" s="204" t="n">
        <f aca="false">Q103/R$1</f>
        <v>0.00763280946119506</v>
      </c>
      <c r="S103" s="204" t="n">
        <f aca="false">F103/S$1</f>
        <v>0.00345317791874198</v>
      </c>
      <c r="T103" s="204" t="n">
        <f aca="false">1-(G103/T$1)</f>
        <v>0.987813139194108</v>
      </c>
      <c r="U103" s="205" t="n">
        <f aca="false">T103/U$1</f>
        <v>0.00759856260918545</v>
      </c>
      <c r="V103" s="204" t="n">
        <f aca="false">H103/V$1</f>
        <v>0.00407499618921803</v>
      </c>
      <c r="W103" s="204" t="n">
        <f aca="false">I103/W$1</f>
        <v>0.0038175840738011</v>
      </c>
      <c r="X103" s="204" t="n">
        <f aca="false">J103/X$1</f>
        <v>0.0074596181553092</v>
      </c>
      <c r="Y103" s="204" t="n">
        <f aca="false">1-(K103/Y$1)</f>
        <v>0.987362170289299</v>
      </c>
      <c r="Z103" s="205" t="n">
        <f aca="false">Y103/Z$1</f>
        <v>0.00759509361760999</v>
      </c>
      <c r="AA103" s="204" t="n">
        <f aca="false">L103/$AA$1</f>
        <v>0.011159817514664</v>
      </c>
      <c r="AB103" s="204" t="n">
        <f aca="false">M103/AB$1</f>
        <v>0.00559109927015516</v>
      </c>
      <c r="AC103" s="204" t="n">
        <f aca="false">N103/AC$1</f>
        <v>0.00981261942830402</v>
      </c>
      <c r="AD103" s="204" t="n">
        <f aca="false">O103/AD$1</f>
        <v>0.0114703062861265</v>
      </c>
      <c r="AE103" s="209" t="n">
        <f aca="false">('Modelo AHP'!$U$37*aux!P103)+('Modelo AHP'!$U$38*aux!R103)+('Modelo AHP'!$U$39*aux!S103)</f>
        <v>0.00416022839335365</v>
      </c>
      <c r="AF103" s="210" t="n">
        <f aca="false">aux!U103</f>
        <v>0.00759856260918545</v>
      </c>
      <c r="AG103" s="209" t="n">
        <f aca="false">('Modelo AHP'!$U$47*aux!V103)+('Modelo AHP'!$U$48*aux!W103)+('Modelo AHP'!$U$49*aux!X103)</f>
        <v>0.00527195659791986</v>
      </c>
      <c r="AH103" s="210" t="n">
        <f aca="false">Z103</f>
        <v>0.00759509361760999</v>
      </c>
      <c r="AI103" s="209" t="n">
        <f aca="false">('Modelo AHP'!$U$56*aux!AA103)+('Modelo AHP'!$U$57*aux!AB103)+('Modelo AHP'!$U$58*aux!AC103)+('Modelo AHP'!$U$59*aux!AD103)</f>
        <v>0.00815726356279664</v>
      </c>
      <c r="AJ103" s="211" t="n">
        <f aca="false">('Modelo AHP'!$U$23*aux!AE103)+('Modelo AHP'!$U$24*aux!AF103)+('Modelo AHP'!$U$25*aux!AG103)+('Modelo AHP'!$U$26*aux!AH103)+('Modelo AHP'!$U$27*aux!AI103)</f>
        <v>0.00628173942875217</v>
      </c>
    </row>
    <row r="104" customFormat="false" ht="15" hidden="false" customHeight="false" outlineLevel="0" collapsed="false">
      <c r="A104" s="195" t="n">
        <f aca="false">_xlfn.RANK.EQ(AJ104,AJ$5:AJ$135)</f>
        <v>86</v>
      </c>
      <c r="B104" s="196" t="s">
        <v>229</v>
      </c>
      <c r="C104" s="197" t="s">
        <v>238</v>
      </c>
      <c r="D104" s="198" t="n">
        <v>0.0253417503065534</v>
      </c>
      <c r="E104" s="199" t="n">
        <v>83.94</v>
      </c>
      <c r="F104" s="198" t="n">
        <v>0.160987439373212</v>
      </c>
      <c r="G104" s="200" t="n">
        <v>65589.45233329</v>
      </c>
      <c r="H104" s="201" t="n">
        <v>5.42</v>
      </c>
      <c r="I104" s="201" t="n">
        <v>7.25</v>
      </c>
      <c r="J104" s="198" t="n">
        <v>0.0464707450449217</v>
      </c>
      <c r="K104" s="202" t="n">
        <v>112754.23</v>
      </c>
      <c r="L104" s="198" t="n">
        <v>0.0730609620667485</v>
      </c>
      <c r="M104" s="203" t="n">
        <v>596</v>
      </c>
      <c r="N104" s="198" t="n">
        <v>0.0646622337862581</v>
      </c>
      <c r="O104" s="198" t="n">
        <v>0.0753804890219561</v>
      </c>
      <c r="P104" s="204" t="n">
        <f aca="false">D104/$P$1</f>
        <v>0.00231959164387911</v>
      </c>
      <c r="Q104" s="204" t="n">
        <f aca="false">1-(E104/Q$1)</f>
        <v>0.992279945332374</v>
      </c>
      <c r="R104" s="204" t="n">
        <f aca="false">Q104/R$1</f>
        <v>0.00763292265640288</v>
      </c>
      <c r="S104" s="204" t="n">
        <f aca="false">F104/S$1</f>
        <v>0.003300582822674</v>
      </c>
      <c r="T104" s="204" t="n">
        <f aca="false">1-(G104/T$1)</f>
        <v>0.988215024232216</v>
      </c>
      <c r="U104" s="205" t="n">
        <f aca="false">T104/U$1</f>
        <v>0.00760165403255551</v>
      </c>
      <c r="V104" s="204" t="n">
        <f aca="false">H104/V$1</f>
        <v>0.00550785021086327</v>
      </c>
      <c r="W104" s="204" t="n">
        <f aca="false">I104/W$1</f>
        <v>0.00600379274079349</v>
      </c>
      <c r="X104" s="204" t="n">
        <f aca="false">J104/X$1</f>
        <v>0.0074596181553092</v>
      </c>
      <c r="Y104" s="204" t="n">
        <f aca="false">1-(K104/Y$1)</f>
        <v>0.991524526844695</v>
      </c>
      <c r="Z104" s="205" t="n">
        <f aca="false">Y104/Z$1</f>
        <v>0.00762711174495919</v>
      </c>
      <c r="AA104" s="204" t="n">
        <f aca="false">L104/$AA$1</f>
        <v>0.011159817514664</v>
      </c>
      <c r="AB104" s="204" t="n">
        <f aca="false">M104/AB$1</f>
        <v>0.00559109927015516</v>
      </c>
      <c r="AC104" s="204" t="n">
        <f aca="false">N104/AC$1</f>
        <v>0.00981261942830402</v>
      </c>
      <c r="AD104" s="204" t="n">
        <f aca="false">O104/AD$1</f>
        <v>0.0114703062861265</v>
      </c>
      <c r="AE104" s="209" t="n">
        <f aca="false">('Modelo AHP'!$U$37*aux!P104)+('Modelo AHP'!$U$38*aux!R104)+('Modelo AHP'!$U$39*aux!S104)</f>
        <v>0.00343951945240842</v>
      </c>
      <c r="AF104" s="210" t="n">
        <f aca="false">aux!U104</f>
        <v>0.00760165403255551</v>
      </c>
      <c r="AG104" s="209" t="n">
        <f aca="false">('Modelo AHP'!$U$47*aux!V104)+('Modelo AHP'!$U$48*aux!W104)+('Modelo AHP'!$U$49*aux!X104)</f>
        <v>0.00648382389071584</v>
      </c>
      <c r="AH104" s="210" t="n">
        <f aca="false">Z104</f>
        <v>0.00762711174495919</v>
      </c>
      <c r="AI104" s="209" t="n">
        <f aca="false">('Modelo AHP'!$U$56*aux!AA104)+('Modelo AHP'!$U$57*aux!AB104)+('Modelo AHP'!$U$58*aux!AC104)+('Modelo AHP'!$U$59*aux!AD104)</f>
        <v>0.00815726356279664</v>
      </c>
      <c r="AJ104" s="211" t="n">
        <f aca="false">('Modelo AHP'!$U$23*aux!AE104)+('Modelo AHP'!$U$24*aux!AF104)+('Modelo AHP'!$U$25*aux!AG104)+('Modelo AHP'!$U$26*aux!AH104)+('Modelo AHP'!$U$27*aux!AI104)</f>
        <v>0.00657899374526097</v>
      </c>
    </row>
    <row r="105" customFormat="false" ht="15" hidden="false" customHeight="false" outlineLevel="0" collapsed="false">
      <c r="A105" s="195" t="n">
        <f aca="false">_xlfn.RANK.EQ(AJ105,AJ$5:AJ$135)</f>
        <v>112</v>
      </c>
      <c r="B105" s="196" t="s">
        <v>239</v>
      </c>
      <c r="C105" s="197" t="s">
        <v>240</v>
      </c>
      <c r="D105" s="198" t="n">
        <v>0.0292371623627189</v>
      </c>
      <c r="E105" s="199" t="n">
        <v>78.81</v>
      </c>
      <c r="F105" s="198" t="n">
        <v>0.132265847773635</v>
      </c>
      <c r="G105" s="200" t="n">
        <v>81736.547158496</v>
      </c>
      <c r="H105" s="201" t="n">
        <v>4.29</v>
      </c>
      <c r="I105" s="201" t="n">
        <v>5.81</v>
      </c>
      <c r="J105" s="198" t="n">
        <v>0.0387425487014352</v>
      </c>
      <c r="K105" s="202" t="n">
        <v>144304.94</v>
      </c>
      <c r="L105" s="198" t="n">
        <v>0.0486293763516278</v>
      </c>
      <c r="M105" s="203" t="n">
        <v>403</v>
      </c>
      <c r="N105" s="198" t="n">
        <v>0.0421123638816614</v>
      </c>
      <c r="O105" s="198" t="n">
        <v>0.0418537924151697</v>
      </c>
      <c r="P105" s="204" t="n">
        <f aca="false">D105/$P$1</f>
        <v>0.00267614812264019</v>
      </c>
      <c r="Q105" s="204" t="n">
        <f aca="false">1-(E105/Q$1)</f>
        <v>0.992751757107987</v>
      </c>
      <c r="R105" s="204" t="n">
        <f aca="false">Q105/R$1</f>
        <v>0.00763655197775375</v>
      </c>
      <c r="S105" s="204" t="n">
        <f aca="false">F105/S$1</f>
        <v>0.00271172947956531</v>
      </c>
      <c r="T105" s="204" t="n">
        <f aca="false">1-(G105/T$1)</f>
        <v>0.985313747968036</v>
      </c>
      <c r="U105" s="205" t="n">
        <f aca="false">T105/U$1</f>
        <v>0.00757933652283105</v>
      </c>
      <c r="V105" s="204" t="n">
        <f aca="false">H105/V$1</f>
        <v>0.0043595345764951</v>
      </c>
      <c r="W105" s="204" t="n">
        <f aca="false">I105/W$1</f>
        <v>0.00481131528607037</v>
      </c>
      <c r="X105" s="204" t="n">
        <f aca="false">J105/X$1</f>
        <v>0.00621906576700687</v>
      </c>
      <c r="Y105" s="204" t="n">
        <f aca="false">1-(K105/Y$1)</f>
        <v>0.989152933374225</v>
      </c>
      <c r="Z105" s="205" t="n">
        <f aca="false">Y105/Z$1</f>
        <v>0.00760886871826327</v>
      </c>
      <c r="AA105" s="204" t="n">
        <f aca="false">L105/$AA$1</f>
        <v>0.00742797453776036</v>
      </c>
      <c r="AB105" s="204" t="n">
        <f aca="false">M105/AB$1</f>
        <v>0.00378055873468545</v>
      </c>
      <c r="AC105" s="204" t="n">
        <f aca="false">N105/AC$1</f>
        <v>0.00639063292126506</v>
      </c>
      <c r="AD105" s="204" t="n">
        <f aca="false">O105/AD$1</f>
        <v>0.00636870129746866</v>
      </c>
      <c r="AE105" s="209" t="n">
        <f aca="false">('Modelo AHP'!$U$37*aux!P105)+('Modelo AHP'!$U$38*aux!R105)+('Modelo AHP'!$U$39*aux!S105)</f>
        <v>0.00319353732230662</v>
      </c>
      <c r="AF105" s="210" t="n">
        <f aca="false">aux!U105</f>
        <v>0.00757933652283105</v>
      </c>
      <c r="AG105" s="209" t="n">
        <f aca="false">('Modelo AHP'!$U$47*aux!V105)+('Modelo AHP'!$U$48*aux!W105)+('Modelo AHP'!$U$49*aux!X105)</f>
        <v>0.00528019577478557</v>
      </c>
      <c r="AH105" s="210" t="n">
        <f aca="false">Z105</f>
        <v>0.00760886871826327</v>
      </c>
      <c r="AI105" s="209" t="n">
        <f aca="false">('Modelo AHP'!$U$56*aux!AA105)+('Modelo AHP'!$U$57*aux!AB105)+('Modelo AHP'!$U$58*aux!AC105)+('Modelo AHP'!$U$59*aux!AD105)</f>
        <v>0.00526988792809757</v>
      </c>
      <c r="AJ105" s="211" t="n">
        <f aca="false">('Modelo AHP'!$U$23*aux!AE105)+('Modelo AHP'!$U$24*aux!AF105)+('Modelo AHP'!$U$25*aux!AG105)+('Modelo AHP'!$U$26*aux!AH105)+('Modelo AHP'!$U$27*aux!AI105)</f>
        <v>0.00584774890745896</v>
      </c>
    </row>
    <row r="106" customFormat="false" ht="15" hidden="false" customHeight="false" outlineLevel="0" collapsed="false">
      <c r="A106" s="195" t="n">
        <f aca="false">_xlfn.RANK.EQ(AJ106,AJ$5:AJ$135)</f>
        <v>117</v>
      </c>
      <c r="B106" s="196" t="s">
        <v>239</v>
      </c>
      <c r="C106" s="197" t="s">
        <v>241</v>
      </c>
      <c r="D106" s="198" t="n">
        <v>0.0402771174353053</v>
      </c>
      <c r="E106" s="199" t="n">
        <v>83.4</v>
      </c>
      <c r="F106" s="198" t="n">
        <v>0.138752696607178</v>
      </c>
      <c r="G106" s="200" t="n">
        <v>97253.6423164336</v>
      </c>
      <c r="H106" s="201" t="n">
        <v>3.86</v>
      </c>
      <c r="I106" s="201" t="n">
        <v>5.23</v>
      </c>
      <c r="J106" s="198" t="n">
        <v>0.0387425487014352</v>
      </c>
      <c r="K106" s="202" t="n">
        <v>214047.1</v>
      </c>
      <c r="L106" s="198" t="n">
        <v>0.0486293763516278</v>
      </c>
      <c r="M106" s="203" t="n">
        <v>403</v>
      </c>
      <c r="N106" s="198" t="n">
        <v>0.0421123638816614</v>
      </c>
      <c r="O106" s="198" t="n">
        <v>0.0418537924151697</v>
      </c>
      <c r="P106" s="204" t="n">
        <f aca="false">D106/$P$1</f>
        <v>0.00368666188847703</v>
      </c>
      <c r="Q106" s="204" t="n">
        <f aca="false">1-(E106/Q$1)</f>
        <v>0.992329609729807</v>
      </c>
      <c r="R106" s="204" t="n">
        <f aca="false">Q106/R$1</f>
        <v>0.00763330469022929</v>
      </c>
      <c r="S106" s="204" t="n">
        <f aca="false">F106/S$1</f>
        <v>0.00284472359337093</v>
      </c>
      <c r="T106" s="204" t="n">
        <f aca="false">1-(G106/T$1)</f>
        <v>0.982525668727894</v>
      </c>
      <c r="U106" s="205" t="n">
        <f aca="false">T106/U$1</f>
        <v>0.00755788975944534</v>
      </c>
      <c r="V106" s="204" t="n">
        <f aca="false">H106/V$1</f>
        <v>0.0039225649103196</v>
      </c>
      <c r="W106" s="204" t="n">
        <f aca="false">I106/W$1</f>
        <v>0.00433101186680689</v>
      </c>
      <c r="X106" s="204" t="n">
        <f aca="false">J106/X$1</f>
        <v>0.00621906576700687</v>
      </c>
      <c r="Y106" s="204" t="n">
        <f aca="false">1-(K106/Y$1)</f>
        <v>0.983910577456642</v>
      </c>
      <c r="Z106" s="205" t="n">
        <f aca="false">Y106/Z$1</f>
        <v>0.00756854290351263</v>
      </c>
      <c r="AA106" s="204" t="n">
        <f aca="false">L106/$AA$1</f>
        <v>0.00742797453776036</v>
      </c>
      <c r="AB106" s="204" t="n">
        <f aca="false">M106/AB$1</f>
        <v>0.00378055873468545</v>
      </c>
      <c r="AC106" s="204" t="n">
        <f aca="false">N106/AC$1</f>
        <v>0.00639063292126506</v>
      </c>
      <c r="AD106" s="204" t="n">
        <f aca="false">O106/AD$1</f>
        <v>0.00636870129746866</v>
      </c>
      <c r="AE106" s="209" t="n">
        <f aca="false">('Modelo AHP'!$U$37*aux!P106)+('Modelo AHP'!$U$38*aux!R106)+('Modelo AHP'!$U$39*aux!S106)</f>
        <v>0.00357616319158859</v>
      </c>
      <c r="AF106" s="210" t="n">
        <f aca="false">aux!U106</f>
        <v>0.00755788975944534</v>
      </c>
      <c r="AG106" s="209" t="n">
        <f aca="false">('Modelo AHP'!$U$47*aux!V106)+('Modelo AHP'!$U$48*aux!W106)+('Modelo AHP'!$U$49*aux!X106)</f>
        <v>0.00499328004250619</v>
      </c>
      <c r="AH106" s="210" t="n">
        <f aca="false">Z106</f>
        <v>0.00756854290351263</v>
      </c>
      <c r="AI106" s="209" t="n">
        <f aca="false">('Modelo AHP'!$U$56*aux!AA106)+('Modelo AHP'!$U$57*aux!AB106)+('Modelo AHP'!$U$58*aux!AC106)+('Modelo AHP'!$U$59*aux!AD106)</f>
        <v>0.00526988792809757</v>
      </c>
      <c r="AJ106" s="211" t="n">
        <f aca="false">('Modelo AHP'!$U$23*aux!AE106)+('Modelo AHP'!$U$24*aux!AF106)+('Modelo AHP'!$U$25*aux!AG106)+('Modelo AHP'!$U$26*aux!AH106)+('Modelo AHP'!$U$27*aux!AI106)</f>
        <v>0.00580360723652524</v>
      </c>
    </row>
    <row r="107" customFormat="false" ht="15" hidden="false" customHeight="false" outlineLevel="0" collapsed="false">
      <c r="A107" s="195" t="n">
        <f aca="false">_xlfn.RANK.EQ(AJ107,AJ$5:AJ$135)</f>
        <v>77</v>
      </c>
      <c r="B107" s="196" t="s">
        <v>239</v>
      </c>
      <c r="C107" s="197" t="s">
        <v>242</v>
      </c>
      <c r="D107" s="198" t="n">
        <v>0.0479730228665666</v>
      </c>
      <c r="E107" s="199" t="n">
        <v>84.43</v>
      </c>
      <c r="F107" s="198" t="n">
        <v>0.401112066846891</v>
      </c>
      <c r="G107" s="200" t="n">
        <v>39790.2400918192</v>
      </c>
      <c r="H107" s="201" t="n">
        <v>7.15</v>
      </c>
      <c r="I107" s="201" t="n">
        <v>8.66</v>
      </c>
      <c r="J107" s="198" t="n">
        <v>0.0387425487014352</v>
      </c>
      <c r="K107" s="202" t="n">
        <v>93176</v>
      </c>
      <c r="L107" s="198" t="n">
        <v>0.0486293763516278</v>
      </c>
      <c r="M107" s="203" t="n">
        <v>403</v>
      </c>
      <c r="N107" s="198" t="n">
        <v>0.0421123638816614</v>
      </c>
      <c r="O107" s="198" t="n">
        <v>0.0418537924151697</v>
      </c>
      <c r="P107" s="204" t="n">
        <f aca="false">D107/$P$1</f>
        <v>0.00439108670974997</v>
      </c>
      <c r="Q107" s="204" t="n">
        <f aca="false">1-(E107/Q$1)</f>
        <v>0.992234879490259</v>
      </c>
      <c r="R107" s="204" t="n">
        <f aca="false">Q107/R$1</f>
        <v>0.00763257599607892</v>
      </c>
      <c r="S107" s="204" t="n">
        <f aca="false">F107/S$1</f>
        <v>0.00822364529156184</v>
      </c>
      <c r="T107" s="204" t="n">
        <f aca="false">1-(G107/T$1)</f>
        <v>0.992850572788845</v>
      </c>
      <c r="U107" s="205" t="n">
        <f aca="false">T107/U$1</f>
        <v>0.00763731209837573</v>
      </c>
      <c r="V107" s="204" t="n">
        <f aca="false">H107/V$1</f>
        <v>0.00726589096082516</v>
      </c>
      <c r="W107" s="204" t="n">
        <f aca="false">I107/W$1</f>
        <v>0.00717142691520988</v>
      </c>
      <c r="X107" s="204" t="n">
        <f aca="false">J107/X$1</f>
        <v>0.00621906576700687</v>
      </c>
      <c r="Y107" s="204" t="n">
        <f aca="false">1-(K107/Y$1)</f>
        <v>0.992996176846592</v>
      </c>
      <c r="Z107" s="205" t="n">
        <f aca="false">Y107/Z$1</f>
        <v>0.00763843212958917</v>
      </c>
      <c r="AA107" s="204" t="n">
        <f aca="false">L107/$AA$1</f>
        <v>0.00742797453776036</v>
      </c>
      <c r="AB107" s="204" t="n">
        <f aca="false">M107/AB$1</f>
        <v>0.00378055873468545</v>
      </c>
      <c r="AC107" s="204" t="n">
        <f aca="false">N107/AC$1</f>
        <v>0.00639063292126506</v>
      </c>
      <c r="AD107" s="204" t="n">
        <f aca="false">O107/AD$1</f>
        <v>0.00636870129746866</v>
      </c>
      <c r="AE107" s="209" t="n">
        <f aca="false">('Modelo AHP'!$U$37*aux!P107)+('Modelo AHP'!$U$38*aux!R107)+('Modelo AHP'!$U$39*aux!S107)</f>
        <v>0.00701477078746999</v>
      </c>
      <c r="AF107" s="210" t="n">
        <f aca="false">aux!U107</f>
        <v>0.00763731209837573</v>
      </c>
      <c r="AG107" s="209" t="n">
        <f aca="false">('Modelo AHP'!$U$47*aux!V107)+('Modelo AHP'!$U$48*aux!W107)+('Modelo AHP'!$U$49*aux!X107)</f>
        <v>0.00681849311841838</v>
      </c>
      <c r="AH107" s="210" t="n">
        <f aca="false">Z107</f>
        <v>0.00763843212958917</v>
      </c>
      <c r="AI107" s="209" t="n">
        <f aca="false">('Modelo AHP'!$U$56*aux!AA107)+('Modelo AHP'!$U$57*aux!AB107)+('Modelo AHP'!$U$58*aux!AC107)+('Modelo AHP'!$U$59*aux!AD107)</f>
        <v>0.00526988792809757</v>
      </c>
      <c r="AJ107" s="211" t="n">
        <f aca="false">('Modelo AHP'!$U$23*aux!AE107)+('Modelo AHP'!$U$24*aux!AF107)+('Modelo AHP'!$U$25*aux!AG107)+('Modelo AHP'!$U$26*aux!AH107)+('Modelo AHP'!$U$27*aux!AI107)</f>
        <v>0.00703205678539236</v>
      </c>
    </row>
    <row r="108" customFormat="false" ht="15" hidden="false" customHeight="false" outlineLevel="0" collapsed="false">
      <c r="A108" s="195" t="n">
        <f aca="false">_xlfn.RANK.EQ(AJ108,AJ$5:AJ$135)</f>
        <v>56</v>
      </c>
      <c r="B108" s="196" t="s">
        <v>239</v>
      </c>
      <c r="C108" s="197" t="s">
        <v>243</v>
      </c>
      <c r="D108" s="198" t="n">
        <v>0.0637027968014692</v>
      </c>
      <c r="E108" s="199" t="n">
        <v>83.56</v>
      </c>
      <c r="F108" s="198" t="n">
        <v>0.472506654516678</v>
      </c>
      <c r="G108" s="200" t="n">
        <v>33701.4312862047</v>
      </c>
      <c r="H108" s="201" t="n">
        <v>8.78</v>
      </c>
      <c r="I108" s="201" t="n">
        <v>10.6</v>
      </c>
      <c r="J108" s="198" t="n">
        <v>0.0387425487014352</v>
      </c>
      <c r="K108" s="202" t="n">
        <v>80444.05</v>
      </c>
      <c r="L108" s="198" t="n">
        <v>0.0486293763516278</v>
      </c>
      <c r="M108" s="203" t="n">
        <v>403</v>
      </c>
      <c r="N108" s="198" t="n">
        <v>0.0421123638816614</v>
      </c>
      <c r="O108" s="198" t="n">
        <v>0.0418537924151697</v>
      </c>
      <c r="P108" s="204" t="n">
        <f aca="false">D108/$P$1</f>
        <v>0.00583087092899831</v>
      </c>
      <c r="Q108" s="204" t="n">
        <f aca="false">1-(E108/Q$1)</f>
        <v>0.99231489435279</v>
      </c>
      <c r="R108" s="204" t="n">
        <f aca="false">Q108/R$1</f>
        <v>0.00763319149502147</v>
      </c>
      <c r="S108" s="204" t="n">
        <f aca="false">F108/S$1</f>
        <v>0.00968738526166291</v>
      </c>
      <c r="T108" s="204" t="n">
        <f aca="false">1-(G108/T$1)</f>
        <v>0.993944597234486</v>
      </c>
      <c r="U108" s="205" t="n">
        <f aca="false">T108/U$1</f>
        <v>0.00764572767103451</v>
      </c>
      <c r="V108" s="204" t="n">
        <f aca="false">H108/V$1</f>
        <v>0.0089223108581881</v>
      </c>
      <c r="W108" s="204" t="n">
        <f aca="false">I108/W$1</f>
        <v>0.00877795904171187</v>
      </c>
      <c r="X108" s="204" t="n">
        <f aca="false">J108/X$1</f>
        <v>0.00621906576700687</v>
      </c>
      <c r="Y108" s="204" t="n">
        <f aca="false">1-(K108/Y$1)</f>
        <v>0.993953207908217</v>
      </c>
      <c r="Z108" s="205" t="n">
        <f aca="false">Y108/Z$1</f>
        <v>0.00764579390698629</v>
      </c>
      <c r="AA108" s="204" t="n">
        <f aca="false">L108/$AA$1</f>
        <v>0.00742797453776036</v>
      </c>
      <c r="AB108" s="204" t="n">
        <f aca="false">M108/AB$1</f>
        <v>0.00378055873468545</v>
      </c>
      <c r="AC108" s="204" t="n">
        <f aca="false">N108/AC$1</f>
        <v>0.00639063292126506</v>
      </c>
      <c r="AD108" s="204" t="n">
        <f aca="false">O108/AD$1</f>
        <v>0.00636870129746866</v>
      </c>
      <c r="AE108" s="209" t="n">
        <f aca="false">('Modelo AHP'!$U$37*aux!P108)+('Modelo AHP'!$U$38*aux!R108)+('Modelo AHP'!$U$39*aux!S108)</f>
        <v>0.00832501158519939</v>
      </c>
      <c r="AF108" s="210" t="n">
        <f aca="false">aux!U108</f>
        <v>0.00764572767103451</v>
      </c>
      <c r="AG108" s="209" t="n">
        <f aca="false">('Modelo AHP'!$U$47*aux!V108)+('Modelo AHP'!$U$48*aux!W108)+('Modelo AHP'!$U$49*aux!X108)</f>
        <v>0.00781114227440043</v>
      </c>
      <c r="AH108" s="210" t="n">
        <f aca="false">Z108</f>
        <v>0.00764579390698629</v>
      </c>
      <c r="AI108" s="209" t="n">
        <f aca="false">('Modelo AHP'!$U$56*aux!AA108)+('Modelo AHP'!$U$57*aux!AB108)+('Modelo AHP'!$U$58*aux!AC108)+('Modelo AHP'!$U$59*aux!AD108)</f>
        <v>0.00526988792809757</v>
      </c>
      <c r="AJ108" s="211" t="n">
        <f aca="false">('Modelo AHP'!$U$23*aux!AE108)+('Modelo AHP'!$U$24*aux!AF108)+('Modelo AHP'!$U$25*aux!AG108)+('Modelo AHP'!$U$26*aux!AH108)+('Modelo AHP'!$U$27*aux!AI108)</f>
        <v>0.00759319827475885</v>
      </c>
    </row>
    <row r="109" customFormat="false" ht="15" hidden="false" customHeight="false" outlineLevel="0" collapsed="false">
      <c r="A109" s="195" t="n">
        <f aca="false">_xlfn.RANK.EQ(AJ109,AJ$5:AJ$135)</f>
        <v>66</v>
      </c>
      <c r="B109" s="196" t="s">
        <v>239</v>
      </c>
      <c r="C109" s="197" t="s">
        <v>244</v>
      </c>
      <c r="D109" s="198" t="n">
        <v>0.0515355903346212</v>
      </c>
      <c r="E109" s="199" t="n">
        <v>84.21</v>
      </c>
      <c r="F109" s="198" t="n">
        <v>0.392065640331585</v>
      </c>
      <c r="G109" s="200" t="n">
        <v>36691.4783926056</v>
      </c>
      <c r="H109" s="201" t="n">
        <v>8.72</v>
      </c>
      <c r="I109" s="201" t="n">
        <v>10.35</v>
      </c>
      <c r="J109" s="198" t="n">
        <v>0.0387425487014352</v>
      </c>
      <c r="K109" s="202" t="n">
        <v>104658.69</v>
      </c>
      <c r="L109" s="198" t="n">
        <v>0.0486293763516278</v>
      </c>
      <c r="M109" s="203" t="n">
        <v>403</v>
      </c>
      <c r="N109" s="198" t="n">
        <v>0.0421123638816614</v>
      </c>
      <c r="O109" s="198" t="n">
        <v>0.0418537924151697</v>
      </c>
      <c r="P109" s="204" t="n">
        <f aca="false">D109/$P$1</f>
        <v>0.00471717711904258</v>
      </c>
      <c r="Q109" s="204" t="n">
        <f aca="false">1-(E109/Q$1)</f>
        <v>0.992255113133658</v>
      </c>
      <c r="R109" s="204" t="n">
        <f aca="false">Q109/R$1</f>
        <v>0.00763273163948968</v>
      </c>
      <c r="S109" s="204" t="n">
        <f aca="false">F109/S$1</f>
        <v>0.00803817442452245</v>
      </c>
      <c r="T109" s="204" t="n">
        <f aca="false">1-(G109/T$1)</f>
        <v>0.993407351817122</v>
      </c>
      <c r="U109" s="205" t="n">
        <f aca="false">T109/U$1</f>
        <v>0.00764159501397786</v>
      </c>
      <c r="V109" s="204" t="n">
        <f aca="false">H109/V$1</f>
        <v>0.00886133834662873</v>
      </c>
      <c r="W109" s="204" t="n">
        <f aca="false">I109/W$1</f>
        <v>0.00857093170582244</v>
      </c>
      <c r="X109" s="204" t="n">
        <f aca="false">J109/X$1</f>
        <v>0.00621906576700687</v>
      </c>
      <c r="Y109" s="204" t="n">
        <f aca="false">1-(K109/Y$1)</f>
        <v>0.992133049752862</v>
      </c>
      <c r="Z109" s="205" t="n">
        <f aca="false">Y109/Z$1</f>
        <v>0.00763179269040663</v>
      </c>
      <c r="AA109" s="204" t="n">
        <f aca="false">L109/$AA$1</f>
        <v>0.00742797453776036</v>
      </c>
      <c r="AB109" s="204" t="n">
        <f aca="false">M109/AB$1</f>
        <v>0.00378055873468545</v>
      </c>
      <c r="AC109" s="204" t="n">
        <f aca="false">N109/AC$1</f>
        <v>0.00639063292126506</v>
      </c>
      <c r="AD109" s="204" t="n">
        <f aca="false">O109/AD$1</f>
        <v>0.00636870129746866</v>
      </c>
      <c r="AE109" s="209" t="n">
        <f aca="false">('Modelo AHP'!$U$37*aux!P109)+('Modelo AHP'!$U$38*aux!R109)+('Modelo AHP'!$U$39*aux!S109)</f>
        <v>0.00700133095437521</v>
      </c>
      <c r="AF109" s="210" t="n">
        <f aca="false">aux!U109</f>
        <v>0.00764159501397786</v>
      </c>
      <c r="AG109" s="209" t="n">
        <f aca="false">('Modelo AHP'!$U$47*aux!V109)+('Modelo AHP'!$U$48*aux!W109)+('Modelo AHP'!$U$49*aux!X109)</f>
        <v>0.0077090237849523</v>
      </c>
      <c r="AH109" s="210" t="n">
        <f aca="false">Z109</f>
        <v>0.00763179269040663</v>
      </c>
      <c r="AI109" s="209" t="n">
        <f aca="false">('Modelo AHP'!$U$56*aux!AA109)+('Modelo AHP'!$U$57*aux!AB109)+('Modelo AHP'!$U$58*aux!AC109)+('Modelo AHP'!$U$59*aux!AD109)</f>
        <v>0.00526988792809757</v>
      </c>
      <c r="AJ109" s="211" t="n">
        <f aca="false">('Modelo AHP'!$U$23*aux!AE109)+('Modelo AHP'!$U$24*aux!AF109)+('Modelo AHP'!$U$25*aux!AG109)+('Modelo AHP'!$U$26*aux!AH109)+('Modelo AHP'!$U$27*aux!AI109)</f>
        <v>0.00733501389885558</v>
      </c>
    </row>
    <row r="110" customFormat="false" ht="15" hidden="false" customHeight="false" outlineLevel="0" collapsed="false">
      <c r="A110" s="195" t="n">
        <f aca="false">_xlfn.RANK.EQ(AJ110,AJ$5:AJ$135)</f>
        <v>99</v>
      </c>
      <c r="B110" s="196" t="s">
        <v>239</v>
      </c>
      <c r="C110" s="197" t="s">
        <v>245</v>
      </c>
      <c r="D110" s="198" t="n">
        <v>0.0485109674567656</v>
      </c>
      <c r="E110" s="199" t="n">
        <v>83.16</v>
      </c>
      <c r="F110" s="198" t="n">
        <v>0.147510496210093</v>
      </c>
      <c r="G110" s="200" t="n">
        <v>55975.1455794732</v>
      </c>
      <c r="H110" s="201" t="n">
        <v>5.14</v>
      </c>
      <c r="I110" s="201" t="n">
        <v>7.08</v>
      </c>
      <c r="J110" s="198" t="n">
        <v>0.0387425487014352</v>
      </c>
      <c r="K110" s="202" t="n">
        <v>114377.07</v>
      </c>
      <c r="L110" s="198" t="n">
        <v>0.0486293763516278</v>
      </c>
      <c r="M110" s="203" t="n">
        <v>403</v>
      </c>
      <c r="N110" s="198" t="n">
        <v>0.0421123638816614</v>
      </c>
      <c r="O110" s="198" t="n">
        <v>0.0418537924151697</v>
      </c>
      <c r="P110" s="204" t="n">
        <f aca="false">D110/$P$1</f>
        <v>0.00444032607803358</v>
      </c>
      <c r="Q110" s="204" t="n">
        <f aca="false">1-(E110/Q$1)</f>
        <v>0.992351682795333</v>
      </c>
      <c r="R110" s="204" t="n">
        <f aca="false">Q110/R$1</f>
        <v>0.00763347448304103</v>
      </c>
      <c r="S110" s="204" t="n">
        <f aca="false">F110/S$1</f>
        <v>0.0030242769985704</v>
      </c>
      <c r="T110" s="204" t="n">
        <f aca="false">1-(G110/T$1)</f>
        <v>0.989942502783829</v>
      </c>
      <c r="U110" s="205" t="n">
        <f aca="false">T110/U$1</f>
        <v>0.00761494232910638</v>
      </c>
      <c r="V110" s="204" t="n">
        <f aca="false">H110/V$1</f>
        <v>0.0052233118235862</v>
      </c>
      <c r="W110" s="204" t="n">
        <f aca="false">I110/W$1</f>
        <v>0.00586301415238868</v>
      </c>
      <c r="X110" s="204" t="n">
        <f aca="false">J110/X$1</f>
        <v>0.00621906576700687</v>
      </c>
      <c r="Y110" s="204" t="n">
        <f aca="false">1-(K110/Y$1)</f>
        <v>0.991402541737304</v>
      </c>
      <c r="Z110" s="205" t="n">
        <f aca="false">Y110/Z$1</f>
        <v>0.00762617339797926</v>
      </c>
      <c r="AA110" s="204" t="n">
        <f aca="false">L110/$AA$1</f>
        <v>0.00742797453776036</v>
      </c>
      <c r="AB110" s="204" t="n">
        <f aca="false">M110/AB$1</f>
        <v>0.00378055873468545</v>
      </c>
      <c r="AC110" s="204" t="n">
        <f aca="false">N110/AC$1</f>
        <v>0.00639063292126506</v>
      </c>
      <c r="AD110" s="204" t="n">
        <f aca="false">O110/AD$1</f>
        <v>0.00636870129746866</v>
      </c>
      <c r="AE110" s="209" t="n">
        <f aca="false">('Modelo AHP'!$U$37*aux!P110)+('Modelo AHP'!$U$38*aux!R110)+('Modelo AHP'!$U$39*aux!S110)</f>
        <v>0.00391001147085642</v>
      </c>
      <c r="AF110" s="210" t="n">
        <f aca="false">aux!U110</f>
        <v>0.00761494232910638</v>
      </c>
      <c r="AG110" s="209" t="n">
        <f aca="false">('Modelo AHP'!$U$47*aux!V110)+('Modelo AHP'!$U$48*aux!W110)+('Modelo AHP'!$U$49*aux!X110)</f>
        <v>0.00589270067298882</v>
      </c>
      <c r="AH110" s="210" t="n">
        <f aca="false">Z110</f>
        <v>0.00762617339797926</v>
      </c>
      <c r="AI110" s="209" t="n">
        <f aca="false">('Modelo AHP'!$U$56*aux!AA110)+('Modelo AHP'!$U$57*aux!AB110)+('Modelo AHP'!$U$58*aux!AC110)+('Modelo AHP'!$U$59*aux!AD110)</f>
        <v>0.00526988792809757</v>
      </c>
      <c r="AJ110" s="211" t="n">
        <f aca="false">('Modelo AHP'!$U$23*aux!AE110)+('Modelo AHP'!$U$24*aux!AF110)+('Modelo AHP'!$U$25*aux!AG110)+('Modelo AHP'!$U$26*aux!AH110)+('Modelo AHP'!$U$27*aux!AI110)</f>
        <v>0.00618941392064782</v>
      </c>
    </row>
    <row r="111" customFormat="false" ht="15" hidden="false" customHeight="false" outlineLevel="0" collapsed="false">
      <c r="A111" s="195" t="n">
        <f aca="false">_xlfn.RANK.EQ(AJ111,AJ$5:AJ$135)</f>
        <v>10</v>
      </c>
      <c r="B111" s="196" t="s">
        <v>246</v>
      </c>
      <c r="C111" s="197" t="s">
        <v>247</v>
      </c>
      <c r="D111" s="198" t="n">
        <v>0.138264972121267</v>
      </c>
      <c r="E111" s="199" t="n">
        <v>82.02</v>
      </c>
      <c r="F111" s="198" t="n">
        <v>0.637493148181984</v>
      </c>
      <c r="G111" s="200" t="n">
        <v>24884.4147377196</v>
      </c>
      <c r="H111" s="201" t="n">
        <v>12.39</v>
      </c>
      <c r="I111" s="201" t="n">
        <v>13.53</v>
      </c>
      <c r="J111" s="198" t="n">
        <v>0.0765560059520755</v>
      </c>
      <c r="K111" s="202" t="n">
        <v>51666.28</v>
      </c>
      <c r="L111" s="198" t="n">
        <v>0.0523700976094453</v>
      </c>
      <c r="M111" s="203" t="n">
        <v>1563</v>
      </c>
      <c r="N111" s="198" t="n">
        <v>0.0595547846198323</v>
      </c>
      <c r="O111" s="198" t="n">
        <v>0.0598490518962076</v>
      </c>
      <c r="P111" s="204" t="n">
        <f aca="false">D111/$P$1</f>
        <v>0.0126557270154591</v>
      </c>
      <c r="Q111" s="204" t="n">
        <f aca="false">1-(E111/Q$1)</f>
        <v>0.99245652985658</v>
      </c>
      <c r="R111" s="204" t="n">
        <f aca="false">Q111/R$1</f>
        <v>0.00763428099889677</v>
      </c>
      <c r="S111" s="204" t="n">
        <f aca="false">F111/S$1</f>
        <v>0.0130699571510294</v>
      </c>
      <c r="T111" s="204" t="n">
        <f aca="false">1-(G111/T$1)</f>
        <v>0.995528820347679</v>
      </c>
      <c r="U111" s="205" t="n">
        <f aca="false">T111/U$1</f>
        <v>0.00765791400267445</v>
      </c>
      <c r="V111" s="204" t="n">
        <f aca="false">H111/V$1</f>
        <v>0.0125908236370103</v>
      </c>
      <c r="W111" s="204" t="n">
        <f aca="false">I111/W$1</f>
        <v>0.011204319418336</v>
      </c>
      <c r="X111" s="204" t="n">
        <f aca="false">J111/X$1</f>
        <v>0.012288991092052</v>
      </c>
      <c r="Y111" s="204" t="n">
        <f aca="false">1-(K111/Y$1)</f>
        <v>0.996116365929912</v>
      </c>
      <c r="Z111" s="205" t="n">
        <f aca="false">Y111/Z$1</f>
        <v>0.00766243358407625</v>
      </c>
      <c r="AA111" s="204" t="n">
        <f aca="false">L111/$AA$1</f>
        <v>0.00799935719451116</v>
      </c>
      <c r="AB111" s="204" t="n">
        <f aca="false">M111/AB$1</f>
        <v>0.0146625640255915</v>
      </c>
      <c r="AC111" s="204" t="n">
        <f aca="false">N111/AC$1</f>
        <v>0.00903755410833366</v>
      </c>
      <c r="AD111" s="204" t="n">
        <f aca="false">O111/AD$1</f>
        <v>0.00910695811463662</v>
      </c>
      <c r="AE111" s="209" t="n">
        <f aca="false">('Modelo AHP'!$U$37*aux!P111)+('Modelo AHP'!$U$38*aux!R111)+('Modelo AHP'!$U$39*aux!S111)</f>
        <v>0.0124021204951451</v>
      </c>
      <c r="AF111" s="210" t="n">
        <f aca="false">aux!U111</f>
        <v>0.00765791400267445</v>
      </c>
      <c r="AG111" s="209" t="n">
        <f aca="false">('Modelo AHP'!$U$47*aux!V111)+('Modelo AHP'!$U$48*aux!W111)+('Modelo AHP'!$U$49*aux!X111)</f>
        <v>0.0118590861212376</v>
      </c>
      <c r="AH111" s="210" t="n">
        <f aca="false">Z111</f>
        <v>0.00766243358407625</v>
      </c>
      <c r="AI111" s="209" t="n">
        <f aca="false">('Modelo AHP'!$U$56*aux!AA111)+('Modelo AHP'!$U$57*aux!AB111)+('Modelo AHP'!$U$58*aux!AC111)+('Modelo AHP'!$U$59*aux!AD111)</f>
        <v>0.0116527293276622</v>
      </c>
      <c r="AJ111" s="211" t="n">
        <f aca="false">('Modelo AHP'!$U$23*aux!AE111)+('Modelo AHP'!$U$24*aux!AF111)+('Modelo AHP'!$U$25*aux!AG111)+('Modelo AHP'!$U$26*aux!AH111)+('Modelo AHP'!$U$27*aux!AI111)</f>
        <v>0.0102596283530568</v>
      </c>
    </row>
    <row r="112" customFormat="false" ht="15" hidden="false" customHeight="false" outlineLevel="0" collapsed="false">
      <c r="A112" s="195" t="n">
        <f aca="false">_xlfn.RANK.EQ(AJ112,AJ$5:AJ$135)</f>
        <v>3</v>
      </c>
      <c r="B112" s="196" t="s">
        <v>246</v>
      </c>
      <c r="C112" s="197" t="s">
        <v>248</v>
      </c>
      <c r="D112" s="198" t="n">
        <v>0.268937927474513</v>
      </c>
      <c r="E112" s="199" t="n">
        <v>81.25</v>
      </c>
      <c r="F112" s="198" t="n">
        <v>0.746862310815799</v>
      </c>
      <c r="G112" s="200" t="n">
        <v>19587.0949040644</v>
      </c>
      <c r="H112" s="201" t="n">
        <v>13.77</v>
      </c>
      <c r="I112" s="201" t="n">
        <v>17.18</v>
      </c>
      <c r="J112" s="198" t="n">
        <v>0.0765560059520755</v>
      </c>
      <c r="K112" s="202" t="n">
        <v>26876.8</v>
      </c>
      <c r="L112" s="198" t="n">
        <v>0.0523700976094453</v>
      </c>
      <c r="M112" s="203" t="n">
        <v>1563</v>
      </c>
      <c r="N112" s="198" t="n">
        <v>0.0595547846198323</v>
      </c>
      <c r="O112" s="198" t="n">
        <v>0.0598490518962076</v>
      </c>
      <c r="P112" s="204" t="n">
        <f aca="false">D112/$P$1</f>
        <v>0.0246165383900386</v>
      </c>
      <c r="Q112" s="204" t="n">
        <f aca="false">1-(E112/Q$1)</f>
        <v>0.992527347608475</v>
      </c>
      <c r="R112" s="204" t="n">
        <f aca="false">Q112/R$1</f>
        <v>0.00763482575083443</v>
      </c>
      <c r="S112" s="204" t="n">
        <f aca="false">F112/S$1</f>
        <v>0.0153122561833319</v>
      </c>
      <c r="T112" s="204" t="n">
        <f aca="false">1-(G112/T$1)</f>
        <v>0.996480631708393</v>
      </c>
      <c r="U112" s="205" t="n">
        <f aca="false">T112/U$1</f>
        <v>0.0076652356285261</v>
      </c>
      <c r="V112" s="204" t="n">
        <f aca="false">H112/V$1</f>
        <v>0.0139931914028759</v>
      </c>
      <c r="W112" s="204" t="n">
        <f aca="false">I112/W$1</f>
        <v>0.0142269185223217</v>
      </c>
      <c r="X112" s="204" t="n">
        <f aca="false">J112/X$1</f>
        <v>0.012288991092052</v>
      </c>
      <c r="Y112" s="204" t="n">
        <f aca="false">1-(K112/Y$1)</f>
        <v>0.997979733470749</v>
      </c>
      <c r="Z112" s="205" t="n">
        <f aca="false">Y112/Z$1</f>
        <v>0.00767676718054422</v>
      </c>
      <c r="AA112" s="204" t="n">
        <f aca="false">L112/$AA$1</f>
        <v>0.00799935719451116</v>
      </c>
      <c r="AB112" s="204" t="n">
        <f aca="false">M112/AB$1</f>
        <v>0.0146625640255915</v>
      </c>
      <c r="AC112" s="204" t="n">
        <f aca="false">N112/AC$1</f>
        <v>0.00903755410833366</v>
      </c>
      <c r="AD112" s="204" t="n">
        <f aca="false">O112/AD$1</f>
        <v>0.00910695811463662</v>
      </c>
      <c r="AE112" s="209" t="n">
        <f aca="false">('Modelo AHP'!$U$37*aux!P112)+('Modelo AHP'!$U$38*aux!R112)+('Modelo AHP'!$U$39*aux!S112)</f>
        <v>0.0173357978020942</v>
      </c>
      <c r="AF112" s="210" t="n">
        <f aca="false">aux!U112</f>
        <v>0.0076652356285261</v>
      </c>
      <c r="AG112" s="209" t="n">
        <f aca="false">('Modelo AHP'!$U$47*aux!V112)+('Modelo AHP'!$U$48*aux!W112)+('Modelo AHP'!$U$49*aux!X112)</f>
        <v>0.0134366750139717</v>
      </c>
      <c r="AH112" s="210" t="n">
        <f aca="false">Z112</f>
        <v>0.00767676718054422</v>
      </c>
      <c r="AI112" s="209" t="n">
        <f aca="false">('Modelo AHP'!$U$56*aux!AA112)+('Modelo AHP'!$U$57*aux!AB112)+('Modelo AHP'!$U$58*aux!AC112)+('Modelo AHP'!$U$59*aux!AD112)</f>
        <v>0.0116527293276622</v>
      </c>
      <c r="AJ112" s="211" t="n">
        <f aca="false">('Modelo AHP'!$U$23*aux!AE112)+('Modelo AHP'!$U$24*aux!AF112)+('Modelo AHP'!$U$25*aux!AG112)+('Modelo AHP'!$U$26*aux!AH112)+('Modelo AHP'!$U$27*aux!AI112)</f>
        <v>0.0116255268255906</v>
      </c>
    </row>
    <row r="113" customFormat="false" ht="15" hidden="false" customHeight="false" outlineLevel="0" collapsed="false">
      <c r="A113" s="195" t="n">
        <f aca="false">_xlfn.RANK.EQ(AJ113,AJ$5:AJ$135)</f>
        <v>31</v>
      </c>
      <c r="B113" s="196" t="s">
        <v>246</v>
      </c>
      <c r="C113" s="197" t="s">
        <v>249</v>
      </c>
      <c r="D113" s="198" t="n">
        <v>0.0918546091526166</v>
      </c>
      <c r="E113" s="199" t="n">
        <v>82.02</v>
      </c>
      <c r="F113" s="198" t="n">
        <v>0.463624553426437</v>
      </c>
      <c r="G113" s="200" t="n">
        <v>30153.304534441</v>
      </c>
      <c r="H113" s="201" t="n">
        <v>8.65</v>
      </c>
      <c r="I113" s="201" t="n">
        <v>10.39</v>
      </c>
      <c r="J113" s="198" t="n">
        <v>0.0765560059520755</v>
      </c>
      <c r="K113" s="202" t="n">
        <v>61604.11</v>
      </c>
      <c r="L113" s="198" t="n">
        <v>0.0523700976094453</v>
      </c>
      <c r="M113" s="203" t="n">
        <v>1563</v>
      </c>
      <c r="N113" s="198" t="n">
        <v>0.0595547846198323</v>
      </c>
      <c r="O113" s="198" t="n">
        <v>0.0598490518962076</v>
      </c>
      <c r="P113" s="204" t="n">
        <f aca="false">D113/$P$1</f>
        <v>0.00840767434233189</v>
      </c>
      <c r="Q113" s="204" t="n">
        <f aca="false">1-(E113/Q$1)</f>
        <v>0.99245652985658</v>
      </c>
      <c r="R113" s="204" t="n">
        <f aca="false">Q113/R$1</f>
        <v>0.00763428099889677</v>
      </c>
      <c r="S113" s="204" t="n">
        <f aca="false">F113/S$1</f>
        <v>0.00950528341320912</v>
      </c>
      <c r="T113" s="204" t="n">
        <f aca="false">1-(G113/T$1)</f>
        <v>0.994582117236606</v>
      </c>
      <c r="U113" s="205" t="n">
        <f aca="false">T113/U$1</f>
        <v>0.00765063167105081</v>
      </c>
      <c r="V113" s="204" t="n">
        <f aca="false">H113/V$1</f>
        <v>0.00879020374980946</v>
      </c>
      <c r="W113" s="204" t="n">
        <f aca="false">I113/W$1</f>
        <v>0.00860405607956474</v>
      </c>
      <c r="X113" s="204" t="n">
        <f aca="false">J113/X$1</f>
        <v>0.012288991092052</v>
      </c>
      <c r="Y113" s="204" t="n">
        <f aca="false">1-(K113/Y$1)</f>
        <v>0.995369362368388</v>
      </c>
      <c r="Z113" s="205" t="n">
        <f aca="false">Y113/Z$1</f>
        <v>0.00765668740283375</v>
      </c>
      <c r="AA113" s="204" t="n">
        <f aca="false">L113/$AA$1</f>
        <v>0.00799935719451116</v>
      </c>
      <c r="AB113" s="204" t="n">
        <f aca="false">M113/AB$1</f>
        <v>0.0146625640255915</v>
      </c>
      <c r="AC113" s="204" t="n">
        <f aca="false">N113/AC$1</f>
        <v>0.00903755410833366</v>
      </c>
      <c r="AD113" s="204" t="n">
        <f aca="false">O113/AD$1</f>
        <v>0.00910695811463662</v>
      </c>
      <c r="AE113" s="209" t="n">
        <f aca="false">('Modelo AHP'!$U$37*aux!P113)+('Modelo AHP'!$U$38*aux!R113)+('Modelo AHP'!$U$39*aux!S113)</f>
        <v>0.00898890045051472</v>
      </c>
      <c r="AF113" s="210" t="n">
        <f aca="false">aux!U113</f>
        <v>0.00765063167105081</v>
      </c>
      <c r="AG113" s="209" t="n">
        <f aca="false">('Modelo AHP'!$U$47*aux!V113)+('Modelo AHP'!$U$48*aux!W113)+('Modelo AHP'!$U$49*aux!X113)</f>
        <v>0.01006298924556</v>
      </c>
      <c r="AH113" s="210" t="n">
        <f aca="false">Z113</f>
        <v>0.00765668740283375</v>
      </c>
      <c r="AI113" s="209" t="n">
        <f aca="false">('Modelo AHP'!$U$56*aux!AA113)+('Modelo AHP'!$U$57*aux!AB113)+('Modelo AHP'!$U$58*aux!AC113)+('Modelo AHP'!$U$59*aux!AD113)</f>
        <v>0.0116527293276622</v>
      </c>
      <c r="AJ113" s="211" t="n">
        <f aca="false">('Modelo AHP'!$U$23*aux!AE113)+('Modelo AHP'!$U$24*aux!AF113)+('Modelo AHP'!$U$25*aux!AG113)+('Modelo AHP'!$U$26*aux!AH113)+('Modelo AHP'!$U$27*aux!AI113)</f>
        <v>0.00907345954935985</v>
      </c>
    </row>
    <row r="114" customFormat="false" ht="15" hidden="false" customHeight="false" outlineLevel="0" collapsed="false">
      <c r="A114" s="195" t="n">
        <f aca="false">_xlfn.RANK.EQ(AJ114,AJ$5:AJ$135)</f>
        <v>20</v>
      </c>
      <c r="B114" s="196" t="s">
        <v>246</v>
      </c>
      <c r="C114" s="197" t="s">
        <v>250</v>
      </c>
      <c r="D114" s="198" t="n">
        <v>0.137146720757268</v>
      </c>
      <c r="E114" s="199" t="n">
        <v>83.28</v>
      </c>
      <c r="F114" s="198" t="n">
        <v>0.57422979473433</v>
      </c>
      <c r="G114" s="200" t="n">
        <v>28416.0524909634</v>
      </c>
      <c r="H114" s="201" t="n">
        <v>9.79</v>
      </c>
      <c r="I114" s="201" t="n">
        <v>11.07</v>
      </c>
      <c r="J114" s="198" t="n">
        <v>0.0765560059520755</v>
      </c>
      <c r="K114" s="202" t="n">
        <v>52206.91</v>
      </c>
      <c r="L114" s="198" t="n">
        <v>0.0523700976094453</v>
      </c>
      <c r="M114" s="203" t="n">
        <v>1563</v>
      </c>
      <c r="N114" s="198" t="n">
        <v>0.0595547846198323</v>
      </c>
      <c r="O114" s="198" t="n">
        <v>0.0598490518962076</v>
      </c>
      <c r="P114" s="204" t="n">
        <f aca="false">D114/$P$1</f>
        <v>0.0125533707658588</v>
      </c>
      <c r="Q114" s="204" t="n">
        <f aca="false">1-(E114/Q$1)</f>
        <v>0.99234064626257</v>
      </c>
      <c r="R114" s="204" t="n">
        <f aca="false">Q114/R$1</f>
        <v>0.00763338958663516</v>
      </c>
      <c r="S114" s="204" t="n">
        <f aca="false">F114/S$1</f>
        <v>0.011772924671309</v>
      </c>
      <c r="T114" s="204" t="n">
        <f aca="false">1-(G114/T$1)</f>
        <v>0.994894263054364</v>
      </c>
      <c r="U114" s="205" t="n">
        <f aca="false">T114/U$1</f>
        <v>0.00765303279272588</v>
      </c>
      <c r="V114" s="204" t="n">
        <f aca="false">H114/V$1</f>
        <v>0.00994868146943753</v>
      </c>
      <c r="W114" s="204" t="n">
        <f aca="false">I114/W$1</f>
        <v>0.009167170433184</v>
      </c>
      <c r="X114" s="204" t="n">
        <f aca="false">J114/X$1</f>
        <v>0.012288991092052</v>
      </c>
      <c r="Y114" s="204" t="n">
        <f aca="false">1-(K114/Y$1)</f>
        <v>0.996075728030545</v>
      </c>
      <c r="Z114" s="205" t="n">
        <f aca="false">Y114/Z$1</f>
        <v>0.00766212098485035</v>
      </c>
      <c r="AA114" s="204" t="n">
        <f aca="false">L114/$AA$1</f>
        <v>0.00799935719451116</v>
      </c>
      <c r="AB114" s="204" t="n">
        <f aca="false">M114/AB$1</f>
        <v>0.0146625640255915</v>
      </c>
      <c r="AC114" s="204" t="n">
        <f aca="false">N114/AC$1</f>
        <v>0.00903755410833366</v>
      </c>
      <c r="AD114" s="204" t="n">
        <f aca="false">O114/AD$1</f>
        <v>0.00910695811463662</v>
      </c>
      <c r="AE114" s="209" t="n">
        <f aca="false">('Modelo AHP'!$U$37*aux!P114)+('Modelo AHP'!$U$38*aux!R114)+('Modelo AHP'!$U$39*aux!S114)</f>
        <v>0.0115931049912065</v>
      </c>
      <c r="AF114" s="210" t="n">
        <f aca="false">aux!U114</f>
        <v>0.00765303279272588</v>
      </c>
      <c r="AG114" s="209" t="n">
        <f aca="false">('Modelo AHP'!$U$47*aux!V114)+('Modelo AHP'!$U$48*aux!W114)+('Modelo AHP'!$U$49*aux!X114)</f>
        <v>0.0105087048289734</v>
      </c>
      <c r="AH114" s="210" t="n">
        <f aca="false">Z114</f>
        <v>0.00766212098485035</v>
      </c>
      <c r="AI114" s="209" t="n">
        <f aca="false">('Modelo AHP'!$U$56*aux!AA114)+('Modelo AHP'!$U$57*aux!AB114)+('Modelo AHP'!$U$58*aux!AC114)+('Modelo AHP'!$U$59*aux!AD114)</f>
        <v>0.0116527293276622</v>
      </c>
      <c r="AJ114" s="211" t="n">
        <f aca="false">('Modelo AHP'!$U$23*aux!AE114)+('Modelo AHP'!$U$24*aux!AF114)+('Modelo AHP'!$U$25*aux!AG114)+('Modelo AHP'!$U$26*aux!AH114)+('Modelo AHP'!$U$27*aux!AI114)</f>
        <v>0.00966155755845255</v>
      </c>
    </row>
    <row r="115" customFormat="false" ht="15" hidden="false" customHeight="false" outlineLevel="0" collapsed="false">
      <c r="A115" s="195" t="n">
        <f aca="false">_xlfn.RANK.EQ(AJ115,AJ$5:AJ$135)</f>
        <v>17</v>
      </c>
      <c r="B115" s="196" t="s">
        <v>246</v>
      </c>
      <c r="C115" s="197" t="s">
        <v>251</v>
      </c>
      <c r="D115" s="198" t="n">
        <v>0.112095266213955</v>
      </c>
      <c r="E115" s="199" t="n">
        <v>83.21</v>
      </c>
      <c r="F115" s="198" t="n">
        <v>0.588427226168842</v>
      </c>
      <c r="G115" s="200" t="n">
        <v>28062.4299562607</v>
      </c>
      <c r="H115" s="201" t="n">
        <v>10.62</v>
      </c>
      <c r="I115" s="201" t="n">
        <v>12.46</v>
      </c>
      <c r="J115" s="198" t="n">
        <v>0.0765560059520755</v>
      </c>
      <c r="K115" s="202" t="n">
        <v>58943.3</v>
      </c>
      <c r="L115" s="198" t="n">
        <v>0.0523700976094453</v>
      </c>
      <c r="M115" s="203" t="n">
        <v>1563</v>
      </c>
      <c r="N115" s="198" t="n">
        <v>0.0595547846198323</v>
      </c>
      <c r="O115" s="198" t="n">
        <v>0.0598490518962076</v>
      </c>
      <c r="P115" s="204" t="n">
        <f aca="false">D115/$P$1</f>
        <v>0.0102603505946886</v>
      </c>
      <c r="Q115" s="204" t="n">
        <f aca="false">1-(E115/Q$1)</f>
        <v>0.992347084240015</v>
      </c>
      <c r="R115" s="204" t="n">
        <f aca="false">Q115/R$1</f>
        <v>0.00763343910953858</v>
      </c>
      <c r="S115" s="204" t="n">
        <f aca="false">F115/S$1</f>
        <v>0.012064002028035</v>
      </c>
      <c r="T115" s="204" t="n">
        <f aca="false">1-(G115/T$1)</f>
        <v>0.994957801212622</v>
      </c>
      <c r="U115" s="205" t="n">
        <f aca="false">T115/U$1</f>
        <v>0.0076535215477894</v>
      </c>
      <c r="V115" s="204" t="n">
        <f aca="false">H115/V$1</f>
        <v>0.0107921345460088</v>
      </c>
      <c r="W115" s="204" t="n">
        <f aca="false">I115/W$1</f>
        <v>0.0103182424207292</v>
      </c>
      <c r="X115" s="204" t="n">
        <f aca="false">J115/X$1</f>
        <v>0.012288991092052</v>
      </c>
      <c r="Y115" s="204" t="n">
        <f aca="false">1-(K115/Y$1)</f>
        <v>0.995569369265924</v>
      </c>
      <c r="Z115" s="205" t="n">
        <f aca="false">Y115/Z$1</f>
        <v>0.00765822591743018</v>
      </c>
      <c r="AA115" s="204" t="n">
        <f aca="false">L115/$AA$1</f>
        <v>0.00799935719451116</v>
      </c>
      <c r="AB115" s="204" t="n">
        <f aca="false">M115/AB$1</f>
        <v>0.0146625640255915</v>
      </c>
      <c r="AC115" s="204" t="n">
        <f aca="false">N115/AC$1</f>
        <v>0.00903755410833366</v>
      </c>
      <c r="AD115" s="204" t="n">
        <f aca="false">O115/AD$1</f>
        <v>0.00910695811463662</v>
      </c>
      <c r="AE115" s="209" t="n">
        <f aca="false">('Modelo AHP'!$U$37*aux!P115)+('Modelo AHP'!$U$38*aux!R115)+('Modelo AHP'!$U$39*aux!S115)</f>
        <v>0.0110798503061814</v>
      </c>
      <c r="AF115" s="210" t="n">
        <f aca="false">aux!U115</f>
        <v>0.0076535215477894</v>
      </c>
      <c r="AG115" s="209" t="n">
        <f aca="false">('Modelo AHP'!$U$47*aux!V115)+('Modelo AHP'!$U$48*aux!W115)+('Modelo AHP'!$U$49*aux!X115)</f>
        <v>0.0111618358152002</v>
      </c>
      <c r="AH115" s="210" t="n">
        <f aca="false">Z115</f>
        <v>0.00765822591743018</v>
      </c>
      <c r="AI115" s="209" t="n">
        <f aca="false">('Modelo AHP'!$U$56*aux!AA115)+('Modelo AHP'!$U$57*aux!AB115)+('Modelo AHP'!$U$58*aux!AC115)+('Modelo AHP'!$U$59*aux!AD115)</f>
        <v>0.0116527293276622</v>
      </c>
      <c r="AJ115" s="211" t="n">
        <f aca="false">('Modelo AHP'!$U$23*aux!AE115)+('Modelo AHP'!$U$24*aux!AF115)+('Modelo AHP'!$U$25*aux!AG115)+('Modelo AHP'!$U$26*aux!AH115)+('Modelo AHP'!$U$27*aux!AI115)</f>
        <v>0.00979895969508985</v>
      </c>
    </row>
    <row r="116" customFormat="false" ht="15" hidden="false" customHeight="false" outlineLevel="0" collapsed="false">
      <c r="A116" s="195" t="n">
        <f aca="false">_xlfn.RANK.EQ(AJ116,AJ$5:AJ$135)</f>
        <v>24</v>
      </c>
      <c r="B116" s="196" t="s">
        <v>252</v>
      </c>
      <c r="C116" s="197" t="s">
        <v>253</v>
      </c>
      <c r="D116" s="198" t="n">
        <v>0.101635631605435</v>
      </c>
      <c r="E116" s="199" t="n">
        <v>82.85</v>
      </c>
      <c r="F116" s="198" t="n">
        <v>0.643144601720788</v>
      </c>
      <c r="G116" s="200" t="n">
        <v>28357.1952380006</v>
      </c>
      <c r="H116" s="201" t="n">
        <v>12.05</v>
      </c>
      <c r="I116" s="201" t="n">
        <v>13.6</v>
      </c>
      <c r="J116" s="198" t="n">
        <v>0.0631053046393887</v>
      </c>
      <c r="K116" s="202" t="n">
        <v>55794.28</v>
      </c>
      <c r="L116" s="198" t="n">
        <v>0.0259512537261091</v>
      </c>
      <c r="M116" s="203" t="n">
        <v>1370</v>
      </c>
      <c r="N116" s="198" t="n">
        <v>0.0210079984581286</v>
      </c>
      <c r="O116" s="198" t="n">
        <v>0.0222367764471058</v>
      </c>
      <c r="P116" s="204" t="n">
        <f aca="false">D116/$P$1</f>
        <v>0.00930295496327168</v>
      </c>
      <c r="Q116" s="204" t="n">
        <f aca="false">1-(E116/Q$1)</f>
        <v>0.992380193838304</v>
      </c>
      <c r="R116" s="204" t="n">
        <f aca="false">Q116/R$1</f>
        <v>0.00763369379875619</v>
      </c>
      <c r="S116" s="204" t="n">
        <f aca="false">F116/S$1</f>
        <v>0.0131858238953291</v>
      </c>
      <c r="T116" s="204" t="n">
        <f aca="false">1-(G116/T$1)</f>
        <v>0.994904838402614</v>
      </c>
      <c r="U116" s="205" t="n">
        <f aca="false">T116/U$1</f>
        <v>0.00765311414155857</v>
      </c>
      <c r="V116" s="204" t="n">
        <f aca="false">H116/V$1</f>
        <v>0.0122453127381739</v>
      </c>
      <c r="W116" s="204" t="n">
        <f aca="false">I116/W$1</f>
        <v>0.011262287072385</v>
      </c>
      <c r="X116" s="204" t="n">
        <f aca="false">J116/X$1</f>
        <v>0.010129845685264</v>
      </c>
      <c r="Y116" s="204" t="n">
        <f aca="false">1-(K116/Y$1)</f>
        <v>0.995806073773378</v>
      </c>
      <c r="Z116" s="205" t="n">
        <f aca="false">Y116/Z$1</f>
        <v>0.00766004672133368</v>
      </c>
      <c r="AA116" s="204" t="n">
        <f aca="false">L116/$AA$1</f>
        <v>0.00396396718120865</v>
      </c>
      <c r="AB116" s="204" t="n">
        <f aca="false">M116/AB$1</f>
        <v>0.0128520234901218</v>
      </c>
      <c r="AC116" s="204" t="n">
        <f aca="false">N116/AC$1</f>
        <v>0.00318800452365168</v>
      </c>
      <c r="AD116" s="204" t="n">
        <f aca="false">O116/AD$1</f>
        <v>0.00338366916922142</v>
      </c>
      <c r="AE116" s="209" t="n">
        <f aca="false">('Modelo AHP'!$U$37*aux!P116)+('Modelo AHP'!$U$38*aux!R116)+('Modelo AHP'!$U$39*aux!S116)</f>
        <v>0.0114657502060546</v>
      </c>
      <c r="AF116" s="210" t="n">
        <f aca="false">aux!U116</f>
        <v>0.00765311414155857</v>
      </c>
      <c r="AG116" s="209" t="n">
        <f aca="false">('Modelo AHP'!$U$47*aux!V116)+('Modelo AHP'!$U$48*aux!W116)+('Modelo AHP'!$U$49*aux!X116)</f>
        <v>0.0109899399256079</v>
      </c>
      <c r="AH116" s="210" t="n">
        <f aca="false">Z116</f>
        <v>0.00766004672133368</v>
      </c>
      <c r="AI116" s="209" t="n">
        <f aca="false">('Modelo AHP'!$U$56*aux!AA116)+('Modelo AHP'!$U$57*aux!AB116)+('Modelo AHP'!$U$58*aux!AC116)+('Modelo AHP'!$U$59*aux!AD116)</f>
        <v>0.00811182565021726</v>
      </c>
      <c r="AJ116" s="211" t="n">
        <f aca="false">('Modelo AHP'!$U$23*aux!AE116)+('Modelo AHP'!$U$24*aux!AF116)+('Modelo AHP'!$U$25*aux!AG116)+('Modelo AHP'!$U$26*aux!AH116)+('Modelo AHP'!$U$27*aux!AI116)</f>
        <v>0.00947312988668779</v>
      </c>
    </row>
    <row r="117" customFormat="false" ht="15" hidden="false" customHeight="false" outlineLevel="0" collapsed="false">
      <c r="A117" s="195" t="n">
        <f aca="false">_xlfn.RANK.EQ(AJ117,AJ$5:AJ$135)</f>
        <v>47</v>
      </c>
      <c r="B117" s="196" t="s">
        <v>252</v>
      </c>
      <c r="C117" s="197" t="s">
        <v>254</v>
      </c>
      <c r="D117" s="198" t="n">
        <v>0.0325581395348837</v>
      </c>
      <c r="E117" s="199" t="n">
        <v>82.28</v>
      </c>
      <c r="F117" s="198" t="n">
        <v>0.448919655968114</v>
      </c>
      <c r="G117" s="200" t="n">
        <v>36426.5820036597</v>
      </c>
      <c r="H117" s="201" t="n">
        <v>9.22</v>
      </c>
      <c r="I117" s="201" t="n">
        <v>10.59</v>
      </c>
      <c r="J117" s="198" t="n">
        <v>0.0631053046393887</v>
      </c>
      <c r="K117" s="202" t="n">
        <v>57584.02</v>
      </c>
      <c r="L117" s="198" t="n">
        <v>0.0259512537261091</v>
      </c>
      <c r="M117" s="203" t="n">
        <v>1370</v>
      </c>
      <c r="N117" s="198" t="n">
        <v>0.0210079984581286</v>
      </c>
      <c r="O117" s="198" t="n">
        <v>0.0222367764471058</v>
      </c>
      <c r="P117" s="204" t="n">
        <f aca="false">D117/$P$1</f>
        <v>0.00298012518834724</v>
      </c>
      <c r="Q117" s="204" t="n">
        <f aca="false">1-(E117/Q$1)</f>
        <v>0.992432617368927</v>
      </c>
      <c r="R117" s="204" t="n">
        <f aca="false">Q117/R$1</f>
        <v>0.00763409705668406</v>
      </c>
      <c r="S117" s="204" t="n">
        <f aca="false">F117/S$1</f>
        <v>0.00920380193024941</v>
      </c>
      <c r="T117" s="204" t="n">
        <f aca="false">1-(G117/T$1)</f>
        <v>0.993454947846874</v>
      </c>
      <c r="U117" s="205" t="n">
        <f aca="false">T117/U$1</f>
        <v>0.00764196113728365</v>
      </c>
      <c r="V117" s="204" t="n">
        <f aca="false">H117/V$1</f>
        <v>0.00936944260962349</v>
      </c>
      <c r="W117" s="204" t="n">
        <f aca="false">I117/W$1</f>
        <v>0.00876967794827629</v>
      </c>
      <c r="X117" s="204" t="n">
        <f aca="false">J117/X$1</f>
        <v>0.010129845685264</v>
      </c>
      <c r="Y117" s="204" t="n">
        <f aca="false">1-(K117/Y$1)</f>
        <v>0.995671543181266</v>
      </c>
      <c r="Z117" s="205" t="n">
        <f aca="false">Y117/Z$1</f>
        <v>0.00765901187062513</v>
      </c>
      <c r="AA117" s="204" t="n">
        <f aca="false">L117/$AA$1</f>
        <v>0.00396396718120865</v>
      </c>
      <c r="AB117" s="204" t="n">
        <f aca="false">M117/AB$1</f>
        <v>0.0128520234901218</v>
      </c>
      <c r="AC117" s="204" t="n">
        <f aca="false">N117/AC$1</f>
        <v>0.00318800452365168</v>
      </c>
      <c r="AD117" s="204" t="n">
        <f aca="false">O117/AD$1</f>
        <v>0.00338366916922142</v>
      </c>
      <c r="AE117" s="209" t="n">
        <f aca="false">('Modelo AHP'!$U$37*aux!P117)+('Modelo AHP'!$U$38*aux!R117)+('Modelo AHP'!$U$39*aux!S117)</f>
        <v>0.00717972842032222</v>
      </c>
      <c r="AF117" s="210" t="n">
        <f aca="false">aux!U117</f>
        <v>0.00764196113728365</v>
      </c>
      <c r="AG117" s="209" t="n">
        <f aca="false">('Modelo AHP'!$U$47*aux!V117)+('Modelo AHP'!$U$48*aux!W117)+('Modelo AHP'!$U$49*aux!X117)</f>
        <v>0.00939804760579279</v>
      </c>
      <c r="AH117" s="210" t="n">
        <f aca="false">Z117</f>
        <v>0.00765901187062513</v>
      </c>
      <c r="AI117" s="209" t="n">
        <f aca="false">('Modelo AHP'!$U$56*aux!AA117)+('Modelo AHP'!$U$57*aux!AB117)+('Modelo AHP'!$U$58*aux!AC117)+('Modelo AHP'!$U$59*aux!AD117)</f>
        <v>0.00811182565021726</v>
      </c>
      <c r="AJ117" s="211" t="n">
        <f aca="false">('Modelo AHP'!$U$23*aux!AE117)+('Modelo AHP'!$U$24*aux!AF117)+('Modelo AHP'!$U$25*aux!AG117)+('Modelo AHP'!$U$26*aux!AH117)+('Modelo AHP'!$U$27*aux!AI117)</f>
        <v>0.00821019087038583</v>
      </c>
    </row>
    <row r="118" customFormat="false" ht="15" hidden="false" customHeight="false" outlineLevel="0" collapsed="false">
      <c r="A118" s="195" t="n">
        <f aca="false">_xlfn.RANK.EQ(AJ118,AJ$5:AJ$135)</f>
        <v>53</v>
      </c>
      <c r="B118" s="196" t="s">
        <v>252</v>
      </c>
      <c r="C118" s="197" t="s">
        <v>255</v>
      </c>
      <c r="D118" s="198" t="n">
        <v>0.0556931260604393</v>
      </c>
      <c r="E118" s="199" t="n">
        <v>82.85</v>
      </c>
      <c r="F118" s="198" t="n">
        <v>0.278674456216787</v>
      </c>
      <c r="G118" s="200" t="n">
        <v>32080.2102615069</v>
      </c>
      <c r="H118" s="201" t="n">
        <v>7.65</v>
      </c>
      <c r="I118" s="201" t="n">
        <v>9.8</v>
      </c>
      <c r="J118" s="198" t="n">
        <v>0.0631053046393887</v>
      </c>
      <c r="K118" s="202" t="n">
        <v>70762.74</v>
      </c>
      <c r="L118" s="198" t="n">
        <v>0.0259512537261091</v>
      </c>
      <c r="M118" s="203" t="n">
        <v>1370</v>
      </c>
      <c r="N118" s="198" t="n">
        <v>0.0210079984581286</v>
      </c>
      <c r="O118" s="198" t="n">
        <v>0.0222367764471058</v>
      </c>
      <c r="P118" s="204" t="n">
        <f aca="false">D118/$P$1</f>
        <v>0.00509772641070862</v>
      </c>
      <c r="Q118" s="204" t="n">
        <f aca="false">1-(E118/Q$1)</f>
        <v>0.992380193838304</v>
      </c>
      <c r="R118" s="204" t="n">
        <f aca="false">Q118/R$1</f>
        <v>0.00763369379875619</v>
      </c>
      <c r="S118" s="204" t="n">
        <f aca="false">F118/S$1</f>
        <v>0.0057134154496043</v>
      </c>
      <c r="T118" s="204" t="n">
        <f aca="false">1-(G118/T$1)</f>
        <v>0.994235894841199</v>
      </c>
      <c r="U118" s="205" t="n">
        <f aca="false">T118/U$1</f>
        <v>0.00764796842185538</v>
      </c>
      <c r="V118" s="204" t="n">
        <f aca="false">H118/V$1</f>
        <v>0.00777399522381993</v>
      </c>
      <c r="W118" s="204" t="n">
        <f aca="false">I118/W$1</f>
        <v>0.00811547156686569</v>
      </c>
      <c r="X118" s="204" t="n">
        <f aca="false">J118/X$1</f>
        <v>0.010129845685264</v>
      </c>
      <c r="Y118" s="204" t="n">
        <f aca="false">1-(K118/Y$1)</f>
        <v>0.994680929458116</v>
      </c>
      <c r="Z118" s="205" t="n">
        <f aca="false">Y118/Z$1</f>
        <v>0.00765139176506243</v>
      </c>
      <c r="AA118" s="204" t="n">
        <f aca="false">L118/$AA$1</f>
        <v>0.00396396718120865</v>
      </c>
      <c r="AB118" s="204" t="n">
        <f aca="false">M118/AB$1</f>
        <v>0.0128520234901218</v>
      </c>
      <c r="AC118" s="204" t="n">
        <f aca="false">N118/AC$1</f>
        <v>0.00318800452365168</v>
      </c>
      <c r="AD118" s="204" t="n">
        <f aca="false">O118/AD$1</f>
        <v>0.00338366916922142</v>
      </c>
      <c r="AE118" s="209" t="n">
        <f aca="false">('Modelo AHP'!$U$37*aux!P118)+('Modelo AHP'!$U$38*aux!R118)+('Modelo AHP'!$U$39*aux!S118)</f>
        <v>0.00572073657285078</v>
      </c>
      <c r="AF118" s="210" t="n">
        <f aca="false">aux!U118</f>
        <v>0.00764796842185538</v>
      </c>
      <c r="AG118" s="209" t="n">
        <f aca="false">('Modelo AHP'!$U$47*aux!V118)+('Modelo AHP'!$U$48*aux!W118)+('Modelo AHP'!$U$49*aux!X118)</f>
        <v>0.00883800395264736</v>
      </c>
      <c r="AH118" s="210" t="n">
        <f aca="false">Z118</f>
        <v>0.00765139176506243</v>
      </c>
      <c r="AI118" s="209" t="n">
        <f aca="false">('Modelo AHP'!$U$56*aux!AA118)+('Modelo AHP'!$U$57*aux!AB118)+('Modelo AHP'!$U$58*aux!AC118)+('Modelo AHP'!$U$59*aux!AD118)</f>
        <v>0.00811182565021726</v>
      </c>
      <c r="AJ118" s="211" t="n">
        <f aca="false">('Modelo AHP'!$U$23*aux!AE118)+('Modelo AHP'!$U$24*aux!AF118)+('Modelo AHP'!$U$25*aux!AG118)+('Modelo AHP'!$U$26*aux!AH118)+('Modelo AHP'!$U$27*aux!AI118)</f>
        <v>0.00777669117094375</v>
      </c>
    </row>
    <row r="119" customFormat="false" ht="15" hidden="false" customHeight="false" outlineLevel="0" collapsed="false">
      <c r="A119" s="195" t="n">
        <f aca="false">_xlfn.RANK.EQ(AJ119,AJ$5:AJ$135)</f>
        <v>29</v>
      </c>
      <c r="B119" s="196" t="s">
        <v>256</v>
      </c>
      <c r="C119" s="197" t="s">
        <v>257</v>
      </c>
      <c r="D119" s="198" t="n">
        <v>0.0991520467836257</v>
      </c>
      <c r="E119" s="199" t="n">
        <v>83.34</v>
      </c>
      <c r="F119" s="198" t="n">
        <v>0.663015587300371</v>
      </c>
      <c r="G119" s="200" t="n">
        <v>24737.4617385981</v>
      </c>
      <c r="H119" s="201" t="n">
        <v>11.92</v>
      </c>
      <c r="I119" s="201" t="n">
        <v>13.81</v>
      </c>
      <c r="J119" s="198" t="n">
        <v>0.0625353292159531</v>
      </c>
      <c r="K119" s="202" t="n">
        <v>54182.2</v>
      </c>
      <c r="L119" s="198" t="n">
        <v>0.0308609503769946</v>
      </c>
      <c r="M119" s="203" t="n">
        <v>669</v>
      </c>
      <c r="N119" s="198" t="n">
        <v>0.024252352960072</v>
      </c>
      <c r="O119" s="198" t="n">
        <v>0.0238585329341317</v>
      </c>
      <c r="P119" s="204" t="n">
        <f aca="false">D119/$P$1</f>
        <v>0.00907562644295062</v>
      </c>
      <c r="Q119" s="204" t="n">
        <f aca="false">1-(E119/Q$1)</f>
        <v>0.992335127996189</v>
      </c>
      <c r="R119" s="204" t="n">
        <f aca="false">Q119/R$1</f>
        <v>0.00763334713843222</v>
      </c>
      <c r="S119" s="204" t="n">
        <f aca="false">F119/S$1</f>
        <v>0.0135932211055023</v>
      </c>
      <c r="T119" s="204" t="n">
        <f aca="false">1-(G119/T$1)</f>
        <v>0.995555224555551</v>
      </c>
      <c r="U119" s="205" t="n">
        <f aca="false">T119/U$1</f>
        <v>0.00765811711196578</v>
      </c>
      <c r="V119" s="204" t="n">
        <f aca="false">H119/V$1</f>
        <v>0.0121132056297952</v>
      </c>
      <c r="W119" s="204" t="n">
        <f aca="false">I119/W$1</f>
        <v>0.0114361900345322</v>
      </c>
      <c r="X119" s="204" t="n">
        <f aca="false">J119/X$1</f>
        <v>0.0100383515847792</v>
      </c>
      <c r="Y119" s="204" t="n">
        <f aca="false">1-(K119/Y$1)</f>
        <v>0.995927250076601</v>
      </c>
      <c r="Z119" s="205" t="n">
        <f aca="false">Y119/Z$1</f>
        <v>0.00766097884674309</v>
      </c>
      <c r="AA119" s="204" t="n">
        <f aca="false">L119/$AA$1</f>
        <v>0.00471390691819407</v>
      </c>
      <c r="AB119" s="204" t="n">
        <f aca="false">M119/AB$1</f>
        <v>0.00627591512035873</v>
      </c>
      <c r="AC119" s="204" t="n">
        <f aca="false">N119/AC$1</f>
        <v>0.00368034161369575</v>
      </c>
      <c r="AD119" s="204" t="n">
        <f aca="false">O119/AD$1</f>
        <v>0.00363044448030069</v>
      </c>
      <c r="AE119" s="209" t="n">
        <f aca="false">('Modelo AHP'!$U$37*aux!P119)+('Modelo AHP'!$U$38*aux!R119)+('Modelo AHP'!$U$39*aux!S119)</f>
        <v>0.0116419553100298</v>
      </c>
      <c r="AF119" s="210" t="n">
        <f aca="false">aux!U119</f>
        <v>0.00765811711196578</v>
      </c>
      <c r="AG119" s="209" t="n">
        <f aca="false">('Modelo AHP'!$U$47*aux!V119)+('Modelo AHP'!$U$48*aux!W119)+('Modelo AHP'!$U$49*aux!X119)</f>
        <v>0.0110092588936847</v>
      </c>
      <c r="AH119" s="210" t="n">
        <f aca="false">Z119</f>
        <v>0.00766097884674309</v>
      </c>
      <c r="AI119" s="209" t="n">
        <f aca="false">('Modelo AHP'!$U$56*aux!AA119)+('Modelo AHP'!$U$57*aux!AB119)+('Modelo AHP'!$U$58*aux!AC119)+('Modelo AHP'!$U$59*aux!AD119)</f>
        <v>0.0051257831422194</v>
      </c>
      <c r="AJ119" s="211" t="n">
        <f aca="false">('Modelo AHP'!$U$23*aux!AE119)+('Modelo AHP'!$U$24*aux!AF119)+('Modelo AHP'!$U$25*aux!AG119)+('Modelo AHP'!$U$26*aux!AH119)+('Modelo AHP'!$U$27*aux!AI119)</f>
        <v>0.00923127230149862</v>
      </c>
    </row>
    <row r="120" customFormat="false" ht="15" hidden="false" customHeight="false" outlineLevel="0" collapsed="false">
      <c r="A120" s="195" t="n">
        <f aca="false">_xlfn.RANK.EQ(AJ120,AJ$5:AJ$135)</f>
        <v>57</v>
      </c>
      <c r="B120" s="196" t="s">
        <v>256</v>
      </c>
      <c r="C120" s="197" t="s">
        <v>258</v>
      </c>
      <c r="D120" s="198" t="n">
        <v>0.0360605545160742</v>
      </c>
      <c r="E120" s="199" t="n">
        <v>83.34</v>
      </c>
      <c r="F120" s="198" t="n">
        <v>0.351970443349754</v>
      </c>
      <c r="G120" s="200" t="n">
        <v>38092.0998192573</v>
      </c>
      <c r="H120" s="201" t="n">
        <v>8.94</v>
      </c>
      <c r="I120" s="201" t="n">
        <v>9.35</v>
      </c>
      <c r="J120" s="198" t="n">
        <v>0.0625353292159531</v>
      </c>
      <c r="K120" s="202" t="n">
        <v>61754.93</v>
      </c>
      <c r="L120" s="198" t="n">
        <v>0.0308609503769946</v>
      </c>
      <c r="M120" s="203" t="n">
        <v>669</v>
      </c>
      <c r="N120" s="198" t="n">
        <v>0.024252352960072</v>
      </c>
      <c r="O120" s="198" t="n">
        <v>0.0238585329341317</v>
      </c>
      <c r="P120" s="204" t="n">
        <f aca="false">D120/$P$1</f>
        <v>0.00330070969515873</v>
      </c>
      <c r="Q120" s="204" t="n">
        <f aca="false">1-(E120/Q$1)</f>
        <v>0.992335127996189</v>
      </c>
      <c r="R120" s="204" t="n">
        <f aca="false">Q120/R$1</f>
        <v>0.00763334713843222</v>
      </c>
      <c r="S120" s="204" t="n">
        <f aca="false">F120/S$1</f>
        <v>0.00721613812811817</v>
      </c>
      <c r="T120" s="204" t="n">
        <f aca="false">1-(G120/T$1)</f>
        <v>0.993155691085316</v>
      </c>
      <c r="U120" s="205" t="n">
        <f aca="false">T120/U$1</f>
        <v>0.00763965916219474</v>
      </c>
      <c r="V120" s="204" t="n">
        <f aca="false">H120/V$1</f>
        <v>0.00908490422234642</v>
      </c>
      <c r="W120" s="204" t="n">
        <f aca="false">I120/W$1</f>
        <v>0.00774282236226471</v>
      </c>
      <c r="X120" s="204" t="n">
        <f aca="false">J120/X$1</f>
        <v>0.0100383515847792</v>
      </c>
      <c r="Y120" s="204" t="n">
        <f aca="false">1-(K120/Y$1)</f>
        <v>0.995358025579858</v>
      </c>
      <c r="Z120" s="205" t="n">
        <f aca="false">Y120/Z$1</f>
        <v>0.00765660019676814</v>
      </c>
      <c r="AA120" s="204" t="n">
        <f aca="false">L120/$AA$1</f>
        <v>0.00471390691819407</v>
      </c>
      <c r="AB120" s="204" t="n">
        <f aca="false">M120/AB$1</f>
        <v>0.00627591512035873</v>
      </c>
      <c r="AC120" s="204" t="n">
        <f aca="false">N120/AC$1</f>
        <v>0.00368034161369575</v>
      </c>
      <c r="AD120" s="204" t="n">
        <f aca="false">O120/AD$1</f>
        <v>0.00363044448030069</v>
      </c>
      <c r="AE120" s="209" t="n">
        <f aca="false">('Modelo AHP'!$U$37*aux!P120)+('Modelo AHP'!$U$38*aux!R120)+('Modelo AHP'!$U$39*aux!S120)</f>
        <v>0.00608323049926175</v>
      </c>
      <c r="AF120" s="210" t="n">
        <f aca="false">aux!U120</f>
        <v>0.00763965916219474</v>
      </c>
      <c r="AG120" s="209" t="n">
        <f aca="false">('Modelo AHP'!$U$47*aux!V120)+('Modelo AHP'!$U$48*aux!W120)+('Modelo AHP'!$U$49*aux!X120)</f>
        <v>0.00885912392130979</v>
      </c>
      <c r="AH120" s="210" t="n">
        <f aca="false">Z120</f>
        <v>0.00765660019676814</v>
      </c>
      <c r="AI120" s="209" t="n">
        <f aca="false">('Modelo AHP'!$U$56*aux!AA120)+('Modelo AHP'!$U$57*aux!AB120)+('Modelo AHP'!$U$58*aux!AC120)+('Modelo AHP'!$U$59*aux!AD120)</f>
        <v>0.0051257831422194</v>
      </c>
      <c r="AJ120" s="211" t="n">
        <f aca="false">('Modelo AHP'!$U$23*aux!AE120)+('Modelo AHP'!$U$24*aux!AF120)+('Modelo AHP'!$U$25*aux!AG120)+('Modelo AHP'!$U$26*aux!AH120)+('Modelo AHP'!$U$27*aux!AI120)</f>
        <v>0.00756256442770627</v>
      </c>
    </row>
    <row r="121" customFormat="false" ht="15" hidden="false" customHeight="false" outlineLevel="0" collapsed="false">
      <c r="A121" s="195" t="n">
        <f aca="false">_xlfn.RANK.EQ(AJ121,AJ$5:AJ$135)</f>
        <v>84</v>
      </c>
      <c r="B121" s="196" t="s">
        <v>256</v>
      </c>
      <c r="C121" s="197" t="s">
        <v>259</v>
      </c>
      <c r="D121" s="198" t="n">
        <v>0.0175467546754675</v>
      </c>
      <c r="E121" s="199" t="n">
        <v>83.34</v>
      </c>
      <c r="F121" s="198" t="n">
        <v>0.231768577862463</v>
      </c>
      <c r="G121" s="200" t="n">
        <v>39290.7010145847</v>
      </c>
      <c r="H121" s="201" t="n">
        <v>5.73</v>
      </c>
      <c r="I121" s="201" t="n">
        <v>6.57</v>
      </c>
      <c r="J121" s="198" t="n">
        <v>0.0625353292159531</v>
      </c>
      <c r="K121" s="202" t="n">
        <v>77028.05</v>
      </c>
      <c r="L121" s="198" t="n">
        <v>0.0308609503769946</v>
      </c>
      <c r="M121" s="203" t="n">
        <v>669</v>
      </c>
      <c r="N121" s="198" t="n">
        <v>0.024252352960072</v>
      </c>
      <c r="O121" s="198" t="n">
        <v>0.0238585329341317</v>
      </c>
      <c r="P121" s="204" t="n">
        <f aca="false">D121/$P$1</f>
        <v>0.00160609685716482</v>
      </c>
      <c r="Q121" s="204" t="n">
        <f aca="false">1-(E121/Q$1)</f>
        <v>0.992335127996189</v>
      </c>
      <c r="R121" s="204" t="n">
        <f aca="false">Q121/R$1</f>
        <v>0.00763334713843222</v>
      </c>
      <c r="S121" s="204" t="n">
        <f aca="false">F121/S$1</f>
        <v>0.00475174578778794</v>
      </c>
      <c r="T121" s="204" t="n">
        <f aca="false">1-(G121/T$1)</f>
        <v>0.99294032892662</v>
      </c>
      <c r="U121" s="205" t="n">
        <f aca="false">T121/U$1</f>
        <v>0.00763800253020477</v>
      </c>
      <c r="V121" s="204" t="n">
        <f aca="false">H121/V$1</f>
        <v>0.00582287485392002</v>
      </c>
      <c r="W121" s="204" t="n">
        <f aca="false">I121/W$1</f>
        <v>0.00544067838717424</v>
      </c>
      <c r="X121" s="204" t="n">
        <f aca="false">J121/X$1</f>
        <v>0.0100383515847792</v>
      </c>
      <c r="Y121" s="204" t="n">
        <f aca="false">1-(K121/Y$1)</f>
        <v>0.994209980681164</v>
      </c>
      <c r="Z121" s="205" t="n">
        <f aca="false">Y121/Z$1</f>
        <v>0.0076477690821628</v>
      </c>
      <c r="AA121" s="204" t="n">
        <f aca="false">L121/$AA$1</f>
        <v>0.00471390691819407</v>
      </c>
      <c r="AB121" s="204" t="n">
        <f aca="false">M121/AB$1</f>
        <v>0.00627591512035873</v>
      </c>
      <c r="AC121" s="204" t="n">
        <f aca="false">N121/AC$1</f>
        <v>0.00368034161369575</v>
      </c>
      <c r="AD121" s="204" t="n">
        <f aca="false">O121/AD$1</f>
        <v>0.00363044448030069</v>
      </c>
      <c r="AE121" s="209" t="n">
        <f aca="false">('Modelo AHP'!$U$37*aux!P121)+('Modelo AHP'!$U$38*aux!R121)+('Modelo AHP'!$U$39*aux!S121)</f>
        <v>0.00409621124366544</v>
      </c>
      <c r="AF121" s="210" t="n">
        <f aca="false">aux!U121</f>
        <v>0.00763800253020477</v>
      </c>
      <c r="AG121" s="209" t="n">
        <f aca="false">('Modelo AHP'!$U$47*aux!V121)+('Modelo AHP'!$U$48*aux!W121)+('Modelo AHP'!$U$49*aux!X121)</f>
        <v>0.00728635129900217</v>
      </c>
      <c r="AH121" s="210" t="n">
        <f aca="false">Z121</f>
        <v>0.0076477690821628</v>
      </c>
      <c r="AI121" s="209" t="n">
        <f aca="false">('Modelo AHP'!$U$56*aux!AA121)+('Modelo AHP'!$U$57*aux!AB121)+('Modelo AHP'!$U$58*aux!AC121)+('Modelo AHP'!$U$59*aux!AD121)</f>
        <v>0.0051257831422194</v>
      </c>
      <c r="AJ121" s="211" t="n">
        <f aca="false">('Modelo AHP'!$U$23*aux!AE121)+('Modelo AHP'!$U$24*aux!AF121)+('Modelo AHP'!$U$25*aux!AG121)+('Modelo AHP'!$U$26*aux!AH121)+('Modelo AHP'!$U$27*aux!AI121)</f>
        <v>0.00669230583010596</v>
      </c>
    </row>
    <row r="122" customFormat="false" ht="15" hidden="false" customHeight="false" outlineLevel="0" collapsed="false">
      <c r="A122" s="195" t="n">
        <f aca="false">_xlfn.RANK.EQ(AJ122,AJ$5:AJ$135)</f>
        <v>61</v>
      </c>
      <c r="B122" s="196" t="s">
        <v>256</v>
      </c>
      <c r="C122" s="197" t="s">
        <v>260</v>
      </c>
      <c r="D122" s="198" t="n">
        <v>0.0423280423280423</v>
      </c>
      <c r="E122" s="199" t="n">
        <v>83.34</v>
      </c>
      <c r="F122" s="198" t="n">
        <v>0.358974358974359</v>
      </c>
      <c r="G122" s="200" t="n">
        <v>38691.400416921</v>
      </c>
      <c r="H122" s="201" t="n">
        <v>6.01</v>
      </c>
      <c r="I122" s="201" t="n">
        <v>9.41</v>
      </c>
      <c r="J122" s="198" t="n">
        <v>0.0625353292159531</v>
      </c>
      <c r="K122" s="202" t="n">
        <v>106107.71</v>
      </c>
      <c r="L122" s="198" t="n">
        <v>0.0308609503769946</v>
      </c>
      <c r="M122" s="203" t="n">
        <v>669</v>
      </c>
      <c r="N122" s="198" t="n">
        <v>0.024252352960072</v>
      </c>
      <c r="O122" s="198" t="n">
        <v>0.0238585329341317</v>
      </c>
      <c r="P122" s="204" t="n">
        <f aca="false">D122/$P$1</f>
        <v>0.00387438799996769</v>
      </c>
      <c r="Q122" s="204" t="n">
        <f aca="false">1-(E122/Q$1)</f>
        <v>0.992335127996189</v>
      </c>
      <c r="R122" s="204" t="n">
        <f aca="false">Q122/R$1</f>
        <v>0.00763334713843222</v>
      </c>
      <c r="S122" s="204" t="n">
        <f aca="false">F122/S$1</f>
        <v>0.00735973320418146</v>
      </c>
      <c r="T122" s="204" t="n">
        <f aca="false">1-(G122/T$1)</f>
        <v>0.993048010005968</v>
      </c>
      <c r="U122" s="205" t="n">
        <f aca="false">T122/U$1</f>
        <v>0.00763883084619976</v>
      </c>
      <c r="V122" s="204" t="n">
        <f aca="false">H122/V$1</f>
        <v>0.00610741324119709</v>
      </c>
      <c r="W122" s="204" t="n">
        <f aca="false">I122/W$1</f>
        <v>0.00779250892287818</v>
      </c>
      <c r="X122" s="204" t="n">
        <f aca="false">J122/X$1</f>
        <v>0.0100383515847792</v>
      </c>
      <c r="Y122" s="204" t="n">
        <f aca="false">1-(K122/Y$1)</f>
        <v>0.992024130290492</v>
      </c>
      <c r="Z122" s="205" t="n">
        <f aca="false">Y122/Z$1</f>
        <v>0.0076309548483884</v>
      </c>
      <c r="AA122" s="204" t="n">
        <f aca="false">L122/$AA$1</f>
        <v>0.00471390691819407</v>
      </c>
      <c r="AB122" s="204" t="n">
        <f aca="false">M122/AB$1</f>
        <v>0.00627591512035873</v>
      </c>
      <c r="AC122" s="204" t="n">
        <f aca="false">N122/AC$1</f>
        <v>0.00368034161369575</v>
      </c>
      <c r="AD122" s="204" t="n">
        <f aca="false">O122/AD$1</f>
        <v>0.00363044448030069</v>
      </c>
      <c r="AE122" s="209" t="n">
        <f aca="false">('Modelo AHP'!$U$37*aux!P122)+('Modelo AHP'!$U$38*aux!R122)+('Modelo AHP'!$U$39*aux!S122)</f>
        <v>0.00634149103634241</v>
      </c>
      <c r="AF122" s="210" t="n">
        <f aca="false">aux!U122</f>
        <v>0.00763883084619976</v>
      </c>
      <c r="AG122" s="209" t="n">
        <f aca="false">('Modelo AHP'!$U$47*aux!V122)+('Modelo AHP'!$U$48*aux!W122)+('Modelo AHP'!$U$49*aux!X122)</f>
        <v>0.00837736528946763</v>
      </c>
      <c r="AH122" s="210" t="n">
        <f aca="false">Z122</f>
        <v>0.0076309548483884</v>
      </c>
      <c r="AI122" s="209" t="n">
        <f aca="false">('Modelo AHP'!$U$56*aux!AA122)+('Modelo AHP'!$U$57*aux!AB122)+('Modelo AHP'!$U$58*aux!AC122)+('Modelo AHP'!$U$59*aux!AD122)</f>
        <v>0.0051257831422194</v>
      </c>
      <c r="AJ122" s="211" t="n">
        <f aca="false">('Modelo AHP'!$U$23*aux!AE122)+('Modelo AHP'!$U$24*aux!AF122)+('Modelo AHP'!$U$25*aux!AG122)+('Modelo AHP'!$U$26*aux!AH122)+('Modelo AHP'!$U$27*aux!AI122)</f>
        <v>0.00743884038799195</v>
      </c>
    </row>
    <row r="123" customFormat="false" ht="15" hidden="false" customHeight="false" outlineLevel="0" collapsed="false">
      <c r="A123" s="195" t="n">
        <f aca="false">_xlfn.RANK.EQ(AJ123,AJ$5:AJ$135)</f>
        <v>39</v>
      </c>
      <c r="B123" s="196" t="s">
        <v>261</v>
      </c>
      <c r="C123" s="197" t="s">
        <v>262</v>
      </c>
      <c r="D123" s="198" t="n">
        <v>0.10208501578445</v>
      </c>
      <c r="E123" s="199" t="n">
        <v>83.06</v>
      </c>
      <c r="F123" s="198" t="n">
        <v>0.489279130687882</v>
      </c>
      <c r="G123" s="200" t="n">
        <v>31368.0821042939</v>
      </c>
      <c r="H123" s="201" t="n">
        <v>9.08</v>
      </c>
      <c r="I123" s="201" t="n">
        <v>11.26</v>
      </c>
      <c r="J123" s="198" t="n">
        <v>0.052258064516129</v>
      </c>
      <c r="K123" s="202" t="n">
        <v>67547.84</v>
      </c>
      <c r="L123" s="198" t="n">
        <v>0.0555263311707289</v>
      </c>
      <c r="M123" s="203" t="n">
        <v>807</v>
      </c>
      <c r="N123" s="198" t="n">
        <v>0.0681635668626128</v>
      </c>
      <c r="O123" s="198" t="n">
        <v>0.0578218562874252</v>
      </c>
      <c r="P123" s="204" t="n">
        <f aca="false">D123/$P$1</f>
        <v>0.00934408818311346</v>
      </c>
      <c r="Q123" s="204" t="n">
        <f aca="false">1-(E123/Q$1)</f>
        <v>0.992360879905969</v>
      </c>
      <c r="R123" s="204" t="n">
        <f aca="false">Q123/R$1</f>
        <v>0.00763354523004592</v>
      </c>
      <c r="S123" s="204" t="n">
        <f aca="false">F123/S$1</f>
        <v>0.0100312564789449</v>
      </c>
      <c r="T123" s="204" t="n">
        <f aca="false">1-(G123/T$1)</f>
        <v>0.99436384854073</v>
      </c>
      <c r="U123" s="205" t="n">
        <f aca="false">T123/U$1</f>
        <v>0.00764895268108254</v>
      </c>
      <c r="V123" s="204" t="n">
        <f aca="false">H123/V$1</f>
        <v>0.00922717341598496</v>
      </c>
      <c r="W123" s="204" t="n">
        <f aca="false">I123/W$1</f>
        <v>0.00932451120845996</v>
      </c>
      <c r="X123" s="204" t="n">
        <f aca="false">J123/X$1</f>
        <v>0.00838861538477604</v>
      </c>
      <c r="Y123" s="204" t="n">
        <f aca="false">1-(K123/Y$1)</f>
        <v>0.994922586011905</v>
      </c>
      <c r="Z123" s="205" t="n">
        <f aca="false">Y123/Z$1</f>
        <v>0.00765325066163004</v>
      </c>
      <c r="AA123" s="204" t="n">
        <f aca="false">L123/$AA$1</f>
        <v>0.00848146131114464</v>
      </c>
      <c r="AB123" s="204" t="n">
        <f aca="false">M123/AB$1</f>
        <v>0.00757049850841479</v>
      </c>
      <c r="AC123" s="204" t="n">
        <f aca="false">N123/AC$1</f>
        <v>0.0103439535155793</v>
      </c>
      <c r="AD123" s="204" t="n">
        <f aca="false">O123/AD$1</f>
        <v>0.00879848897578755</v>
      </c>
      <c r="AE123" s="209" t="n">
        <f aca="false">('Modelo AHP'!$U$37*aux!P123)+('Modelo AHP'!$U$38*aux!R123)+('Modelo AHP'!$U$39*aux!S123)</f>
        <v>0.0095853348653056</v>
      </c>
      <c r="AF123" s="210" t="n">
        <f aca="false">aux!U123</f>
        <v>0.00764895268108254</v>
      </c>
      <c r="AG123" s="209" t="n">
        <f aca="false">('Modelo AHP'!$U$47*aux!V123)+('Modelo AHP'!$U$48*aux!W123)+('Modelo AHP'!$U$49*aux!X123)</f>
        <v>0.0089455027542108</v>
      </c>
      <c r="AH123" s="210" t="n">
        <f aca="false">Z123</f>
        <v>0.00765325066163004</v>
      </c>
      <c r="AI123" s="209" t="n">
        <f aca="false">('Modelo AHP'!$U$56*aux!AA123)+('Modelo AHP'!$U$57*aux!AB123)+('Modelo AHP'!$U$58*aux!AC123)+('Modelo AHP'!$U$59*aux!AD123)</f>
        <v>0.00847474266526328</v>
      </c>
      <c r="AJ123" s="211" t="n">
        <f aca="false">('Modelo AHP'!$U$23*aux!AE123)+('Modelo AHP'!$U$24*aux!AF123)+('Modelo AHP'!$U$25*aux!AG123)+('Modelo AHP'!$U$26*aux!AH123)+('Modelo AHP'!$U$27*aux!AI123)</f>
        <v>0.00849280262619378</v>
      </c>
    </row>
    <row r="124" customFormat="false" ht="15" hidden="false" customHeight="false" outlineLevel="0" collapsed="false">
      <c r="A124" s="195" t="n">
        <f aca="false">_xlfn.RANK.EQ(AJ124,AJ$5:AJ$135)</f>
        <v>26</v>
      </c>
      <c r="B124" s="196" t="s">
        <v>261</v>
      </c>
      <c r="C124" s="197" t="s">
        <v>263</v>
      </c>
      <c r="D124" s="198" t="n">
        <v>0.0743764679566044</v>
      </c>
      <c r="E124" s="199" t="n">
        <v>81.49</v>
      </c>
      <c r="F124" s="198" t="n">
        <v>0.657174762702401</v>
      </c>
      <c r="G124" s="200" t="n">
        <v>23534.7450276702</v>
      </c>
      <c r="H124" s="201" t="n">
        <v>11.97</v>
      </c>
      <c r="I124" s="201" t="n">
        <v>14.41</v>
      </c>
      <c r="J124" s="198" t="n">
        <v>0.052258064516129</v>
      </c>
      <c r="K124" s="202" t="n">
        <v>62968.18</v>
      </c>
      <c r="L124" s="198" t="n">
        <v>0.0555263311707289</v>
      </c>
      <c r="M124" s="203" t="n">
        <v>807</v>
      </c>
      <c r="N124" s="198" t="n">
        <v>0.0681635668626128</v>
      </c>
      <c r="O124" s="198" t="n">
        <v>0.0578218562874252</v>
      </c>
      <c r="P124" s="204" t="n">
        <f aca="false">D124/$P$1</f>
        <v>0.00680785784274604</v>
      </c>
      <c r="Q124" s="204" t="n">
        <f aca="false">1-(E124/Q$1)</f>
        <v>0.99250527454295</v>
      </c>
      <c r="R124" s="204" t="n">
        <f aca="false">Q124/R$1</f>
        <v>0.00763465595802269</v>
      </c>
      <c r="S124" s="204" t="n">
        <f aca="false">F124/S$1</f>
        <v>0.0134734718541733</v>
      </c>
      <c r="T124" s="204" t="n">
        <f aca="false">1-(G124/T$1)</f>
        <v>0.995771326181492</v>
      </c>
      <c r="U124" s="205" t="n">
        <f aca="false">T124/U$1</f>
        <v>0.00765977943216532</v>
      </c>
      <c r="V124" s="204" t="n">
        <f aca="false">H124/V$1</f>
        <v>0.0121640160560947</v>
      </c>
      <c r="W124" s="204" t="n">
        <f aca="false">I124/W$1</f>
        <v>0.0119330556406668</v>
      </c>
      <c r="X124" s="204" t="n">
        <f aca="false">J124/X$1</f>
        <v>0.00838861538477604</v>
      </c>
      <c r="Y124" s="204" t="n">
        <f aca="false">1-(K124/Y$1)</f>
        <v>0.995266828399889</v>
      </c>
      <c r="Z124" s="205" t="n">
        <f aca="false">Y124/Z$1</f>
        <v>0.00765589867999914</v>
      </c>
      <c r="AA124" s="204" t="n">
        <f aca="false">L124/$AA$1</f>
        <v>0.00848146131114464</v>
      </c>
      <c r="AB124" s="204" t="n">
        <f aca="false">M124/AB$1</f>
        <v>0.00757049850841479</v>
      </c>
      <c r="AC124" s="204" t="n">
        <f aca="false">N124/AC$1</f>
        <v>0.0103439535155793</v>
      </c>
      <c r="AD124" s="204" t="n">
        <f aca="false">O124/AD$1</f>
        <v>0.00879848897578755</v>
      </c>
      <c r="AE124" s="209" t="n">
        <f aca="false">('Modelo AHP'!$U$37*aux!P124)+('Modelo AHP'!$U$38*aux!R124)+('Modelo AHP'!$U$39*aux!S124)</f>
        <v>0.0108899060611301</v>
      </c>
      <c r="AF124" s="210" t="n">
        <f aca="false">aux!U124</f>
        <v>0.00765977943216532</v>
      </c>
      <c r="AG124" s="209" t="n">
        <f aca="false">('Modelo AHP'!$U$47*aux!V124)+('Modelo AHP'!$U$48*aux!W124)+('Modelo AHP'!$U$49*aux!X124)</f>
        <v>0.0105991207062821</v>
      </c>
      <c r="AH124" s="210" t="n">
        <f aca="false">Z124</f>
        <v>0.00765589867999914</v>
      </c>
      <c r="AI124" s="209" t="n">
        <f aca="false">('Modelo AHP'!$U$56*aux!AA124)+('Modelo AHP'!$U$57*aux!AB124)+('Modelo AHP'!$U$58*aux!AC124)+('Modelo AHP'!$U$59*aux!AD124)</f>
        <v>0.00847474266526328</v>
      </c>
      <c r="AJ124" s="211" t="n">
        <f aca="false">('Modelo AHP'!$U$23*aux!AE124)+('Modelo AHP'!$U$24*aux!AF124)+('Modelo AHP'!$U$25*aux!AG124)+('Modelo AHP'!$U$26*aux!AH124)+('Modelo AHP'!$U$27*aux!AI124)</f>
        <v>0.00927929162801241</v>
      </c>
    </row>
    <row r="125" customFormat="false" ht="15" hidden="false" customHeight="false" outlineLevel="0" collapsed="false">
      <c r="A125" s="195" t="n">
        <f aca="false">_xlfn.RANK.EQ(AJ125,AJ$5:AJ$135)</f>
        <v>22</v>
      </c>
      <c r="B125" s="196" t="s">
        <v>261</v>
      </c>
      <c r="C125" s="197" t="s">
        <v>264</v>
      </c>
      <c r="D125" s="198" t="n">
        <v>0.107117181883537</v>
      </c>
      <c r="E125" s="199" t="n">
        <v>78.36</v>
      </c>
      <c r="F125" s="198" t="n">
        <v>0.69253920481546</v>
      </c>
      <c r="G125" s="200" t="n">
        <v>21841.9888400866</v>
      </c>
      <c r="H125" s="201" t="n">
        <v>13.07</v>
      </c>
      <c r="I125" s="201" t="n">
        <v>15.08</v>
      </c>
      <c r="J125" s="198" t="n">
        <v>0.052258064516129</v>
      </c>
      <c r="K125" s="202" t="n">
        <v>46961.13</v>
      </c>
      <c r="L125" s="198" t="n">
        <v>0.0555263311707289</v>
      </c>
      <c r="M125" s="203" t="n">
        <v>807</v>
      </c>
      <c r="N125" s="198" t="n">
        <v>0.0681635668626128</v>
      </c>
      <c r="O125" s="198" t="n">
        <v>0.0578218562874252</v>
      </c>
      <c r="P125" s="204" t="n">
        <f aca="false">D125/$P$1</f>
        <v>0.00980469450638839</v>
      </c>
      <c r="Q125" s="204" t="n">
        <f aca="false">1-(E125/Q$1)</f>
        <v>0.992793144105848</v>
      </c>
      <c r="R125" s="204" t="n">
        <f aca="false">Q125/R$1</f>
        <v>0.00763687033927576</v>
      </c>
      <c r="S125" s="204" t="n">
        <f aca="false">F125/S$1</f>
        <v>0.0141985176753024</v>
      </c>
      <c r="T125" s="204" t="n">
        <f aca="false">1-(G125/T$1)</f>
        <v>0.996075477076823</v>
      </c>
      <c r="U125" s="205" t="n">
        <f aca="false">T125/U$1</f>
        <v>0.0076621190544371</v>
      </c>
      <c r="V125" s="204" t="n">
        <f aca="false">H125/V$1</f>
        <v>0.0132818454346832</v>
      </c>
      <c r="W125" s="204" t="n">
        <f aca="false">I125/W$1</f>
        <v>0.0124878889008505</v>
      </c>
      <c r="X125" s="204" t="n">
        <f aca="false">J125/X$1</f>
        <v>0.00838861538477604</v>
      </c>
      <c r="Y125" s="204" t="n">
        <f aca="false">1-(K125/Y$1)</f>
        <v>0.996470041109253</v>
      </c>
      <c r="Z125" s="205" t="n">
        <f aca="false">Y125/Z$1</f>
        <v>0.00766515416237887</v>
      </c>
      <c r="AA125" s="204" t="n">
        <f aca="false">L125/$AA$1</f>
        <v>0.00848146131114464</v>
      </c>
      <c r="AB125" s="204" t="n">
        <f aca="false">M125/AB$1</f>
        <v>0.00757049850841479</v>
      </c>
      <c r="AC125" s="204" t="n">
        <f aca="false">N125/AC$1</f>
        <v>0.0103439535155793</v>
      </c>
      <c r="AD125" s="204" t="n">
        <f aca="false">O125/AD$1</f>
        <v>0.00879848897578755</v>
      </c>
      <c r="AE125" s="209" t="n">
        <f aca="false">('Modelo AHP'!$U$37*aux!P125)+('Modelo AHP'!$U$38*aux!R125)+('Modelo AHP'!$U$39*aux!S125)</f>
        <v>0.0122242059910255</v>
      </c>
      <c r="AF125" s="210" t="n">
        <f aca="false">aux!U125</f>
        <v>0.0076621190544371</v>
      </c>
      <c r="AG125" s="209" t="n">
        <f aca="false">('Modelo AHP'!$U$47*aux!V125)+('Modelo AHP'!$U$48*aux!W125)+('Modelo AHP'!$U$49*aux!X125)</f>
        <v>0.0110342865175792</v>
      </c>
      <c r="AH125" s="210" t="n">
        <f aca="false">Z125</f>
        <v>0.00766515416237887</v>
      </c>
      <c r="AI125" s="209" t="n">
        <f aca="false">('Modelo AHP'!$U$56*aux!AA125)+('Modelo AHP'!$U$57*aux!AB125)+('Modelo AHP'!$U$58*aux!AC125)+('Modelo AHP'!$U$59*aux!AD125)</f>
        <v>0.00847474266526328</v>
      </c>
      <c r="AJ125" s="211" t="n">
        <f aca="false">('Modelo AHP'!$U$23*aux!AE125)+('Modelo AHP'!$U$24*aux!AF125)+('Modelo AHP'!$U$25*aux!AG125)+('Modelo AHP'!$U$26*aux!AH125)+('Modelo AHP'!$U$27*aux!AI125)</f>
        <v>0.00965212392455266</v>
      </c>
    </row>
    <row r="126" customFormat="false" ht="15" hidden="false" customHeight="false" outlineLevel="0" collapsed="false">
      <c r="A126" s="195" t="n">
        <f aca="false">_xlfn.RANK.EQ(AJ126,AJ$5:AJ$135)</f>
        <v>37</v>
      </c>
      <c r="B126" s="196" t="s">
        <v>261</v>
      </c>
      <c r="C126" s="197" t="s">
        <v>265</v>
      </c>
      <c r="D126" s="198" t="n">
        <v>0.0595680688416392</v>
      </c>
      <c r="E126" s="199" t="n">
        <v>81.45</v>
      </c>
      <c r="F126" s="198" t="n">
        <v>0.56915400571845</v>
      </c>
      <c r="G126" s="200" t="n">
        <v>28111.3514107266</v>
      </c>
      <c r="H126" s="201" t="n">
        <v>10.07</v>
      </c>
      <c r="I126" s="201" t="n">
        <v>11.49</v>
      </c>
      <c r="J126" s="198" t="n">
        <v>0.052258064516129</v>
      </c>
      <c r="K126" s="202" t="n">
        <v>73483.65</v>
      </c>
      <c r="L126" s="198" t="n">
        <v>0.0555263311707289</v>
      </c>
      <c r="M126" s="203" t="n">
        <v>807</v>
      </c>
      <c r="N126" s="198" t="n">
        <v>0.0681635668626128</v>
      </c>
      <c r="O126" s="198" t="n">
        <v>0.0578218562874252</v>
      </c>
      <c r="P126" s="204" t="n">
        <f aca="false">D126/$P$1</f>
        <v>0.00545240928726811</v>
      </c>
      <c r="Q126" s="204" t="n">
        <f aca="false">1-(E126/Q$1)</f>
        <v>0.992508953387204</v>
      </c>
      <c r="R126" s="204" t="n">
        <f aca="false">Q126/R$1</f>
        <v>0.00763468425682465</v>
      </c>
      <c r="S126" s="204" t="n">
        <f aca="false">F126/S$1</f>
        <v>0.0116688602666414</v>
      </c>
      <c r="T126" s="204" t="n">
        <f aca="false">1-(G126/T$1)</f>
        <v>0.994949011107889</v>
      </c>
      <c r="U126" s="205" t="n">
        <f aca="false">T126/U$1</f>
        <v>0.00765345393159915</v>
      </c>
      <c r="V126" s="204" t="n">
        <f aca="false">H126/V$1</f>
        <v>0.0102332198567146</v>
      </c>
      <c r="W126" s="204" t="n">
        <f aca="false">I126/W$1</f>
        <v>0.00951497635747824</v>
      </c>
      <c r="X126" s="204" t="n">
        <f aca="false">J126/X$1</f>
        <v>0.00838861538477604</v>
      </c>
      <c r="Y126" s="204" t="n">
        <f aca="false">1-(K126/Y$1)</f>
        <v>0.994476404983398</v>
      </c>
      <c r="Z126" s="205" t="n">
        <f aca="false">Y126/Z$1</f>
        <v>0.00764981849987229</v>
      </c>
      <c r="AA126" s="204" t="n">
        <f aca="false">L126/$AA$1</f>
        <v>0.00848146131114464</v>
      </c>
      <c r="AB126" s="204" t="n">
        <f aca="false">M126/AB$1</f>
        <v>0.00757049850841479</v>
      </c>
      <c r="AC126" s="204" t="n">
        <f aca="false">N126/AC$1</f>
        <v>0.0103439535155793</v>
      </c>
      <c r="AD126" s="204" t="n">
        <f aca="false">O126/AD$1</f>
        <v>0.00879848897578755</v>
      </c>
      <c r="AE126" s="209" t="n">
        <f aca="false">('Modelo AHP'!$U$37*aux!P126)+('Modelo AHP'!$U$38*aux!R126)+('Modelo AHP'!$U$39*aux!S126)</f>
        <v>0.00940050737184774</v>
      </c>
      <c r="AF126" s="210" t="n">
        <f aca="false">aux!U126</f>
        <v>0.00765345393159915</v>
      </c>
      <c r="AG126" s="209" t="n">
        <f aca="false">('Modelo AHP'!$U$47*aux!V126)+('Modelo AHP'!$U$48*aux!W126)+('Modelo AHP'!$U$49*aux!X126)</f>
        <v>0.00920018347771825</v>
      </c>
      <c r="AH126" s="210" t="n">
        <f aca="false">Z126</f>
        <v>0.00764981849987229</v>
      </c>
      <c r="AI126" s="209" t="n">
        <f aca="false">('Modelo AHP'!$U$56*aux!AA126)+('Modelo AHP'!$U$57*aux!AB126)+('Modelo AHP'!$U$58*aux!AC126)+('Modelo AHP'!$U$59*aux!AD126)</f>
        <v>0.00847474266526328</v>
      </c>
      <c r="AJ126" s="211" t="n">
        <f aca="false">('Modelo AHP'!$U$23*aux!AE126)+('Modelo AHP'!$U$24*aux!AF126)+('Modelo AHP'!$U$25*aux!AG126)+('Modelo AHP'!$U$26*aux!AH126)+('Modelo AHP'!$U$27*aux!AI126)</f>
        <v>0.0085501829097043</v>
      </c>
    </row>
    <row r="127" customFormat="false" ht="15" hidden="false" customHeight="false" outlineLevel="0" collapsed="false">
      <c r="A127" s="195" t="n">
        <f aca="false">_xlfn.RANK.EQ(AJ127,AJ$5:AJ$135)</f>
        <v>76</v>
      </c>
      <c r="B127" s="196" t="s">
        <v>261</v>
      </c>
      <c r="C127" s="197" t="s">
        <v>266</v>
      </c>
      <c r="D127" s="198" t="n">
        <v>0.0243662864385298</v>
      </c>
      <c r="E127" s="199" t="n">
        <v>83.81</v>
      </c>
      <c r="F127" s="198" t="n">
        <v>0.316274216233383</v>
      </c>
      <c r="G127" s="200" t="n">
        <v>43369.4685542836</v>
      </c>
      <c r="H127" s="201" t="n">
        <v>5.98</v>
      </c>
      <c r="I127" s="201" t="n">
        <v>7.08</v>
      </c>
      <c r="J127" s="198" t="n">
        <v>0.052258064516129</v>
      </c>
      <c r="K127" s="202" t="n">
        <v>80925.23</v>
      </c>
      <c r="L127" s="198" t="n">
        <v>0.0555263311707289</v>
      </c>
      <c r="M127" s="203" t="n">
        <v>807</v>
      </c>
      <c r="N127" s="198" t="n">
        <v>0.0681635668626128</v>
      </c>
      <c r="O127" s="198" t="n">
        <v>0.0578218562874252</v>
      </c>
      <c r="P127" s="204" t="n">
        <f aca="false">D127/$P$1</f>
        <v>0.00223030507883121</v>
      </c>
      <c r="Q127" s="204" t="n">
        <f aca="false">1-(E127/Q$1)</f>
        <v>0.992291901576201</v>
      </c>
      <c r="R127" s="204" t="n">
        <f aca="false">Q127/R$1</f>
        <v>0.00763301462750924</v>
      </c>
      <c r="S127" s="204" t="n">
        <f aca="false">F127/S$1</f>
        <v>0.00648429001305233</v>
      </c>
      <c r="T127" s="204" t="n">
        <f aca="false">1-(G127/T$1)</f>
        <v>0.992207464496323</v>
      </c>
      <c r="U127" s="205" t="n">
        <f aca="false">T127/U$1</f>
        <v>0.00763236511151018</v>
      </c>
      <c r="V127" s="204" t="n">
        <f aca="false">H127/V$1</f>
        <v>0.00607692698541741</v>
      </c>
      <c r="W127" s="204" t="n">
        <f aca="false">I127/W$1</f>
        <v>0.00586301415238868</v>
      </c>
      <c r="X127" s="204" t="n">
        <f aca="false">J127/X$1</f>
        <v>0.00838861538477604</v>
      </c>
      <c r="Y127" s="204" t="n">
        <f aca="false">1-(K127/Y$1)</f>
        <v>0.993917038727045</v>
      </c>
      <c r="Z127" s="205" t="n">
        <f aca="false">Y127/Z$1</f>
        <v>0.00764551568251573</v>
      </c>
      <c r="AA127" s="204" t="n">
        <f aca="false">L127/$AA$1</f>
        <v>0.00848146131114464</v>
      </c>
      <c r="AB127" s="204" t="n">
        <f aca="false">M127/AB$1</f>
        <v>0.00757049850841479</v>
      </c>
      <c r="AC127" s="204" t="n">
        <f aca="false">N127/AC$1</f>
        <v>0.0103439535155793</v>
      </c>
      <c r="AD127" s="204" t="n">
        <f aca="false">O127/AD$1</f>
        <v>0.00879848897578755</v>
      </c>
      <c r="AE127" s="209" t="n">
        <f aca="false">('Modelo AHP'!$U$37*aux!P127)+('Modelo AHP'!$U$38*aux!R127)+('Modelo AHP'!$U$39*aux!S127)</f>
        <v>0.00532296699423168</v>
      </c>
      <c r="AF127" s="210" t="n">
        <f aca="false">aux!U127</f>
        <v>0.00763236511151018</v>
      </c>
      <c r="AG127" s="209" t="n">
        <f aca="false">('Modelo AHP'!$U$47*aux!V127)+('Modelo AHP'!$U$48*aux!W127)+('Modelo AHP'!$U$49*aux!X127)</f>
        <v>0.00687755288120966</v>
      </c>
      <c r="AH127" s="210" t="n">
        <f aca="false">Z127</f>
        <v>0.00764551568251573</v>
      </c>
      <c r="AI127" s="209" t="n">
        <f aca="false">('Modelo AHP'!$U$56*aux!AA127)+('Modelo AHP'!$U$57*aux!AB127)+('Modelo AHP'!$U$58*aux!AC127)+('Modelo AHP'!$U$59*aux!AD127)</f>
        <v>0.00847474266526328</v>
      </c>
      <c r="AJ127" s="211" t="n">
        <f aca="false">('Modelo AHP'!$U$23*aux!AE127)+('Modelo AHP'!$U$24*aux!AF127)+('Modelo AHP'!$U$25*aux!AG127)+('Modelo AHP'!$U$26*aux!AH127)+('Modelo AHP'!$U$27*aux!AI127)</f>
        <v>0.00706887316207525</v>
      </c>
    </row>
    <row r="128" customFormat="false" ht="15" hidden="false" customHeight="false" outlineLevel="0" collapsed="false">
      <c r="A128" s="195" t="n">
        <f aca="false">_xlfn.RANK.EQ(AJ128,AJ$5:AJ$135)</f>
        <v>63</v>
      </c>
      <c r="B128" s="196" t="s">
        <v>261</v>
      </c>
      <c r="C128" s="197" t="s">
        <v>267</v>
      </c>
      <c r="D128" s="198" t="n">
        <v>0.0939626110940852</v>
      </c>
      <c r="E128" s="199" t="n">
        <v>85.24</v>
      </c>
      <c r="F128" s="198" t="n">
        <v>0.287906898296509</v>
      </c>
      <c r="G128" s="200" t="n">
        <v>38202.7270639004</v>
      </c>
      <c r="H128" s="201" t="n">
        <v>5.6</v>
      </c>
      <c r="I128" s="201" t="n">
        <v>7.91</v>
      </c>
      <c r="J128" s="198" t="n">
        <v>0.052258064516129</v>
      </c>
      <c r="K128" s="202" t="n">
        <v>59944.22</v>
      </c>
      <c r="L128" s="198" t="n">
        <v>0.0555263311707289</v>
      </c>
      <c r="M128" s="203" t="n">
        <v>807</v>
      </c>
      <c r="N128" s="198" t="n">
        <v>0.0681635668626128</v>
      </c>
      <c r="O128" s="198" t="n">
        <v>0.0578218562874252</v>
      </c>
      <c r="P128" s="204" t="n">
        <f aca="false">D128/$P$1</f>
        <v>0.0086006248540196</v>
      </c>
      <c r="Q128" s="204" t="n">
        <f aca="false">1-(E128/Q$1)</f>
        <v>0.99216038289411</v>
      </c>
      <c r="R128" s="204" t="n">
        <f aca="false">Q128/R$1</f>
        <v>0.00763200294533931</v>
      </c>
      <c r="S128" s="204" t="n">
        <f aca="false">F128/S$1</f>
        <v>0.00590270002893733</v>
      </c>
      <c r="T128" s="204" t="n">
        <f aca="false">1-(G128/T$1)</f>
        <v>0.993135813813118</v>
      </c>
      <c r="U128" s="205" t="n">
        <f aca="false">T128/U$1</f>
        <v>0.00763950626010091</v>
      </c>
      <c r="V128" s="204" t="n">
        <f aca="false">H128/V$1</f>
        <v>0.00569076774554138</v>
      </c>
      <c r="W128" s="204" t="n">
        <f aca="false">I128/W$1</f>
        <v>0.00655034490754159</v>
      </c>
      <c r="X128" s="204" t="n">
        <f aca="false">J128/X$1</f>
        <v>0.00838861538477604</v>
      </c>
      <c r="Y128" s="204" t="n">
        <f aca="false">1-(K128/Y$1)</f>
        <v>0.995494132438085</v>
      </c>
      <c r="Z128" s="205" t="n">
        <f aca="false">Y128/Z$1</f>
        <v>0.00765764717260065</v>
      </c>
      <c r="AA128" s="204" t="n">
        <f aca="false">L128/$AA$1</f>
        <v>0.00848146131114464</v>
      </c>
      <c r="AB128" s="204" t="n">
        <f aca="false">M128/AB$1</f>
        <v>0.00757049850841479</v>
      </c>
      <c r="AC128" s="204" t="n">
        <f aca="false">N128/AC$1</f>
        <v>0.0103439535155793</v>
      </c>
      <c r="AD128" s="204" t="n">
        <f aca="false">O128/AD$1</f>
        <v>0.00879848897578755</v>
      </c>
      <c r="AE128" s="209" t="n">
        <f aca="false">('Modelo AHP'!$U$37*aux!P128)+('Modelo AHP'!$U$38*aux!R128)+('Modelo AHP'!$U$39*aux!S128)</f>
        <v>0.00688500776810221</v>
      </c>
      <c r="AF128" s="210" t="n">
        <f aca="false">aux!U128</f>
        <v>0.00763950626010091</v>
      </c>
      <c r="AG128" s="209" t="n">
        <f aca="false">('Modelo AHP'!$U$47*aux!V128)+('Modelo AHP'!$U$48*aux!W128)+('Modelo AHP'!$U$49*aux!X128)</f>
        <v>0.00711699725430947</v>
      </c>
      <c r="AH128" s="210" t="n">
        <f aca="false">Z128</f>
        <v>0.00765764717260065</v>
      </c>
      <c r="AI128" s="209" t="n">
        <f aca="false">('Modelo AHP'!$U$56*aux!AA128)+('Modelo AHP'!$U$57*aux!AB128)+('Modelo AHP'!$U$58*aux!AC128)+('Modelo AHP'!$U$59*aux!AD128)</f>
        <v>0.00847474266526328</v>
      </c>
      <c r="AJ128" s="211" t="n">
        <f aca="false">('Modelo AHP'!$U$23*aux!AE128)+('Modelo AHP'!$U$24*aux!AF128)+('Modelo AHP'!$U$25*aux!AG128)+('Modelo AHP'!$U$26*aux!AH128)+('Modelo AHP'!$U$27*aux!AI128)</f>
        <v>0.00741459412820913</v>
      </c>
    </row>
    <row r="129" customFormat="false" ht="15" hidden="false" customHeight="false" outlineLevel="0" collapsed="false">
      <c r="A129" s="195" t="n">
        <f aca="false">_xlfn.RANK.EQ(AJ129,AJ$5:AJ$135)</f>
        <v>38</v>
      </c>
      <c r="B129" s="196" t="s">
        <v>261</v>
      </c>
      <c r="C129" s="197" t="s">
        <v>268</v>
      </c>
      <c r="D129" s="198" t="n">
        <v>0.0875206003015533</v>
      </c>
      <c r="E129" s="199" t="n">
        <v>83.06</v>
      </c>
      <c r="F129" s="198" t="n">
        <v>0.540085325748822</v>
      </c>
      <c r="G129" s="200" t="n">
        <v>31306.0089447945</v>
      </c>
      <c r="H129" s="201" t="n">
        <v>8.84</v>
      </c>
      <c r="I129" s="201" t="n">
        <v>11.23</v>
      </c>
      <c r="J129" s="198" t="n">
        <v>0.052258064516129</v>
      </c>
      <c r="K129" s="202" t="n">
        <v>62705.28</v>
      </c>
      <c r="L129" s="198" t="n">
        <v>0.0555263311707289</v>
      </c>
      <c r="M129" s="203" t="n">
        <v>807</v>
      </c>
      <c r="N129" s="198" t="n">
        <v>0.0681635668626128</v>
      </c>
      <c r="O129" s="198" t="n">
        <v>0.0578218562874252</v>
      </c>
      <c r="P129" s="204" t="n">
        <f aca="false">D129/$P$1</f>
        <v>0.00801097203906499</v>
      </c>
      <c r="Q129" s="204" t="n">
        <f aca="false">1-(E129/Q$1)</f>
        <v>0.992360879905969</v>
      </c>
      <c r="R129" s="204" t="n">
        <f aca="false">Q129/R$1</f>
        <v>0.00763354523004592</v>
      </c>
      <c r="S129" s="204" t="n">
        <f aca="false">F129/S$1</f>
        <v>0.0110728908782276</v>
      </c>
      <c r="T129" s="204" t="n">
        <f aca="false">1-(G129/T$1)</f>
        <v>0.994375001716348</v>
      </c>
      <c r="U129" s="205" t="n">
        <f aca="false">T129/U$1</f>
        <v>0.00764903847474114</v>
      </c>
      <c r="V129" s="204" t="n">
        <f aca="false">H129/V$1</f>
        <v>0.00898328336974747</v>
      </c>
      <c r="W129" s="204" t="n">
        <f aca="false">I129/W$1</f>
        <v>0.00929966792815323</v>
      </c>
      <c r="X129" s="204" t="n">
        <f aca="false">J129/X$1</f>
        <v>0.00838861538477604</v>
      </c>
      <c r="Y129" s="204" t="n">
        <f aca="false">1-(K129/Y$1)</f>
        <v>0.995286589981273</v>
      </c>
      <c r="Z129" s="205" t="n">
        <f aca="false">Y129/Z$1</f>
        <v>0.00765605069216364</v>
      </c>
      <c r="AA129" s="204" t="n">
        <f aca="false">L129/$AA$1</f>
        <v>0.00848146131114464</v>
      </c>
      <c r="AB129" s="204" t="n">
        <f aca="false">M129/AB$1</f>
        <v>0.00757049850841479</v>
      </c>
      <c r="AC129" s="204" t="n">
        <f aca="false">N129/AC$1</f>
        <v>0.0103439535155793</v>
      </c>
      <c r="AD129" s="204" t="n">
        <f aca="false">O129/AD$1</f>
        <v>0.00879848897578755</v>
      </c>
      <c r="AE129" s="209" t="n">
        <f aca="false">('Modelo AHP'!$U$37*aux!P129)+('Modelo AHP'!$U$38*aux!R129)+('Modelo AHP'!$U$39*aux!S129)</f>
        <v>0.00981038066166063</v>
      </c>
      <c r="AF129" s="210" t="n">
        <f aca="false">aux!U129</f>
        <v>0.00764903847474114</v>
      </c>
      <c r="AG129" s="209" t="n">
        <f aca="false">('Modelo AHP'!$U$47*aux!V129)+('Modelo AHP'!$U$48*aux!W129)+('Modelo AHP'!$U$49*aux!X129)</f>
        <v>0.00889322035529251</v>
      </c>
      <c r="AH129" s="210" t="n">
        <f aca="false">Z129</f>
        <v>0.00765605069216364</v>
      </c>
      <c r="AI129" s="209" t="n">
        <f aca="false">('Modelo AHP'!$U$56*aux!AA129)+('Modelo AHP'!$U$57*aux!AB129)+('Modelo AHP'!$U$58*aux!AC129)+('Modelo AHP'!$U$59*aux!AD129)</f>
        <v>0.00847474266526328</v>
      </c>
      <c r="AJ129" s="211" t="n">
        <f aca="false">('Modelo AHP'!$U$23*aux!AE129)+('Modelo AHP'!$U$24*aux!AF129)+('Modelo AHP'!$U$25*aux!AG129)+('Modelo AHP'!$U$26*aux!AH129)+('Modelo AHP'!$U$27*aux!AI129)</f>
        <v>0.00851273124733049</v>
      </c>
    </row>
    <row r="130" customFormat="false" ht="15" hidden="false" customHeight="false" outlineLevel="0" collapsed="false">
      <c r="A130" s="195" t="n">
        <f aca="false">_xlfn.RANK.EQ(AJ130,AJ$5:AJ$135)</f>
        <v>74</v>
      </c>
      <c r="B130" s="196" t="s">
        <v>261</v>
      </c>
      <c r="C130" s="197" t="s">
        <v>269</v>
      </c>
      <c r="D130" s="198" t="n">
        <v>0.0372109506511916</v>
      </c>
      <c r="E130" s="199" t="n">
        <v>84.45</v>
      </c>
      <c r="F130" s="198" t="n">
        <v>0.260990928122819</v>
      </c>
      <c r="G130" s="200" t="n">
        <v>54441.1045863053</v>
      </c>
      <c r="H130" s="201" t="n">
        <v>6.23</v>
      </c>
      <c r="I130" s="201" t="n">
        <v>7.7</v>
      </c>
      <c r="J130" s="198" t="n">
        <v>0.052258064516129</v>
      </c>
      <c r="K130" s="202" t="n">
        <v>119894.91</v>
      </c>
      <c r="L130" s="198" t="n">
        <v>0.0555263311707289</v>
      </c>
      <c r="M130" s="203" t="n">
        <v>807</v>
      </c>
      <c r="N130" s="198" t="n">
        <v>0.0681635668626128</v>
      </c>
      <c r="O130" s="198" t="n">
        <v>0.0578218562874252</v>
      </c>
      <c r="P130" s="204" t="n">
        <f aca="false">D130/$P$1</f>
        <v>0.00340600823333741</v>
      </c>
      <c r="Q130" s="204" t="n">
        <f aca="false">1-(E130/Q$1)</f>
        <v>0.992233040068132</v>
      </c>
      <c r="R130" s="204" t="n">
        <f aca="false">Q130/R$1</f>
        <v>0.00763256184667794</v>
      </c>
      <c r="S130" s="204" t="n">
        <f aca="false">F130/S$1</f>
        <v>0.00535086574200931</v>
      </c>
      <c r="T130" s="204" t="n">
        <f aca="false">1-(G130/T$1)</f>
        <v>0.99021813606461</v>
      </c>
      <c r="U130" s="205" t="n">
        <f aca="false">T130/U$1</f>
        <v>0.00761706258511239</v>
      </c>
      <c r="V130" s="204" t="n">
        <f aca="false">H130/V$1</f>
        <v>0.00633097911691479</v>
      </c>
      <c r="W130" s="204" t="n">
        <f aca="false">I130/W$1</f>
        <v>0.00637644194539447</v>
      </c>
      <c r="X130" s="204" t="n">
        <f aca="false">J130/X$1</f>
        <v>0.00838861538477604</v>
      </c>
      <c r="Y130" s="204" t="n">
        <f aca="false">1-(K130/Y$1)</f>
        <v>0.990987778541322</v>
      </c>
      <c r="Z130" s="205" t="n">
        <f aca="false">Y130/Z$1</f>
        <v>0.00762298291185632</v>
      </c>
      <c r="AA130" s="204" t="n">
        <f aca="false">L130/$AA$1</f>
        <v>0.00848146131114464</v>
      </c>
      <c r="AB130" s="204" t="n">
        <f aca="false">M130/AB$1</f>
        <v>0.00757049850841479</v>
      </c>
      <c r="AC130" s="204" t="n">
        <f aca="false">N130/AC$1</f>
        <v>0.0103439535155793</v>
      </c>
      <c r="AD130" s="204" t="n">
        <f aca="false">O130/AD$1</f>
        <v>0.00879848897578755</v>
      </c>
      <c r="AE130" s="209" t="n">
        <f aca="false">('Modelo AHP'!$U$37*aux!P130)+('Modelo AHP'!$U$38*aux!R130)+('Modelo AHP'!$U$39*aux!S130)</f>
        <v>0.00499557809987461</v>
      </c>
      <c r="AF130" s="210" t="n">
        <f aca="false">aux!U130</f>
        <v>0.00761706258511239</v>
      </c>
      <c r="AG130" s="209" t="n">
        <f aca="false">('Modelo AHP'!$U$47*aux!V130)+('Modelo AHP'!$U$48*aux!W130)+('Modelo AHP'!$U$49*aux!X130)</f>
        <v>0.00714820730134119</v>
      </c>
      <c r="AH130" s="210" t="n">
        <f aca="false">Z130</f>
        <v>0.00762298291185632</v>
      </c>
      <c r="AI130" s="209" t="n">
        <f aca="false">('Modelo AHP'!$U$56*aux!AA130)+('Modelo AHP'!$U$57*aux!AB130)+('Modelo AHP'!$U$58*aux!AC130)+('Modelo AHP'!$U$59*aux!AD130)</f>
        <v>0.00847474266526328</v>
      </c>
      <c r="AJ130" s="211" t="n">
        <f aca="false">('Modelo AHP'!$U$23*aux!AE130)+('Modelo AHP'!$U$24*aux!AF130)+('Modelo AHP'!$U$25*aux!AG130)+('Modelo AHP'!$U$26*aux!AH130)+('Modelo AHP'!$U$27*aux!AI130)</f>
        <v>0.00710009620022265</v>
      </c>
    </row>
    <row r="131" customFormat="false" ht="15" hidden="false" customHeight="false" outlineLevel="0" collapsed="false">
      <c r="A131" s="195" t="n">
        <f aca="false">_xlfn.RANK.EQ(AJ131,AJ$5:AJ$135)</f>
        <v>122</v>
      </c>
      <c r="B131" s="196" t="s">
        <v>270</v>
      </c>
      <c r="C131" s="197" t="s">
        <v>271</v>
      </c>
      <c r="D131" s="198" t="n">
        <v>0.0241180705543556</v>
      </c>
      <c r="E131" s="199" t="n">
        <v>83.91</v>
      </c>
      <c r="F131" s="198" t="n">
        <v>0.209598366235534</v>
      </c>
      <c r="G131" s="200" t="n">
        <v>52281.1907390498</v>
      </c>
      <c r="H131" s="201" t="n">
        <v>4.98</v>
      </c>
      <c r="I131" s="201" t="n">
        <v>6.35</v>
      </c>
      <c r="J131" s="198" t="n">
        <v>0.0331854138529809</v>
      </c>
      <c r="K131" s="202" t="n">
        <v>88289.33</v>
      </c>
      <c r="L131" s="198" t="n">
        <v>0.00935180314454381</v>
      </c>
      <c r="M131" s="203" t="n">
        <v>73</v>
      </c>
      <c r="N131" s="198" t="n">
        <v>0.00825543670296489</v>
      </c>
      <c r="O131" s="198" t="n">
        <v>0.0092315369261477</v>
      </c>
      <c r="P131" s="204" t="n">
        <f aca="false">D131/$P$1</f>
        <v>0.00220758527913926</v>
      </c>
      <c r="Q131" s="204" t="n">
        <f aca="false">1-(E131/Q$1)</f>
        <v>0.992282704465565</v>
      </c>
      <c r="R131" s="204" t="n">
        <f aca="false">Q131/R$1</f>
        <v>0.00763294388050435</v>
      </c>
      <c r="S131" s="204" t="n">
        <f aca="false">F131/S$1</f>
        <v>0.00429720958325058</v>
      </c>
      <c r="T131" s="204" t="n">
        <f aca="false">1-(G131/T$1)</f>
        <v>0.990606224872259</v>
      </c>
      <c r="U131" s="205" t="n">
        <f aca="false">T131/U$1</f>
        <v>0.00762004788363277</v>
      </c>
      <c r="V131" s="204" t="n">
        <f aca="false">H131/V$1</f>
        <v>0.00506071845942788</v>
      </c>
      <c r="W131" s="204" t="n">
        <f aca="false">I131/W$1</f>
        <v>0.00525849433159154</v>
      </c>
      <c r="X131" s="204" t="n">
        <f aca="false">J131/X$1</f>
        <v>0.00532701843772564</v>
      </c>
      <c r="Y131" s="204" t="n">
        <f aca="false">1-(K131/Y$1)</f>
        <v>0.99336349646204</v>
      </c>
      <c r="Z131" s="205" t="n">
        <f aca="false">Y131/Z$1</f>
        <v>0.00764125766509262</v>
      </c>
      <c r="AA131" s="204" t="n">
        <f aca="false">L131/$AA$1</f>
        <v>0.00142845664187699</v>
      </c>
      <c r="AB131" s="204" t="n">
        <f aca="false">M131/AB$1</f>
        <v>0.000684815850203569</v>
      </c>
      <c r="AC131" s="204" t="n">
        <f aca="false">N131/AC$1</f>
        <v>0.00125277853605272</v>
      </c>
      <c r="AD131" s="204" t="n">
        <f aca="false">O131/AD$1</f>
        <v>0.00140472100152811</v>
      </c>
      <c r="AE131" s="209" t="n">
        <f aca="false">('Modelo AHP'!$U$37*aux!P131)+('Modelo AHP'!$U$38*aux!R131)+('Modelo AHP'!$U$39*aux!S131)</f>
        <v>0.00400389572174256</v>
      </c>
      <c r="AF131" s="210" t="n">
        <f aca="false">aux!U131</f>
        <v>0.00762004788363277</v>
      </c>
      <c r="AG131" s="209" t="n">
        <f aca="false">('Modelo AHP'!$U$47*aux!V131)+('Modelo AHP'!$U$48*aux!W131)+('Modelo AHP'!$U$49*aux!X131)</f>
        <v>0.00525157493121916</v>
      </c>
      <c r="AH131" s="210" t="n">
        <f aca="false">Z131</f>
        <v>0.00764125766509262</v>
      </c>
      <c r="AI131" s="209" t="n">
        <f aca="false">('Modelo AHP'!$U$56*aux!AA131)+('Modelo AHP'!$U$57*aux!AB131)+('Modelo AHP'!$U$58*aux!AC131)+('Modelo AHP'!$U$59*aux!AD131)</f>
        <v>0.00102026049112298</v>
      </c>
      <c r="AJ131" s="211" t="n">
        <f aca="false">('Modelo AHP'!$U$23*aux!AE131)+('Modelo AHP'!$U$24*aux!AF131)+('Modelo AHP'!$U$25*aux!AG131)+('Modelo AHP'!$U$26*aux!AH131)+('Modelo AHP'!$U$27*aux!AI131)</f>
        <v>0.00559092873655666</v>
      </c>
    </row>
    <row r="132" customFormat="false" ht="15" hidden="false" customHeight="false" outlineLevel="0" collapsed="false">
      <c r="A132" s="195" t="n">
        <f aca="false">_xlfn.RANK.EQ(AJ132,AJ$5:AJ$135)</f>
        <v>60</v>
      </c>
      <c r="B132" s="212" t="s">
        <v>270</v>
      </c>
      <c r="C132" s="213" t="s">
        <v>272</v>
      </c>
      <c r="D132" s="214" t="n">
        <v>0.138238573021182</v>
      </c>
      <c r="E132" s="215" t="n">
        <v>81.84</v>
      </c>
      <c r="F132" s="214" t="n">
        <v>0.591911764705882</v>
      </c>
      <c r="G132" s="216" t="n">
        <v>24254.3146616541</v>
      </c>
      <c r="H132" s="217" t="n">
        <v>7.82</v>
      </c>
      <c r="I132" s="217" t="n">
        <v>9.27</v>
      </c>
      <c r="J132" s="214" t="n">
        <v>0.0331854138529809</v>
      </c>
      <c r="K132" s="218" t="n">
        <v>73598.76</v>
      </c>
      <c r="L132" s="198" t="n">
        <v>0.00935180314454381</v>
      </c>
      <c r="M132" s="203" t="n">
        <v>73</v>
      </c>
      <c r="N132" s="198" t="n">
        <v>0.00825543670296489</v>
      </c>
      <c r="O132" s="198" t="n">
        <v>0.0092315369261477</v>
      </c>
      <c r="P132" s="204" t="n">
        <f aca="false">D132/$P$1</f>
        <v>0.0126533106420349</v>
      </c>
      <c r="Q132" s="204" t="n">
        <f aca="false">1-(E132/Q$1)</f>
        <v>0.992473084655725</v>
      </c>
      <c r="R132" s="204" t="n">
        <f aca="false">Q132/R$1</f>
        <v>0.00763440834350558</v>
      </c>
      <c r="S132" s="204" t="n">
        <f aca="false">F132/S$1</f>
        <v>0.0121354424341007</v>
      </c>
      <c r="T132" s="204" t="n">
        <f aca="false">1-(G132/T$1)</f>
        <v>0.99564203541296</v>
      </c>
      <c r="U132" s="205" t="n">
        <f aca="false">T132/U$1</f>
        <v>0.00765878488779201</v>
      </c>
      <c r="V132" s="204" t="n">
        <f aca="false">H132/V$1</f>
        <v>0.00794675067323815</v>
      </c>
      <c r="W132" s="204" t="n">
        <f aca="false">I132/W$1</f>
        <v>0.00767657361478009</v>
      </c>
      <c r="X132" s="204" t="n">
        <f aca="false">J132/X$1</f>
        <v>0.00532701843772564</v>
      </c>
      <c r="Y132" s="204" t="n">
        <f aca="false">1-(K132/Y$1)</f>
        <v>0.994467752432492</v>
      </c>
      <c r="Z132" s="205" t="n">
        <f aca="false">Y132/Z$1</f>
        <v>0.0076497519417884</v>
      </c>
      <c r="AA132" s="204" t="n">
        <f aca="false">L132/$AA$1</f>
        <v>0.00142845664187699</v>
      </c>
      <c r="AB132" s="204" t="n">
        <f aca="false">M132/AB$1</f>
        <v>0.000684815850203569</v>
      </c>
      <c r="AC132" s="204" t="n">
        <f aca="false">N132/AC$1</f>
        <v>0.00125277853605272</v>
      </c>
      <c r="AD132" s="204" t="n">
        <f aca="false">O132/AD$1</f>
        <v>0.00140472100152811</v>
      </c>
      <c r="AE132" s="209" t="n">
        <f aca="false">('Modelo AHP'!$U$37*aux!P132)+('Modelo AHP'!$U$38*aux!R132)+('Modelo AHP'!$U$39*aux!S132)</f>
        <v>0.0118406994874214</v>
      </c>
      <c r="AF132" s="210" t="n">
        <f aca="false">aux!U132</f>
        <v>0.00765878488779201</v>
      </c>
      <c r="AG132" s="209" t="n">
        <f aca="false">('Modelo AHP'!$U$47*aux!V132)+('Modelo AHP'!$U$48*aux!W132)+('Modelo AHP'!$U$49*aux!X132)</f>
        <v>0.00681213797324285</v>
      </c>
      <c r="AH132" s="210" t="n">
        <f aca="false">Z132</f>
        <v>0.0076497519417884</v>
      </c>
      <c r="AI132" s="209" t="n">
        <f aca="false">('Modelo AHP'!$U$56*aux!AA132)+('Modelo AHP'!$U$57*aux!AB132)+('Modelo AHP'!$U$58*aux!AC132)+('Modelo AHP'!$U$59*aux!AD132)</f>
        <v>0.00102026049112298</v>
      </c>
      <c r="AJ132" s="211" t="n">
        <f aca="false">('Modelo AHP'!$U$23*aux!AE132)+('Modelo AHP'!$U$24*aux!AF132)+('Modelo AHP'!$U$25*aux!AG132)+('Modelo AHP'!$U$26*aux!AH132)+('Modelo AHP'!$U$27*aux!AI132)</f>
        <v>0.00744519350985122</v>
      </c>
    </row>
    <row r="133" customFormat="false" ht="15" hidden="false" customHeight="false" outlineLevel="0" collapsed="false">
      <c r="A133" s="195" t="n">
        <f aca="false">_xlfn.RANK.EQ(AJ133,AJ$5:AJ$135)</f>
        <v>73</v>
      </c>
      <c r="B133" s="196" t="s">
        <v>270</v>
      </c>
      <c r="C133" s="197" t="s">
        <v>273</v>
      </c>
      <c r="D133" s="198" t="n">
        <v>0.101690294438386</v>
      </c>
      <c r="E133" s="199" t="n">
        <v>82.96</v>
      </c>
      <c r="F133" s="198" t="n">
        <v>0.504963822985024</v>
      </c>
      <c r="G133" s="200" t="n">
        <v>29450.04216593</v>
      </c>
      <c r="H133" s="201" t="n">
        <v>7.55</v>
      </c>
      <c r="I133" s="201" t="n">
        <v>10.04</v>
      </c>
      <c r="J133" s="198" t="n">
        <v>0.0331854138529809</v>
      </c>
      <c r="K133" s="202" t="n">
        <v>82966.28</v>
      </c>
      <c r="L133" s="198" t="n">
        <v>0.00935180314454381</v>
      </c>
      <c r="M133" s="203" t="n">
        <v>73</v>
      </c>
      <c r="N133" s="198" t="n">
        <v>0.00825543670296489</v>
      </c>
      <c r="O133" s="198" t="n">
        <v>0.0092315369261477</v>
      </c>
      <c r="P133" s="204" t="n">
        <f aca="false">D133/$P$1</f>
        <v>0.00930795838446436</v>
      </c>
      <c r="Q133" s="204" t="n">
        <f aca="false">1-(E133/Q$1)</f>
        <v>0.992370077016605</v>
      </c>
      <c r="R133" s="204" t="n">
        <f aca="false">Q133/R$1</f>
        <v>0.00763361597705081</v>
      </c>
      <c r="S133" s="204" t="n">
        <f aca="false">F133/S$1</f>
        <v>0.0103528258273142</v>
      </c>
      <c r="T133" s="204" t="n">
        <f aca="false">1-(G133/T$1)</f>
        <v>0.994708477949746</v>
      </c>
      <c r="U133" s="205" t="n">
        <f aca="false">T133/U$1</f>
        <v>0.00765160367653651</v>
      </c>
      <c r="V133" s="204" t="n">
        <f aca="false">H133/V$1</f>
        <v>0.00767237437122097</v>
      </c>
      <c r="W133" s="204" t="n">
        <f aca="false">I133/W$1</f>
        <v>0.00831421780931954</v>
      </c>
      <c r="X133" s="204" t="n">
        <f aca="false">J133/X$1</f>
        <v>0.00532701843772564</v>
      </c>
      <c r="Y133" s="204" t="n">
        <f aca="false">1-(K133/Y$1)</f>
        <v>0.993763617746886</v>
      </c>
      <c r="Z133" s="205" t="n">
        <f aca="false">Y133/Z$1</f>
        <v>0.00764433552112989</v>
      </c>
      <c r="AA133" s="204" t="n">
        <f aca="false">L133/$AA$1</f>
        <v>0.00142845664187699</v>
      </c>
      <c r="AB133" s="204" t="n">
        <f aca="false">M133/AB$1</f>
        <v>0.000684815850203569</v>
      </c>
      <c r="AC133" s="204" t="n">
        <f aca="false">N133/AC$1</f>
        <v>0.00125277853605272</v>
      </c>
      <c r="AD133" s="204" t="n">
        <f aca="false">O133/AD$1</f>
        <v>0.00140472100152811</v>
      </c>
      <c r="AE133" s="209" t="n">
        <f aca="false">('Modelo AHP'!$U$37*aux!P133)+('Modelo AHP'!$U$38*aux!R133)+('Modelo AHP'!$U$39*aux!S133)</f>
        <v>0.00976744460943289</v>
      </c>
      <c r="AF133" s="210" t="n">
        <f aca="false">aux!U133</f>
        <v>0.00765160367653651</v>
      </c>
      <c r="AG133" s="209" t="n">
        <f aca="false">('Modelo AHP'!$U$47*aux!V133)+('Modelo AHP'!$U$48*aux!W133)+('Modelo AHP'!$U$49*aux!X133)</f>
        <v>0.00704846353780532</v>
      </c>
      <c r="AH133" s="210" t="n">
        <f aca="false">Z133</f>
        <v>0.00764433552112989</v>
      </c>
      <c r="AI133" s="209" t="n">
        <f aca="false">('Modelo AHP'!$U$56*aux!AA133)+('Modelo AHP'!$U$57*aux!AB133)+('Modelo AHP'!$U$58*aux!AC133)+('Modelo AHP'!$U$59*aux!AD133)</f>
        <v>0.00102026049112298</v>
      </c>
      <c r="AJ133" s="211" t="n">
        <f aca="false">('Modelo AHP'!$U$23*aux!AE133)+('Modelo AHP'!$U$24*aux!AF133)+('Modelo AHP'!$U$25*aux!AG133)+('Modelo AHP'!$U$26*aux!AH133)+('Modelo AHP'!$U$27*aux!AI133)</f>
        <v>0.00717723315285211</v>
      </c>
    </row>
    <row r="134" customFormat="false" ht="15" hidden="false" customHeight="false" outlineLevel="0" collapsed="false">
      <c r="A134" s="195" t="n">
        <f aca="false">_xlfn.RANK.EQ(AJ134,AJ$5:AJ$135)</f>
        <v>103</v>
      </c>
      <c r="B134" s="196" t="s">
        <v>270</v>
      </c>
      <c r="C134" s="197" t="s">
        <v>274</v>
      </c>
      <c r="D134" s="198" t="n">
        <v>0.0519148936170213</v>
      </c>
      <c r="E134" s="199" t="n">
        <v>83.02</v>
      </c>
      <c r="F134" s="198" t="n">
        <v>0.306941431670282</v>
      </c>
      <c r="G134" s="200" t="n">
        <v>40271.041996997</v>
      </c>
      <c r="H134" s="201" t="n">
        <v>5.77</v>
      </c>
      <c r="I134" s="201" t="n">
        <v>7.17</v>
      </c>
      <c r="J134" s="198" t="n">
        <v>0.0331854138529809</v>
      </c>
      <c r="K134" s="202" t="n">
        <v>101313.54</v>
      </c>
      <c r="L134" s="198" t="n">
        <v>0.00935180314454381</v>
      </c>
      <c r="M134" s="203" t="n">
        <v>73</v>
      </c>
      <c r="N134" s="198" t="n">
        <v>0.00825543670296489</v>
      </c>
      <c r="O134" s="198" t="n">
        <v>0.0092315369261477</v>
      </c>
      <c r="P134" s="204" t="n">
        <f aca="false">D134/$P$1</f>
        <v>0.00475189566506675</v>
      </c>
      <c r="Q134" s="204" t="n">
        <f aca="false">1-(E134/Q$1)</f>
        <v>0.992364558750223</v>
      </c>
      <c r="R134" s="204" t="n">
        <f aca="false">Q134/R$1</f>
        <v>0.00763357352884787</v>
      </c>
      <c r="S134" s="204" t="n">
        <f aca="false">F134/S$1</f>
        <v>0.00629294820069343</v>
      </c>
      <c r="T134" s="204" t="n">
        <f aca="false">1-(G134/T$1)</f>
        <v>0.992764183306999</v>
      </c>
      <c r="U134" s="205" t="n">
        <f aca="false">T134/U$1</f>
        <v>0.00763664756389999</v>
      </c>
      <c r="V134" s="204" t="n">
        <f aca="false">H134/V$1</f>
        <v>0.00586352319495961</v>
      </c>
      <c r="W134" s="204" t="n">
        <f aca="false">I134/W$1</f>
        <v>0.00593754399330888</v>
      </c>
      <c r="X134" s="204" t="n">
        <f aca="false">J134/X$1</f>
        <v>0.00532701843772564</v>
      </c>
      <c r="Y134" s="204" t="n">
        <f aca="false">1-(K134/Y$1)</f>
        <v>0.992384496896135</v>
      </c>
      <c r="Z134" s="205" t="n">
        <f aca="false">Y134/Z$1</f>
        <v>0.00763372689920104</v>
      </c>
      <c r="AA134" s="204" t="n">
        <f aca="false">L134/$AA$1</f>
        <v>0.00142845664187699</v>
      </c>
      <c r="AB134" s="204" t="n">
        <f aca="false">M134/AB$1</f>
        <v>0.000684815850203569</v>
      </c>
      <c r="AC134" s="204" t="n">
        <f aca="false">N134/AC$1</f>
        <v>0.00125277853605272</v>
      </c>
      <c r="AD134" s="204" t="n">
        <f aca="false">O134/AD$1</f>
        <v>0.00140472100152811</v>
      </c>
      <c r="AE134" s="209" t="n">
        <f aca="false">('Modelo AHP'!$U$37*aux!P134)+('Modelo AHP'!$U$38*aux!R134)+('Modelo AHP'!$U$39*aux!S134)</f>
        <v>0.00596469497282087</v>
      </c>
      <c r="AF134" s="210" t="n">
        <f aca="false">aux!U134</f>
        <v>0.00763664756389999</v>
      </c>
      <c r="AG134" s="209" t="n">
        <f aca="false">('Modelo AHP'!$U$47*aux!V134)+('Modelo AHP'!$U$48*aux!W134)+('Modelo AHP'!$U$49*aux!X134)</f>
        <v>0.00568851978144349</v>
      </c>
      <c r="AH134" s="210" t="n">
        <f aca="false">Z134</f>
        <v>0.00763372689920104</v>
      </c>
      <c r="AI134" s="209" t="n">
        <f aca="false">('Modelo AHP'!$U$56*aux!AA134)+('Modelo AHP'!$U$57*aux!AB134)+('Modelo AHP'!$U$58*aux!AC134)+('Modelo AHP'!$U$59*aux!AD134)</f>
        <v>0.00102026049112298</v>
      </c>
      <c r="AJ134" s="211" t="n">
        <f aca="false">('Modelo AHP'!$U$23*aux!AE134)+('Modelo AHP'!$U$24*aux!AF134)+('Modelo AHP'!$U$25*aux!AG134)+('Modelo AHP'!$U$26*aux!AH134)+('Modelo AHP'!$U$27*aux!AI134)</f>
        <v>0.00607226133473628</v>
      </c>
    </row>
    <row r="135" customFormat="false" ht="15" hidden="false" customHeight="false" outlineLevel="0" collapsed="false">
      <c r="A135" s="195" t="n">
        <f aca="false">_xlfn.RANK.EQ(AJ135,AJ$5:AJ$135)</f>
        <v>130</v>
      </c>
      <c r="B135" s="196" t="s">
        <v>270</v>
      </c>
      <c r="C135" s="197" t="s">
        <v>275</v>
      </c>
      <c r="D135" s="198" t="n">
        <v>0.0243675099866844</v>
      </c>
      <c r="E135" s="199" t="n">
        <v>84.65</v>
      </c>
      <c r="F135" s="198" t="n">
        <v>0.153059136484551</v>
      </c>
      <c r="G135" s="200" t="n">
        <v>65879.163713693</v>
      </c>
      <c r="H135" s="201" t="n">
        <v>4.2</v>
      </c>
      <c r="I135" s="201" t="n">
        <v>5.46</v>
      </c>
      <c r="J135" s="198" t="n">
        <v>0.0331854138529809</v>
      </c>
      <c r="K135" s="202" t="n">
        <v>115899.58</v>
      </c>
      <c r="L135" s="198" t="n">
        <v>0.00935180314454381</v>
      </c>
      <c r="M135" s="203" t="n">
        <v>73</v>
      </c>
      <c r="N135" s="198" t="n">
        <v>0.00825543670296489</v>
      </c>
      <c r="O135" s="198" t="n">
        <v>0.0092315369261477</v>
      </c>
      <c r="P135" s="204" t="n">
        <f aca="false">D135/$P$1</f>
        <v>0.00223041707315051</v>
      </c>
      <c r="Q135" s="204" t="n">
        <f aca="false">1-(E135/Q$1)</f>
        <v>0.992214645846861</v>
      </c>
      <c r="R135" s="204" t="n">
        <f aca="false">Q135/R$1</f>
        <v>0.00763242035266816</v>
      </c>
      <c r="S135" s="204" t="n">
        <f aca="false">F135/S$1</f>
        <v>0.00313803585361135</v>
      </c>
      <c r="T135" s="204" t="n">
        <f aca="false">1-(G135/T$1)</f>
        <v>0.988162969496641</v>
      </c>
      <c r="U135" s="205" t="n">
        <f aca="false">T135/U$1</f>
        <v>0.00760125361151263</v>
      </c>
      <c r="V135" s="204" t="n">
        <f aca="false">H135/V$1</f>
        <v>0.00426807580915604</v>
      </c>
      <c r="W135" s="204" t="n">
        <f aca="false">I135/W$1</f>
        <v>0.00452147701582517</v>
      </c>
      <c r="X135" s="204" t="n">
        <f aca="false">J135/X$1</f>
        <v>0.00532701843772564</v>
      </c>
      <c r="Y135" s="204" t="n">
        <f aca="false">1-(K135/Y$1)</f>
        <v>0.991288098202603</v>
      </c>
      <c r="Z135" s="205" t="n">
        <f aca="false">Y135/Z$1</f>
        <v>0.00762529306309694</v>
      </c>
      <c r="AA135" s="204" t="n">
        <f aca="false">L135/$AA$1</f>
        <v>0.00142845664187699</v>
      </c>
      <c r="AB135" s="204" t="n">
        <f aca="false">M135/AB$1</f>
        <v>0.000684815850203569</v>
      </c>
      <c r="AC135" s="204" t="n">
        <f aca="false">N135/AC$1</f>
        <v>0.00125277853605272</v>
      </c>
      <c r="AD135" s="204" t="n">
        <f aca="false">O135/AD$1</f>
        <v>0.00140472100152811</v>
      </c>
      <c r="AE135" s="209" t="n">
        <f aca="false">('Modelo AHP'!$U$37*aux!P135)+('Modelo AHP'!$U$38*aux!R135)+('Modelo AHP'!$U$39*aux!S135)</f>
        <v>0.00331518866937878</v>
      </c>
      <c r="AF135" s="210" t="n">
        <f aca="false">aux!U135</f>
        <v>0.00760125361151263</v>
      </c>
      <c r="AG135" s="209" t="n">
        <f aca="false">('Modelo AHP'!$U$47*aux!V135)+('Modelo AHP'!$U$48*aux!W135)+('Modelo AHP'!$U$49*aux!X135)</f>
        <v>0.0047906449590565</v>
      </c>
      <c r="AH135" s="210" t="n">
        <f aca="false">Z135</f>
        <v>0.00762529306309694</v>
      </c>
      <c r="AI135" s="209" t="n">
        <f aca="false">('Modelo AHP'!$U$56*aux!AA135)+('Modelo AHP'!$U$57*aux!AB135)+('Modelo AHP'!$U$58*aux!AC135)+('Modelo AHP'!$U$59*aux!AD135)</f>
        <v>0.00102026049112298</v>
      </c>
      <c r="AJ135" s="211" t="n">
        <f aca="false">('Modelo AHP'!$U$23*aux!AE135)+('Modelo AHP'!$U$24*aux!AF135)+('Modelo AHP'!$U$25*aux!AG135)+('Modelo AHP'!$U$26*aux!AH135)+('Modelo AHP'!$U$27*aux!AI135)</f>
        <v>0.00531121911379008</v>
      </c>
    </row>
  </sheetData>
  <mergeCells count="9">
    <mergeCell ref="P2:AD2"/>
    <mergeCell ref="D3:F3"/>
    <mergeCell ref="H3:J3"/>
    <mergeCell ref="L3:O3"/>
    <mergeCell ref="P3:S3"/>
    <mergeCell ref="T3:U3"/>
    <mergeCell ref="V3:X3"/>
    <mergeCell ref="Y3:Z3"/>
    <mergeCell ref="AA3:AD3"/>
  </mergeCells>
  <conditionalFormatting sqref="A5:A135">
    <cfRule type="colorScale" priority="2">
      <colorScale>
        <cfvo type="min" val="0"/>
        <cfvo type="percentile" val="50"/>
        <cfvo type="max" val="0"/>
        <color rgb="FFFF0000"/>
        <color rgb="FFFFEB84"/>
        <color rgb="FF92D050"/>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3:S5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11.75"/>
    <col collapsed="false" customWidth="true" hidden="false" outlineLevel="0" max="18" min="3" style="0" width="10.53"/>
    <col collapsed="false" customWidth="true" hidden="false" outlineLevel="0" max="19" min="19" style="0" width="11.75"/>
    <col collapsed="false" customWidth="true" hidden="false" outlineLevel="0" max="20" min="20" style="0" width="10.53"/>
    <col collapsed="false" customWidth="true" hidden="false" outlineLevel="0" max="21" min="21" style="0" width="11.75"/>
    <col collapsed="false" customWidth="true" hidden="false" outlineLevel="0" max="1025" min="22" style="0" width="10.53"/>
  </cols>
  <sheetData>
    <row r="3" customFormat="false" ht="63.8" hidden="false" customHeight="false" outlineLevel="0" collapsed="false">
      <c r="B3" s="219" t="s">
        <v>90</v>
      </c>
      <c r="C3" s="219" t="s">
        <v>91</v>
      </c>
      <c r="D3" s="219" t="s">
        <v>92</v>
      </c>
      <c r="E3" s="219" t="s">
        <v>285</v>
      </c>
      <c r="F3" s="219" t="s">
        <v>120</v>
      </c>
      <c r="G3" s="219" t="s">
        <v>97</v>
      </c>
      <c r="H3" s="219" t="s">
        <v>121</v>
      </c>
      <c r="I3" s="219" t="s">
        <v>122</v>
      </c>
      <c r="J3" s="219" t="s">
        <v>123</v>
      </c>
      <c r="K3" s="219" t="s">
        <v>105</v>
      </c>
      <c r="L3" s="219" t="s">
        <v>106</v>
      </c>
      <c r="M3" s="219" t="s">
        <v>107</v>
      </c>
      <c r="N3" s="219" t="s">
        <v>70</v>
      </c>
      <c r="O3" s="219" t="s">
        <v>71</v>
      </c>
      <c r="P3" s="219" t="s">
        <v>72</v>
      </c>
      <c r="Q3" s="219" t="s">
        <v>73</v>
      </c>
      <c r="R3" s="219" t="s">
        <v>74</v>
      </c>
      <c r="S3" s="219" t="s">
        <v>69</v>
      </c>
    </row>
    <row r="4" customFormat="false" ht="15" hidden="false" customHeight="false" outlineLevel="0" collapsed="false">
      <c r="A4" s="220" t="s">
        <v>90</v>
      </c>
      <c r="B4" s="221" t="n">
        <f aca="false">_xlfn.COVARIANCE.P('Índices y Ranking Barrio'!$D$4:$D$134,'Índices y Ranking Barrio'!D$4:D$134)</f>
        <v>0.00272089985369873</v>
      </c>
      <c r="C4" s="220" t="e">
        <f aca="false">_xlfn.COVARIANCE.P('Índices y Ranking Barrio'!$D$4:$D$134,#REF!)</f>
        <v>#VALUE!</v>
      </c>
      <c r="D4" s="220" t="e">
        <f aca="false">_xlfn.COVARIANCE.P('Índices y Ranking Barrio'!$D$4:$D$134,#REF!)</f>
        <v>#VALUE!</v>
      </c>
      <c r="E4" s="220" t="n">
        <f aca="false">_xlfn.COVARIANCE.P('Índices y Ranking Barrio'!$D$4:$D$134,'Índices y Ranking Barrio'!E$4:E$134)</f>
        <v>-545.844753959194</v>
      </c>
      <c r="F4" s="220" t="n">
        <f aca="false">_xlfn.COVARIANCE.P('Índices y Ranking Barrio'!$D$4:$D$134,'Índices y Ranking Barrio'!F$4:F$134)</f>
        <v>0.073410262606662</v>
      </c>
      <c r="G4" s="220" t="n">
        <f aca="false">_xlfn.COVARIANCE.P('Índices y Ranking Barrio'!$D$4:$D$134,'Índices y Ranking Barrio'!G$4:G$134)</f>
        <v>0.088037417254782</v>
      </c>
      <c r="H4" s="220" t="n">
        <f aca="false">_xlfn.COVARIANCE.P('Índices y Ranking Barrio'!$D$4:$D$134,'Índices y Ranking Barrio'!H$4:H$134)</f>
        <v>0.000399972708326402</v>
      </c>
      <c r="I4" s="220" t="n">
        <f aca="false">_xlfn.COVARIANCE.P('Índices y Ranking Barrio'!$D$4:$D$134,'Índices y Ranking Barrio'!I$4:I$134)</f>
        <v>-1285.63539169203</v>
      </c>
      <c r="J4" s="220" t="n">
        <f aca="false">_xlfn.COVARIANCE.P('Índices y Ranking Barrio'!$D$4:$D$134,'Índices y Ranking Barrio'!J$4:J$134)</f>
        <v>0.000483415972244743</v>
      </c>
      <c r="K4" s="220" t="n">
        <f aca="false">_xlfn.COVARIANCE.P('Índices y Ranking Barrio'!$D$4:$D$134,'Índices y Ranking Barrio'!K$4:K$134)</f>
        <v>21.5574097108765</v>
      </c>
      <c r="L4" s="220" t="n">
        <f aca="false">_xlfn.COVARIANCE.P('Índices y Ranking Barrio'!$D$4:$D$134,'Índices y Ranking Barrio'!L$4:L$134)</f>
        <v>0.000654004847401908</v>
      </c>
      <c r="M4" s="220" t="n">
        <f aca="false">_xlfn.COVARIANCE.P('Índices y Ranking Barrio'!$D$4:$D$134,'Índices y Ranking Barrio'!M$4:M$134)</f>
        <v>0.000554788168462127</v>
      </c>
      <c r="N4" s="220" t="n">
        <f aca="false">_xlfn.COVARIANCE.P('Índices y Ranking Barrio'!$D$4:$D$134,'Índices y Ranking Barrio'!N$4:N$134)</f>
        <v>0.000148242379703782</v>
      </c>
      <c r="O4" s="220" t="n">
        <f aca="false">_xlfn.COVARIANCE.P('Índices y Ranking Barrio'!$D$4:$D$131,'Índices y Ranking Barrio'!O$4:O$131)</f>
        <v>7.5533130139612E-007</v>
      </c>
      <c r="P4" s="220" t="n">
        <f aca="false">_xlfn.COVARIANCE.P('Índices y Ranking Barrio'!$D$4:$D$134,'Índices y Ranking Barrio'!P$4:P$134)</f>
        <v>6.98214272777969E-005</v>
      </c>
      <c r="Q4" s="220" t="n">
        <f aca="false">_xlfn.COVARIANCE.P('Índices y Ranking Barrio'!$D$4:$D$131,'Índices y Ranking Barrio'!Q$4:Q$131)</f>
        <v>7.55478057868238E-007</v>
      </c>
      <c r="R4" s="220" t="n">
        <f aca="false">_xlfn.COVARIANCE.P('Índices y Ranking Barrio'!$D$4:$D$134,'Índices y Ranking Barrio'!R$4:R$134)</f>
        <v>0.000144059686066728</v>
      </c>
      <c r="S4" s="220" t="n">
        <f aca="false">_xlfn.COVARIANCE.P('Índices y Ranking Barrio'!$D$4:$D$131,'Índices y Ranking Barrio'!S$4:S$131)</f>
        <v>6.24383451139364E-005</v>
      </c>
    </row>
    <row r="5" customFormat="false" ht="15" hidden="false" customHeight="false" outlineLevel="0" collapsed="false">
      <c r="A5" s="220" t="s">
        <v>91</v>
      </c>
      <c r="B5" s="220" t="e">
        <f aca="false">_xlfn.COVARIANCE.P(#REF!,'Índices y Ranking Barrio'!D$4:D$134)</f>
        <v>#VALUE!</v>
      </c>
      <c r="C5" s="221" t="e">
        <f aca="false">_xlfn.COVARIANCE.P(#REF!,#REF!)</f>
        <v>#REF!</v>
      </c>
      <c r="D5" s="220" t="e">
        <f aca="false">_xlfn.COVARIANCE.P(#REF!,#REF!)</f>
        <v>#REF!</v>
      </c>
      <c r="E5" s="220" t="e">
        <f aca="false">_xlfn.COVARIANCE.P(#REF!,'Índices y Ranking Barrio'!E$4:E$134)</f>
        <v>#VALUE!</v>
      </c>
      <c r="F5" s="220" t="e">
        <f aca="false">_xlfn.COVARIANCE.P(#REF!,'Índices y Ranking Barrio'!F$4:F$134)</f>
        <v>#VALUE!</v>
      </c>
      <c r="G5" s="220" t="e">
        <f aca="false">_xlfn.COVARIANCE.P(#REF!,'Índices y Ranking Barrio'!G$4:G$134)</f>
        <v>#VALUE!</v>
      </c>
      <c r="H5" s="220" t="e">
        <f aca="false">_xlfn.COVARIANCE.P(#REF!,'Índices y Ranking Barrio'!H$4:H$134)</f>
        <v>#VALUE!</v>
      </c>
      <c r="I5" s="220" t="e">
        <f aca="false">_xlfn.COVARIANCE.P(#REF!,'Índices y Ranking Barrio'!I$4:I$134)</f>
        <v>#VALUE!</v>
      </c>
      <c r="J5" s="220" t="e">
        <f aca="false">_xlfn.COVARIANCE.P(#REF!,'Índices y Ranking Barrio'!J$4:J$134)</f>
        <v>#VALUE!</v>
      </c>
      <c r="K5" s="220" t="e">
        <f aca="false">_xlfn.COVARIANCE.P(#REF!,'Índices y Ranking Barrio'!K$4:K$134)</f>
        <v>#VALUE!</v>
      </c>
      <c r="L5" s="220" t="e">
        <f aca="false">_xlfn.COVARIANCE.P(#REF!,'Índices y Ranking Barrio'!L$4:L$134)</f>
        <v>#VALUE!</v>
      </c>
      <c r="M5" s="220" t="e">
        <f aca="false">_xlfn.COVARIANCE.P(#REF!,'Índices y Ranking Barrio'!M$4:M$134)</f>
        <v>#VALUE!</v>
      </c>
      <c r="N5" s="220" t="e">
        <f aca="false">_xlfn.COVARIANCE.P(#REF!,'Índices y Ranking Barrio'!N$4:N$134)</f>
        <v>#VALUE!</v>
      </c>
      <c r="O5" s="220" t="e">
        <f aca="false">_xlfn.COVARIANCE.P(#REF!,'Índices y Ranking Barrio'!O$4:O$131)</f>
        <v>#VALUE!</v>
      </c>
      <c r="P5" s="220" t="e">
        <f aca="false">_xlfn.COVARIANCE.P(#REF!,'Índices y Ranking Barrio'!P$4:P$134)</f>
        <v>#VALUE!</v>
      </c>
      <c r="Q5" s="220" t="e">
        <f aca="false">_xlfn.COVARIANCE.P(#REF!,'Índices y Ranking Barrio'!Q$4:Q$131)</f>
        <v>#VALUE!</v>
      </c>
      <c r="R5" s="220" t="e">
        <f aca="false">_xlfn.COVARIANCE.P(#REF!,'Índices y Ranking Barrio'!R$4:R$134)</f>
        <v>#VALUE!</v>
      </c>
      <c r="S5" s="220" t="e">
        <f aca="false">_xlfn.COVARIANCE.P(#REF!,'Índices y Ranking Barrio'!S$4:S$131)</f>
        <v>#VALUE!</v>
      </c>
    </row>
    <row r="6" customFormat="false" ht="15" hidden="false" customHeight="false" outlineLevel="0" collapsed="false">
      <c r="A6" s="220" t="s">
        <v>92</v>
      </c>
      <c r="B6" s="220" t="e">
        <f aca="false">_xlfn.COVARIANCE.P(#REF!,'Índices y Ranking Barrio'!D$4:D$134)</f>
        <v>#VALUE!</v>
      </c>
      <c r="C6" s="220" t="e">
        <f aca="false">_xlfn.COVARIANCE.P(#REF!,#REF!)</f>
        <v>#REF!</v>
      </c>
      <c r="D6" s="221" t="e">
        <f aca="false">_xlfn.COVARIANCE.P(#REF!,#REF!)</f>
        <v>#REF!</v>
      </c>
      <c r="E6" s="220" t="e">
        <f aca="false">_xlfn.COVARIANCE.P(#REF!,'Índices y Ranking Barrio'!E$4:E$134)</f>
        <v>#VALUE!</v>
      </c>
      <c r="F6" s="220" t="e">
        <f aca="false">_xlfn.COVARIANCE.P(#REF!,'Índices y Ranking Barrio'!F$4:F$134)</f>
        <v>#VALUE!</v>
      </c>
      <c r="G6" s="220" t="e">
        <f aca="false">_xlfn.COVARIANCE.P(#REF!,'Índices y Ranking Barrio'!G$4:G$134)</f>
        <v>#VALUE!</v>
      </c>
      <c r="H6" s="220" t="e">
        <f aca="false">_xlfn.COVARIANCE.P(#REF!,'Índices y Ranking Barrio'!H$4:H$134)</f>
        <v>#VALUE!</v>
      </c>
      <c r="I6" s="220" t="e">
        <f aca="false">_xlfn.COVARIANCE.P(#REF!,'Índices y Ranking Barrio'!I$4:I$134)</f>
        <v>#VALUE!</v>
      </c>
      <c r="J6" s="220" t="e">
        <f aca="false">_xlfn.COVARIANCE.P(#REF!,'Índices y Ranking Barrio'!J$4:J$134)</f>
        <v>#VALUE!</v>
      </c>
      <c r="K6" s="220" t="e">
        <f aca="false">_xlfn.COVARIANCE.P(#REF!,'Índices y Ranking Barrio'!K$4:K$134)</f>
        <v>#VALUE!</v>
      </c>
      <c r="L6" s="220" t="e">
        <f aca="false">_xlfn.COVARIANCE.P(#REF!,'Índices y Ranking Barrio'!L$4:L$134)</f>
        <v>#VALUE!</v>
      </c>
      <c r="M6" s="220" t="e">
        <f aca="false">_xlfn.COVARIANCE.P(#REF!,'Índices y Ranking Barrio'!M$4:M$134)</f>
        <v>#VALUE!</v>
      </c>
      <c r="N6" s="220" t="e">
        <f aca="false">_xlfn.COVARIANCE.P(#REF!,'Índices y Ranking Barrio'!N$4:N$134)</f>
        <v>#VALUE!</v>
      </c>
      <c r="O6" s="220" t="e">
        <f aca="false">_xlfn.COVARIANCE.P(#REF!,'Índices y Ranking Barrio'!O$4:O$131)</f>
        <v>#VALUE!</v>
      </c>
      <c r="P6" s="220" t="e">
        <f aca="false">_xlfn.COVARIANCE.P(#REF!,'Índices y Ranking Barrio'!P$4:P$134)</f>
        <v>#VALUE!</v>
      </c>
      <c r="Q6" s="220" t="e">
        <f aca="false">_xlfn.COVARIANCE.P(#REF!,'Índices y Ranking Barrio'!Q$4:Q$131)</f>
        <v>#VALUE!</v>
      </c>
      <c r="R6" s="220" t="e">
        <f aca="false">_xlfn.COVARIANCE.P(#REF!,'Índices y Ranking Barrio'!R$4:R$134)</f>
        <v>#VALUE!</v>
      </c>
      <c r="S6" s="220" t="e">
        <f aca="false">_xlfn.COVARIANCE.P(#REF!,'Índices y Ranking Barrio'!S$4:S$131)</f>
        <v>#VALUE!</v>
      </c>
    </row>
    <row r="7" customFormat="false" ht="15" hidden="false" customHeight="false" outlineLevel="0" collapsed="false">
      <c r="A7" s="220" t="s">
        <v>285</v>
      </c>
      <c r="B7" s="220" t="n">
        <f aca="false">_xlfn.COVARIANCE.P('Índices y Ranking Barrio'!$E$4:$E$134,'Índices y Ranking Barrio'!D$4:D$134)</f>
        <v>-545.844753959194</v>
      </c>
      <c r="C7" s="220" t="e">
        <f aca="false">_xlfn.COVARIANCE.P('Índices y Ranking Barrio'!$E$4:$E$134,#REF!)</f>
        <v>#VALUE!</v>
      </c>
      <c r="D7" s="220" t="e">
        <f aca="false">_xlfn.COVARIANCE.P('Índices y Ranking Barrio'!$E$4:$E$134,#REF!)</f>
        <v>#VALUE!</v>
      </c>
      <c r="E7" s="221" t="n">
        <f aca="false">_xlfn.COVARIANCE.P('Índices y Ranking Barrio'!$E$4:$E$134,'Índices y Ranking Barrio'!E$4:E$134)</f>
        <v>370675362.976738</v>
      </c>
      <c r="F7" s="220" t="n">
        <f aca="false">_xlfn.COVARIANCE.P('Índices y Ranking Barrio'!$E$4:$E$134,'Índices y Ranking Barrio'!F$4:F$134)</f>
        <v>-39345.7433923069</v>
      </c>
      <c r="G7" s="220" t="n">
        <f aca="false">_xlfn.COVARIANCE.P('Índices y Ranking Barrio'!$E$4:$E$134,'Índices y Ranking Barrio'!G$4:G$134)</f>
        <v>-43060.7676272976</v>
      </c>
      <c r="H7" s="220" t="n">
        <f aca="false">_xlfn.COVARIANCE.P('Índices y Ranking Barrio'!$E$4:$E$134,'Índices y Ranking Barrio'!H$4:H$134)</f>
        <v>-174.387055770357</v>
      </c>
      <c r="I7" s="220" t="n">
        <f aca="false">_xlfn.COVARIANCE.P('Índices y Ranking Barrio'!$E$4:$E$134,'Índices y Ranking Barrio'!I$4:I$134)</f>
        <v>963232351.775486</v>
      </c>
      <c r="J7" s="220" t="n">
        <f aca="false">_xlfn.COVARIANCE.P('Índices y Ranking Barrio'!$E$4:$E$134,'Índices y Ranking Barrio'!J$4:J$134)</f>
        <v>-188.398219249525</v>
      </c>
      <c r="K7" s="220" t="n">
        <f aca="false">_xlfn.COVARIANCE.P('Índices y Ranking Barrio'!$E$4:$E$134,'Índices y Ranking Barrio'!K$4:K$134)</f>
        <v>-7696327.92136245</v>
      </c>
      <c r="L7" s="220" t="n">
        <f aca="false">_xlfn.COVARIANCE.P('Índices y Ranking Barrio'!$E$4:$E$134,'Índices y Ranking Barrio'!L$4:L$134)</f>
        <v>-240.711781004351</v>
      </c>
      <c r="M7" s="220" t="n">
        <f aca="false">_xlfn.COVARIANCE.P('Índices y Ranking Barrio'!$E$4:$E$134,'Índices y Ranking Barrio'!M$4:M$134)</f>
        <v>-199.269227521642</v>
      </c>
      <c r="N7" s="220" t="n">
        <f aca="false">_xlfn.COVARIANCE.P('Índices y Ranking Barrio'!$E$4:$E$131,'Índices y Ranking Barrio'!N$4:N$131)</f>
        <v>-46.8792157007788</v>
      </c>
      <c r="O7" s="220" t="n">
        <f aca="false">_xlfn.COVARIANCE.P('Índices y Ranking Barrio'!$E$4:$E$131,'Índices y Ranking Barrio'!O$4:O$131)</f>
        <v>-0.51652921427103</v>
      </c>
      <c r="P7" s="220" t="n">
        <f aca="false">_xlfn.COVARIANCE.P('Índices y Ranking Barrio'!$E$4:$E$134,'Índices y Ranking Barrio'!P$4:P$134)</f>
        <v>-33.4211699505696</v>
      </c>
      <c r="Q7" s="220" t="n">
        <f aca="false">_xlfn.COVARIANCE.P('Índices y Ranking Barrio'!$E$4:$E$131,'Índices y Ranking Barrio'!Q$4:Q$131)</f>
        <v>-0.567395322960593</v>
      </c>
      <c r="R7" s="220" t="n">
        <f aca="false">_xlfn.COVARIANCE.P('Índices y Ranking Barrio'!$E$4:$E$134,'Índices y Ranking Barrio'!R$4:R$134)</f>
        <v>-52.0892689917651</v>
      </c>
      <c r="S7" s="220" t="n">
        <f aca="false">_xlfn.COVARIANCE.P('Índices y Ranking Barrio'!$E$4:$E$131,'Índices y Ranking Barrio'!S$4:S$131)</f>
        <v>-24.5251529351064</v>
      </c>
    </row>
    <row r="8" customFormat="false" ht="15" hidden="false" customHeight="false" outlineLevel="0" collapsed="false">
      <c r="A8" s="220" t="s">
        <v>120</v>
      </c>
      <c r="B8" s="220" t="n">
        <f aca="false">_xlfn.COVARIANCE.P('Índices y Ranking Barrio'!$F$4:$F$134,'Índices y Ranking Barrio'!D$4:D$134)</f>
        <v>0.073410262606662</v>
      </c>
      <c r="C8" s="220" t="e">
        <f aca="false">_xlfn.COVARIANCE.P('Índices y Ranking Barrio'!$F$4:$F$134,#REF!)</f>
        <v>#VALUE!</v>
      </c>
      <c r="D8" s="220" t="e">
        <f aca="false">_xlfn.COVARIANCE.P('Índices y Ranking Barrio'!$F$4:$F$134,#REF!)</f>
        <v>#VALUE!</v>
      </c>
      <c r="E8" s="220" t="n">
        <f aca="false">_xlfn.COVARIANCE.P('Índices y Ranking Barrio'!$F$4:$F$134,'Índices y Ranking Barrio'!E$4:E$134)</f>
        <v>-39345.7433923069</v>
      </c>
      <c r="F8" s="221" t="n">
        <f aca="false">_xlfn.COVARIANCE.P('Índices y Ranking Barrio'!$F$4:$F$134,'Índices y Ranking Barrio'!F$4:F$134)</f>
        <v>6.22670656721636</v>
      </c>
      <c r="G8" s="220" t="n">
        <f aca="false">_xlfn.COVARIANCE.P('Índices y Ranking Barrio'!$F$4:$F$134,'Índices y Ranking Barrio'!G$4:G$134)</f>
        <v>6.41353861080357</v>
      </c>
      <c r="H8" s="220" t="n">
        <f aca="false">_xlfn.COVARIANCE.P('Índices y Ranking Barrio'!$F$4:$F$134,'Índices y Ranking Barrio'!H$4:H$134)</f>
        <v>0.0287534450505888</v>
      </c>
      <c r="I8" s="220" t="n">
        <f aca="false">_xlfn.COVARIANCE.P('Índices y Ranking Barrio'!$F$4:$F$134,'Índices y Ranking Barrio'!I$4:I$134)</f>
        <v>-105768.270651856</v>
      </c>
      <c r="J8" s="220" t="n">
        <f aca="false">_xlfn.COVARIANCE.P('Índices y Ranking Barrio'!$F$4:$F$134,'Índices y Ranking Barrio'!J$4:J$134)</f>
        <v>0.0308573107907386</v>
      </c>
      <c r="K8" s="220" t="n">
        <f aca="false">_xlfn.COVARIANCE.P('Índices y Ranking Barrio'!$F$4:$F$134,'Índices y Ranking Barrio'!K$4:K$134)</f>
        <v>1323.00309888701</v>
      </c>
      <c r="L8" s="220" t="n">
        <f aca="false">_xlfn.COVARIANCE.P('Índices y Ranking Barrio'!$F$4:$F$134,'Índices y Ranking Barrio'!L$4:L$134)</f>
        <v>0.0402993269917794</v>
      </c>
      <c r="M8" s="220" t="n">
        <f aca="false">_xlfn.COVARIANCE.P('Índices y Ranking Barrio'!$F$4:$F$134,'Índices y Ranking Barrio'!M$4:M$134)</f>
        <v>0.0341328725553962</v>
      </c>
      <c r="N8" s="220" t="n">
        <f aca="false">_xlfn.COVARIANCE.P('Índices y Ranking Barrio'!$F$4:$F$134,'Índices y Ranking Barrio'!N$4:N$134)</f>
        <v>0.00688166124533224</v>
      </c>
      <c r="O8" s="220" t="n">
        <f aca="false">_xlfn.COVARIANCE.P('Índices y Ranking Barrio'!$F$4:$F$131,'Índices y Ranking Barrio'!O$4:O$131)</f>
        <v>5.48520132456641E-005</v>
      </c>
      <c r="P8" s="220" t="n">
        <f aca="false">_xlfn.COVARIANCE.P('Índices y Ranking Barrio'!$F$4:$F$134,'Índices y Ranking Barrio'!P$4:P$134)</f>
        <v>0.00521368016803802</v>
      </c>
      <c r="Q8" s="220" t="n">
        <f aca="false">_xlfn.COVARIANCE.P('Índices y Ranking Barrio'!$F$4:$F$131,'Índices y Ranking Barrio'!Q$4:Q$131)</f>
        <v>6.23747996107268E-005</v>
      </c>
      <c r="R8" s="220" t="n">
        <f aca="false">_xlfn.COVARIANCE.P('Índices y Ranking Barrio'!$F$4:$F$134,'Índices y Ranking Barrio'!R$4:R$134)</f>
        <v>0.00887796311823514</v>
      </c>
      <c r="S8" s="220" t="n">
        <f aca="false">_xlfn.COVARIANCE.P('Índices y Ranking Barrio'!$F$4:$F$131,'Índices y Ranking Barrio'!S$4:S$131)</f>
        <v>0.00378952376652688</v>
      </c>
    </row>
    <row r="9" customFormat="false" ht="15" hidden="false" customHeight="false" outlineLevel="0" collapsed="false">
      <c r="A9" s="220" t="s">
        <v>97</v>
      </c>
      <c r="B9" s="220" t="n">
        <f aca="false">_xlfn.COVARIANCE.P('Índices y Ranking Barrio'!$G$4:$G$134,'Índices y Ranking Barrio'!D$4:D$134)</f>
        <v>0.088037417254782</v>
      </c>
      <c r="C9" s="220" t="e">
        <f aca="false">_xlfn.COVARIANCE.P('Índices y Ranking Barrio'!$G$4:$G$134,#REF!)</f>
        <v>#VALUE!</v>
      </c>
      <c r="D9" s="220" t="e">
        <f aca="false">_xlfn.COVARIANCE.P('Índices y Ranking Barrio'!$G$4:$G$134,#REF!)</f>
        <v>#VALUE!</v>
      </c>
      <c r="E9" s="220" t="n">
        <f aca="false">_xlfn.COVARIANCE.P('Índices y Ranking Barrio'!$G$4:$G$134,'Índices y Ranking Barrio'!E$4:E$134)</f>
        <v>-43060.7676272976</v>
      </c>
      <c r="F9" s="220" t="n">
        <f aca="false">_xlfn.COVARIANCE.P('Índices y Ranking Barrio'!$G$4:$G$134,'Índices y Ranking Barrio'!F$4:F$134)</f>
        <v>6.41353861080357</v>
      </c>
      <c r="G9" s="221" t="n">
        <f aca="false">_xlfn.COVARIANCE.P('Índices y Ranking Barrio'!$G$4:$G$134,'Índices y Ranking Barrio'!G$4:G$134)</f>
        <v>7.00390857176155</v>
      </c>
      <c r="H9" s="220" t="n">
        <f aca="false">_xlfn.COVARIANCE.P('Índices y Ranking Barrio'!$G$4:$G$134,'Índices y Ranking Barrio'!H$4:H$134)</f>
        <v>0.0290145385411107</v>
      </c>
      <c r="I9" s="220" t="n">
        <f aca="false">_xlfn.COVARIANCE.P('Índices y Ranking Barrio'!$G$4:$G$134,'Índices y Ranking Barrio'!I$4:I$134)</f>
        <v>-112998.564624387</v>
      </c>
      <c r="J9" s="220" t="n">
        <f aca="false">_xlfn.COVARIANCE.P('Índices y Ranking Barrio'!$G$4:$G$134,'Índices y Ranking Barrio'!J$4:J$134)</f>
        <v>0.0309606736303636</v>
      </c>
      <c r="K9" s="220" t="n">
        <f aca="false">_xlfn.COVARIANCE.P('Índices y Ranking Barrio'!$G$4:$G$134,'Índices y Ranking Barrio'!K$4:K$134)</f>
        <v>1353.85329234893</v>
      </c>
      <c r="L9" s="220" t="n">
        <f aca="false">_xlfn.COVARIANCE.P('Índices y Ranking Barrio'!$G$4:$G$134,'Índices y Ranking Barrio'!L$4:L$134)</f>
        <v>0.0404868238853753</v>
      </c>
      <c r="M9" s="220" t="n">
        <f aca="false">_xlfn.COVARIANCE.P('Índices y Ranking Barrio'!$G$4:$G$134,'Índices y Ranking Barrio'!M$4:M$134)</f>
        <v>0.0340464332755734</v>
      </c>
      <c r="N9" s="220" t="n">
        <f aca="false">_xlfn.COVARIANCE.P('Índices y Ranking Barrio'!$G$4:$G$131,'Índices y Ranking Barrio'!N$4:N$131)</f>
        <v>0.00743798517533494</v>
      </c>
      <c r="O9" s="220" t="n">
        <f aca="false">_xlfn.COVARIANCE.P('Índices y Ranking Barrio'!$G$4:$G$131,'Índices y Ranking Barrio'!O$4:O$131)</f>
        <v>5.98913342198134E-005</v>
      </c>
      <c r="P9" s="220" t="n">
        <f aca="false">_xlfn.COVARIANCE.P('Índices y Ranking Barrio'!$G$4:$G$134,'Índices y Ranking Barrio'!P$4:P$134)</f>
        <v>0.00547882825251193</v>
      </c>
      <c r="Q9" s="220" t="n">
        <f aca="false">_xlfn.COVARIANCE.P('Índices y Ranking Barrio'!$G$4:$G$131,'Índices y Ranking Barrio'!Q$4:Q$131)</f>
        <v>6.65590337096088E-005</v>
      </c>
      <c r="R9" s="220" t="n">
        <f aca="false">_xlfn.COVARIANCE.P('Índices y Ranking Barrio'!$G$4:$G$134,'Índices y Ranking Barrio'!R$4:R$134)</f>
        <v>0.00902797539366169</v>
      </c>
      <c r="S9" s="220" t="n">
        <f aca="false">_xlfn.COVARIANCE.P('Índices y Ranking Barrio'!$G$4:$G$131,'Índices y Ranking Barrio'!S$4:S$131)</f>
        <v>0.00398363860549215</v>
      </c>
    </row>
    <row r="10" customFormat="false" ht="15" hidden="false" customHeight="false" outlineLevel="0" collapsed="false">
      <c r="A10" s="220" t="s">
        <v>121</v>
      </c>
      <c r="B10" s="220" t="n">
        <f aca="false">_xlfn.COVARIANCE.P('Índices y Ranking Barrio'!$H$4:$H$134,'Índices y Ranking Barrio'!D$4:D$134)</f>
        <v>0.000399972708326402</v>
      </c>
      <c r="C10" s="220" t="e">
        <f aca="false">_xlfn.COVARIANCE.P('Índices y Ranking Barrio'!$H$4:$H$134,#REF!)</f>
        <v>#VALUE!</v>
      </c>
      <c r="D10" s="220" t="e">
        <f aca="false">_xlfn.COVARIANCE.P('Índices y Ranking Barrio'!$H$4:$H$134,#REF!)</f>
        <v>#VALUE!</v>
      </c>
      <c r="E10" s="220" t="n">
        <f aca="false">_xlfn.COVARIANCE.P('Índices y Ranking Barrio'!$H$4:$H$134,'Índices y Ranking Barrio'!E$4:E$134)</f>
        <v>-174.387055770357</v>
      </c>
      <c r="F10" s="220" t="n">
        <f aca="false">_xlfn.COVARIANCE.P('Índices y Ranking Barrio'!$H$4:$H$134,'Índices y Ranking Barrio'!F$4:F$134)</f>
        <v>0.0287534450505888</v>
      </c>
      <c r="G10" s="220" t="n">
        <f aca="false">_xlfn.COVARIANCE.P('Índices y Ranking Barrio'!$H$4:$H$134,'Índices y Ranking Barrio'!G$4:G$134)</f>
        <v>0.0290145385411107</v>
      </c>
      <c r="H10" s="221" t="n">
        <f aca="false">_xlfn.COVARIANCE.P('Índices y Ranking Barrio'!$H$4:$H$134,'Índices y Ranking Barrio'!H$4:H$134)</f>
        <v>0.000214543193581648</v>
      </c>
      <c r="I10" s="220" t="n">
        <f aca="false">_xlfn.COVARIANCE.P('Índices y Ranking Barrio'!$H$4:$H$134,'Índices y Ranking Barrio'!I$4:I$134)</f>
        <v>-543.220705465431</v>
      </c>
      <c r="J10" s="220" t="n">
        <f aca="false">_xlfn.COVARIANCE.P('Índices y Ranking Barrio'!$H$4:$H$134,'Índices y Ranking Barrio'!J$4:J$134)</f>
        <v>0.000225906754812191</v>
      </c>
      <c r="K10" s="220" t="n">
        <f aca="false">_xlfn.COVARIANCE.P('Índices y Ranking Barrio'!$H$4:$H$134,'Índices y Ranking Barrio'!K$4:K$134)</f>
        <v>9.72365992158631</v>
      </c>
      <c r="L10" s="220" t="n">
        <f aca="false">_xlfn.COVARIANCE.P('Índices y Ranking Barrio'!$H$4:$H$134,'Índices y Ranking Barrio'!L$4:L$134)</f>
        <v>0.000289615790002683</v>
      </c>
      <c r="M10" s="220" t="n">
        <f aca="false">_xlfn.COVARIANCE.P('Índices y Ranking Barrio'!$H$4:$H$134,'Índices y Ranking Barrio'!M$4:M$134)</f>
        <v>0.000252275934697018</v>
      </c>
      <c r="N10" s="220" t="n">
        <f aca="false">_xlfn.COVARIANCE.P('Índices y Ranking Barrio'!$H$4:$H$134,'Índices y Ranking Barrio'!N$4:N$134)</f>
        <v>3.49212700923097E-005</v>
      </c>
      <c r="O10" s="220" t="n">
        <f aca="false">_xlfn.COVARIANCE.P('Índices y Ranking Barrio'!$H$4:$H$131,'Índices y Ranking Barrio'!O$4:O$131)</f>
        <v>2.45382520281298E-007</v>
      </c>
      <c r="P10" s="220" t="n">
        <f aca="false">_xlfn.COVARIANCE.P('Índices y Ranking Barrio'!$H$4:$H$134,'Índices y Ranking Barrio'!P$4:P$134)</f>
        <v>2.89390059265258E-005</v>
      </c>
      <c r="Q10" s="220" t="n">
        <f aca="false">_xlfn.COVARIANCE.P('Índices y Ranking Barrio'!$H$4:$H$131,'Índices y Ranking Barrio'!Q$4:Q$131)</f>
        <v>3.2175666669526E-007</v>
      </c>
      <c r="R10" s="220" t="n">
        <f aca="false">_xlfn.COVARIANCE.P('Índices y Ranking Barrio'!$H$4:$H$134,'Índices y Ranking Barrio'!R$4:R$134)</f>
        <v>6.50388313448795E-005</v>
      </c>
      <c r="S10" s="220" t="n">
        <f aca="false">_xlfn.COVARIANCE.P('Índices y Ranking Barrio'!$H$4:$H$131,'Índices y Ranking Barrio'!S$4:S$131)</f>
        <v>2.19220779503238E-005</v>
      </c>
    </row>
    <row r="11" customFormat="false" ht="15" hidden="false" customHeight="false" outlineLevel="0" collapsed="false">
      <c r="A11" s="220" t="s">
        <v>122</v>
      </c>
      <c r="B11" s="220" t="n">
        <f aca="false">_xlfn.COVARIANCE.P('Índices y Ranking Barrio'!$I$4:$I$134,'Índices y Ranking Barrio'!D$4:D$134)</f>
        <v>-1285.63539169203</v>
      </c>
      <c r="C11" s="220" t="e">
        <f aca="false">_xlfn.COVARIANCE.P('Índices y Ranking Barrio'!$I$4:$I$134,#REF!)</f>
        <v>#VALUE!</v>
      </c>
      <c r="D11" s="220" t="e">
        <f aca="false">_xlfn.COVARIANCE.P('Índices y Ranking Barrio'!$I$4:$I$134,#REF!)</f>
        <v>#VALUE!</v>
      </c>
      <c r="E11" s="220" t="n">
        <f aca="false">_xlfn.COVARIANCE.P('Índices y Ranking Barrio'!$I$4:$I$134,'Índices y Ranking Barrio'!E$4:E$134)</f>
        <v>963232351.775486</v>
      </c>
      <c r="F11" s="220" t="n">
        <f aca="false">_xlfn.COVARIANCE.P('Índices y Ranking Barrio'!$I$4:$I$134,'Índices y Ranking Barrio'!F$4:F$134)</f>
        <v>-105768.270651856</v>
      </c>
      <c r="G11" s="220" t="n">
        <f aca="false">_xlfn.COVARIANCE.P('Índices y Ranking Barrio'!$I$4:$I$134,'Índices y Ranking Barrio'!G$4:G$134)</f>
        <v>-112998.564624387</v>
      </c>
      <c r="H11" s="220" t="n">
        <f aca="false">_xlfn.COVARIANCE.P('Índices y Ranking Barrio'!$I$4:$I$134,'Índices y Ranking Barrio'!H$4:H$134)</f>
        <v>-543.220705465431</v>
      </c>
      <c r="I11" s="221" t="n">
        <f aca="false">_xlfn.COVARIANCE.P('Índices y Ranking Barrio'!$I$4:$I$134,'Índices y Ranking Barrio'!I$4:I$134)</f>
        <v>3479854277.41078</v>
      </c>
      <c r="J11" s="220" t="n">
        <f aca="false">_xlfn.COVARIANCE.P('Índices y Ranking Barrio'!$I$4:$I$134,'Índices y Ranking Barrio'!J$4:J$134)</f>
        <v>-687.445677666585</v>
      </c>
      <c r="K11" s="220" t="n">
        <f aca="false">_xlfn.COVARIANCE.P('Índices y Ranking Barrio'!$I$4:$I$134,'Índices y Ranking Barrio'!K$4:K$134)</f>
        <v>-24027968.4129468</v>
      </c>
      <c r="L11" s="220" t="n">
        <f aca="false">_xlfn.COVARIANCE.P('Índices y Ranking Barrio'!$I$4:$I$134,'Índices y Ranking Barrio'!L$4:L$134)</f>
        <v>-883.873340632593</v>
      </c>
      <c r="M11" s="220" t="n">
        <f aca="false">_xlfn.COVARIANCE.P('Índices y Ranking Barrio'!$I$4:$I$134,'Índices y Ranking Barrio'!M$4:M$134)</f>
        <v>-747.124496216416</v>
      </c>
      <c r="N11" s="220" t="n">
        <f aca="false">_xlfn.COVARIANCE.P('Índices y Ranking Barrio'!$I$4:$I$134,'Índices y Ranking Barrio'!N$4:N$134)</f>
        <v>-123.760284243853</v>
      </c>
      <c r="O11" s="220" t="n">
        <f aca="false">_xlfn.COVARIANCE.P('Índices y Ranking Barrio'!$I$4:$I$131,'Índices y Ranking Barrio'!O$4:O$131)</f>
        <v>-1.35627991915213</v>
      </c>
      <c r="P11" s="220" t="n">
        <f aca="false">_xlfn.COVARIANCE.P('Índices y Ranking Barrio'!$I$4:$I$134,'Índices y Ranking Barrio'!P$4:P$134)</f>
        <v>-93.458501717129</v>
      </c>
      <c r="Q11" s="220" t="n">
        <f aca="false">_xlfn.COVARIANCE.P('Índices y Ranking Barrio'!$I$4:$I$131,'Índices y Ranking Barrio'!Q$4:Q$131)</f>
        <v>-2.05676370227917</v>
      </c>
      <c r="R11" s="220" t="n">
        <f aca="false">_xlfn.COVARIANCE.P('Índices y Ranking Barrio'!$I$4:$I$134,'Índices y Ranking Barrio'!R$4:R$134)</f>
        <v>-171.848239785497</v>
      </c>
      <c r="S11" s="220" t="n">
        <f aca="false">_xlfn.COVARIANCE.P('Índices y Ranking Barrio'!$I$4:$I$131,'Índices y Ranking Barrio'!S$4:S$131)</f>
        <v>-70.6932285768244</v>
      </c>
    </row>
    <row r="12" customFormat="false" ht="15" hidden="false" customHeight="false" outlineLevel="0" collapsed="false">
      <c r="A12" s="220" t="s">
        <v>123</v>
      </c>
      <c r="B12" s="220" t="n">
        <f aca="false">_xlfn.COVARIANCE.P('Índices y Ranking Barrio'!$J$4:$J$134,'Índices y Ranking Barrio'!D$4:D$134)</f>
        <v>0.000483415972244743</v>
      </c>
      <c r="C12" s="220" t="e">
        <f aca="false">_xlfn.COVARIANCE.P('Índices y Ranking Barrio'!$J$4:$J$134,#REF!)</f>
        <v>#VALUE!</v>
      </c>
      <c r="D12" s="220" t="e">
        <f aca="false">_xlfn.COVARIANCE.P('Índices y Ranking Barrio'!$J$4:$J$134,#REF!)</f>
        <v>#VALUE!</v>
      </c>
      <c r="E12" s="220" t="n">
        <f aca="false">_xlfn.COVARIANCE.P('Índices y Ranking Barrio'!$J$4:$J$134,'Índices y Ranking Barrio'!E$4:E$134)</f>
        <v>-188.398219249525</v>
      </c>
      <c r="F12" s="220" t="n">
        <f aca="false">_xlfn.COVARIANCE.P('Índices y Ranking Barrio'!$J$4:$J$134,'Índices y Ranking Barrio'!F$4:F$134)</f>
        <v>0.0308573107907386</v>
      </c>
      <c r="G12" s="220" t="n">
        <f aca="false">_xlfn.COVARIANCE.P('Índices y Ranking Barrio'!$J$4:$J$134,'Índices y Ranking Barrio'!G$4:G$134)</f>
        <v>0.0309606736303636</v>
      </c>
      <c r="H12" s="220" t="n">
        <f aca="false">_xlfn.COVARIANCE.P('Índices y Ranking Barrio'!$J$4:$J$134,'Índices y Ranking Barrio'!H$4:H$134)</f>
        <v>0.000225906754812191</v>
      </c>
      <c r="I12" s="220" t="n">
        <f aca="false">_xlfn.COVARIANCE.P('Índices y Ranking Barrio'!$J$4:$J$134,'Índices y Ranking Barrio'!I$4:I$134)</f>
        <v>-687.445677666585</v>
      </c>
      <c r="J12" s="221" t="n">
        <f aca="false">_xlfn.COVARIANCE.P('Índices y Ranking Barrio'!$J$4:$J$134,'Índices y Ranking Barrio'!J$4:J$134)</f>
        <v>0.000678462606362723</v>
      </c>
      <c r="K12" s="220" t="n">
        <f aca="false">_xlfn.COVARIANCE.P('Índices y Ranking Barrio'!$J$4:$J$134,'Índices y Ranking Barrio'!K$4:K$134)</f>
        <v>14.6317531638126</v>
      </c>
      <c r="L12" s="220" t="n">
        <f aca="false">_xlfn.COVARIANCE.P('Índices y Ranking Barrio'!$J$4:$J$134,'Índices y Ranking Barrio'!L$4:L$134)</f>
        <v>0.000739560751687579</v>
      </c>
      <c r="M12" s="220" t="n">
        <f aca="false">_xlfn.COVARIANCE.P('Índices y Ranking Barrio'!$J$4:$J$134,'Índices y Ranking Barrio'!M$4:M$134)</f>
        <v>0.000646204300624201</v>
      </c>
      <c r="N12" s="220" t="n">
        <f aca="false">_xlfn.COVARIANCE.P('Índices y Ranking Barrio'!$J$4:$J$131,'Índices y Ranking Barrio'!N$4:N$131)</f>
        <v>4.09185901118641E-005</v>
      </c>
      <c r="O12" s="220" t="n">
        <f aca="false">_xlfn.COVARIANCE.P('Índices y Ranking Barrio'!$J$4:$J$131,'Índices y Ranking Barrio'!O$4:O$131)</f>
        <v>2.6283835421212E-007</v>
      </c>
      <c r="P12" s="220" t="n">
        <f aca="false">_xlfn.COVARIANCE.P('Índices y Ranking Barrio'!$J$4:$J$134,'Índices y Ranking Barrio'!P$4:P$134)</f>
        <v>3.0721993503518E-005</v>
      </c>
      <c r="Q12" s="220" t="n">
        <f aca="false">_xlfn.COVARIANCE.P('Índices y Ranking Barrio'!$J$4:$J$131,'Índices y Ranking Barrio'!Q$4:Q$131)</f>
        <v>4.076480616521E-007</v>
      </c>
      <c r="R12" s="220" t="n">
        <f aca="false">_xlfn.COVARIANCE.P('Índices y Ranking Barrio'!$J$4:$J$134,'Índices y Ranking Barrio'!R$4:R$134)</f>
        <v>0.00012143586538328</v>
      </c>
      <c r="S12" s="220" t="n">
        <f aca="false">_xlfn.COVARIANCE.P('Índices y Ranking Barrio'!$J$4:$J$131,'Índices y Ranking Barrio'!S$4:S$131)</f>
        <v>2.81241058438666E-005</v>
      </c>
    </row>
    <row r="13" customFormat="false" ht="15" hidden="false" customHeight="false" outlineLevel="0" collapsed="false">
      <c r="A13" s="220" t="s">
        <v>105</v>
      </c>
      <c r="B13" s="220" t="n">
        <f aca="false">_xlfn.COVARIANCE.P('Índices y Ranking Barrio'!$K$4:$K$134,'Índices y Ranking Barrio'!D$4:D$134)</f>
        <v>21.5574097108765</v>
      </c>
      <c r="C13" s="220" t="e">
        <f aca="false">_xlfn.COVARIANCE.P('Índices y Ranking Barrio'!$K$4:$K$134,#REF!)</f>
        <v>#VALUE!</v>
      </c>
      <c r="D13" s="220" t="e">
        <f aca="false">_xlfn.COVARIANCE.P('Índices y Ranking Barrio'!$K$4:$K$134,#REF!)</f>
        <v>#VALUE!</v>
      </c>
      <c r="E13" s="220" t="n">
        <f aca="false">_xlfn.COVARIANCE.P('Índices y Ranking Barrio'!$K$4:$K$134,'Índices y Ranking Barrio'!E$4:E$134)</f>
        <v>-7696327.92136245</v>
      </c>
      <c r="F13" s="220" t="n">
        <f aca="false">_xlfn.COVARIANCE.P('Índices y Ranking Barrio'!$K$4:$K$134,'Índices y Ranking Barrio'!F$4:F$134)</f>
        <v>1323.00309888701</v>
      </c>
      <c r="G13" s="220" t="n">
        <f aca="false">_xlfn.COVARIANCE.P('Índices y Ranking Barrio'!$K$4:$K$134,'Índices y Ranking Barrio'!G$4:G$134)</f>
        <v>1353.85329234893</v>
      </c>
      <c r="H13" s="220" t="n">
        <f aca="false">_xlfn.COVARIANCE.P('Índices y Ranking Barrio'!$K$4:$K$134,'Índices y Ranking Barrio'!H$4:H$134)</f>
        <v>9.72365992158631</v>
      </c>
      <c r="I13" s="220" t="n">
        <f aca="false">_xlfn.COVARIANCE.P('Índices y Ranking Barrio'!$K$4:$K$134,'Índices y Ranking Barrio'!I$4:I$134)</f>
        <v>-24027968.4129468</v>
      </c>
      <c r="J13" s="220" t="n">
        <f aca="false">_xlfn.COVARIANCE.P('Índices y Ranking Barrio'!$K$4:$K$134,'Índices y Ranking Barrio'!J$4:J$134)</f>
        <v>14.6317531638126</v>
      </c>
      <c r="K13" s="221" t="n">
        <f aca="false">_xlfn.COVARIANCE.P('Índices y Ranking Barrio'!$K$4:$K$134,'Índices y Ranking Barrio'!K$4:K$134)</f>
        <v>588360.932113514</v>
      </c>
      <c r="L13" s="220" t="n">
        <f aca="false">_xlfn.COVARIANCE.P('Índices y Ranking Barrio'!$K$4:$K$134,'Índices y Ranking Barrio'!L$4:L$134)</f>
        <v>18.4564764486693</v>
      </c>
      <c r="M13" s="220" t="n">
        <f aca="false">_xlfn.COVARIANCE.P('Índices y Ranking Barrio'!$K$4:$K$134,'Índices y Ranking Barrio'!M$4:M$134)</f>
        <v>16.1557001066191</v>
      </c>
      <c r="N13" s="220" t="n">
        <f aca="false">_xlfn.COVARIANCE.P('Índices y Ranking Barrio'!$K$4:$K$131,'Índices y Ranking Barrio'!N$4:N$131)</f>
        <v>1.73933187877766</v>
      </c>
      <c r="O13" s="220" t="n">
        <f aca="false">_xlfn.COVARIANCE.P('Índices y Ranking Barrio'!$K$4:$K$131,'Índices y Ranking Barrio'!O$4:O$131)</f>
        <v>0.0108200202486594</v>
      </c>
      <c r="P13" s="220" t="n">
        <f aca="false">_xlfn.COVARIANCE.P('Índices y Ranking Barrio'!$K$4:$K$134,'Índices y Ranking Barrio'!P$4:P$134)</f>
        <v>1.32926152372341</v>
      </c>
      <c r="Q13" s="220" t="n">
        <f aca="false">_xlfn.COVARIANCE.P('Índices y Ranking Barrio'!$K$4:$K$131,'Índices y Ranking Barrio'!Q$4:Q$131)</f>
        <v>0.014234256408934</v>
      </c>
      <c r="R13" s="220" t="n">
        <f aca="false">_xlfn.COVARIANCE.P('Índices y Ranking Barrio'!$K$4:$K$134,'Índices y Ranking Barrio'!R$4:R$134)</f>
        <v>4.00718005037286</v>
      </c>
      <c r="S13" s="220" t="n">
        <f aca="false">_xlfn.COVARIANCE.P('Índices y Ranking Barrio'!$K$4:$K$131,'Índices y Ranking Barrio'!S$4:S$131)</f>
        <v>1.121782385383</v>
      </c>
    </row>
    <row r="14" customFormat="false" ht="15" hidden="false" customHeight="false" outlineLevel="0" collapsed="false">
      <c r="A14" s="220" t="s">
        <v>106</v>
      </c>
      <c r="B14" s="220" t="n">
        <f aca="false">_xlfn.COVARIANCE.P('Índices y Ranking Barrio'!$L$4:$L$134,'Índices y Ranking Barrio'!D$4:D$134)</f>
        <v>0.000654004847401908</v>
      </c>
      <c r="C14" s="220" t="e">
        <f aca="false">_xlfn.COVARIANCE.P('Índices y Ranking Barrio'!$L$4:$L$134,#REF!)</f>
        <v>#VALUE!</v>
      </c>
      <c r="D14" s="220" t="e">
        <f aca="false">_xlfn.COVARIANCE.P('Índices y Ranking Barrio'!$L$4:$L$134,#REF!)</f>
        <v>#VALUE!</v>
      </c>
      <c r="E14" s="220" t="n">
        <f aca="false">_xlfn.COVARIANCE.P('Índices y Ranking Barrio'!$L$4:$L$134,'Índices y Ranking Barrio'!E$4:E$134)</f>
        <v>-240.711781004351</v>
      </c>
      <c r="F14" s="220" t="n">
        <f aca="false">_xlfn.COVARIANCE.P('Índices y Ranking Barrio'!$L$4:$L$134,'Índices y Ranking Barrio'!F$4:F$134)</f>
        <v>0.0402993269917794</v>
      </c>
      <c r="G14" s="220" t="n">
        <f aca="false">_xlfn.COVARIANCE.P('Índices y Ranking Barrio'!$L$4:$L$134,'Índices y Ranking Barrio'!G$4:G$134)</f>
        <v>0.0404868238853753</v>
      </c>
      <c r="H14" s="220" t="n">
        <f aca="false">_xlfn.COVARIANCE.P('Índices y Ranking Barrio'!$L$4:$L$134,'Índices y Ranking Barrio'!H$4:H$134)</f>
        <v>0.000289615790002683</v>
      </c>
      <c r="I14" s="220" t="n">
        <f aca="false">_xlfn.COVARIANCE.P('Índices y Ranking Barrio'!$L$4:$L$134,'Índices y Ranking Barrio'!I$4:I$134)</f>
        <v>-883.873340632593</v>
      </c>
      <c r="J14" s="220" t="n">
        <f aca="false">_xlfn.COVARIANCE.P('Índices y Ranking Barrio'!$L$4:$L$134,'Índices y Ranking Barrio'!J$4:J$134)</f>
        <v>0.000739560751687579</v>
      </c>
      <c r="K14" s="220" t="n">
        <f aca="false">_xlfn.COVARIANCE.P('Índices y Ranking Barrio'!$L$4:$L$134,'Índices y Ranking Barrio'!K$4:K$134)</f>
        <v>18.4564764486693</v>
      </c>
      <c r="L14" s="221" t="n">
        <f aca="false">_xlfn.COVARIANCE.P('Índices y Ranking Barrio'!$L$4:$L$134,'Índices y Ranking Barrio'!L$4:L$134)</f>
        <v>0.000862331715105895</v>
      </c>
      <c r="M14" s="220" t="n">
        <f aca="false">_xlfn.COVARIANCE.P('Índices y Ranking Barrio'!$L$4:$L$134,'Índices y Ranking Barrio'!M$4:M$134)</f>
        <v>0.000748438044552073</v>
      </c>
      <c r="N14" s="220" t="n">
        <f aca="false">_xlfn.COVARIANCE.P('Índices y Ranking Barrio'!$L$4:$L$134,'Índices y Ranking Barrio'!N$4:N$134)</f>
        <v>5.5357063811569E-005</v>
      </c>
      <c r="O14" s="220" t="n">
        <f aca="false">_xlfn.COVARIANCE.P('Índices y Ranking Barrio'!$L$4:$L$131,'Índices y Ranking Barrio'!O$4:O$131)</f>
        <v>3.36709360093845E-007</v>
      </c>
      <c r="P14" s="220" t="n">
        <f aca="false">_xlfn.COVARIANCE.P('Índices y Ranking Barrio'!$L$4:$L$134,'Índices y Ranking Barrio'!P$4:P$134)</f>
        <v>3.98051023018166E-005</v>
      </c>
      <c r="Q14" s="220" t="n">
        <f aca="false">_xlfn.COVARIANCE.P('Índices y Ranking Barrio'!$L$4:$L$131,'Índices y Ranking Barrio'!Q$4:Q$131)</f>
        <v>5.23916538356412E-007</v>
      </c>
      <c r="R14" s="220" t="n">
        <f aca="false">_xlfn.COVARIANCE.P('Índices y Ranking Barrio'!$L$4:$L$134,'Índices y Ranking Barrio'!R$4:R$134)</f>
        <v>0.000146668619596976</v>
      </c>
      <c r="S14" s="220" t="n">
        <f aca="false">_xlfn.COVARIANCE.P('Índices y Ranking Barrio'!$L$4:$L$131,'Índices y Ranking Barrio'!S$4:S$131)</f>
        <v>3.61188118829772E-005</v>
      </c>
    </row>
    <row r="15" customFormat="false" ht="15" hidden="false" customHeight="false" outlineLevel="0" collapsed="false">
      <c r="A15" s="220" t="s">
        <v>107</v>
      </c>
      <c r="B15" s="220" t="n">
        <f aca="false">_xlfn.COVARIANCE.P('Índices y Ranking Barrio'!$M$4:$M$134,'Índices y Ranking Barrio'!D$4:D$134)</f>
        <v>0.000554788168462127</v>
      </c>
      <c r="C15" s="220" t="e">
        <f aca="false">_xlfn.COVARIANCE.P('Índices y Ranking Barrio'!$M$4:$M$134,#REF!)</f>
        <v>#VALUE!</v>
      </c>
      <c r="D15" s="220" t="e">
        <f aca="false">_xlfn.COVARIANCE.P('Índices y Ranking Barrio'!$M$4:$M$134,#REF!)</f>
        <v>#VALUE!</v>
      </c>
      <c r="E15" s="220" t="n">
        <f aca="false">_xlfn.COVARIANCE.P('Índices y Ranking Barrio'!$M$4:$M$134,'Índices y Ranking Barrio'!E$4:E$134)</f>
        <v>-199.269227521642</v>
      </c>
      <c r="F15" s="220" t="n">
        <f aca="false">_xlfn.COVARIANCE.P('Índices y Ranking Barrio'!$M$4:$M$134,'Índices y Ranking Barrio'!F$4:F$134)</f>
        <v>0.0341328725553962</v>
      </c>
      <c r="G15" s="220" t="n">
        <f aca="false">_xlfn.COVARIANCE.P('Índices y Ranking Barrio'!$M$4:$M$134,'Índices y Ranking Barrio'!G$4:G$134)</f>
        <v>0.0340464332755734</v>
      </c>
      <c r="H15" s="220" t="n">
        <f aca="false">_xlfn.COVARIANCE.P('Índices y Ranking Barrio'!$M$4:$M$134,'Índices y Ranking Barrio'!H$4:H$134)</f>
        <v>0.000252275934697018</v>
      </c>
      <c r="I15" s="220" t="n">
        <f aca="false">_xlfn.COVARIANCE.P('Índices y Ranking Barrio'!$M$4:$M$134,'Índices y Ranking Barrio'!I$4:I$134)</f>
        <v>-747.124496216416</v>
      </c>
      <c r="J15" s="220" t="n">
        <f aca="false">_xlfn.COVARIANCE.P('Índices y Ranking Barrio'!$M$4:$M$134,'Índices y Ranking Barrio'!J$4:J$134)</f>
        <v>0.000646204300624201</v>
      </c>
      <c r="K15" s="220" t="n">
        <f aca="false">_xlfn.COVARIANCE.P('Índices y Ranking Barrio'!$M$4:$M$134,'Índices y Ranking Barrio'!K$4:K$134)</f>
        <v>16.1557001066191</v>
      </c>
      <c r="L15" s="220" t="n">
        <f aca="false">_xlfn.COVARIANCE.P('Índices y Ranking Barrio'!$M$4:$M$134,'Índices y Ranking Barrio'!L$4:L$134)</f>
        <v>0.000748438044552073</v>
      </c>
      <c r="M15" s="221" t="n">
        <f aca="false">_xlfn.COVARIANCE.P('Índices y Ranking Barrio'!$M$4:$M$134,'Índices y Ranking Barrio'!M$4:M$134)</f>
        <v>0.000677911080842154</v>
      </c>
      <c r="N15" s="220" t="n">
        <f aca="false">_xlfn.COVARIANCE.P('Índices y Ranking Barrio'!$M$4:$M$131,'Índices y Ranking Barrio'!N$4:N$131)</f>
        <v>4.64930508150666E-005</v>
      </c>
      <c r="O15" s="220" t="n">
        <f aca="false">_xlfn.COVARIANCE.P('Índices y Ranking Barrio'!$M$4:$M$131,'Índices y Ranking Barrio'!O$4:O$131)</f>
        <v>2.78187730050385E-007</v>
      </c>
      <c r="P15" s="220" t="n">
        <f aca="false">_xlfn.COVARIANCE.P('Índices y Ranking Barrio'!$M$4:$M$134,'Índices y Ranking Barrio'!P$4:P$134)</f>
        <v>3.40580023472109E-005</v>
      </c>
      <c r="Q15" s="220" t="n">
        <f aca="false">_xlfn.COVARIANCE.P('Índices y Ranking Barrio'!$M$4:$M$131,'Índices y Ranking Barrio'!Q$4:Q$131)</f>
        <v>4.42970330826138E-007</v>
      </c>
      <c r="R15" s="220" t="n">
        <f aca="false">_xlfn.COVARIANCE.P('Índices y Ranking Barrio'!$M$4:$M$134,'Índices y Ranking Barrio'!R$4:R$134)</f>
        <v>0.000128578857465557</v>
      </c>
      <c r="S15" s="220" t="n">
        <f aca="false">_xlfn.COVARIANCE.P('Índices y Ranking Barrio'!$M$4:$M$131,'Índices y Ranking Barrio'!S$4:S$131)</f>
        <v>3.09039266666574E-005</v>
      </c>
    </row>
    <row r="16" customFormat="false" ht="15" hidden="false" customHeight="false" outlineLevel="0" collapsed="false">
      <c r="A16" s="220" t="s">
        <v>70</v>
      </c>
      <c r="B16" s="220" t="n">
        <f aca="false">_xlfn.COVARIANCE.P('Índices y Ranking Barrio'!$N$4:$N$131,'Índices y Ranking Barrio'!D$4:D$131)</f>
        <v>0.000148992864427264</v>
      </c>
      <c r="C16" s="220" t="e">
        <f aca="false">_xlfn.COVARIANCE.P('Índices y Ranking Barrio'!$N$4:$N$134,#REF!)</f>
        <v>#VALUE!</v>
      </c>
      <c r="D16" s="220" t="e">
        <f aca="false">_xlfn.COVARIANCE.P('Índices y Ranking Barrio'!$N$4:$N$134,#REF!)</f>
        <v>#VALUE!</v>
      </c>
      <c r="E16" s="220" t="n">
        <f aca="false">_xlfn.COVARIANCE.P('Índices y Ranking Barrio'!$N$4:$N$131,'Índices y Ranking Barrio'!E$4:E$131)</f>
        <v>-46.8792157007788</v>
      </c>
      <c r="F16" s="220" t="n">
        <f aca="false">_xlfn.COVARIANCE.P('Índices y Ranking Barrio'!$N$4:$N$134,'Índices y Ranking Barrio'!F$4:F$134)</f>
        <v>0.00688166124533224</v>
      </c>
      <c r="G16" s="220" t="n">
        <f aca="false">_xlfn.COVARIANCE.P('Índices y Ranking Barrio'!$N$4:$N$134,'Índices y Ranking Barrio'!G$4:G$134)</f>
        <v>0.00743216010308173</v>
      </c>
      <c r="H16" s="220" t="n">
        <f aca="false">_xlfn.COVARIANCE.P('Índices y Ranking Barrio'!$N$4:$N$134,'Índices y Ranking Barrio'!H$4:H$134)</f>
        <v>3.49212700923097E-005</v>
      </c>
      <c r="I16" s="220" t="n">
        <f aca="false">_xlfn.COVARIANCE.P('Índices y Ranking Barrio'!$N$4:$N$134,'Índices y Ranking Barrio'!I$4:I$134)</f>
        <v>-123.760284243853</v>
      </c>
      <c r="J16" s="220" t="n">
        <f aca="false">_xlfn.COVARIANCE.P('Índices y Ranking Barrio'!$N$4:$N$134,'Índices y Ranking Barrio'!J$4:J$134)</f>
        <v>4.12044974843697E-005</v>
      </c>
      <c r="K16" s="220" t="n">
        <f aca="false">_xlfn.COVARIANCE.P('Índices y Ranking Barrio'!$N$4:$N$134,'Índices y Ranking Barrio'!K$4:K$134)</f>
        <v>1.72179935457509</v>
      </c>
      <c r="L16" s="220" t="n">
        <f aca="false">_xlfn.COVARIANCE.P('Índices y Ranking Barrio'!$N$4:$N$134,'Índices y Ranking Barrio'!L$4:L$134)</f>
        <v>5.5357063811569E-005</v>
      </c>
      <c r="M16" s="220" t="n">
        <f aca="false">_xlfn.COVARIANCE.P('Índices y Ranking Barrio'!$N$4:$N$134,'Índices y Ranking Barrio'!M$4:M$134)</f>
        <v>4.66606659172672E-005</v>
      </c>
      <c r="N16" s="221" t="n">
        <f aca="false">_xlfn.COVARIANCE.P('Índices y Ranking Barrio'!$N$4:$N$134,'Índices y Ranking Barrio'!N$4:N$134)</f>
        <v>1.05766357842881E-005</v>
      </c>
      <c r="O16" s="220" t="n">
        <f aca="false">_xlfn.COVARIANCE.P('Índices y Ranking Barrio'!$N$4:$N$131,'Índices y Ranking Barrio'!O$4:O$131)</f>
        <v>6.47935349115685E-008</v>
      </c>
      <c r="P16" s="220" t="n">
        <f aca="false">_xlfn.COVARIANCE.P('Índices y Ranking Barrio'!$N$4:$N$134,'Índices y Ranking Barrio'!P$4:P$134)</f>
        <v>6.08386752829096E-006</v>
      </c>
      <c r="Q16" s="220" t="n">
        <f aca="false">_xlfn.COVARIANCE.P('Índices y Ranking Barrio'!$N$4:$N$131,'Índices y Ranking Barrio'!Q$4:Q$131)</f>
        <v>7.27803795745077E-008</v>
      </c>
      <c r="R16" s="220" t="n">
        <f aca="false">_xlfn.COVARIANCE.P('Índices y Ranking Barrio'!$N$4:$N$134,'Índices y Ranking Barrio'!R$4:R$134)</f>
        <v>1.17186280199561E-005</v>
      </c>
      <c r="S16" s="220" t="n">
        <f aca="false">_xlfn.COVARIANCE.P('Índices y Ranking Barrio'!$N$4:$N$131,'Índices y Ranking Barrio'!S$4:S$131)</f>
        <v>4.99171058681249E-006</v>
      </c>
    </row>
    <row r="17" customFormat="false" ht="15" hidden="false" customHeight="false" outlineLevel="0" collapsed="false">
      <c r="A17" s="220" t="s">
        <v>71</v>
      </c>
      <c r="B17" s="220" t="n">
        <f aca="false">_xlfn.COVARIANCE.P('Índices y Ranking Barrio'!$O$4:$O$131,'Índices y Ranking Barrio'!D$4:D$131)</f>
        <v>7.5533130139612E-007</v>
      </c>
      <c r="C17" s="220" t="e">
        <f aca="false">_xlfn.COVARIANCE.P('Índices y Ranking Barrio'!$O$4:$O$131,#REF!)</f>
        <v>#VALUE!</v>
      </c>
      <c r="D17" s="220" t="e">
        <f aca="false">_xlfn.COVARIANCE.P('Índices y Ranking Barrio'!$O$4:$O$131,#REF!)</f>
        <v>#VALUE!</v>
      </c>
      <c r="E17" s="220" t="n">
        <f aca="false">_xlfn.COVARIANCE.P('Índices y Ranking Barrio'!$O$4:$O$131,'Índices y Ranking Barrio'!E$4:E$131)</f>
        <v>-0.51652921427103</v>
      </c>
      <c r="F17" s="220" t="n">
        <f aca="false">_xlfn.COVARIANCE.P('Índices y Ranking Barrio'!$O$4:$O$131,'Índices y Ranking Barrio'!F$4:F$131)</f>
        <v>5.48520132456641E-005</v>
      </c>
      <c r="G17" s="220" t="n">
        <f aca="false">_xlfn.COVARIANCE.P('Índices y Ranking Barrio'!$O$4:$O$131,'Índices y Ranking Barrio'!G$4:G$131)</f>
        <v>5.98913342198134E-005</v>
      </c>
      <c r="H17" s="220" t="n">
        <f aca="false">_xlfn.COVARIANCE.P('Índices y Ranking Barrio'!$O$4:$O$131,'Índices y Ranking Barrio'!H$4:H$131)</f>
        <v>2.45382520281298E-007</v>
      </c>
      <c r="I17" s="220" t="n">
        <f aca="false">_xlfn.COVARIANCE.P('Índices y Ranking Barrio'!$O$4:$O$131,'Índices y Ranking Barrio'!I$4:I$131)</f>
        <v>-1.35627991915213</v>
      </c>
      <c r="J17" s="220" t="n">
        <f aca="false">_xlfn.COVARIANCE.P('Índices y Ranking Barrio'!$O$4:$O$131,'Índices y Ranking Barrio'!J$4:J$131)</f>
        <v>2.6283835421212E-007</v>
      </c>
      <c r="K17" s="220" t="n">
        <f aca="false">_xlfn.COVARIANCE.P('Índices y Ranking Barrio'!$O$4:$O$131,'Índices y Ranking Barrio'!K$4:K$131)</f>
        <v>0.0108200202486594</v>
      </c>
      <c r="L17" s="220" t="n">
        <f aca="false">_xlfn.COVARIANCE.P('Índices y Ranking Barrio'!$O$4:$O$131,'Índices y Ranking Barrio'!L$4:L$131)</f>
        <v>3.36709360093845E-007</v>
      </c>
      <c r="M17" s="220" t="n">
        <f aca="false">_xlfn.COVARIANCE.P('Índices y Ranking Barrio'!$O$4:$O$131,'Índices y Ranking Barrio'!M$4:M$131)</f>
        <v>2.78187730050385E-007</v>
      </c>
      <c r="N17" s="220" t="n">
        <f aca="false">_xlfn.COVARIANCE.P('Índices y Ranking Barrio'!$O$4:$O$131,'Índices y Ranking Barrio'!N$4:N$131)</f>
        <v>6.47935349115685E-008</v>
      </c>
      <c r="O17" s="221" t="n">
        <f aca="false">_xlfn.COVARIANCE.P('Índices y Ranking Barrio'!$O$4:$O$131,'Índices y Ranking Barrio'!O$4:O$131)</f>
        <v>7.13914539256233E-010</v>
      </c>
      <c r="P17" s="220" t="n">
        <f aca="false">_xlfn.COVARIANCE.P('Índices y Ranking Barrio'!$O$4:$O$131,'Índices y Ranking Barrio'!P$4:P$131)</f>
        <v>4.66823035165342E-008</v>
      </c>
      <c r="Q17" s="220" t="n">
        <f aca="false">_xlfn.COVARIANCE.P('Índices y Ranking Barrio'!$O$4:$O$131,'Índices y Ranking Barrio'!Q$4:Q$131)</f>
        <v>7.84218509574961E-010</v>
      </c>
      <c r="R17" s="220" t="n">
        <f aca="false">_xlfn.COVARIANCE.P('Índices y Ranking Barrio'!$O$4:$O$131,'Índices y Ranking Barrio'!R$4:R$131)</f>
        <v>7.30865962346904E-008</v>
      </c>
      <c r="S17" s="220" t="n">
        <f aca="false">_xlfn.COVARIANCE.P('Índices y Ranking Barrio'!$O$4:$O$131,'Índices y Ranking Barrio'!S$4:S$131)</f>
        <v>3.38971403245121E-008</v>
      </c>
    </row>
    <row r="18" customFormat="false" ht="15" hidden="false" customHeight="false" outlineLevel="0" collapsed="false">
      <c r="A18" s="220" t="s">
        <v>72</v>
      </c>
      <c r="B18" s="220" t="n">
        <f aca="false">_xlfn.COVARIANCE.P('Índices y Ranking Barrio'!$P$4:$P$134,'Índices y Ranking Barrio'!D$4:D$134)</f>
        <v>6.98214272777969E-005</v>
      </c>
      <c r="C18" s="220" t="e">
        <f aca="false">_xlfn.COVARIANCE.P('Índices y Ranking Barrio'!$P$4:$P$134,#REF!)</f>
        <v>#VALUE!</v>
      </c>
      <c r="D18" s="220" t="e">
        <f aca="false">_xlfn.COVARIANCE.P('Índices y Ranking Barrio'!$P$4:$P$134,#REF!)</f>
        <v>#VALUE!</v>
      </c>
      <c r="E18" s="220" t="n">
        <f aca="false">_xlfn.COVARIANCE.P('Índices y Ranking Barrio'!$P$4:$P$134,'Índices y Ranking Barrio'!E$4:E$134)</f>
        <v>-33.4211699505696</v>
      </c>
      <c r="F18" s="220" t="n">
        <f aca="false">_xlfn.COVARIANCE.P('Índices y Ranking Barrio'!$P$4:$P$134,'Índices y Ranking Barrio'!F$4:F$134)</f>
        <v>0.00521368016803802</v>
      </c>
      <c r="G18" s="220" t="n">
        <f aca="false">_xlfn.COVARIANCE.P('Índices y Ranking Barrio'!$P$4:$P$134,'Índices y Ranking Barrio'!G$4:G$134)</f>
        <v>0.00547882825251193</v>
      </c>
      <c r="H18" s="220" t="n">
        <f aca="false">_xlfn.COVARIANCE.P('Índices y Ranking Barrio'!$P$4:$P$134,'Índices y Ranking Barrio'!H$4:H$134)</f>
        <v>2.89390059265258E-005</v>
      </c>
      <c r="I18" s="220" t="n">
        <f aca="false">_xlfn.COVARIANCE.P('Índices y Ranking Barrio'!$P$4:$P$134,'Índices y Ranking Barrio'!I$4:I$134)</f>
        <v>-93.458501717129</v>
      </c>
      <c r="J18" s="220" t="n">
        <f aca="false">_xlfn.COVARIANCE.P('Índices y Ranking Barrio'!$P$4:$P$134,'Índices y Ranking Barrio'!J$4:J$134)</f>
        <v>3.0721993503518E-005</v>
      </c>
      <c r="K18" s="220" t="n">
        <f aca="false">_xlfn.COVARIANCE.P('Índices y Ranking Barrio'!$P$4:$P$134,'Índices y Ranking Barrio'!K$4:K$134)</f>
        <v>1.32926152372341</v>
      </c>
      <c r="L18" s="220" t="n">
        <f aca="false">_xlfn.COVARIANCE.P('Índices y Ranking Barrio'!$P$4:$P$134,'Índices y Ranking Barrio'!L$4:L$134)</f>
        <v>3.98051023018166E-005</v>
      </c>
      <c r="M18" s="220" t="n">
        <f aca="false">_xlfn.COVARIANCE.P('Índices y Ranking Barrio'!$P$4:$P$134,'Índices y Ranking Barrio'!M$4:M$134)</f>
        <v>3.40580023472109E-005</v>
      </c>
      <c r="N18" s="220" t="n">
        <f aca="false">_xlfn.COVARIANCE.P('Índices y Ranking Barrio'!$P$4:$P$131,'Índices y Ranking Barrio'!N$4:N$131)</f>
        <v>6.11367490422385E-006</v>
      </c>
      <c r="O18" s="220" t="n">
        <f aca="false">_xlfn.COVARIANCE.P('Índices y Ranking Barrio'!$P$4:$P$131,'Índices y Ranking Barrio'!O$4:O$131)</f>
        <v>4.66823035165342E-008</v>
      </c>
      <c r="P18" s="221" t="n">
        <f aca="false">_xlfn.COVARIANCE.P('Índices y Ranking Barrio'!$P$4:$P$134,'Índices y Ranking Barrio'!P$4:P$134)</f>
        <v>4.70780362637298E-006</v>
      </c>
      <c r="Q18" s="220" t="n">
        <f aca="false">_xlfn.COVARIANCE.P('Índices y Ranking Barrio'!$P$4:$P$131,'Índices y Ranking Barrio'!Q$4:Q$131)</f>
        <v>5.51733108674564E-008</v>
      </c>
      <c r="R18" s="220" t="n">
        <f aca="false">_xlfn.COVARIANCE.P('Índices y Ranking Barrio'!$P$4:$P$134,'Índices y Ranking Barrio'!R$4:R$134)</f>
        <v>8.88587976079479E-006</v>
      </c>
      <c r="S18" s="220" t="n">
        <f aca="false">_xlfn.COVARIANCE.P('Índices y Ranking Barrio'!$P$4:$P$131,'Índices y Ranking Barrio'!S$4:S$131)</f>
        <v>3.47755952546764E-006</v>
      </c>
    </row>
    <row r="19" customFormat="false" ht="15" hidden="false" customHeight="false" outlineLevel="0" collapsed="false">
      <c r="A19" s="220" t="s">
        <v>73</v>
      </c>
      <c r="B19" s="220" t="n">
        <f aca="false">_xlfn.COVARIANCE.P('Índices y Ranking Barrio'!$Q$4:$Q$131,'Índices y Ranking Barrio'!D$4:D$131)</f>
        <v>7.55478057868238E-007</v>
      </c>
      <c r="C19" s="220" t="e">
        <f aca="false">_xlfn.COVARIANCE.P('Índices y Ranking Barrio'!$Q$4:$Q$131,#REF!)</f>
        <v>#VALUE!</v>
      </c>
      <c r="D19" s="220" t="e">
        <f aca="false">_xlfn.COVARIANCE.P('Índices y Ranking Barrio'!$Q$4:$Q$131,#REF!)</f>
        <v>#VALUE!</v>
      </c>
      <c r="E19" s="220" t="n">
        <f aca="false">_xlfn.COVARIANCE.P('Índices y Ranking Barrio'!$Q$4:$Q$131,'Índices y Ranking Barrio'!E$4:E$131)</f>
        <v>-0.567395322960593</v>
      </c>
      <c r="F19" s="220" t="n">
        <f aca="false">_xlfn.COVARIANCE.P('Índices y Ranking Barrio'!$Q$4:$Q$131,'Índices y Ranking Barrio'!F$4:F$131)</f>
        <v>6.23747996107268E-005</v>
      </c>
      <c r="G19" s="220" t="n">
        <f aca="false">_xlfn.COVARIANCE.P('Índices y Ranking Barrio'!$Q$4:$Q$131,'Índices y Ranking Barrio'!G$4:G$131)</f>
        <v>6.65590337096088E-005</v>
      </c>
      <c r="H19" s="220" t="n">
        <f aca="false">_xlfn.COVARIANCE.P('Índices y Ranking Barrio'!$Q$4:$Q$131,'Índices y Ranking Barrio'!H$4:H$131)</f>
        <v>3.2175666669526E-007</v>
      </c>
      <c r="I19" s="220" t="n">
        <f aca="false">_xlfn.COVARIANCE.P('Índices y Ranking Barrio'!$Q$4:$Q$131,'Índices y Ranking Barrio'!I$4:I$131)</f>
        <v>-2.05676370227917</v>
      </c>
      <c r="J19" s="220" t="n">
        <f aca="false">_xlfn.COVARIANCE.P('Índices y Ranking Barrio'!$Q$4:$Q$131,'Índices y Ranking Barrio'!J$4:J$131)</f>
        <v>4.076480616521E-007</v>
      </c>
      <c r="K19" s="220" t="n">
        <f aca="false">_xlfn.COVARIANCE.P('Índices y Ranking Barrio'!$Q$4:$Q$131,'Índices y Ranking Barrio'!K$4:K$131)</f>
        <v>0.014234256408934</v>
      </c>
      <c r="L19" s="220" t="n">
        <f aca="false">_xlfn.COVARIANCE.P('Índices y Ranking Barrio'!$Q$4:$Q$131,'Índices y Ranking Barrio'!L$4:L$131)</f>
        <v>5.23916538356412E-007</v>
      </c>
      <c r="M19" s="220" t="n">
        <f aca="false">_xlfn.COVARIANCE.P('Índices y Ranking Barrio'!$Q$4:$Q$131,'Índices y Ranking Barrio'!M$4:M$131)</f>
        <v>4.42970330826138E-007</v>
      </c>
      <c r="N19" s="220" t="n">
        <f aca="false">_xlfn.COVARIANCE.P('Índices y Ranking Barrio'!$Q$4:$Q$131,'Índices y Ranking Barrio'!N$4:N$131)</f>
        <v>7.27803795745077E-008</v>
      </c>
      <c r="O19" s="220" t="n">
        <f aca="false">_xlfn.COVARIANCE.P('Índices y Ranking Barrio'!$Q$4:$Q$131,'Índices y Ranking Barrio'!O$4:O$131)</f>
        <v>7.84218509574961E-010</v>
      </c>
      <c r="P19" s="220" t="n">
        <f aca="false">_xlfn.COVARIANCE.P('Índices y Ranking Barrio'!$Q$4:$Q$131,'Índices y Ranking Barrio'!P$4:P$131)</f>
        <v>5.51733108674564E-008</v>
      </c>
      <c r="Q19" s="221" t="n">
        <f aca="false">_xlfn.COVARIANCE.P('Índices y Ranking Barrio'!$Q$4:$Q$131,'Índices y Ranking Barrio'!Q$4:Q$131)</f>
        <v>1.18924725078698E-009</v>
      </c>
      <c r="R19" s="220" t="n">
        <f aca="false">_xlfn.COVARIANCE.P('Índices y Ranking Barrio'!$Q$4:$Q$131,'Índices y Ranking Barrio'!R$4:R$131)</f>
        <v>1.01830793793407E-007</v>
      </c>
      <c r="S19" s="220" t="n">
        <f aca="false">_xlfn.COVARIANCE.P('Índices y Ranking Barrio'!$Q$4:$Q$131,'Índices y Ranking Barrio'!S$4:S$131)</f>
        <v>4.08757348455153E-008</v>
      </c>
    </row>
    <row r="20" customFormat="false" ht="15" hidden="false" customHeight="false" outlineLevel="0" collapsed="false">
      <c r="A20" s="220" t="s">
        <v>74</v>
      </c>
      <c r="B20" s="220" t="n">
        <f aca="false">_xlfn.COVARIANCE.P('Índices y Ranking Barrio'!$R$4:$R$134,'Índices y Ranking Barrio'!D$4:D$134)</f>
        <v>0.000144059686066728</v>
      </c>
      <c r="C20" s="220" t="e">
        <f aca="false">_xlfn.COVARIANCE.P('Índices y Ranking Barrio'!$R$4:$R$134,#REF!)</f>
        <v>#VALUE!</v>
      </c>
      <c r="D20" s="220" t="e">
        <f aca="false">_xlfn.COVARIANCE.P('Índices y Ranking Barrio'!$R$4:$R$134,#REF!)</f>
        <v>#VALUE!</v>
      </c>
      <c r="E20" s="220" t="n">
        <f aca="false">_xlfn.COVARIANCE.P('Índices y Ranking Barrio'!$R$4:$R$134,'Índices y Ranking Barrio'!E$4:E$134)</f>
        <v>-52.0892689917651</v>
      </c>
      <c r="F20" s="220" t="n">
        <f aca="false">_xlfn.COVARIANCE.P('Índices y Ranking Barrio'!$R$4:$R$134,'Índices y Ranking Barrio'!F$4:F$134)</f>
        <v>0.00887796311823514</v>
      </c>
      <c r="G20" s="220" t="n">
        <f aca="false">_xlfn.COVARIANCE.P('Índices y Ranking Barrio'!$R$4:$R$134,'Índices y Ranking Barrio'!G$4:G$134)</f>
        <v>0.00902797539366169</v>
      </c>
      <c r="H20" s="220" t="n">
        <f aca="false">_xlfn.COVARIANCE.P('Índices y Ranking Barrio'!$R$4:$R$134,'Índices y Ranking Barrio'!H$4:H$134)</f>
        <v>6.50388313448795E-005</v>
      </c>
      <c r="I20" s="220" t="n">
        <f aca="false">_xlfn.COVARIANCE.P('Índices y Ranking Barrio'!$R$4:$R$134,'Índices y Ranking Barrio'!I$4:I$134)</f>
        <v>-171.848239785497</v>
      </c>
      <c r="J20" s="220" t="n">
        <f aca="false">_xlfn.COVARIANCE.P('Índices y Ranking Barrio'!$R$4:$R$134,'Índices y Ranking Barrio'!J$4:J$134)</f>
        <v>0.00012143586538328</v>
      </c>
      <c r="K20" s="220" t="n">
        <f aca="false">_xlfn.COVARIANCE.P('Índices y Ranking Barrio'!$R$4:$R$134,'Índices y Ranking Barrio'!K$4:K$134)</f>
        <v>4.00718005037286</v>
      </c>
      <c r="L20" s="220" t="n">
        <f aca="false">_xlfn.COVARIANCE.P('Índices y Ranking Barrio'!$R$4:$R$134,'Índices y Ranking Barrio'!L$4:L$134)</f>
        <v>0.000146668619596976</v>
      </c>
      <c r="M20" s="220" t="n">
        <f aca="false">_xlfn.COVARIANCE.P('Índices y Ranking Barrio'!$R$4:$R$134,'Índices y Ranking Barrio'!M$4:M$134)</f>
        <v>0.000128578857465557</v>
      </c>
      <c r="N20" s="220" t="n">
        <f aca="false">_xlfn.COVARIANCE.P('Índices y Ranking Barrio'!$R$4:$R$131,'Índices y Ranking Barrio'!N$4:N$131)</f>
        <v>1.17895231339363E-005</v>
      </c>
      <c r="O20" s="220" t="n">
        <f aca="false">_xlfn.COVARIANCE.P('Índices y Ranking Barrio'!$R$4:$R$131,'Índices y Ranking Barrio'!O$4:O$131)</f>
        <v>7.30865962346904E-008</v>
      </c>
      <c r="P20" s="220" t="n">
        <f aca="false">_xlfn.COVARIANCE.P('Índices y Ranking Barrio'!$R$4:$R$134,'Índices y Ranking Barrio'!P$4:P$134)</f>
        <v>8.88587976079479E-006</v>
      </c>
      <c r="Q20" s="220" t="n">
        <f aca="false">_xlfn.COVARIANCE.P('Índices y Ranking Barrio'!$R$4:$R$131,'Índices y Ranking Barrio'!Q$4:Q$131)</f>
        <v>1.01830793793407E-007</v>
      </c>
      <c r="R20" s="221" t="n">
        <f aca="false">_xlfn.COVARIANCE.P('Índices y Ranking Barrio'!$R$4:$R$134,'Índices y Ranking Barrio'!R$4:R$134)</f>
        <v>2.88816056136442E-005</v>
      </c>
      <c r="S20" s="220" t="n">
        <f aca="false">_xlfn.COVARIANCE.P('Índices y Ranking Barrio'!$R$4:$R$131,'Índices y Ranking Barrio'!S$4:S$131)</f>
        <v>7.67835375328802E-006</v>
      </c>
    </row>
    <row r="21" customFormat="false" ht="15" hidden="false" customHeight="false" outlineLevel="0" collapsed="false">
      <c r="A21" s="222" t="s">
        <v>69</v>
      </c>
      <c r="B21" s="220" t="n">
        <f aca="false">_xlfn.COVARIANCE.P('Índices y Ranking Barrio'!$S$4:$S$131,'Índices y Ranking Barrio'!D$4:D$131)</f>
        <v>6.24383451139364E-005</v>
      </c>
      <c r="C21" s="220" t="e">
        <f aca="false">_xlfn.COVARIANCE.P('Índices y Ranking Barrio'!$S$4:$S$131,#REF!)</f>
        <v>#VALUE!</v>
      </c>
      <c r="D21" s="220" t="e">
        <f aca="false">_xlfn.COVARIANCE.P('Índices y Ranking Barrio'!$S$4:$S$131,#REF!)</f>
        <v>#VALUE!</v>
      </c>
      <c r="E21" s="220" t="n">
        <f aca="false">_xlfn.COVARIANCE.P('Índices y Ranking Barrio'!$S$4:$S$131,'Índices y Ranking Barrio'!E$4:E$131)</f>
        <v>-24.5251529351064</v>
      </c>
      <c r="F21" s="220" t="n">
        <f aca="false">_xlfn.COVARIANCE.P('Índices y Ranking Barrio'!$S$4:$S$131,'Índices y Ranking Barrio'!F$4:F$131)</f>
        <v>0.00378952376652688</v>
      </c>
      <c r="G21" s="220" t="n">
        <f aca="false">_xlfn.COVARIANCE.P('Índices y Ranking Barrio'!$S$4:$S$131,'Índices y Ranking Barrio'!G$4:G$131)</f>
        <v>0.00398363860549215</v>
      </c>
      <c r="H21" s="220" t="n">
        <f aca="false">_xlfn.COVARIANCE.P('Índices y Ranking Barrio'!$S$4:$S$131,'Índices y Ranking Barrio'!H$4:H$131)</f>
        <v>2.19220779503238E-005</v>
      </c>
      <c r="I21" s="220" t="n">
        <f aca="false">_xlfn.COVARIANCE.P('Índices y Ranking Barrio'!$S$4:$S$131,'Índices y Ranking Barrio'!I$4:I$131)</f>
        <v>-70.6932285768244</v>
      </c>
      <c r="J21" s="220" t="n">
        <f aca="false">_xlfn.COVARIANCE.P('Índices y Ranking Barrio'!$S$4:$S$131,'Índices y Ranking Barrio'!J$4:J$131)</f>
        <v>2.81241058438666E-005</v>
      </c>
      <c r="K21" s="220" t="n">
        <f aca="false">_xlfn.COVARIANCE.P('Índices y Ranking Barrio'!$S$4:$S$131,'Índices y Ranking Barrio'!K$4:K$131)</f>
        <v>1.121782385383</v>
      </c>
      <c r="L21" s="220" t="n">
        <f aca="false">_xlfn.COVARIANCE.P('Índices y Ranking Barrio'!$S$4:$S$131,'Índices y Ranking Barrio'!L$4:L$131)</f>
        <v>3.61188118829772E-005</v>
      </c>
      <c r="M21" s="220" t="n">
        <f aca="false">_xlfn.COVARIANCE.P('Índices y Ranking Barrio'!$S$4:$S$131,'Índices y Ranking Barrio'!M$4:M$131)</f>
        <v>3.09039266666574E-005</v>
      </c>
      <c r="N21" s="220" t="n">
        <f aca="false">_xlfn.COVARIANCE.P('Índices y Ranking Barrio'!$S$4:$S$131,'Índices y Ranking Barrio'!N$4:N$131)</f>
        <v>4.99171058681249E-006</v>
      </c>
      <c r="O21" s="220" t="n">
        <f aca="false">_xlfn.COVARIANCE.P('Índices y Ranking Barrio'!$S$4:$S$131,'Índices y Ranking Barrio'!O$4:O$131)</f>
        <v>3.38971403245121E-008</v>
      </c>
      <c r="P21" s="220" t="n">
        <f aca="false">_xlfn.COVARIANCE.P('Índices y Ranking Barrio'!$S$4:$S$131,'Índices y Ranking Barrio'!P$4:P$131)</f>
        <v>3.47755952546764E-006</v>
      </c>
      <c r="Q21" s="220" t="n">
        <f aca="false">_xlfn.COVARIANCE.P('Índices y Ranking Barrio'!$S$4:$S$131,'Índices y Ranking Barrio'!Q$4:Q$131)</f>
        <v>4.08757348455153E-008</v>
      </c>
      <c r="R21" s="220" t="n">
        <f aca="false">_xlfn.COVARIANCE.P('Índices y Ranking Barrio'!$S$4:$S$131,'Índices y Ranking Barrio'!R$4:R$131)</f>
        <v>7.67835375328802E-006</v>
      </c>
      <c r="S21" s="221" t="n">
        <f aca="false">_xlfn.COVARIANCE.P('Índices y Ranking Barrio'!$S$4:$S$131,'Índices y Ranking Barrio'!S$4:S$131)</f>
        <v>2.75425823616312E-006</v>
      </c>
    </row>
    <row r="23" customFormat="false" ht="15" hidden="false" customHeight="false" outlineLevel="0" collapsed="false">
      <c r="B23" s="0" t="n">
        <f aca="false">1/SQRT($B$4)</f>
        <v>19.1709538338375</v>
      </c>
      <c r="C23" s="0" t="n">
        <f aca="false">1/SQRT($B$4)</f>
        <v>19.1709538338375</v>
      </c>
      <c r="D23" s="0" t="n">
        <f aca="false">1/SQRT($B$4)</f>
        <v>19.1709538338375</v>
      </c>
      <c r="E23" s="0" t="n">
        <f aca="false">1/SQRT($B$4)</f>
        <v>19.1709538338375</v>
      </c>
      <c r="F23" s="0" t="n">
        <f aca="false">1/SQRT($B$4)</f>
        <v>19.1709538338375</v>
      </c>
      <c r="G23" s="0" t="n">
        <f aca="false">1/SQRT($B$4)</f>
        <v>19.1709538338375</v>
      </c>
      <c r="H23" s="0" t="n">
        <f aca="false">1/SQRT($B$4)</f>
        <v>19.1709538338375</v>
      </c>
      <c r="I23" s="0" t="n">
        <f aca="false">1/SQRT($B$4)</f>
        <v>19.1709538338375</v>
      </c>
      <c r="J23" s="0" t="n">
        <f aca="false">1/SQRT($B$4)</f>
        <v>19.1709538338375</v>
      </c>
      <c r="K23" s="0" t="n">
        <f aca="false">1/SQRT($B$4)</f>
        <v>19.1709538338375</v>
      </c>
      <c r="L23" s="0" t="n">
        <f aca="false">1/SQRT($B$4)</f>
        <v>19.1709538338375</v>
      </c>
      <c r="M23" s="0" t="n">
        <f aca="false">1/SQRT($B$4)</f>
        <v>19.1709538338375</v>
      </c>
      <c r="N23" s="0" t="n">
        <f aca="false">1/SQRT($B$4)</f>
        <v>19.1709538338375</v>
      </c>
      <c r="O23" s="0" t="n">
        <f aca="false">1/SQRT($B$4)</f>
        <v>19.1709538338375</v>
      </c>
      <c r="P23" s="0" t="n">
        <f aca="false">1/SQRT($B$4)</f>
        <v>19.1709538338375</v>
      </c>
      <c r="Q23" s="0" t="n">
        <f aca="false">1/SQRT($B$4)</f>
        <v>19.1709538338375</v>
      </c>
      <c r="R23" s="0" t="n">
        <f aca="false">1/SQRT($B$4)</f>
        <v>19.1709538338375</v>
      </c>
      <c r="S23" s="0" t="n">
        <f aca="false">1/SQRT($B$4)</f>
        <v>19.1709538338375</v>
      </c>
    </row>
    <row r="24" customFormat="false" ht="15" hidden="false" customHeight="false" outlineLevel="0" collapsed="false">
      <c r="B24" s="0" t="e">
        <f aca="false">1/SQRT($C$5)</f>
        <v>#REF!</v>
      </c>
      <c r="C24" s="0" t="e">
        <f aca="false">1/SQRT($C$5)</f>
        <v>#REF!</v>
      </c>
      <c r="D24" s="0" t="e">
        <f aca="false">1/SQRT($C$5)</f>
        <v>#REF!</v>
      </c>
      <c r="E24" s="0" t="e">
        <f aca="false">1/SQRT($C$5)</f>
        <v>#REF!</v>
      </c>
      <c r="F24" s="0" t="e">
        <f aca="false">1/SQRT($C$5)</f>
        <v>#REF!</v>
      </c>
      <c r="G24" s="0" t="e">
        <f aca="false">1/SQRT($C$5)</f>
        <v>#REF!</v>
      </c>
      <c r="H24" s="0" t="e">
        <f aca="false">1/SQRT($C$5)</f>
        <v>#REF!</v>
      </c>
      <c r="I24" s="0" t="e">
        <f aca="false">1/SQRT($C$5)</f>
        <v>#REF!</v>
      </c>
      <c r="J24" s="0" t="e">
        <f aca="false">1/SQRT($C$5)</f>
        <v>#REF!</v>
      </c>
      <c r="K24" s="0" t="e">
        <f aca="false">1/SQRT($C$5)</f>
        <v>#REF!</v>
      </c>
      <c r="L24" s="0" t="e">
        <f aca="false">1/SQRT($C$5)</f>
        <v>#REF!</v>
      </c>
      <c r="M24" s="0" t="e">
        <f aca="false">1/SQRT($C$5)</f>
        <v>#REF!</v>
      </c>
      <c r="N24" s="0" t="e">
        <f aca="false">1/SQRT($C$5)</f>
        <v>#REF!</v>
      </c>
      <c r="O24" s="0" t="e">
        <f aca="false">1/SQRT($C$5)</f>
        <v>#REF!</v>
      </c>
      <c r="P24" s="0" t="e">
        <f aca="false">1/SQRT($C$5)</f>
        <v>#REF!</v>
      </c>
      <c r="Q24" s="0" t="e">
        <f aca="false">1/SQRT($C$5)</f>
        <v>#REF!</v>
      </c>
      <c r="R24" s="0" t="e">
        <f aca="false">1/SQRT($C$5)</f>
        <v>#REF!</v>
      </c>
      <c r="S24" s="0" t="e">
        <f aca="false">1/SQRT($C$5)</f>
        <v>#REF!</v>
      </c>
    </row>
    <row r="25" customFormat="false" ht="15" hidden="false" customHeight="false" outlineLevel="0" collapsed="false">
      <c r="B25" s="0" t="e">
        <f aca="false">1/SQRT($D$6)</f>
        <v>#REF!</v>
      </c>
      <c r="C25" s="0" t="e">
        <f aca="false">1/SQRT($D$6)</f>
        <v>#REF!</v>
      </c>
      <c r="D25" s="0" t="e">
        <f aca="false">1/SQRT($D$6)</f>
        <v>#REF!</v>
      </c>
      <c r="E25" s="0" t="e">
        <f aca="false">1/SQRT($D$6)</f>
        <v>#REF!</v>
      </c>
      <c r="F25" s="0" t="e">
        <f aca="false">1/SQRT($D$6)</f>
        <v>#REF!</v>
      </c>
      <c r="G25" s="0" t="e">
        <f aca="false">1/SQRT($D$6)</f>
        <v>#REF!</v>
      </c>
      <c r="H25" s="0" t="e">
        <f aca="false">1/SQRT($D$6)</f>
        <v>#REF!</v>
      </c>
      <c r="I25" s="0" t="e">
        <f aca="false">1/SQRT($D$6)</f>
        <v>#REF!</v>
      </c>
      <c r="J25" s="0" t="e">
        <f aca="false">1/SQRT($D$6)</f>
        <v>#REF!</v>
      </c>
      <c r="K25" s="0" t="e">
        <f aca="false">1/SQRT($D$6)</f>
        <v>#REF!</v>
      </c>
      <c r="L25" s="0" t="e">
        <f aca="false">1/SQRT($D$6)</f>
        <v>#REF!</v>
      </c>
      <c r="M25" s="0" t="e">
        <f aca="false">1/SQRT($D$6)</f>
        <v>#REF!</v>
      </c>
      <c r="N25" s="0" t="e">
        <f aca="false">1/SQRT($D$6)</f>
        <v>#REF!</v>
      </c>
      <c r="O25" s="0" t="e">
        <f aca="false">1/SQRT($D$6)</f>
        <v>#REF!</v>
      </c>
      <c r="P25" s="0" t="e">
        <f aca="false">1/SQRT($D$6)</f>
        <v>#REF!</v>
      </c>
      <c r="Q25" s="0" t="e">
        <f aca="false">1/SQRT($D$6)</f>
        <v>#REF!</v>
      </c>
      <c r="R25" s="0" t="e">
        <f aca="false">1/SQRT($D$6)</f>
        <v>#REF!</v>
      </c>
      <c r="S25" s="0" t="e">
        <f aca="false">1/SQRT($D$6)</f>
        <v>#REF!</v>
      </c>
    </row>
    <row r="26" customFormat="false" ht="15" hidden="false" customHeight="false" outlineLevel="0" collapsed="false">
      <c r="B26" s="0" t="n">
        <f aca="false">1/SQRT($E$7)</f>
        <v>5.19401427925973E-005</v>
      </c>
      <c r="C26" s="0" t="n">
        <f aca="false">1/SQRT($E$7)</f>
        <v>5.19401427925973E-005</v>
      </c>
      <c r="D26" s="0" t="n">
        <f aca="false">1/SQRT($E$7)</f>
        <v>5.19401427925973E-005</v>
      </c>
      <c r="E26" s="0" t="n">
        <f aca="false">1/SQRT($E$7)</f>
        <v>5.19401427925973E-005</v>
      </c>
      <c r="F26" s="0" t="n">
        <f aca="false">1/SQRT($E$7)</f>
        <v>5.19401427925973E-005</v>
      </c>
      <c r="G26" s="0" t="n">
        <f aca="false">1/SQRT($E$7)</f>
        <v>5.19401427925973E-005</v>
      </c>
      <c r="H26" s="0" t="n">
        <f aca="false">1/SQRT($E$7)</f>
        <v>5.19401427925973E-005</v>
      </c>
      <c r="I26" s="0" t="n">
        <f aca="false">1/SQRT($E$7)</f>
        <v>5.19401427925973E-005</v>
      </c>
      <c r="J26" s="0" t="n">
        <f aca="false">1/SQRT($E$7)</f>
        <v>5.19401427925973E-005</v>
      </c>
      <c r="K26" s="0" t="n">
        <f aca="false">1/SQRT($E$7)</f>
        <v>5.19401427925973E-005</v>
      </c>
      <c r="L26" s="0" t="n">
        <f aca="false">1/SQRT($E$7)</f>
        <v>5.19401427925973E-005</v>
      </c>
      <c r="M26" s="0" t="n">
        <f aca="false">1/SQRT($E$7)</f>
        <v>5.19401427925973E-005</v>
      </c>
      <c r="N26" s="0" t="n">
        <f aca="false">1/SQRT($E$7)</f>
        <v>5.19401427925973E-005</v>
      </c>
      <c r="O26" s="0" t="n">
        <f aca="false">1/SQRT($E$7)</f>
        <v>5.19401427925973E-005</v>
      </c>
      <c r="P26" s="0" t="n">
        <f aca="false">1/SQRT($E$7)</f>
        <v>5.19401427925973E-005</v>
      </c>
      <c r="Q26" s="0" t="n">
        <f aca="false">1/SQRT($E$7)</f>
        <v>5.19401427925973E-005</v>
      </c>
      <c r="R26" s="0" t="n">
        <f aca="false">1/SQRT($E$7)</f>
        <v>5.19401427925973E-005</v>
      </c>
      <c r="S26" s="0" t="n">
        <f aca="false">1/SQRT($E$7)</f>
        <v>5.19401427925973E-005</v>
      </c>
    </row>
    <row r="27" customFormat="false" ht="15" hidden="false" customHeight="false" outlineLevel="0" collapsed="false">
      <c r="B27" s="0" t="n">
        <f aca="false">1/SQRT($F$8)</f>
        <v>0.400747479863837</v>
      </c>
      <c r="C27" s="0" t="n">
        <f aca="false">1/SQRT($F$8)</f>
        <v>0.400747479863837</v>
      </c>
      <c r="D27" s="0" t="n">
        <f aca="false">1/SQRT($F$8)</f>
        <v>0.400747479863837</v>
      </c>
      <c r="E27" s="0" t="n">
        <f aca="false">1/SQRT($F$8)</f>
        <v>0.400747479863837</v>
      </c>
      <c r="F27" s="0" t="n">
        <f aca="false">1/SQRT($F$8)</f>
        <v>0.400747479863837</v>
      </c>
      <c r="G27" s="0" t="n">
        <f aca="false">1/SQRT($F$8)</f>
        <v>0.400747479863837</v>
      </c>
      <c r="H27" s="0" t="n">
        <f aca="false">1/SQRT($F$8)</f>
        <v>0.400747479863837</v>
      </c>
      <c r="I27" s="0" t="n">
        <f aca="false">1/SQRT($F$8)</f>
        <v>0.400747479863837</v>
      </c>
      <c r="J27" s="0" t="n">
        <f aca="false">1/SQRT($F$8)</f>
        <v>0.400747479863837</v>
      </c>
      <c r="K27" s="0" t="n">
        <f aca="false">1/SQRT($F$8)</f>
        <v>0.400747479863837</v>
      </c>
      <c r="L27" s="0" t="n">
        <f aca="false">1/SQRT($F$8)</f>
        <v>0.400747479863837</v>
      </c>
      <c r="M27" s="0" t="n">
        <f aca="false">1/SQRT($F$8)</f>
        <v>0.400747479863837</v>
      </c>
      <c r="N27" s="0" t="n">
        <f aca="false">1/SQRT($F$8)</f>
        <v>0.400747479863837</v>
      </c>
      <c r="O27" s="0" t="n">
        <f aca="false">1/SQRT($F$8)</f>
        <v>0.400747479863837</v>
      </c>
      <c r="P27" s="0" t="n">
        <f aca="false">1/SQRT($F$8)</f>
        <v>0.400747479863837</v>
      </c>
      <c r="Q27" s="0" t="n">
        <f aca="false">1/SQRT($F$8)</f>
        <v>0.400747479863837</v>
      </c>
      <c r="R27" s="0" t="n">
        <f aca="false">1/SQRT($F$8)</f>
        <v>0.400747479863837</v>
      </c>
      <c r="S27" s="0" t="n">
        <f aca="false">1/SQRT($F$8)</f>
        <v>0.400747479863837</v>
      </c>
    </row>
    <row r="28" customFormat="false" ht="15" hidden="false" customHeight="false" outlineLevel="0" collapsed="false">
      <c r="B28" s="0" t="n">
        <f aca="false">1/SQRT($G$9)</f>
        <v>0.377858995659502</v>
      </c>
      <c r="C28" s="0" t="n">
        <f aca="false">1/SQRT($G$9)</f>
        <v>0.377858995659502</v>
      </c>
      <c r="D28" s="0" t="n">
        <f aca="false">1/SQRT($G$9)</f>
        <v>0.377858995659502</v>
      </c>
      <c r="E28" s="0" t="n">
        <f aca="false">1/SQRT($G$9)</f>
        <v>0.377858995659502</v>
      </c>
      <c r="F28" s="0" t="n">
        <f aca="false">1/SQRT($G$9)</f>
        <v>0.377858995659502</v>
      </c>
      <c r="G28" s="0" t="n">
        <f aca="false">1/SQRT($G$9)</f>
        <v>0.377858995659502</v>
      </c>
      <c r="H28" s="0" t="n">
        <f aca="false">1/SQRT($G$9)</f>
        <v>0.377858995659502</v>
      </c>
      <c r="I28" s="0" t="n">
        <f aca="false">1/SQRT($G$9)</f>
        <v>0.377858995659502</v>
      </c>
      <c r="J28" s="0" t="n">
        <f aca="false">1/SQRT($G$9)</f>
        <v>0.377858995659502</v>
      </c>
      <c r="K28" s="0" t="n">
        <f aca="false">1/SQRT($G$9)</f>
        <v>0.377858995659502</v>
      </c>
      <c r="L28" s="0" t="n">
        <f aca="false">1/SQRT($G$9)</f>
        <v>0.377858995659502</v>
      </c>
      <c r="M28" s="0" t="n">
        <f aca="false">1/SQRT($G$9)</f>
        <v>0.377858995659502</v>
      </c>
      <c r="N28" s="0" t="n">
        <f aca="false">1/SQRT($G$9)</f>
        <v>0.377858995659502</v>
      </c>
      <c r="O28" s="0" t="n">
        <f aca="false">1/SQRT($G$9)</f>
        <v>0.377858995659502</v>
      </c>
      <c r="P28" s="0" t="n">
        <f aca="false">1/SQRT($G$9)</f>
        <v>0.377858995659502</v>
      </c>
      <c r="Q28" s="0" t="n">
        <f aca="false">1/SQRT($G$9)</f>
        <v>0.377858995659502</v>
      </c>
      <c r="R28" s="0" t="n">
        <f aca="false">1/SQRT($G$9)</f>
        <v>0.377858995659502</v>
      </c>
      <c r="S28" s="0" t="n">
        <f aca="false">1/SQRT($G$9)</f>
        <v>0.377858995659502</v>
      </c>
    </row>
    <row r="29" customFormat="false" ht="15" hidden="false" customHeight="false" outlineLevel="0" collapsed="false">
      <c r="B29" s="0" t="n">
        <f aca="false">1/SQRT($H$10)</f>
        <v>68.2720006246155</v>
      </c>
      <c r="C29" s="0" t="n">
        <f aca="false">1/SQRT($H$10)</f>
        <v>68.2720006246155</v>
      </c>
      <c r="D29" s="0" t="n">
        <f aca="false">1/SQRT($H$10)</f>
        <v>68.2720006246155</v>
      </c>
      <c r="E29" s="0" t="n">
        <f aca="false">1/SQRT($H$10)</f>
        <v>68.2720006246155</v>
      </c>
      <c r="F29" s="0" t="n">
        <f aca="false">1/SQRT($H$10)</f>
        <v>68.2720006246155</v>
      </c>
      <c r="G29" s="0" t="n">
        <f aca="false">1/SQRT($H$10)</f>
        <v>68.2720006246155</v>
      </c>
      <c r="H29" s="0" t="n">
        <f aca="false">1/SQRT($H$10)</f>
        <v>68.2720006246155</v>
      </c>
      <c r="I29" s="0" t="n">
        <f aca="false">1/SQRT($H$10)</f>
        <v>68.2720006246155</v>
      </c>
      <c r="J29" s="0" t="n">
        <f aca="false">1/SQRT($H$10)</f>
        <v>68.2720006246155</v>
      </c>
      <c r="K29" s="0" t="n">
        <f aca="false">1/SQRT($H$10)</f>
        <v>68.2720006246155</v>
      </c>
      <c r="L29" s="0" t="n">
        <f aca="false">1/SQRT($H$10)</f>
        <v>68.2720006246155</v>
      </c>
      <c r="M29" s="0" t="n">
        <f aca="false">1/SQRT($H$10)</f>
        <v>68.2720006246155</v>
      </c>
      <c r="N29" s="0" t="n">
        <f aca="false">1/SQRT($H$10)</f>
        <v>68.2720006246155</v>
      </c>
      <c r="O29" s="0" t="n">
        <f aca="false">1/SQRT($H$10)</f>
        <v>68.2720006246155</v>
      </c>
      <c r="P29" s="0" t="n">
        <f aca="false">1/SQRT($H$10)</f>
        <v>68.2720006246155</v>
      </c>
      <c r="Q29" s="0" t="n">
        <f aca="false">1/SQRT($H$10)</f>
        <v>68.2720006246155</v>
      </c>
      <c r="R29" s="0" t="n">
        <f aca="false">1/SQRT($H$10)</f>
        <v>68.2720006246155</v>
      </c>
      <c r="S29" s="0" t="n">
        <f aca="false">1/SQRT($H$10)</f>
        <v>68.2720006246155</v>
      </c>
    </row>
    <row r="30" customFormat="false" ht="15" hidden="false" customHeight="false" outlineLevel="0" collapsed="false">
      <c r="B30" s="0" t="n">
        <f aca="false">1/SQRT($I$11)</f>
        <v>1.69519425196607E-005</v>
      </c>
      <c r="C30" s="0" t="n">
        <f aca="false">1/SQRT($I$11)</f>
        <v>1.69519425196607E-005</v>
      </c>
      <c r="D30" s="0" t="n">
        <f aca="false">1/SQRT($I$11)</f>
        <v>1.69519425196607E-005</v>
      </c>
      <c r="E30" s="0" t="n">
        <f aca="false">1/SQRT($I$11)</f>
        <v>1.69519425196607E-005</v>
      </c>
      <c r="F30" s="0" t="n">
        <f aca="false">1/SQRT($I$11)</f>
        <v>1.69519425196607E-005</v>
      </c>
      <c r="G30" s="0" t="n">
        <f aca="false">1/SQRT($I$11)</f>
        <v>1.69519425196607E-005</v>
      </c>
      <c r="H30" s="0" t="n">
        <f aca="false">1/SQRT($I$11)</f>
        <v>1.69519425196607E-005</v>
      </c>
      <c r="I30" s="0" t="n">
        <f aca="false">1/SQRT($I$11)</f>
        <v>1.69519425196607E-005</v>
      </c>
      <c r="J30" s="0" t="n">
        <f aca="false">1/SQRT($I$11)</f>
        <v>1.69519425196607E-005</v>
      </c>
      <c r="K30" s="0" t="n">
        <f aca="false">1/SQRT($I$11)</f>
        <v>1.69519425196607E-005</v>
      </c>
      <c r="L30" s="0" t="n">
        <f aca="false">1/SQRT($I$11)</f>
        <v>1.69519425196607E-005</v>
      </c>
      <c r="M30" s="0" t="n">
        <f aca="false">1/SQRT($I$11)</f>
        <v>1.69519425196607E-005</v>
      </c>
      <c r="N30" s="0" t="n">
        <f aca="false">1/SQRT($I$11)</f>
        <v>1.69519425196607E-005</v>
      </c>
      <c r="O30" s="0" t="n">
        <f aca="false">1/SQRT($I$11)</f>
        <v>1.69519425196607E-005</v>
      </c>
      <c r="P30" s="0" t="n">
        <f aca="false">1/SQRT($I$11)</f>
        <v>1.69519425196607E-005</v>
      </c>
      <c r="Q30" s="0" t="n">
        <f aca="false">1/SQRT($I$11)</f>
        <v>1.69519425196607E-005</v>
      </c>
      <c r="R30" s="0" t="n">
        <f aca="false">1/SQRT($I$11)</f>
        <v>1.69519425196607E-005</v>
      </c>
      <c r="S30" s="0" t="n">
        <f aca="false">1/SQRT($I$11)</f>
        <v>1.69519425196607E-005</v>
      </c>
    </row>
    <row r="31" customFormat="false" ht="15" hidden="false" customHeight="false" outlineLevel="0" collapsed="false">
      <c r="B31" s="0" t="n">
        <f aca="false">1/SQRT($J$12)</f>
        <v>38.3916733490143</v>
      </c>
      <c r="C31" s="0" t="n">
        <f aca="false">1/SQRT($J$12)</f>
        <v>38.3916733490143</v>
      </c>
      <c r="D31" s="0" t="n">
        <f aca="false">1/SQRT($J$12)</f>
        <v>38.3916733490143</v>
      </c>
      <c r="E31" s="0" t="n">
        <f aca="false">1/SQRT($J$12)</f>
        <v>38.3916733490143</v>
      </c>
      <c r="F31" s="0" t="n">
        <f aca="false">1/SQRT($J$12)</f>
        <v>38.3916733490143</v>
      </c>
      <c r="G31" s="0" t="n">
        <f aca="false">1/SQRT($J$12)</f>
        <v>38.3916733490143</v>
      </c>
      <c r="H31" s="0" t="n">
        <f aca="false">1/SQRT($J$12)</f>
        <v>38.3916733490143</v>
      </c>
      <c r="I31" s="0" t="n">
        <f aca="false">1/SQRT($J$12)</f>
        <v>38.3916733490143</v>
      </c>
      <c r="J31" s="0" t="n">
        <f aca="false">1/SQRT($J$12)</f>
        <v>38.3916733490143</v>
      </c>
      <c r="K31" s="0" t="n">
        <f aca="false">1/SQRT($J$12)</f>
        <v>38.3916733490143</v>
      </c>
      <c r="L31" s="0" t="n">
        <f aca="false">1/SQRT($J$12)</f>
        <v>38.3916733490143</v>
      </c>
      <c r="M31" s="0" t="n">
        <f aca="false">1/SQRT($J$12)</f>
        <v>38.3916733490143</v>
      </c>
      <c r="N31" s="0" t="n">
        <f aca="false">1/SQRT($J$12)</f>
        <v>38.3916733490143</v>
      </c>
      <c r="O31" s="0" t="n">
        <f aca="false">1/SQRT($J$12)</f>
        <v>38.3916733490143</v>
      </c>
      <c r="P31" s="0" t="n">
        <f aca="false">1/SQRT($J$12)</f>
        <v>38.3916733490143</v>
      </c>
      <c r="Q31" s="0" t="n">
        <f aca="false">1/SQRT($J$12)</f>
        <v>38.3916733490143</v>
      </c>
      <c r="R31" s="0" t="n">
        <f aca="false">1/SQRT($J$12)</f>
        <v>38.3916733490143</v>
      </c>
      <c r="S31" s="0" t="n">
        <f aca="false">1/SQRT($J$12)</f>
        <v>38.3916733490143</v>
      </c>
    </row>
    <row r="32" customFormat="false" ht="15" hidden="false" customHeight="false" outlineLevel="0" collapsed="false">
      <c r="B32" s="0" t="n">
        <f aca="false">1/SQRT($K$13)</f>
        <v>0.001303701263222</v>
      </c>
      <c r="C32" s="0" t="n">
        <f aca="false">1/SQRT($K$13)</f>
        <v>0.001303701263222</v>
      </c>
      <c r="D32" s="0" t="n">
        <f aca="false">1/SQRT($K$13)</f>
        <v>0.001303701263222</v>
      </c>
      <c r="E32" s="0" t="n">
        <f aca="false">1/SQRT($K$13)</f>
        <v>0.001303701263222</v>
      </c>
      <c r="F32" s="0" t="n">
        <f aca="false">1/SQRT($K$13)</f>
        <v>0.001303701263222</v>
      </c>
      <c r="G32" s="0" t="n">
        <f aca="false">1/SQRT($K$13)</f>
        <v>0.001303701263222</v>
      </c>
      <c r="H32" s="0" t="n">
        <f aca="false">1/SQRT($K$13)</f>
        <v>0.001303701263222</v>
      </c>
      <c r="I32" s="0" t="n">
        <f aca="false">1/SQRT($K$13)</f>
        <v>0.001303701263222</v>
      </c>
      <c r="J32" s="0" t="n">
        <f aca="false">1/SQRT($K$13)</f>
        <v>0.001303701263222</v>
      </c>
      <c r="K32" s="0" t="n">
        <f aca="false">1/SQRT($K$13)</f>
        <v>0.001303701263222</v>
      </c>
      <c r="L32" s="0" t="n">
        <f aca="false">1/SQRT($K$13)</f>
        <v>0.001303701263222</v>
      </c>
      <c r="M32" s="0" t="n">
        <f aca="false">1/SQRT($K$13)</f>
        <v>0.001303701263222</v>
      </c>
      <c r="N32" s="0" t="n">
        <f aca="false">1/SQRT($K$13)</f>
        <v>0.001303701263222</v>
      </c>
      <c r="O32" s="0" t="n">
        <f aca="false">1/SQRT($K$13)</f>
        <v>0.001303701263222</v>
      </c>
      <c r="P32" s="0" t="n">
        <f aca="false">1/SQRT($K$13)</f>
        <v>0.001303701263222</v>
      </c>
      <c r="Q32" s="0" t="n">
        <f aca="false">1/SQRT($K$13)</f>
        <v>0.001303701263222</v>
      </c>
      <c r="R32" s="0" t="n">
        <f aca="false">1/SQRT($K$13)</f>
        <v>0.001303701263222</v>
      </c>
      <c r="S32" s="0" t="n">
        <f aca="false">1/SQRT($K$13)</f>
        <v>0.001303701263222</v>
      </c>
    </row>
    <row r="33" customFormat="false" ht="15" hidden="false" customHeight="false" outlineLevel="0" collapsed="false">
      <c r="B33" s="0" t="n">
        <f aca="false">1/SQRT($L$14)</f>
        <v>34.0535835394866</v>
      </c>
      <c r="C33" s="0" t="n">
        <f aca="false">1/SQRT($L$14)</f>
        <v>34.0535835394866</v>
      </c>
      <c r="D33" s="0" t="n">
        <f aca="false">1/SQRT($L$14)</f>
        <v>34.0535835394866</v>
      </c>
      <c r="E33" s="0" t="n">
        <f aca="false">1/SQRT($L$14)</f>
        <v>34.0535835394866</v>
      </c>
      <c r="F33" s="0" t="n">
        <f aca="false">1/SQRT($L$14)</f>
        <v>34.0535835394866</v>
      </c>
      <c r="G33" s="0" t="n">
        <f aca="false">1/SQRT($L$14)</f>
        <v>34.0535835394866</v>
      </c>
      <c r="H33" s="0" t="n">
        <f aca="false">1/SQRT($L$14)</f>
        <v>34.0535835394866</v>
      </c>
      <c r="I33" s="0" t="n">
        <f aca="false">1/SQRT($L$14)</f>
        <v>34.0535835394866</v>
      </c>
      <c r="J33" s="0" t="n">
        <f aca="false">1/SQRT($L$14)</f>
        <v>34.0535835394866</v>
      </c>
      <c r="K33" s="0" t="n">
        <f aca="false">1/SQRT($L$14)</f>
        <v>34.0535835394866</v>
      </c>
      <c r="L33" s="0" t="n">
        <f aca="false">1/SQRT($L$14)</f>
        <v>34.0535835394866</v>
      </c>
      <c r="M33" s="0" t="n">
        <f aca="false">1/SQRT($L$14)</f>
        <v>34.0535835394866</v>
      </c>
      <c r="N33" s="0" t="n">
        <f aca="false">1/SQRT($L$14)</f>
        <v>34.0535835394866</v>
      </c>
      <c r="O33" s="0" t="n">
        <f aca="false">1/SQRT($L$14)</f>
        <v>34.0535835394866</v>
      </c>
      <c r="P33" s="0" t="n">
        <f aca="false">1/SQRT($L$14)</f>
        <v>34.0535835394866</v>
      </c>
      <c r="Q33" s="0" t="n">
        <f aca="false">1/SQRT($L$14)</f>
        <v>34.0535835394866</v>
      </c>
      <c r="R33" s="0" t="n">
        <f aca="false">1/SQRT($L$14)</f>
        <v>34.0535835394866</v>
      </c>
      <c r="S33" s="0" t="n">
        <f aca="false">1/SQRT($L$14)</f>
        <v>34.0535835394866</v>
      </c>
    </row>
    <row r="34" customFormat="false" ht="15" hidden="false" customHeight="false" outlineLevel="0" collapsed="false">
      <c r="B34" s="0" t="n">
        <f aca="false">1/SQRT($M$15)</f>
        <v>38.407287257216</v>
      </c>
      <c r="C34" s="0" t="n">
        <f aca="false">1/SQRT($M$15)</f>
        <v>38.407287257216</v>
      </c>
      <c r="D34" s="0" t="n">
        <f aca="false">1/SQRT($M$15)</f>
        <v>38.407287257216</v>
      </c>
      <c r="E34" s="0" t="n">
        <f aca="false">1/SQRT($M$15)</f>
        <v>38.407287257216</v>
      </c>
      <c r="F34" s="0" t="n">
        <f aca="false">1/SQRT($M$15)</f>
        <v>38.407287257216</v>
      </c>
      <c r="G34" s="0" t="n">
        <f aca="false">1/SQRT($M$15)</f>
        <v>38.407287257216</v>
      </c>
      <c r="H34" s="0" t="n">
        <f aca="false">1/SQRT($M$15)</f>
        <v>38.407287257216</v>
      </c>
      <c r="I34" s="0" t="n">
        <f aca="false">1/SQRT($M$15)</f>
        <v>38.407287257216</v>
      </c>
      <c r="J34" s="0" t="n">
        <f aca="false">1/SQRT($M$15)</f>
        <v>38.407287257216</v>
      </c>
      <c r="K34" s="0" t="n">
        <f aca="false">1/SQRT($M$15)</f>
        <v>38.407287257216</v>
      </c>
      <c r="L34" s="0" t="n">
        <f aca="false">1/SQRT($M$15)</f>
        <v>38.407287257216</v>
      </c>
      <c r="M34" s="0" t="n">
        <f aca="false">1/SQRT($M$15)</f>
        <v>38.407287257216</v>
      </c>
      <c r="N34" s="0" t="n">
        <f aca="false">1/SQRT($M$15)</f>
        <v>38.407287257216</v>
      </c>
      <c r="O34" s="0" t="n">
        <f aca="false">1/SQRT($M$15)</f>
        <v>38.407287257216</v>
      </c>
      <c r="P34" s="0" t="n">
        <f aca="false">1/SQRT($M$15)</f>
        <v>38.407287257216</v>
      </c>
      <c r="Q34" s="0" t="n">
        <f aca="false">1/SQRT($M$15)</f>
        <v>38.407287257216</v>
      </c>
      <c r="R34" s="0" t="n">
        <f aca="false">1/SQRT($M$15)</f>
        <v>38.407287257216</v>
      </c>
      <c r="S34" s="0" t="n">
        <f aca="false">1/SQRT($M$15)</f>
        <v>38.407287257216</v>
      </c>
    </row>
    <row r="35" customFormat="false" ht="15" hidden="false" customHeight="false" outlineLevel="0" collapsed="false">
      <c r="B35" s="0" t="n">
        <f aca="false">1/SQRT($N$16)</f>
        <v>307.486621951204</v>
      </c>
      <c r="C35" s="0" t="n">
        <f aca="false">1/SQRT($N$16)</f>
        <v>307.486621951204</v>
      </c>
      <c r="D35" s="0" t="n">
        <f aca="false">1/SQRT($N$16)</f>
        <v>307.486621951204</v>
      </c>
      <c r="E35" s="0" t="n">
        <f aca="false">1/SQRT($N$16)</f>
        <v>307.486621951204</v>
      </c>
      <c r="F35" s="0" t="n">
        <f aca="false">1/SQRT($N$16)</f>
        <v>307.486621951204</v>
      </c>
      <c r="G35" s="0" t="n">
        <f aca="false">1/SQRT($N$16)</f>
        <v>307.486621951204</v>
      </c>
      <c r="H35" s="0" t="n">
        <f aca="false">1/SQRT($N$16)</f>
        <v>307.486621951204</v>
      </c>
      <c r="I35" s="0" t="n">
        <f aca="false">1/SQRT($N$16)</f>
        <v>307.486621951204</v>
      </c>
      <c r="J35" s="0" t="n">
        <f aca="false">1/SQRT($N$16)</f>
        <v>307.486621951204</v>
      </c>
      <c r="K35" s="0" t="n">
        <f aca="false">1/SQRT($N$16)</f>
        <v>307.486621951204</v>
      </c>
      <c r="L35" s="0" t="n">
        <f aca="false">1/SQRT($N$16)</f>
        <v>307.486621951204</v>
      </c>
      <c r="M35" s="0" t="n">
        <f aca="false">1/SQRT($N$16)</f>
        <v>307.486621951204</v>
      </c>
      <c r="N35" s="0" t="n">
        <f aca="false">1/SQRT($N$16)</f>
        <v>307.486621951204</v>
      </c>
      <c r="O35" s="0" t="n">
        <f aca="false">1/SQRT($N$16)</f>
        <v>307.486621951204</v>
      </c>
      <c r="P35" s="0" t="n">
        <f aca="false">1/SQRT($N$16)</f>
        <v>307.486621951204</v>
      </c>
      <c r="Q35" s="0" t="n">
        <f aca="false">1/SQRT($N$16)</f>
        <v>307.486621951204</v>
      </c>
      <c r="R35" s="0" t="n">
        <f aca="false">1/SQRT($N$16)</f>
        <v>307.486621951204</v>
      </c>
      <c r="S35" s="0" t="n">
        <f aca="false">1/SQRT($N$16)</f>
        <v>307.486621951204</v>
      </c>
    </row>
    <row r="36" customFormat="false" ht="15" hidden="false" customHeight="false" outlineLevel="0" collapsed="false">
      <c r="B36" s="0" t="n">
        <f aca="false">1/SQRT($O$17)</f>
        <v>37426.2993267794</v>
      </c>
      <c r="C36" s="0" t="n">
        <f aca="false">1/SQRT($O$17)</f>
        <v>37426.2993267794</v>
      </c>
      <c r="D36" s="0" t="n">
        <f aca="false">1/SQRT($O$17)</f>
        <v>37426.2993267794</v>
      </c>
      <c r="E36" s="0" t="n">
        <f aca="false">1/SQRT($O$17)</f>
        <v>37426.2993267794</v>
      </c>
      <c r="F36" s="0" t="n">
        <f aca="false">1/SQRT($O$17)</f>
        <v>37426.2993267794</v>
      </c>
      <c r="G36" s="0" t="n">
        <f aca="false">1/SQRT($O$17)</f>
        <v>37426.2993267794</v>
      </c>
      <c r="H36" s="0" t="n">
        <f aca="false">1/SQRT($O$17)</f>
        <v>37426.2993267794</v>
      </c>
      <c r="I36" s="0" t="n">
        <f aca="false">1/SQRT($O$17)</f>
        <v>37426.2993267794</v>
      </c>
      <c r="J36" s="0" t="n">
        <f aca="false">1/SQRT($O$17)</f>
        <v>37426.2993267794</v>
      </c>
      <c r="K36" s="0" t="n">
        <f aca="false">1/SQRT($O$17)</f>
        <v>37426.2993267794</v>
      </c>
      <c r="L36" s="0" t="n">
        <f aca="false">1/SQRT($O$17)</f>
        <v>37426.2993267794</v>
      </c>
      <c r="M36" s="0" t="n">
        <f aca="false">1/SQRT($O$17)</f>
        <v>37426.2993267794</v>
      </c>
      <c r="N36" s="0" t="n">
        <f aca="false">1/SQRT($O$17)</f>
        <v>37426.2993267794</v>
      </c>
      <c r="O36" s="0" t="n">
        <f aca="false">1/SQRT($O$17)</f>
        <v>37426.2993267794</v>
      </c>
      <c r="P36" s="0" t="n">
        <f aca="false">1/SQRT($O$17)</f>
        <v>37426.2993267794</v>
      </c>
      <c r="Q36" s="0" t="n">
        <f aca="false">1/SQRT($O$17)</f>
        <v>37426.2993267794</v>
      </c>
      <c r="R36" s="0" t="n">
        <f aca="false">1/SQRT($O$17)</f>
        <v>37426.2993267794</v>
      </c>
      <c r="S36" s="0" t="n">
        <f aca="false">1/SQRT($O$17)</f>
        <v>37426.2993267794</v>
      </c>
    </row>
    <row r="37" customFormat="false" ht="15" hidden="false" customHeight="false" outlineLevel="0" collapsed="false">
      <c r="B37" s="0" t="n">
        <f aca="false">1/SQRT($P$18)</f>
        <v>460.883149944406</v>
      </c>
      <c r="C37" s="0" t="n">
        <f aca="false">1/SQRT($P$18)</f>
        <v>460.883149944406</v>
      </c>
      <c r="D37" s="0" t="n">
        <f aca="false">1/SQRT($P$18)</f>
        <v>460.883149944406</v>
      </c>
      <c r="E37" s="0" t="n">
        <f aca="false">1/SQRT($P$18)</f>
        <v>460.883149944406</v>
      </c>
      <c r="F37" s="0" t="n">
        <f aca="false">1/SQRT($P$18)</f>
        <v>460.883149944406</v>
      </c>
      <c r="G37" s="0" t="n">
        <f aca="false">1/SQRT($P$18)</f>
        <v>460.883149944406</v>
      </c>
      <c r="H37" s="0" t="n">
        <f aca="false">1/SQRT($P$18)</f>
        <v>460.883149944406</v>
      </c>
      <c r="I37" s="0" t="n">
        <f aca="false">1/SQRT($P$18)</f>
        <v>460.883149944406</v>
      </c>
      <c r="J37" s="0" t="n">
        <f aca="false">1/SQRT($P$18)</f>
        <v>460.883149944406</v>
      </c>
      <c r="K37" s="0" t="n">
        <f aca="false">1/SQRT($P$18)</f>
        <v>460.883149944406</v>
      </c>
      <c r="L37" s="0" t="n">
        <f aca="false">1/SQRT($P$18)</f>
        <v>460.883149944406</v>
      </c>
      <c r="M37" s="0" t="n">
        <f aca="false">1/SQRT($P$18)</f>
        <v>460.883149944406</v>
      </c>
      <c r="N37" s="0" t="n">
        <f aca="false">1/SQRT($P$18)</f>
        <v>460.883149944406</v>
      </c>
      <c r="O37" s="0" t="n">
        <f aca="false">1/SQRT($P$18)</f>
        <v>460.883149944406</v>
      </c>
      <c r="P37" s="0" t="n">
        <f aca="false">1/SQRT($P$18)</f>
        <v>460.883149944406</v>
      </c>
      <c r="Q37" s="0" t="n">
        <f aca="false">1/SQRT($P$18)</f>
        <v>460.883149944406</v>
      </c>
      <c r="R37" s="0" t="n">
        <f aca="false">1/SQRT($P$18)</f>
        <v>460.883149944406</v>
      </c>
      <c r="S37" s="0" t="n">
        <f aca="false">1/SQRT($P$18)</f>
        <v>460.883149944406</v>
      </c>
    </row>
    <row r="38" customFormat="false" ht="15" hidden="false" customHeight="false" outlineLevel="0" collapsed="false">
      <c r="B38" s="0" t="n">
        <f aca="false">1/SQRT($Q$19)</f>
        <v>28997.724668089</v>
      </c>
      <c r="C38" s="0" t="n">
        <f aca="false">1/SQRT($Q$19)</f>
        <v>28997.724668089</v>
      </c>
      <c r="D38" s="0" t="n">
        <f aca="false">1/SQRT($Q$19)</f>
        <v>28997.724668089</v>
      </c>
      <c r="E38" s="0" t="n">
        <f aca="false">1/SQRT($Q$19)</f>
        <v>28997.724668089</v>
      </c>
      <c r="F38" s="0" t="n">
        <f aca="false">1/SQRT($Q$19)</f>
        <v>28997.724668089</v>
      </c>
      <c r="G38" s="0" t="n">
        <f aca="false">1/SQRT($Q$19)</f>
        <v>28997.724668089</v>
      </c>
      <c r="H38" s="0" t="n">
        <f aca="false">1/SQRT($Q$19)</f>
        <v>28997.724668089</v>
      </c>
      <c r="I38" s="0" t="n">
        <f aca="false">1/SQRT($Q$19)</f>
        <v>28997.724668089</v>
      </c>
      <c r="J38" s="0" t="n">
        <f aca="false">1/SQRT($Q$19)</f>
        <v>28997.724668089</v>
      </c>
      <c r="K38" s="0" t="n">
        <f aca="false">1/SQRT($Q$19)</f>
        <v>28997.724668089</v>
      </c>
      <c r="L38" s="0" t="n">
        <f aca="false">1/SQRT($Q$19)</f>
        <v>28997.724668089</v>
      </c>
      <c r="M38" s="0" t="n">
        <f aca="false">1/SQRT($Q$19)</f>
        <v>28997.724668089</v>
      </c>
      <c r="N38" s="0" t="n">
        <f aca="false">1/SQRT($Q$19)</f>
        <v>28997.724668089</v>
      </c>
      <c r="O38" s="0" t="n">
        <f aca="false">1/SQRT($Q$19)</f>
        <v>28997.724668089</v>
      </c>
      <c r="P38" s="0" t="n">
        <f aca="false">1/SQRT($Q$19)</f>
        <v>28997.724668089</v>
      </c>
      <c r="Q38" s="0" t="n">
        <f aca="false">1/SQRT($Q$19)</f>
        <v>28997.724668089</v>
      </c>
      <c r="R38" s="0" t="n">
        <f aca="false">1/SQRT($Q$19)</f>
        <v>28997.724668089</v>
      </c>
      <c r="S38" s="0" t="n">
        <f aca="false">1/SQRT($Q$19)</f>
        <v>28997.724668089</v>
      </c>
    </row>
    <row r="39" customFormat="false" ht="15" hidden="false" customHeight="false" outlineLevel="0" collapsed="false">
      <c r="B39" s="0" t="n">
        <f aca="false">1/SQRT($R$20)</f>
        <v>186.075559430936</v>
      </c>
      <c r="C39" s="0" t="n">
        <f aca="false">1/SQRT($R$20)</f>
        <v>186.075559430936</v>
      </c>
      <c r="D39" s="0" t="n">
        <f aca="false">1/SQRT($R$20)</f>
        <v>186.075559430936</v>
      </c>
      <c r="E39" s="0" t="n">
        <f aca="false">1/SQRT($R$20)</f>
        <v>186.075559430936</v>
      </c>
      <c r="F39" s="0" t="n">
        <f aca="false">1/SQRT($R$20)</f>
        <v>186.075559430936</v>
      </c>
      <c r="G39" s="0" t="n">
        <f aca="false">1/SQRT($R$20)</f>
        <v>186.075559430936</v>
      </c>
      <c r="H39" s="0" t="n">
        <f aca="false">1/SQRT($R$20)</f>
        <v>186.075559430936</v>
      </c>
      <c r="I39" s="0" t="n">
        <f aca="false">1/SQRT($R$20)</f>
        <v>186.075559430936</v>
      </c>
      <c r="J39" s="0" t="n">
        <f aca="false">1/SQRT($R$20)</f>
        <v>186.075559430936</v>
      </c>
      <c r="K39" s="0" t="n">
        <f aca="false">1/SQRT($R$20)</f>
        <v>186.075559430936</v>
      </c>
      <c r="L39" s="0" t="n">
        <f aca="false">1/SQRT($R$20)</f>
        <v>186.075559430936</v>
      </c>
      <c r="M39" s="0" t="n">
        <f aca="false">1/SQRT($R$20)</f>
        <v>186.075559430936</v>
      </c>
      <c r="N39" s="0" t="n">
        <f aca="false">1/SQRT($R$20)</f>
        <v>186.075559430936</v>
      </c>
      <c r="O39" s="0" t="n">
        <f aca="false">1/SQRT($R$20)</f>
        <v>186.075559430936</v>
      </c>
      <c r="P39" s="0" t="n">
        <f aca="false">1/SQRT($R$20)</f>
        <v>186.075559430936</v>
      </c>
      <c r="Q39" s="0" t="n">
        <f aca="false">1/SQRT($R$20)</f>
        <v>186.075559430936</v>
      </c>
      <c r="R39" s="0" t="n">
        <f aca="false">1/SQRT($R$20)</f>
        <v>186.075559430936</v>
      </c>
      <c r="S39" s="0" t="n">
        <f aca="false">1/SQRT($R$20)</f>
        <v>186.075559430936</v>
      </c>
    </row>
    <row r="40" customFormat="false" ht="15" hidden="false" customHeight="false" outlineLevel="0" collapsed="false">
      <c r="B40" s="0" t="n">
        <f aca="false">1/SQRT($S$21)</f>
        <v>602.556355561284</v>
      </c>
      <c r="C40" s="0" t="n">
        <f aca="false">1/SQRT($S$21)</f>
        <v>602.556355561284</v>
      </c>
      <c r="D40" s="0" t="n">
        <f aca="false">1/SQRT($S$21)</f>
        <v>602.556355561284</v>
      </c>
      <c r="E40" s="0" t="n">
        <f aca="false">1/SQRT($S$21)</f>
        <v>602.556355561284</v>
      </c>
      <c r="F40" s="0" t="n">
        <f aca="false">1/SQRT($S$21)</f>
        <v>602.556355561284</v>
      </c>
      <c r="G40" s="0" t="n">
        <f aca="false">1/SQRT($S$21)</f>
        <v>602.556355561284</v>
      </c>
      <c r="H40" s="0" t="n">
        <f aca="false">1/SQRT($S$21)</f>
        <v>602.556355561284</v>
      </c>
      <c r="I40" s="0" t="n">
        <f aca="false">1/SQRT($S$21)</f>
        <v>602.556355561284</v>
      </c>
      <c r="J40" s="0" t="n">
        <f aca="false">1/SQRT($S$21)</f>
        <v>602.556355561284</v>
      </c>
      <c r="K40" s="0" t="n">
        <f aca="false">1/SQRT($S$21)</f>
        <v>602.556355561284</v>
      </c>
      <c r="L40" s="0" t="n">
        <f aca="false">1/SQRT($S$21)</f>
        <v>602.556355561284</v>
      </c>
      <c r="M40" s="0" t="n">
        <f aca="false">1/SQRT($S$21)</f>
        <v>602.556355561284</v>
      </c>
      <c r="N40" s="0" t="n">
        <f aca="false">1/SQRT($S$21)</f>
        <v>602.556355561284</v>
      </c>
      <c r="O40" s="0" t="n">
        <f aca="false">1/SQRT($S$21)</f>
        <v>602.556355561284</v>
      </c>
      <c r="P40" s="0" t="n">
        <f aca="false">1/SQRT($S$21)</f>
        <v>602.556355561284</v>
      </c>
      <c r="Q40" s="0" t="n">
        <f aca="false">1/SQRT($S$21)</f>
        <v>602.556355561284</v>
      </c>
      <c r="R40" s="0" t="n">
        <f aca="false">1/SQRT($S$21)</f>
        <v>602.556355561284</v>
      </c>
      <c r="S40" s="0" t="n">
        <f aca="false">1/SQRT($S$21)</f>
        <v>602.556355561284</v>
      </c>
    </row>
    <row r="42" customFormat="false" ht="15" hidden="false" customHeight="false" outlineLevel="0" collapsed="false">
      <c r="B42" s="0" t="n">
        <f aca="false">1/SQRT($B$4)</f>
        <v>19.1709538338375</v>
      </c>
      <c r="C42" s="0" t="e">
        <f aca="false">1/SQRT($C$5)</f>
        <v>#REF!</v>
      </c>
      <c r="D42" s="0" t="e">
        <f aca="false">1/SQRT($D$6)</f>
        <v>#REF!</v>
      </c>
      <c r="E42" s="0" t="n">
        <f aca="false">1/SQRT($E$7)</f>
        <v>5.19401427925973E-005</v>
      </c>
      <c r="F42" s="0" t="n">
        <f aca="false">1/SQRT($F$8)</f>
        <v>0.400747479863837</v>
      </c>
      <c r="G42" s="0" t="n">
        <f aca="false">1/SQRT($G$9)</f>
        <v>0.377858995659502</v>
      </c>
      <c r="H42" s="0" t="n">
        <f aca="false">1/SQRT($H$10)</f>
        <v>68.2720006246155</v>
      </c>
      <c r="I42" s="0" t="n">
        <f aca="false">1/SQRT($I$11)</f>
        <v>1.69519425196607E-005</v>
      </c>
      <c r="J42" s="0" t="n">
        <f aca="false">1/SQRT($J$12)</f>
        <v>38.3916733490143</v>
      </c>
      <c r="K42" s="0" t="n">
        <f aca="false">1/SQRT($K$13)</f>
        <v>0.001303701263222</v>
      </c>
      <c r="L42" s="0" t="n">
        <f aca="false">1/SQRT($L$14)</f>
        <v>34.0535835394866</v>
      </c>
      <c r="M42" s="0" t="n">
        <f aca="false">1/SQRT($M$15)</f>
        <v>38.407287257216</v>
      </c>
      <c r="N42" s="0" t="n">
        <f aca="false">1/SQRT($N$16)</f>
        <v>307.486621951204</v>
      </c>
      <c r="O42" s="0" t="n">
        <f aca="false">1/SQRT($O$17)</f>
        <v>37426.2993267794</v>
      </c>
      <c r="P42" s="0" t="n">
        <f aca="false">1/SQRT($P$18)</f>
        <v>460.883149944406</v>
      </c>
      <c r="Q42" s="0" t="n">
        <f aca="false">1/SQRT($Q$19)</f>
        <v>28997.724668089</v>
      </c>
      <c r="R42" s="0" t="n">
        <f aca="false">1/SQRT($R$20)</f>
        <v>186.075559430936</v>
      </c>
      <c r="S42" s="0" t="n">
        <f aca="false">1/SQRT($S$21)</f>
        <v>602.556355561284</v>
      </c>
    </row>
    <row r="43" customFormat="false" ht="15" hidden="false" customHeight="false" outlineLevel="0" collapsed="false">
      <c r="B43" s="0" t="n">
        <f aca="false">1/SQRT($B$4)</f>
        <v>19.1709538338375</v>
      </c>
      <c r="C43" s="0" t="e">
        <f aca="false">1/SQRT($C$5)</f>
        <v>#REF!</v>
      </c>
      <c r="D43" s="0" t="e">
        <f aca="false">1/SQRT($D$6)</f>
        <v>#REF!</v>
      </c>
      <c r="E43" s="0" t="n">
        <f aca="false">1/SQRT($E$7)</f>
        <v>5.19401427925973E-005</v>
      </c>
      <c r="F43" s="0" t="n">
        <f aca="false">1/SQRT($F$8)</f>
        <v>0.400747479863837</v>
      </c>
      <c r="G43" s="0" t="n">
        <f aca="false">1/SQRT($G$9)</f>
        <v>0.377858995659502</v>
      </c>
      <c r="H43" s="0" t="n">
        <f aca="false">1/SQRT($H$10)</f>
        <v>68.2720006246155</v>
      </c>
      <c r="I43" s="0" t="n">
        <f aca="false">1/SQRT($I$11)</f>
        <v>1.69519425196607E-005</v>
      </c>
      <c r="J43" s="0" t="n">
        <f aca="false">1/SQRT($J$12)</f>
        <v>38.3916733490143</v>
      </c>
      <c r="K43" s="0" t="n">
        <f aca="false">1/SQRT($K$13)</f>
        <v>0.001303701263222</v>
      </c>
      <c r="L43" s="0" t="n">
        <f aca="false">1/SQRT($L$14)</f>
        <v>34.0535835394866</v>
      </c>
      <c r="M43" s="0" t="n">
        <f aca="false">1/SQRT($M$15)</f>
        <v>38.407287257216</v>
      </c>
      <c r="N43" s="0" t="n">
        <f aca="false">1/SQRT($N$16)</f>
        <v>307.486621951204</v>
      </c>
      <c r="O43" s="0" t="n">
        <f aca="false">1/SQRT($O$17)</f>
        <v>37426.2993267794</v>
      </c>
      <c r="P43" s="0" t="n">
        <f aca="false">1/SQRT($P$18)</f>
        <v>460.883149944406</v>
      </c>
      <c r="Q43" s="0" t="n">
        <f aca="false">1/SQRT($Q$19)</f>
        <v>28997.724668089</v>
      </c>
      <c r="R43" s="0" t="n">
        <f aca="false">1/SQRT($R$20)</f>
        <v>186.075559430936</v>
      </c>
      <c r="S43" s="0" t="n">
        <f aca="false">1/SQRT($S$21)</f>
        <v>602.556355561284</v>
      </c>
    </row>
    <row r="44" customFormat="false" ht="15" hidden="false" customHeight="false" outlineLevel="0" collapsed="false">
      <c r="B44" s="0" t="n">
        <f aca="false">1/SQRT($B$4)</f>
        <v>19.1709538338375</v>
      </c>
      <c r="C44" s="0" t="e">
        <f aca="false">1/SQRT($C$5)</f>
        <v>#REF!</v>
      </c>
      <c r="D44" s="0" t="e">
        <f aca="false">1/SQRT($D$6)</f>
        <v>#REF!</v>
      </c>
      <c r="E44" s="0" t="n">
        <f aca="false">1/SQRT($E$7)</f>
        <v>5.19401427925973E-005</v>
      </c>
      <c r="F44" s="0" t="n">
        <f aca="false">1/SQRT($F$8)</f>
        <v>0.400747479863837</v>
      </c>
      <c r="G44" s="0" t="n">
        <f aca="false">1/SQRT($G$9)</f>
        <v>0.377858995659502</v>
      </c>
      <c r="H44" s="0" t="n">
        <f aca="false">1/SQRT($H$10)</f>
        <v>68.2720006246155</v>
      </c>
      <c r="I44" s="0" t="n">
        <f aca="false">1/SQRT($I$11)</f>
        <v>1.69519425196607E-005</v>
      </c>
      <c r="J44" s="0" t="n">
        <f aca="false">1/SQRT($J$12)</f>
        <v>38.3916733490143</v>
      </c>
      <c r="K44" s="0" t="n">
        <f aca="false">1/SQRT($K$13)</f>
        <v>0.001303701263222</v>
      </c>
      <c r="L44" s="0" t="n">
        <f aca="false">1/SQRT($L$14)</f>
        <v>34.0535835394866</v>
      </c>
      <c r="M44" s="0" t="n">
        <f aca="false">1/SQRT($M$15)</f>
        <v>38.407287257216</v>
      </c>
      <c r="N44" s="0" t="n">
        <f aca="false">1/SQRT($N$16)</f>
        <v>307.486621951204</v>
      </c>
      <c r="O44" s="0" t="n">
        <f aca="false">1/SQRT($O$17)</f>
        <v>37426.2993267794</v>
      </c>
      <c r="P44" s="0" t="n">
        <f aca="false">1/SQRT($P$18)</f>
        <v>460.883149944406</v>
      </c>
      <c r="Q44" s="0" t="n">
        <f aca="false">1/SQRT($Q$19)</f>
        <v>28997.724668089</v>
      </c>
      <c r="R44" s="0" t="n">
        <f aca="false">1/SQRT($R$20)</f>
        <v>186.075559430936</v>
      </c>
      <c r="S44" s="0" t="n">
        <f aca="false">1/SQRT($S$21)</f>
        <v>602.556355561284</v>
      </c>
    </row>
    <row r="45" customFormat="false" ht="15" hidden="false" customHeight="false" outlineLevel="0" collapsed="false">
      <c r="B45" s="0" t="n">
        <f aca="false">1/SQRT($B$4)</f>
        <v>19.1709538338375</v>
      </c>
      <c r="C45" s="0" t="e">
        <f aca="false">1/SQRT($C$5)</f>
        <v>#REF!</v>
      </c>
      <c r="D45" s="0" t="e">
        <f aca="false">1/SQRT($D$6)</f>
        <v>#REF!</v>
      </c>
      <c r="E45" s="0" t="n">
        <f aca="false">1/SQRT($E$7)</f>
        <v>5.19401427925973E-005</v>
      </c>
      <c r="F45" s="0" t="n">
        <f aca="false">1/SQRT($F$8)</f>
        <v>0.400747479863837</v>
      </c>
      <c r="G45" s="0" t="n">
        <f aca="false">1/SQRT($G$9)</f>
        <v>0.377858995659502</v>
      </c>
      <c r="H45" s="0" t="n">
        <f aca="false">1/SQRT($H$10)</f>
        <v>68.2720006246155</v>
      </c>
      <c r="I45" s="0" t="n">
        <f aca="false">1/SQRT($I$11)</f>
        <v>1.69519425196607E-005</v>
      </c>
      <c r="J45" s="0" t="n">
        <f aca="false">1/SQRT($J$12)</f>
        <v>38.3916733490143</v>
      </c>
      <c r="K45" s="0" t="n">
        <f aca="false">1/SQRT($K$13)</f>
        <v>0.001303701263222</v>
      </c>
      <c r="L45" s="0" t="n">
        <f aca="false">1/SQRT($L$14)</f>
        <v>34.0535835394866</v>
      </c>
      <c r="M45" s="0" t="n">
        <f aca="false">1/SQRT($M$15)</f>
        <v>38.407287257216</v>
      </c>
      <c r="N45" s="0" t="n">
        <f aca="false">1/SQRT($N$16)</f>
        <v>307.486621951204</v>
      </c>
      <c r="O45" s="0" t="n">
        <f aca="false">1/SQRT($O$17)</f>
        <v>37426.2993267794</v>
      </c>
      <c r="P45" s="0" t="n">
        <f aca="false">1/SQRT($P$18)</f>
        <v>460.883149944406</v>
      </c>
      <c r="Q45" s="0" t="n">
        <f aca="false">1/SQRT($Q$19)</f>
        <v>28997.724668089</v>
      </c>
      <c r="R45" s="0" t="n">
        <f aca="false">1/SQRT($R$20)</f>
        <v>186.075559430936</v>
      </c>
      <c r="S45" s="0" t="n">
        <f aca="false">1/SQRT($S$21)</f>
        <v>602.556355561284</v>
      </c>
    </row>
    <row r="46" customFormat="false" ht="15" hidden="false" customHeight="false" outlineLevel="0" collapsed="false">
      <c r="B46" s="0" t="n">
        <f aca="false">1/SQRT($B$4)</f>
        <v>19.1709538338375</v>
      </c>
      <c r="C46" s="0" t="e">
        <f aca="false">1/SQRT($C$5)</f>
        <v>#REF!</v>
      </c>
      <c r="D46" s="0" t="e">
        <f aca="false">1/SQRT($D$6)</f>
        <v>#REF!</v>
      </c>
      <c r="E46" s="0" t="n">
        <f aca="false">1/SQRT($E$7)</f>
        <v>5.19401427925973E-005</v>
      </c>
      <c r="F46" s="0" t="n">
        <f aca="false">1/SQRT($F$8)</f>
        <v>0.400747479863837</v>
      </c>
      <c r="G46" s="0" t="n">
        <f aca="false">1/SQRT($G$9)</f>
        <v>0.377858995659502</v>
      </c>
      <c r="H46" s="0" t="n">
        <f aca="false">1/SQRT($H$10)</f>
        <v>68.2720006246155</v>
      </c>
      <c r="I46" s="0" t="n">
        <f aca="false">1/SQRT($I$11)</f>
        <v>1.69519425196607E-005</v>
      </c>
      <c r="J46" s="0" t="n">
        <f aca="false">1/SQRT($J$12)</f>
        <v>38.3916733490143</v>
      </c>
      <c r="K46" s="0" t="n">
        <f aca="false">1/SQRT($K$13)</f>
        <v>0.001303701263222</v>
      </c>
      <c r="L46" s="0" t="n">
        <f aca="false">1/SQRT($L$14)</f>
        <v>34.0535835394866</v>
      </c>
      <c r="M46" s="0" t="n">
        <f aca="false">1/SQRT($M$15)</f>
        <v>38.407287257216</v>
      </c>
      <c r="N46" s="0" t="n">
        <f aca="false">1/SQRT($N$16)</f>
        <v>307.486621951204</v>
      </c>
      <c r="O46" s="0" t="n">
        <f aca="false">1/SQRT($O$17)</f>
        <v>37426.2993267794</v>
      </c>
      <c r="P46" s="0" t="n">
        <f aca="false">1/SQRT($P$18)</f>
        <v>460.883149944406</v>
      </c>
      <c r="Q46" s="0" t="n">
        <f aca="false">1/SQRT($Q$19)</f>
        <v>28997.724668089</v>
      </c>
      <c r="R46" s="0" t="n">
        <f aca="false">1/SQRT($R$20)</f>
        <v>186.075559430936</v>
      </c>
      <c r="S46" s="0" t="n">
        <f aca="false">1/SQRT($S$21)</f>
        <v>602.556355561284</v>
      </c>
    </row>
    <row r="47" customFormat="false" ht="15" hidden="false" customHeight="false" outlineLevel="0" collapsed="false">
      <c r="B47" s="0" t="n">
        <f aca="false">1/SQRT($B$4)</f>
        <v>19.1709538338375</v>
      </c>
      <c r="C47" s="0" t="e">
        <f aca="false">1/SQRT($C$5)</f>
        <v>#REF!</v>
      </c>
      <c r="D47" s="0" t="e">
        <f aca="false">1/SQRT($D$6)</f>
        <v>#REF!</v>
      </c>
      <c r="E47" s="0" t="n">
        <f aca="false">1/SQRT($E$7)</f>
        <v>5.19401427925973E-005</v>
      </c>
      <c r="F47" s="0" t="n">
        <f aca="false">1/SQRT($F$8)</f>
        <v>0.400747479863837</v>
      </c>
      <c r="G47" s="0" t="n">
        <f aca="false">1/SQRT($G$9)</f>
        <v>0.377858995659502</v>
      </c>
      <c r="H47" s="0" t="n">
        <f aca="false">1/SQRT($H$10)</f>
        <v>68.2720006246155</v>
      </c>
      <c r="I47" s="0" t="n">
        <f aca="false">1/SQRT($I$11)</f>
        <v>1.69519425196607E-005</v>
      </c>
      <c r="J47" s="0" t="n">
        <f aca="false">1/SQRT($J$12)</f>
        <v>38.3916733490143</v>
      </c>
      <c r="K47" s="0" t="n">
        <f aca="false">1/SQRT($K$13)</f>
        <v>0.001303701263222</v>
      </c>
      <c r="L47" s="0" t="n">
        <f aca="false">1/SQRT($L$14)</f>
        <v>34.0535835394866</v>
      </c>
      <c r="M47" s="0" t="n">
        <f aca="false">1/SQRT($M$15)</f>
        <v>38.407287257216</v>
      </c>
      <c r="N47" s="0" t="n">
        <f aca="false">1/SQRT($N$16)</f>
        <v>307.486621951204</v>
      </c>
      <c r="O47" s="0" t="n">
        <f aca="false">1/SQRT($O$17)</f>
        <v>37426.2993267794</v>
      </c>
      <c r="P47" s="0" t="n">
        <f aca="false">1/SQRT($P$18)</f>
        <v>460.883149944406</v>
      </c>
      <c r="Q47" s="0" t="n">
        <f aca="false">1/SQRT($Q$19)</f>
        <v>28997.724668089</v>
      </c>
      <c r="R47" s="0" t="n">
        <f aca="false">1/SQRT($R$20)</f>
        <v>186.075559430936</v>
      </c>
      <c r="S47" s="0" t="n">
        <f aca="false">1/SQRT($S$21)</f>
        <v>602.556355561284</v>
      </c>
    </row>
    <row r="48" customFormat="false" ht="15" hidden="false" customHeight="false" outlineLevel="0" collapsed="false">
      <c r="B48" s="0" t="n">
        <f aca="false">1/SQRT($B$4)</f>
        <v>19.1709538338375</v>
      </c>
      <c r="C48" s="0" t="e">
        <f aca="false">1/SQRT($C$5)</f>
        <v>#REF!</v>
      </c>
      <c r="D48" s="0" t="e">
        <f aca="false">1/SQRT($D$6)</f>
        <v>#REF!</v>
      </c>
      <c r="E48" s="0" t="n">
        <f aca="false">1/SQRT($E$7)</f>
        <v>5.19401427925973E-005</v>
      </c>
      <c r="F48" s="0" t="n">
        <f aca="false">1/SQRT($F$8)</f>
        <v>0.400747479863837</v>
      </c>
      <c r="G48" s="0" t="n">
        <f aca="false">1/SQRT($G$9)</f>
        <v>0.377858995659502</v>
      </c>
      <c r="H48" s="0" t="n">
        <f aca="false">1/SQRT($H$10)</f>
        <v>68.2720006246155</v>
      </c>
      <c r="I48" s="0" t="n">
        <f aca="false">1/SQRT($I$11)</f>
        <v>1.69519425196607E-005</v>
      </c>
      <c r="J48" s="0" t="n">
        <f aca="false">1/SQRT($J$12)</f>
        <v>38.3916733490143</v>
      </c>
      <c r="K48" s="0" t="n">
        <f aca="false">1/SQRT($K$13)</f>
        <v>0.001303701263222</v>
      </c>
      <c r="L48" s="0" t="n">
        <f aca="false">1/SQRT($L$14)</f>
        <v>34.0535835394866</v>
      </c>
      <c r="M48" s="0" t="n">
        <f aca="false">1/SQRT($M$15)</f>
        <v>38.407287257216</v>
      </c>
      <c r="N48" s="0" t="n">
        <f aca="false">1/SQRT($N$16)</f>
        <v>307.486621951204</v>
      </c>
      <c r="O48" s="0" t="n">
        <f aca="false">1/SQRT($O$17)</f>
        <v>37426.2993267794</v>
      </c>
      <c r="P48" s="0" t="n">
        <f aca="false">1/SQRT($P$18)</f>
        <v>460.883149944406</v>
      </c>
      <c r="Q48" s="0" t="n">
        <f aca="false">1/SQRT($Q$19)</f>
        <v>28997.724668089</v>
      </c>
      <c r="R48" s="0" t="n">
        <f aca="false">1/SQRT($R$20)</f>
        <v>186.075559430936</v>
      </c>
      <c r="S48" s="0" t="n">
        <f aca="false">1/SQRT($S$21)</f>
        <v>602.556355561284</v>
      </c>
    </row>
    <row r="49" customFormat="false" ht="15" hidden="false" customHeight="false" outlineLevel="0" collapsed="false">
      <c r="B49" s="0" t="n">
        <f aca="false">1/SQRT($B$4)</f>
        <v>19.1709538338375</v>
      </c>
      <c r="C49" s="0" t="e">
        <f aca="false">1/SQRT($C$5)</f>
        <v>#REF!</v>
      </c>
      <c r="D49" s="0" t="e">
        <f aca="false">1/SQRT($D$6)</f>
        <v>#REF!</v>
      </c>
      <c r="E49" s="0" t="n">
        <f aca="false">1/SQRT($E$7)</f>
        <v>5.19401427925973E-005</v>
      </c>
      <c r="F49" s="0" t="n">
        <f aca="false">1/SQRT($F$8)</f>
        <v>0.400747479863837</v>
      </c>
      <c r="G49" s="0" t="n">
        <f aca="false">1/SQRT($G$9)</f>
        <v>0.377858995659502</v>
      </c>
      <c r="H49" s="0" t="n">
        <f aca="false">1/SQRT($H$10)</f>
        <v>68.2720006246155</v>
      </c>
      <c r="I49" s="0" t="n">
        <f aca="false">1/SQRT($I$11)</f>
        <v>1.69519425196607E-005</v>
      </c>
      <c r="J49" s="0" t="n">
        <f aca="false">1/SQRT($J$12)</f>
        <v>38.3916733490143</v>
      </c>
      <c r="K49" s="0" t="n">
        <f aca="false">1/SQRT($K$13)</f>
        <v>0.001303701263222</v>
      </c>
      <c r="L49" s="0" t="n">
        <f aca="false">1/SQRT($L$14)</f>
        <v>34.0535835394866</v>
      </c>
      <c r="M49" s="0" t="n">
        <f aca="false">1/SQRT($M$15)</f>
        <v>38.407287257216</v>
      </c>
      <c r="N49" s="0" t="n">
        <f aca="false">1/SQRT($N$16)</f>
        <v>307.486621951204</v>
      </c>
      <c r="O49" s="0" t="n">
        <f aca="false">1/SQRT($O$17)</f>
        <v>37426.2993267794</v>
      </c>
      <c r="P49" s="0" t="n">
        <f aca="false">1/SQRT($P$18)</f>
        <v>460.883149944406</v>
      </c>
      <c r="Q49" s="0" t="n">
        <f aca="false">1/SQRT($Q$19)</f>
        <v>28997.724668089</v>
      </c>
      <c r="R49" s="0" t="n">
        <f aca="false">1/SQRT($R$20)</f>
        <v>186.075559430936</v>
      </c>
      <c r="S49" s="0" t="n">
        <f aca="false">1/SQRT($S$21)</f>
        <v>602.556355561284</v>
      </c>
    </row>
    <row r="50" customFormat="false" ht="15" hidden="false" customHeight="false" outlineLevel="0" collapsed="false">
      <c r="B50" s="0" t="n">
        <f aca="false">1/SQRT($B$4)</f>
        <v>19.1709538338375</v>
      </c>
      <c r="C50" s="0" t="e">
        <f aca="false">1/SQRT($C$5)</f>
        <v>#REF!</v>
      </c>
      <c r="D50" s="0" t="e">
        <f aca="false">1/SQRT($D$6)</f>
        <v>#REF!</v>
      </c>
      <c r="E50" s="0" t="n">
        <f aca="false">1/SQRT($E$7)</f>
        <v>5.19401427925973E-005</v>
      </c>
      <c r="F50" s="0" t="n">
        <f aca="false">1/SQRT($F$8)</f>
        <v>0.400747479863837</v>
      </c>
      <c r="G50" s="0" t="n">
        <f aca="false">1/SQRT($G$9)</f>
        <v>0.377858995659502</v>
      </c>
      <c r="H50" s="0" t="n">
        <f aca="false">1/SQRT($H$10)</f>
        <v>68.2720006246155</v>
      </c>
      <c r="I50" s="0" t="n">
        <f aca="false">1/SQRT($I$11)</f>
        <v>1.69519425196607E-005</v>
      </c>
      <c r="J50" s="0" t="n">
        <f aca="false">1/SQRT($J$12)</f>
        <v>38.3916733490143</v>
      </c>
      <c r="K50" s="0" t="n">
        <f aca="false">1/SQRT($K$13)</f>
        <v>0.001303701263222</v>
      </c>
      <c r="L50" s="0" t="n">
        <f aca="false">1/SQRT($L$14)</f>
        <v>34.0535835394866</v>
      </c>
      <c r="M50" s="0" t="n">
        <f aca="false">1/SQRT($M$15)</f>
        <v>38.407287257216</v>
      </c>
      <c r="N50" s="0" t="n">
        <f aca="false">1/SQRT($N$16)</f>
        <v>307.486621951204</v>
      </c>
      <c r="O50" s="0" t="n">
        <f aca="false">1/SQRT($O$17)</f>
        <v>37426.2993267794</v>
      </c>
      <c r="P50" s="0" t="n">
        <f aca="false">1/SQRT($P$18)</f>
        <v>460.883149944406</v>
      </c>
      <c r="Q50" s="0" t="n">
        <f aca="false">1/SQRT($Q$19)</f>
        <v>28997.724668089</v>
      </c>
      <c r="R50" s="0" t="n">
        <f aca="false">1/SQRT($R$20)</f>
        <v>186.075559430936</v>
      </c>
      <c r="S50" s="0" t="n">
        <f aca="false">1/SQRT($S$21)</f>
        <v>602.556355561284</v>
      </c>
    </row>
    <row r="51" customFormat="false" ht="15" hidden="false" customHeight="false" outlineLevel="0" collapsed="false">
      <c r="B51" s="0" t="n">
        <f aca="false">1/SQRT($B$4)</f>
        <v>19.1709538338375</v>
      </c>
      <c r="C51" s="0" t="e">
        <f aca="false">1/SQRT($C$5)</f>
        <v>#REF!</v>
      </c>
      <c r="D51" s="0" t="e">
        <f aca="false">1/SQRT($D$6)</f>
        <v>#REF!</v>
      </c>
      <c r="E51" s="0" t="n">
        <f aca="false">1/SQRT($E$7)</f>
        <v>5.19401427925973E-005</v>
      </c>
      <c r="F51" s="0" t="n">
        <f aca="false">1/SQRT($F$8)</f>
        <v>0.400747479863837</v>
      </c>
      <c r="G51" s="0" t="n">
        <f aca="false">1/SQRT($G$9)</f>
        <v>0.377858995659502</v>
      </c>
      <c r="H51" s="0" t="n">
        <f aca="false">1/SQRT($H$10)</f>
        <v>68.2720006246155</v>
      </c>
      <c r="I51" s="0" t="n">
        <f aca="false">1/SQRT($I$11)</f>
        <v>1.69519425196607E-005</v>
      </c>
      <c r="J51" s="0" t="n">
        <f aca="false">1/SQRT($J$12)</f>
        <v>38.3916733490143</v>
      </c>
      <c r="K51" s="0" t="n">
        <f aca="false">1/SQRT($K$13)</f>
        <v>0.001303701263222</v>
      </c>
      <c r="L51" s="0" t="n">
        <f aca="false">1/SQRT($L$14)</f>
        <v>34.0535835394866</v>
      </c>
      <c r="M51" s="0" t="n">
        <f aca="false">1/SQRT($M$15)</f>
        <v>38.407287257216</v>
      </c>
      <c r="N51" s="0" t="n">
        <f aca="false">1/SQRT($N$16)</f>
        <v>307.486621951204</v>
      </c>
      <c r="O51" s="0" t="n">
        <f aca="false">1/SQRT($O$17)</f>
        <v>37426.2993267794</v>
      </c>
      <c r="P51" s="0" t="n">
        <f aca="false">1/SQRT($P$18)</f>
        <v>460.883149944406</v>
      </c>
      <c r="Q51" s="0" t="n">
        <f aca="false">1/SQRT($Q$19)</f>
        <v>28997.724668089</v>
      </c>
      <c r="R51" s="0" t="n">
        <f aca="false">1/SQRT($R$20)</f>
        <v>186.075559430936</v>
      </c>
      <c r="S51" s="0" t="n">
        <f aca="false">1/SQRT($S$21)</f>
        <v>602.556355561284</v>
      </c>
    </row>
    <row r="52" customFormat="false" ht="15" hidden="false" customHeight="false" outlineLevel="0" collapsed="false">
      <c r="B52" s="0" t="n">
        <f aca="false">1/SQRT($B$4)</f>
        <v>19.1709538338375</v>
      </c>
      <c r="C52" s="0" t="e">
        <f aca="false">1/SQRT($C$5)</f>
        <v>#REF!</v>
      </c>
      <c r="D52" s="0" t="e">
        <f aca="false">1/SQRT($D$6)</f>
        <v>#REF!</v>
      </c>
      <c r="E52" s="0" t="n">
        <f aca="false">1/SQRT($E$7)</f>
        <v>5.19401427925973E-005</v>
      </c>
      <c r="F52" s="0" t="n">
        <f aca="false">1/SQRT($F$8)</f>
        <v>0.400747479863837</v>
      </c>
      <c r="G52" s="0" t="n">
        <f aca="false">1/SQRT($G$9)</f>
        <v>0.377858995659502</v>
      </c>
      <c r="H52" s="0" t="n">
        <f aca="false">1/SQRT($H$10)</f>
        <v>68.2720006246155</v>
      </c>
      <c r="I52" s="0" t="n">
        <f aca="false">1/SQRT($I$11)</f>
        <v>1.69519425196607E-005</v>
      </c>
      <c r="J52" s="0" t="n">
        <f aca="false">1/SQRT($J$12)</f>
        <v>38.3916733490143</v>
      </c>
      <c r="K52" s="0" t="n">
        <f aca="false">1/SQRT($K$13)</f>
        <v>0.001303701263222</v>
      </c>
      <c r="L52" s="0" t="n">
        <f aca="false">1/SQRT($L$14)</f>
        <v>34.0535835394866</v>
      </c>
      <c r="M52" s="0" t="n">
        <f aca="false">1/SQRT($M$15)</f>
        <v>38.407287257216</v>
      </c>
      <c r="N52" s="0" t="n">
        <f aca="false">1/SQRT($N$16)</f>
        <v>307.486621951204</v>
      </c>
      <c r="O52" s="0" t="n">
        <f aca="false">1/SQRT($O$17)</f>
        <v>37426.2993267794</v>
      </c>
      <c r="P52" s="0" t="n">
        <f aca="false">1/SQRT($P$18)</f>
        <v>460.883149944406</v>
      </c>
      <c r="Q52" s="0" t="n">
        <f aca="false">1/SQRT($Q$19)</f>
        <v>28997.724668089</v>
      </c>
      <c r="R52" s="0" t="n">
        <f aca="false">1/SQRT($R$20)</f>
        <v>186.075559430936</v>
      </c>
      <c r="S52" s="0" t="n">
        <f aca="false">1/SQRT($S$21)</f>
        <v>602.556355561284</v>
      </c>
    </row>
    <row r="53" customFormat="false" ht="15" hidden="false" customHeight="false" outlineLevel="0" collapsed="false">
      <c r="B53" s="0" t="n">
        <f aca="false">1/SQRT($B$4)</f>
        <v>19.1709538338375</v>
      </c>
      <c r="C53" s="0" t="e">
        <f aca="false">1/SQRT($C$5)</f>
        <v>#REF!</v>
      </c>
      <c r="D53" s="0" t="e">
        <f aca="false">1/SQRT($D$6)</f>
        <v>#REF!</v>
      </c>
      <c r="E53" s="0" t="n">
        <f aca="false">1/SQRT($E$7)</f>
        <v>5.19401427925973E-005</v>
      </c>
      <c r="F53" s="0" t="n">
        <f aca="false">1/SQRT($F$8)</f>
        <v>0.400747479863837</v>
      </c>
      <c r="G53" s="0" t="n">
        <f aca="false">1/SQRT($G$9)</f>
        <v>0.377858995659502</v>
      </c>
      <c r="H53" s="0" t="n">
        <f aca="false">1/SQRT($H$10)</f>
        <v>68.2720006246155</v>
      </c>
      <c r="I53" s="0" t="n">
        <f aca="false">1/SQRT($I$11)</f>
        <v>1.69519425196607E-005</v>
      </c>
      <c r="J53" s="0" t="n">
        <f aca="false">1/SQRT($J$12)</f>
        <v>38.3916733490143</v>
      </c>
      <c r="K53" s="0" t="n">
        <f aca="false">1/SQRT($K$13)</f>
        <v>0.001303701263222</v>
      </c>
      <c r="L53" s="0" t="n">
        <f aca="false">1/SQRT($L$14)</f>
        <v>34.0535835394866</v>
      </c>
      <c r="M53" s="0" t="n">
        <f aca="false">1/SQRT($M$15)</f>
        <v>38.407287257216</v>
      </c>
      <c r="N53" s="0" t="n">
        <f aca="false">1/SQRT($N$16)</f>
        <v>307.486621951204</v>
      </c>
      <c r="O53" s="0" t="n">
        <f aca="false">1/SQRT($O$17)</f>
        <v>37426.2993267794</v>
      </c>
      <c r="P53" s="0" t="n">
        <f aca="false">1/SQRT($P$18)</f>
        <v>460.883149944406</v>
      </c>
      <c r="Q53" s="0" t="n">
        <f aca="false">1/SQRT($Q$19)</f>
        <v>28997.724668089</v>
      </c>
      <c r="R53" s="0" t="n">
        <f aca="false">1/SQRT($R$20)</f>
        <v>186.075559430936</v>
      </c>
      <c r="S53" s="0" t="n">
        <f aca="false">1/SQRT($S$21)</f>
        <v>602.556355561284</v>
      </c>
    </row>
    <row r="54" customFormat="false" ht="15" hidden="false" customHeight="false" outlineLevel="0" collapsed="false">
      <c r="B54" s="0" t="n">
        <f aca="false">1/SQRT($B$4)</f>
        <v>19.1709538338375</v>
      </c>
      <c r="C54" s="0" t="e">
        <f aca="false">1/SQRT($C$5)</f>
        <v>#REF!</v>
      </c>
      <c r="D54" s="0" t="e">
        <f aca="false">1/SQRT($D$6)</f>
        <v>#REF!</v>
      </c>
      <c r="E54" s="0" t="n">
        <f aca="false">1/SQRT($E$7)</f>
        <v>5.19401427925973E-005</v>
      </c>
      <c r="F54" s="0" t="n">
        <f aca="false">1/SQRT($F$8)</f>
        <v>0.400747479863837</v>
      </c>
      <c r="G54" s="0" t="n">
        <f aca="false">1/SQRT($G$9)</f>
        <v>0.377858995659502</v>
      </c>
      <c r="H54" s="0" t="n">
        <f aca="false">1/SQRT($H$10)</f>
        <v>68.2720006246155</v>
      </c>
      <c r="I54" s="0" t="n">
        <f aca="false">1/SQRT($I$11)</f>
        <v>1.69519425196607E-005</v>
      </c>
      <c r="J54" s="0" t="n">
        <f aca="false">1/SQRT($J$12)</f>
        <v>38.3916733490143</v>
      </c>
      <c r="K54" s="0" t="n">
        <f aca="false">1/SQRT($K$13)</f>
        <v>0.001303701263222</v>
      </c>
      <c r="L54" s="0" t="n">
        <f aca="false">1/SQRT($L$14)</f>
        <v>34.0535835394866</v>
      </c>
      <c r="M54" s="0" t="n">
        <f aca="false">1/SQRT($M$15)</f>
        <v>38.407287257216</v>
      </c>
      <c r="N54" s="0" t="n">
        <f aca="false">1/SQRT($N$16)</f>
        <v>307.486621951204</v>
      </c>
      <c r="O54" s="0" t="n">
        <f aca="false">1/SQRT($O$17)</f>
        <v>37426.2993267794</v>
      </c>
      <c r="P54" s="0" t="n">
        <f aca="false">1/SQRT($P$18)</f>
        <v>460.883149944406</v>
      </c>
      <c r="Q54" s="0" t="n">
        <f aca="false">1/SQRT($Q$19)</f>
        <v>28997.724668089</v>
      </c>
      <c r="R54" s="0" t="n">
        <f aca="false">1/SQRT($R$20)</f>
        <v>186.075559430936</v>
      </c>
      <c r="S54" s="0" t="n">
        <f aca="false">1/SQRT($S$21)</f>
        <v>602.556355561284</v>
      </c>
    </row>
    <row r="55" customFormat="false" ht="15" hidden="false" customHeight="false" outlineLevel="0" collapsed="false">
      <c r="B55" s="0" t="n">
        <f aca="false">1/SQRT($B$4)</f>
        <v>19.1709538338375</v>
      </c>
      <c r="C55" s="0" t="e">
        <f aca="false">1/SQRT($C$5)</f>
        <v>#REF!</v>
      </c>
      <c r="D55" s="0" t="e">
        <f aca="false">1/SQRT($D$6)</f>
        <v>#REF!</v>
      </c>
      <c r="E55" s="0" t="n">
        <f aca="false">1/SQRT($E$7)</f>
        <v>5.19401427925973E-005</v>
      </c>
      <c r="F55" s="0" t="n">
        <f aca="false">1/SQRT($F$8)</f>
        <v>0.400747479863837</v>
      </c>
      <c r="G55" s="0" t="n">
        <f aca="false">1/SQRT($G$9)</f>
        <v>0.377858995659502</v>
      </c>
      <c r="H55" s="0" t="n">
        <f aca="false">1/SQRT($H$10)</f>
        <v>68.2720006246155</v>
      </c>
      <c r="I55" s="0" t="n">
        <f aca="false">1/SQRT($I$11)</f>
        <v>1.69519425196607E-005</v>
      </c>
      <c r="J55" s="0" t="n">
        <f aca="false">1/SQRT($J$12)</f>
        <v>38.3916733490143</v>
      </c>
      <c r="K55" s="0" t="n">
        <f aca="false">1/SQRT($K$13)</f>
        <v>0.001303701263222</v>
      </c>
      <c r="L55" s="0" t="n">
        <f aca="false">1/SQRT($L$14)</f>
        <v>34.0535835394866</v>
      </c>
      <c r="M55" s="0" t="n">
        <f aca="false">1/SQRT($M$15)</f>
        <v>38.407287257216</v>
      </c>
      <c r="N55" s="0" t="n">
        <f aca="false">1/SQRT($N$16)</f>
        <v>307.486621951204</v>
      </c>
      <c r="O55" s="0" t="n">
        <f aca="false">1/SQRT($O$17)</f>
        <v>37426.2993267794</v>
      </c>
      <c r="P55" s="0" t="n">
        <f aca="false">1/SQRT($P$18)</f>
        <v>460.883149944406</v>
      </c>
      <c r="Q55" s="0" t="n">
        <f aca="false">1/SQRT($Q$19)</f>
        <v>28997.724668089</v>
      </c>
      <c r="R55" s="0" t="n">
        <f aca="false">1/SQRT($R$20)</f>
        <v>186.075559430936</v>
      </c>
      <c r="S55" s="0" t="n">
        <f aca="false">1/SQRT($S$21)</f>
        <v>602.556355561284</v>
      </c>
    </row>
    <row r="56" customFormat="false" ht="15" hidden="false" customHeight="false" outlineLevel="0" collapsed="false">
      <c r="B56" s="0" t="n">
        <f aca="false">1/SQRT($B$4)</f>
        <v>19.1709538338375</v>
      </c>
      <c r="C56" s="0" t="e">
        <f aca="false">1/SQRT($C$5)</f>
        <v>#REF!</v>
      </c>
      <c r="D56" s="0" t="e">
        <f aca="false">1/SQRT($D$6)</f>
        <v>#REF!</v>
      </c>
      <c r="E56" s="0" t="n">
        <f aca="false">1/SQRT($E$7)</f>
        <v>5.19401427925973E-005</v>
      </c>
      <c r="F56" s="0" t="n">
        <f aca="false">1/SQRT($F$8)</f>
        <v>0.400747479863837</v>
      </c>
      <c r="G56" s="0" t="n">
        <f aca="false">1/SQRT($G$9)</f>
        <v>0.377858995659502</v>
      </c>
      <c r="H56" s="0" t="n">
        <f aca="false">1/SQRT($H$10)</f>
        <v>68.2720006246155</v>
      </c>
      <c r="I56" s="0" t="n">
        <f aca="false">1/SQRT($I$11)</f>
        <v>1.69519425196607E-005</v>
      </c>
      <c r="J56" s="0" t="n">
        <f aca="false">1/SQRT($J$12)</f>
        <v>38.3916733490143</v>
      </c>
      <c r="K56" s="0" t="n">
        <f aca="false">1/SQRT($K$13)</f>
        <v>0.001303701263222</v>
      </c>
      <c r="L56" s="0" t="n">
        <f aca="false">1/SQRT($L$14)</f>
        <v>34.0535835394866</v>
      </c>
      <c r="M56" s="0" t="n">
        <f aca="false">1/SQRT($M$15)</f>
        <v>38.407287257216</v>
      </c>
      <c r="N56" s="0" t="n">
        <f aca="false">1/SQRT($N$16)</f>
        <v>307.486621951204</v>
      </c>
      <c r="O56" s="0" t="n">
        <f aca="false">1/SQRT($O$17)</f>
        <v>37426.2993267794</v>
      </c>
      <c r="P56" s="0" t="n">
        <f aca="false">1/SQRT($P$18)</f>
        <v>460.883149944406</v>
      </c>
      <c r="Q56" s="0" t="n">
        <f aca="false">1/SQRT($Q$19)</f>
        <v>28997.724668089</v>
      </c>
      <c r="R56" s="0" t="n">
        <f aca="false">1/SQRT($R$20)</f>
        <v>186.075559430936</v>
      </c>
      <c r="S56" s="0" t="n">
        <f aca="false">1/SQRT($S$21)</f>
        <v>602.556355561284</v>
      </c>
    </row>
    <row r="57" customFormat="false" ht="15" hidden="false" customHeight="false" outlineLevel="0" collapsed="false">
      <c r="B57" s="0" t="n">
        <f aca="false">1/SQRT($B$4)</f>
        <v>19.1709538338375</v>
      </c>
      <c r="C57" s="0" t="e">
        <f aca="false">1/SQRT($C$5)</f>
        <v>#REF!</v>
      </c>
      <c r="D57" s="0" t="e">
        <f aca="false">1/SQRT($D$6)</f>
        <v>#REF!</v>
      </c>
      <c r="E57" s="0" t="n">
        <f aca="false">1/SQRT($E$7)</f>
        <v>5.19401427925973E-005</v>
      </c>
      <c r="F57" s="0" t="n">
        <f aca="false">1/SQRT($F$8)</f>
        <v>0.400747479863837</v>
      </c>
      <c r="G57" s="0" t="n">
        <f aca="false">1/SQRT($G$9)</f>
        <v>0.377858995659502</v>
      </c>
      <c r="H57" s="0" t="n">
        <f aca="false">1/SQRT($H$10)</f>
        <v>68.2720006246155</v>
      </c>
      <c r="I57" s="0" t="n">
        <f aca="false">1/SQRT($I$11)</f>
        <v>1.69519425196607E-005</v>
      </c>
      <c r="J57" s="0" t="n">
        <f aca="false">1/SQRT($J$12)</f>
        <v>38.3916733490143</v>
      </c>
      <c r="K57" s="0" t="n">
        <f aca="false">1/SQRT($K$13)</f>
        <v>0.001303701263222</v>
      </c>
      <c r="L57" s="0" t="n">
        <f aca="false">1/SQRT($L$14)</f>
        <v>34.0535835394866</v>
      </c>
      <c r="M57" s="0" t="n">
        <f aca="false">1/SQRT($M$15)</f>
        <v>38.407287257216</v>
      </c>
      <c r="N57" s="0" t="n">
        <f aca="false">1/SQRT($N$16)</f>
        <v>307.486621951204</v>
      </c>
      <c r="O57" s="0" t="n">
        <f aca="false">1/SQRT($O$17)</f>
        <v>37426.2993267794</v>
      </c>
      <c r="P57" s="0" t="n">
        <f aca="false">1/SQRT($P$18)</f>
        <v>460.883149944406</v>
      </c>
      <c r="Q57" s="0" t="n">
        <f aca="false">1/SQRT($Q$19)</f>
        <v>28997.724668089</v>
      </c>
      <c r="R57" s="0" t="n">
        <f aca="false">1/SQRT($R$20)</f>
        <v>186.075559430936</v>
      </c>
      <c r="S57" s="0" t="n">
        <f aca="false">1/SQRT($S$21)</f>
        <v>602.556355561284</v>
      </c>
    </row>
    <row r="58" customFormat="false" ht="15" hidden="false" customHeight="false" outlineLevel="0" collapsed="false">
      <c r="B58" s="0" t="n">
        <f aca="false">1/SQRT($B$4)</f>
        <v>19.1709538338375</v>
      </c>
      <c r="C58" s="0" t="e">
        <f aca="false">1/SQRT($C$5)</f>
        <v>#REF!</v>
      </c>
      <c r="D58" s="0" t="e">
        <f aca="false">1/SQRT($D$6)</f>
        <v>#REF!</v>
      </c>
      <c r="E58" s="0" t="n">
        <f aca="false">1/SQRT($E$7)</f>
        <v>5.19401427925973E-005</v>
      </c>
      <c r="F58" s="0" t="n">
        <f aca="false">1/SQRT($F$8)</f>
        <v>0.400747479863837</v>
      </c>
      <c r="G58" s="0" t="n">
        <f aca="false">1/SQRT($G$9)</f>
        <v>0.377858995659502</v>
      </c>
      <c r="H58" s="0" t="n">
        <f aca="false">1/SQRT($H$10)</f>
        <v>68.2720006246155</v>
      </c>
      <c r="I58" s="0" t="n">
        <f aca="false">1/SQRT($I$11)</f>
        <v>1.69519425196607E-005</v>
      </c>
      <c r="J58" s="0" t="n">
        <f aca="false">1/SQRT($J$12)</f>
        <v>38.3916733490143</v>
      </c>
      <c r="K58" s="0" t="n">
        <f aca="false">1/SQRT($K$13)</f>
        <v>0.001303701263222</v>
      </c>
      <c r="L58" s="0" t="n">
        <f aca="false">1/SQRT($L$14)</f>
        <v>34.0535835394866</v>
      </c>
      <c r="M58" s="0" t="n">
        <f aca="false">1/SQRT($M$15)</f>
        <v>38.407287257216</v>
      </c>
      <c r="N58" s="0" t="n">
        <f aca="false">1/SQRT($N$16)</f>
        <v>307.486621951204</v>
      </c>
      <c r="O58" s="0" t="n">
        <f aca="false">1/SQRT($O$17)</f>
        <v>37426.2993267794</v>
      </c>
      <c r="P58" s="0" t="n">
        <f aca="false">1/SQRT($P$18)</f>
        <v>460.883149944406</v>
      </c>
      <c r="Q58" s="0" t="n">
        <f aca="false">1/SQRT($Q$19)</f>
        <v>28997.724668089</v>
      </c>
      <c r="R58" s="0" t="n">
        <f aca="false">1/SQRT($R$20)</f>
        <v>186.075559430936</v>
      </c>
      <c r="S58" s="0" t="n">
        <f aca="false">1/SQRT($S$21)</f>
        <v>602.556355561284</v>
      </c>
    </row>
    <row r="59" customFormat="false" ht="15" hidden="false" customHeight="false" outlineLevel="0" collapsed="false">
      <c r="B59" s="0" t="n">
        <f aca="false">1/SQRT($B$4)</f>
        <v>19.1709538338375</v>
      </c>
      <c r="C59" s="0" t="e">
        <f aca="false">1/SQRT($C$5)</f>
        <v>#REF!</v>
      </c>
      <c r="D59" s="0" t="e">
        <f aca="false">1/SQRT($D$6)</f>
        <v>#REF!</v>
      </c>
      <c r="E59" s="0" t="n">
        <f aca="false">1/SQRT($E$7)</f>
        <v>5.19401427925973E-005</v>
      </c>
      <c r="F59" s="0" t="n">
        <f aca="false">1/SQRT($F$8)</f>
        <v>0.400747479863837</v>
      </c>
      <c r="G59" s="0" t="n">
        <f aca="false">1/SQRT($G$9)</f>
        <v>0.377858995659502</v>
      </c>
      <c r="H59" s="0" t="n">
        <f aca="false">1/SQRT($H$10)</f>
        <v>68.2720006246155</v>
      </c>
      <c r="I59" s="0" t="n">
        <f aca="false">1/SQRT($I$11)</f>
        <v>1.69519425196607E-005</v>
      </c>
      <c r="J59" s="0" t="n">
        <f aca="false">1/SQRT($J$12)</f>
        <v>38.3916733490143</v>
      </c>
      <c r="K59" s="0" t="n">
        <f aca="false">1/SQRT($K$13)</f>
        <v>0.001303701263222</v>
      </c>
      <c r="L59" s="0" t="n">
        <f aca="false">1/SQRT($L$14)</f>
        <v>34.0535835394866</v>
      </c>
      <c r="M59" s="0" t="n">
        <f aca="false">1/SQRT($M$15)</f>
        <v>38.407287257216</v>
      </c>
      <c r="N59" s="0" t="n">
        <f aca="false">1/SQRT($N$16)</f>
        <v>307.486621951204</v>
      </c>
      <c r="O59" s="0" t="n">
        <f aca="false">1/SQRT($O$17)</f>
        <v>37426.2993267794</v>
      </c>
      <c r="P59" s="0" t="n">
        <f aca="false">1/SQRT($P$18)</f>
        <v>460.883149944406</v>
      </c>
      <c r="Q59" s="0" t="n">
        <f aca="false">1/SQRT($Q$19)</f>
        <v>28997.724668089</v>
      </c>
      <c r="R59" s="0" t="n">
        <f aca="false">1/SQRT($R$20)</f>
        <v>186.075559430936</v>
      </c>
      <c r="S59" s="0" t="n">
        <f aca="false">1/SQRT($S$21)</f>
        <v>602.556355561284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8:BF222"/>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A115" activeCellId="0" sqref="A115"/>
    </sheetView>
  </sheetViews>
  <sheetFormatPr defaultRowHeight="15" zeroHeight="false" outlineLevelRow="0" outlineLevelCol="0"/>
  <cols>
    <col collapsed="false" customWidth="true" hidden="false" outlineLevel="0" max="1" min="1" style="118" width="11"/>
    <col collapsed="false" customWidth="true" hidden="false" outlineLevel="0" max="19" min="2" style="118" width="10.75"/>
    <col collapsed="false" customWidth="true" hidden="false" outlineLevel="0" max="20" min="20" style="118" width="14.25"/>
    <col collapsed="false" customWidth="true" hidden="false" outlineLevel="0" max="21" min="21" style="118" width="11.75"/>
    <col collapsed="false" customWidth="true" hidden="false" outlineLevel="0" max="24" min="22" style="118" width="11"/>
    <col collapsed="false" customWidth="true" hidden="false" outlineLevel="0" max="26" min="25" style="118" width="11.75"/>
    <col collapsed="false" customWidth="true" hidden="false" outlineLevel="0" max="29" min="27" style="118" width="11"/>
    <col collapsed="false" customWidth="true" hidden="false" outlineLevel="0" max="30" min="30" style="118" width="15"/>
    <col collapsed="false" customWidth="true" hidden="false" outlineLevel="0" max="36" min="31" style="118" width="11"/>
    <col collapsed="false" customWidth="true" hidden="false" outlineLevel="0" max="37" min="37" style="118" width="13.25"/>
    <col collapsed="false" customWidth="true" hidden="false" outlineLevel="0" max="39" min="38" style="118" width="12"/>
    <col collapsed="false" customWidth="true" hidden="false" outlineLevel="0" max="40" min="40" style="118" width="13.25"/>
    <col collapsed="false" customWidth="true" hidden="false" outlineLevel="0" max="43" min="41" style="118" width="12"/>
    <col collapsed="false" customWidth="true" hidden="false" outlineLevel="0" max="45" min="44" style="118" width="11"/>
    <col collapsed="false" customWidth="true" hidden="false" outlineLevel="0" max="48" min="46" style="118" width="11.75"/>
    <col collapsed="false" customWidth="true" hidden="false" outlineLevel="0" max="49" min="49" style="118" width="14.25"/>
    <col collapsed="false" customWidth="true" hidden="false" outlineLevel="0" max="51" min="50" style="118" width="11"/>
    <col collapsed="false" customWidth="true" hidden="false" outlineLevel="0" max="52" min="52" style="118" width="14.25"/>
    <col collapsed="false" customWidth="true" hidden="false" outlineLevel="0" max="54" min="53" style="118" width="11.75"/>
    <col collapsed="false" customWidth="true" hidden="false" outlineLevel="0" max="1025" min="55" style="118" width="11"/>
  </cols>
  <sheetData>
    <row r="18" customFormat="false" ht="15" hidden="false" customHeight="false" outlineLevel="0" collapsed="false">
      <c r="E18" s="223"/>
    </row>
    <row r="19" customFormat="false" ht="15" hidden="false" customHeight="false" outlineLevel="0" collapsed="false">
      <c r="E19" s="223"/>
    </row>
    <row r="20" customFormat="false" ht="15" hidden="false" customHeight="false" outlineLevel="0" collapsed="false">
      <c r="E20" s="223"/>
    </row>
    <row r="21" customFormat="false" ht="15" hidden="false" customHeight="false" outlineLevel="0" collapsed="false">
      <c r="E21" s="223"/>
    </row>
    <row r="22" customFormat="false" ht="15" hidden="false" customHeight="false" outlineLevel="0" collapsed="false">
      <c r="E22" s="223"/>
    </row>
    <row r="23" customFormat="false" ht="15" hidden="false" customHeight="false" outlineLevel="0" collapsed="false">
      <c r="E23" s="223"/>
    </row>
    <row r="24" customFormat="false" ht="15" hidden="false" customHeight="false" outlineLevel="0" collapsed="false">
      <c r="E24" s="223"/>
    </row>
    <row r="25" customFormat="false" ht="15" hidden="false" customHeight="false" outlineLevel="0" collapsed="false">
      <c r="E25" s="223"/>
    </row>
    <row r="26" customFormat="false" ht="15" hidden="false" customHeight="false" outlineLevel="0" collapsed="false">
      <c r="E26" s="223"/>
    </row>
    <row r="27" customFormat="false" ht="15" hidden="false" customHeight="false" outlineLevel="0" collapsed="false">
      <c r="E27" s="223"/>
    </row>
    <row r="28" customFormat="false" ht="15" hidden="false" customHeight="false" outlineLevel="0" collapsed="false">
      <c r="E28" s="223"/>
      <c r="F28" s="223"/>
    </row>
    <row r="29" customFormat="false" ht="15" hidden="false" customHeight="false" outlineLevel="0" collapsed="false">
      <c r="E29" s="223"/>
      <c r="F29" s="223"/>
    </row>
    <row r="30" customFormat="false" ht="15" hidden="false" customHeight="false" outlineLevel="0" collapsed="false">
      <c r="E30" s="223"/>
      <c r="F30" s="223"/>
    </row>
    <row r="31" customFormat="false" ht="15" hidden="false" customHeight="false" outlineLevel="0" collapsed="false">
      <c r="E31" s="223"/>
      <c r="F31" s="223"/>
    </row>
    <row r="32" customFormat="false" ht="15" hidden="false" customHeight="false" outlineLevel="0" collapsed="false">
      <c r="E32" s="223"/>
      <c r="F32" s="223"/>
    </row>
    <row r="33" customFormat="false" ht="15" hidden="false" customHeight="false" outlineLevel="0" collapsed="false">
      <c r="E33" s="223"/>
      <c r="F33" s="223"/>
    </row>
    <row r="34" customFormat="false" ht="15" hidden="false" customHeight="false" outlineLevel="0" collapsed="false">
      <c r="E34" s="223"/>
      <c r="F34" s="223"/>
    </row>
    <row r="35" customFormat="false" ht="15" hidden="false" customHeight="false" outlineLevel="0" collapsed="false">
      <c r="E35" s="223"/>
      <c r="F35" s="223"/>
    </row>
    <row r="36" s="224" customFormat="true" ht="15" hidden="false" customHeight="false" outlineLevel="0" collapsed="false">
      <c r="E36" s="223"/>
      <c r="F36" s="223"/>
    </row>
    <row r="37" s="225" customFormat="true" ht="15" hidden="false" customHeight="false" outlineLevel="0" collapsed="false">
      <c r="A37" s="225" t="s">
        <v>284</v>
      </c>
      <c r="B37" s="225" t="s">
        <v>91</v>
      </c>
      <c r="C37" s="225" t="s">
        <v>290</v>
      </c>
      <c r="D37" s="225" t="s">
        <v>120</v>
      </c>
      <c r="E37" s="225" t="s">
        <v>291</v>
      </c>
      <c r="G37" s="226" t="s">
        <v>292</v>
      </c>
      <c r="H37" s="225" t="s">
        <v>293</v>
      </c>
      <c r="I37" s="227" t="s">
        <v>294</v>
      </c>
      <c r="J37" s="225" t="s">
        <v>69</v>
      </c>
      <c r="K37" s="228" t="s">
        <v>295</v>
      </c>
      <c r="L37" s="228"/>
      <c r="M37" s="228"/>
      <c r="N37" s="228"/>
      <c r="O37" s="228"/>
      <c r="P37" s="226" t="s">
        <v>296</v>
      </c>
      <c r="Q37" s="226"/>
      <c r="R37" s="226"/>
      <c r="S37" s="226"/>
      <c r="T37" s="226"/>
    </row>
    <row r="38" s="225" customFormat="true" ht="15" hidden="false" customHeight="false" outlineLevel="0" collapsed="false">
      <c r="G38" s="226"/>
      <c r="I38" s="227"/>
      <c r="K38" s="228"/>
      <c r="L38" s="228"/>
      <c r="M38" s="228"/>
      <c r="N38" s="228"/>
      <c r="O38" s="228"/>
      <c r="P38" s="226"/>
      <c r="Q38" s="226"/>
      <c r="R38" s="226"/>
      <c r="S38" s="226"/>
      <c r="T38" s="226"/>
    </row>
    <row r="39" s="224" customFormat="true" ht="15" hidden="false" customHeight="false" outlineLevel="0" collapsed="false">
      <c r="G39" s="229"/>
      <c r="I39" s="230"/>
      <c r="K39" s="231"/>
      <c r="L39" s="231"/>
      <c r="M39" s="231"/>
      <c r="N39" s="231"/>
      <c r="O39" s="231"/>
      <c r="P39" s="229"/>
      <c r="Q39" s="229"/>
      <c r="R39" s="229"/>
      <c r="S39" s="229"/>
      <c r="T39" s="229"/>
    </row>
    <row r="40" s="224" customFormat="true" ht="15" hidden="false" customHeight="false" outlineLevel="0" collapsed="false">
      <c r="G40" s="229"/>
      <c r="I40" s="230"/>
      <c r="K40" s="231"/>
      <c r="L40" s="231"/>
      <c r="M40" s="231"/>
      <c r="N40" s="231"/>
      <c r="O40" s="231"/>
      <c r="P40" s="229"/>
      <c r="Q40" s="229"/>
      <c r="R40" s="229"/>
      <c r="S40" s="229"/>
      <c r="T40" s="229"/>
    </row>
    <row r="41" s="224" customFormat="true" ht="15" hidden="false" customHeight="false" outlineLevel="0" collapsed="false">
      <c r="G41" s="229"/>
      <c r="I41" s="230"/>
      <c r="K41" s="231"/>
      <c r="L41" s="231"/>
      <c r="M41" s="231"/>
      <c r="N41" s="231"/>
      <c r="O41" s="231"/>
      <c r="P41" s="229"/>
      <c r="Q41" s="229"/>
      <c r="R41" s="229"/>
      <c r="S41" s="229"/>
      <c r="T41" s="229"/>
    </row>
    <row r="42" s="224" customFormat="true" ht="15" hidden="false" customHeight="false" outlineLevel="0" collapsed="false">
      <c r="G42" s="229"/>
      <c r="I42" s="230"/>
      <c r="K42" s="231"/>
      <c r="L42" s="231"/>
      <c r="M42" s="231"/>
      <c r="N42" s="231"/>
      <c r="O42" s="231"/>
      <c r="P42" s="229"/>
      <c r="Q42" s="229"/>
      <c r="R42" s="229"/>
      <c r="S42" s="229"/>
      <c r="T42" s="229"/>
    </row>
    <row r="43" s="224" customFormat="true" ht="15" hidden="false" customHeight="false" outlineLevel="0" collapsed="false">
      <c r="G43" s="229"/>
      <c r="I43" s="230"/>
      <c r="K43" s="231"/>
      <c r="L43" s="231"/>
      <c r="M43" s="231"/>
      <c r="N43" s="231"/>
      <c r="O43" s="231"/>
      <c r="P43" s="229"/>
      <c r="Q43" s="229"/>
      <c r="R43" s="229"/>
      <c r="S43" s="229"/>
      <c r="T43" s="229"/>
    </row>
    <row r="44" s="224" customFormat="true" ht="15" hidden="false" customHeight="false" outlineLevel="0" collapsed="false">
      <c r="G44" s="229"/>
      <c r="I44" s="230"/>
      <c r="K44" s="231"/>
      <c r="L44" s="231"/>
      <c r="M44" s="231"/>
      <c r="N44" s="231"/>
      <c r="O44" s="231"/>
      <c r="P44" s="229"/>
      <c r="Q44" s="229"/>
      <c r="R44" s="229"/>
      <c r="S44" s="229"/>
      <c r="T44" s="229"/>
    </row>
    <row r="45" s="224" customFormat="true" ht="15" hidden="false" customHeight="false" outlineLevel="0" collapsed="false">
      <c r="G45" s="229"/>
      <c r="I45" s="230"/>
      <c r="K45" s="231"/>
      <c r="L45" s="231"/>
      <c r="M45" s="231"/>
      <c r="N45" s="231"/>
      <c r="O45" s="231"/>
      <c r="P45" s="229"/>
      <c r="Q45" s="229"/>
      <c r="R45" s="229"/>
      <c r="S45" s="229"/>
      <c r="T45" s="229"/>
    </row>
    <row r="46" s="224" customFormat="true" ht="15" hidden="false" customHeight="false" outlineLevel="0" collapsed="false">
      <c r="G46" s="229"/>
      <c r="I46" s="230"/>
      <c r="K46" s="231"/>
      <c r="L46" s="231"/>
      <c r="M46" s="231"/>
      <c r="N46" s="231"/>
      <c r="O46" s="231"/>
      <c r="P46" s="231"/>
      <c r="Q46" s="231"/>
      <c r="R46" s="229"/>
      <c r="S46" s="229"/>
      <c r="T46" s="229"/>
      <c r="U46" s="229"/>
      <c r="V46" s="229"/>
    </row>
    <row r="47" s="224" customFormat="true" ht="15" hidden="false" customHeight="false" outlineLevel="0" collapsed="false">
      <c r="G47" s="229"/>
      <c r="I47" s="230"/>
      <c r="K47" s="231"/>
      <c r="L47" s="231"/>
      <c r="M47" s="231"/>
      <c r="N47" s="231"/>
      <c r="O47" s="231"/>
      <c r="P47" s="231"/>
      <c r="Q47" s="231"/>
      <c r="R47" s="229"/>
      <c r="S47" s="229"/>
      <c r="T47" s="229"/>
      <c r="U47" s="229"/>
      <c r="V47" s="229"/>
    </row>
    <row r="48" s="224" customFormat="true" ht="15" hidden="false" customHeight="false" outlineLevel="0" collapsed="false">
      <c r="G48" s="229"/>
      <c r="I48" s="230"/>
      <c r="K48" s="231"/>
      <c r="L48" s="231"/>
      <c r="M48" s="231"/>
      <c r="N48" s="231"/>
      <c r="O48" s="231"/>
      <c r="P48" s="231"/>
      <c r="Q48" s="231"/>
      <c r="R48" s="229"/>
      <c r="S48" s="229"/>
      <c r="T48" s="229"/>
      <c r="U48" s="229"/>
      <c r="V48" s="229"/>
    </row>
    <row r="49" s="224" customFormat="true" ht="15" hidden="false" customHeight="false" outlineLevel="0" collapsed="false">
      <c r="G49" s="229"/>
      <c r="I49" s="230"/>
      <c r="K49" s="231"/>
      <c r="L49" s="231"/>
      <c r="M49" s="231"/>
      <c r="N49" s="231"/>
      <c r="O49" s="231"/>
      <c r="P49" s="231"/>
      <c r="Q49" s="231"/>
      <c r="R49" s="229"/>
      <c r="S49" s="229"/>
      <c r="T49" s="229"/>
      <c r="U49" s="229"/>
      <c r="V49" s="229"/>
    </row>
    <row r="50" s="224" customFormat="true" ht="15" hidden="false" customHeight="false" outlineLevel="0" collapsed="false">
      <c r="F50" s="229"/>
      <c r="H50" s="230"/>
      <c r="J50" s="231"/>
      <c r="K50" s="231"/>
      <c r="L50" s="231"/>
      <c r="M50" s="231"/>
      <c r="N50" s="231"/>
      <c r="O50" s="231"/>
      <c r="P50" s="231"/>
      <c r="Q50" s="229"/>
      <c r="R50" s="229"/>
      <c r="S50" s="229"/>
      <c r="T50" s="229"/>
      <c r="U50" s="229"/>
    </row>
    <row r="51" s="224" customFormat="true" ht="15" hidden="false" customHeight="false" outlineLevel="0" collapsed="false">
      <c r="G51" s="229"/>
      <c r="I51" s="230"/>
      <c r="K51" s="231"/>
      <c r="L51" s="231"/>
      <c r="M51" s="231"/>
      <c r="N51" s="231"/>
      <c r="O51" s="231"/>
      <c r="P51" s="231"/>
      <c r="Q51" s="231"/>
      <c r="R51" s="229"/>
      <c r="S51" s="229"/>
      <c r="T51" s="229"/>
      <c r="U51" s="229"/>
      <c r="V51" s="229"/>
    </row>
    <row r="52" s="224" customFormat="true" ht="15" hidden="false" customHeight="false" outlineLevel="0" collapsed="false">
      <c r="G52" s="229"/>
      <c r="I52" s="230"/>
      <c r="K52" s="231"/>
      <c r="L52" s="231"/>
      <c r="M52" s="231"/>
      <c r="N52" s="231"/>
      <c r="O52" s="231"/>
      <c r="P52" s="231"/>
      <c r="Q52" s="231"/>
      <c r="R52" s="229"/>
      <c r="S52" s="229"/>
      <c r="T52" s="229"/>
      <c r="U52" s="229"/>
      <c r="V52" s="229"/>
    </row>
    <row r="53" s="224" customFormat="true" ht="15" hidden="false" customHeight="false" outlineLevel="0" collapsed="false">
      <c r="G53" s="229"/>
      <c r="I53" s="230"/>
      <c r="K53" s="231"/>
      <c r="L53" s="231"/>
      <c r="M53" s="231"/>
      <c r="N53" s="231"/>
      <c r="O53" s="231"/>
      <c r="P53" s="231"/>
      <c r="Q53" s="231"/>
      <c r="R53" s="229"/>
      <c r="S53" s="229"/>
      <c r="T53" s="229"/>
      <c r="U53" s="229"/>
      <c r="V53" s="229"/>
    </row>
    <row r="54" s="224" customFormat="true" ht="15" hidden="false" customHeight="false" outlineLevel="0" collapsed="false">
      <c r="G54" s="229"/>
      <c r="I54" s="230"/>
      <c r="K54" s="231"/>
      <c r="L54" s="231"/>
      <c r="M54" s="231"/>
      <c r="N54" s="231"/>
      <c r="O54" s="231"/>
      <c r="P54" s="231"/>
      <c r="Q54" s="231"/>
      <c r="R54" s="229"/>
      <c r="S54" s="229"/>
      <c r="T54" s="229"/>
      <c r="U54" s="229"/>
      <c r="V54" s="229"/>
    </row>
    <row r="55" s="224" customFormat="true" ht="15" hidden="false" customHeight="false" outlineLevel="0" collapsed="false">
      <c r="G55" s="229"/>
      <c r="M55" s="230"/>
      <c r="N55" s="230"/>
      <c r="O55" s="230"/>
      <c r="Q55" s="231"/>
      <c r="R55" s="231"/>
      <c r="S55" s="231"/>
      <c r="T55" s="231"/>
      <c r="U55" s="231"/>
      <c r="V55" s="231"/>
      <c r="W55" s="229"/>
      <c r="X55" s="229"/>
      <c r="Y55" s="229"/>
      <c r="Z55" s="229"/>
      <c r="AA55" s="229"/>
      <c r="AB55" s="229"/>
      <c r="AC55" s="229"/>
      <c r="AD55" s="229"/>
      <c r="AE55" s="229"/>
    </row>
    <row r="56" s="224" customFormat="true" ht="15" hidden="false" customHeight="false" outlineLevel="0" collapsed="false">
      <c r="G56" s="229"/>
      <c r="M56" s="230"/>
      <c r="N56" s="230"/>
      <c r="O56" s="230"/>
      <c r="Q56" s="231"/>
      <c r="R56" s="231"/>
      <c r="S56" s="231"/>
      <c r="T56" s="231"/>
      <c r="U56" s="231"/>
      <c r="V56" s="231"/>
      <c r="W56" s="229"/>
      <c r="X56" s="229"/>
      <c r="Y56" s="229"/>
      <c r="Z56" s="229"/>
      <c r="AA56" s="229"/>
      <c r="AB56" s="229"/>
      <c r="AC56" s="229"/>
      <c r="AD56" s="229"/>
      <c r="AE56" s="229"/>
    </row>
    <row r="57" s="224" customFormat="true" ht="15" hidden="false" customHeight="false" outlineLevel="0" collapsed="false">
      <c r="G57" s="229"/>
      <c r="M57" s="230"/>
      <c r="N57" s="230"/>
      <c r="O57" s="230"/>
      <c r="Q57" s="231"/>
      <c r="R57" s="231"/>
      <c r="S57" s="231"/>
      <c r="T57" s="231"/>
      <c r="U57" s="231"/>
      <c r="V57" s="231"/>
      <c r="W57" s="229"/>
      <c r="X57" s="229"/>
      <c r="Y57" s="229"/>
      <c r="Z57" s="229"/>
      <c r="AA57" s="229"/>
      <c r="AB57" s="229"/>
      <c r="AC57" s="229"/>
      <c r="AD57" s="229"/>
      <c r="AE57" s="229"/>
    </row>
    <row r="58" s="224" customFormat="true" ht="15" hidden="false" customHeight="false" outlineLevel="0" collapsed="false">
      <c r="G58" s="229"/>
      <c r="M58" s="230"/>
      <c r="N58" s="230"/>
      <c r="O58" s="230"/>
      <c r="Q58" s="231"/>
      <c r="R58" s="231"/>
      <c r="S58" s="231"/>
      <c r="T58" s="231"/>
      <c r="U58" s="231"/>
      <c r="V58" s="231"/>
      <c r="W58" s="229"/>
      <c r="X58" s="229"/>
      <c r="Y58" s="229"/>
      <c r="Z58" s="229"/>
      <c r="AA58" s="229"/>
      <c r="AB58" s="229"/>
      <c r="AC58" s="229"/>
      <c r="AD58" s="229"/>
      <c r="AE58" s="229"/>
    </row>
    <row r="59" s="224" customFormat="true" ht="15" hidden="false" customHeight="false" outlineLevel="0" collapsed="false">
      <c r="G59" s="229"/>
      <c r="M59" s="230"/>
      <c r="N59" s="230"/>
      <c r="O59" s="230"/>
      <c r="Q59" s="231"/>
      <c r="R59" s="231"/>
      <c r="S59" s="231"/>
      <c r="T59" s="231"/>
      <c r="U59" s="231"/>
      <c r="V59" s="231"/>
      <c r="W59" s="229"/>
      <c r="X59" s="229"/>
      <c r="Y59" s="229"/>
      <c r="Z59" s="229"/>
      <c r="AA59" s="229"/>
      <c r="AB59" s="229"/>
      <c r="AC59" s="229"/>
      <c r="AD59" s="229"/>
      <c r="AE59" s="229"/>
    </row>
    <row r="60" s="224" customFormat="true" ht="15" hidden="false" customHeight="false" outlineLevel="0" collapsed="false">
      <c r="G60" s="229"/>
      <c r="M60" s="230"/>
      <c r="N60" s="230"/>
      <c r="O60" s="230"/>
      <c r="Q60" s="231"/>
      <c r="R60" s="231"/>
      <c r="S60" s="231"/>
      <c r="T60" s="231"/>
      <c r="U60" s="231"/>
      <c r="V60" s="231"/>
      <c r="W60" s="229"/>
      <c r="X60" s="229"/>
      <c r="Y60" s="229"/>
      <c r="Z60" s="229"/>
      <c r="AA60" s="229"/>
      <c r="AB60" s="229"/>
      <c r="AC60" s="229"/>
      <c r="AD60" s="229"/>
      <c r="AE60" s="229"/>
    </row>
    <row r="61" s="224" customFormat="true" ht="15" hidden="false" customHeight="false" outlineLevel="0" collapsed="false">
      <c r="G61" s="229"/>
      <c r="M61" s="230"/>
      <c r="N61" s="230"/>
      <c r="O61" s="230"/>
      <c r="Q61" s="231"/>
      <c r="R61" s="231"/>
      <c r="S61" s="231"/>
      <c r="T61" s="231"/>
      <c r="U61" s="231"/>
      <c r="V61" s="231"/>
      <c r="W61" s="229"/>
      <c r="X61" s="229"/>
      <c r="Y61" s="229"/>
      <c r="Z61" s="229"/>
      <c r="AA61" s="229"/>
      <c r="AB61" s="229"/>
      <c r="AC61" s="229"/>
      <c r="AD61" s="229"/>
      <c r="AE61" s="229"/>
    </row>
    <row r="62" s="224" customFormat="true" ht="15" hidden="false" customHeight="false" outlineLevel="0" collapsed="false">
      <c r="G62" s="229"/>
      <c r="M62" s="230"/>
      <c r="N62" s="230"/>
      <c r="O62" s="230"/>
      <c r="Q62" s="231"/>
      <c r="R62" s="231"/>
      <c r="S62" s="231"/>
      <c r="T62" s="231"/>
      <c r="U62" s="231"/>
      <c r="V62" s="231"/>
      <c r="W62" s="229"/>
      <c r="X62" s="229"/>
      <c r="Y62" s="229"/>
      <c r="Z62" s="229"/>
      <c r="AA62" s="229"/>
      <c r="AB62" s="229"/>
      <c r="AC62" s="229"/>
      <c r="AD62" s="229"/>
      <c r="AE62" s="229"/>
    </row>
    <row r="63" s="224" customFormat="true" ht="15" hidden="false" customHeight="false" outlineLevel="0" collapsed="false">
      <c r="G63" s="229"/>
      <c r="M63" s="230"/>
      <c r="N63" s="230"/>
      <c r="O63" s="230"/>
      <c r="Q63" s="231"/>
      <c r="R63" s="231"/>
      <c r="S63" s="231"/>
      <c r="T63" s="231"/>
      <c r="U63" s="231"/>
      <c r="V63" s="231"/>
      <c r="W63" s="229"/>
      <c r="X63" s="229"/>
      <c r="Y63" s="229"/>
      <c r="Z63" s="229"/>
      <c r="AA63" s="229"/>
      <c r="AB63" s="229"/>
      <c r="AC63" s="229"/>
      <c r="AD63" s="229"/>
      <c r="AE63" s="229"/>
    </row>
    <row r="64" s="224" customFormat="true" ht="15" hidden="false" customHeight="false" outlineLevel="0" collapsed="false">
      <c r="G64" s="229"/>
      <c r="M64" s="230"/>
      <c r="N64" s="230"/>
      <c r="O64" s="230"/>
      <c r="Q64" s="231"/>
      <c r="R64" s="231"/>
      <c r="S64" s="231"/>
      <c r="T64" s="231"/>
      <c r="U64" s="231"/>
      <c r="V64" s="231"/>
      <c r="W64" s="229"/>
      <c r="X64" s="229"/>
      <c r="Y64" s="229"/>
      <c r="Z64" s="229"/>
      <c r="AA64" s="229"/>
      <c r="AB64" s="229"/>
      <c r="AC64" s="229"/>
      <c r="AD64" s="229"/>
      <c r="AE64" s="229"/>
    </row>
    <row r="65" s="224" customFormat="true" ht="15" hidden="false" customHeight="false" outlineLevel="0" collapsed="false">
      <c r="G65" s="229"/>
      <c r="M65" s="230"/>
      <c r="N65" s="230"/>
      <c r="O65" s="230"/>
      <c r="Q65" s="231"/>
      <c r="R65" s="231"/>
      <c r="S65" s="231"/>
      <c r="T65" s="231"/>
      <c r="U65" s="231"/>
      <c r="V65" s="231"/>
      <c r="W65" s="229"/>
      <c r="X65" s="229"/>
      <c r="Y65" s="229"/>
      <c r="Z65" s="229"/>
      <c r="AA65" s="229"/>
      <c r="AB65" s="229"/>
      <c r="AC65" s="229"/>
      <c r="AD65" s="229"/>
      <c r="AE65" s="229"/>
    </row>
    <row r="66" s="224" customFormat="true" ht="15" hidden="false" customHeight="false" outlineLevel="0" collapsed="false">
      <c r="G66" s="229"/>
      <c r="M66" s="230"/>
      <c r="N66" s="230"/>
      <c r="O66" s="230"/>
      <c r="Q66" s="231"/>
      <c r="R66" s="231"/>
      <c r="S66" s="231"/>
      <c r="T66" s="231"/>
      <c r="U66" s="231"/>
      <c r="V66" s="231"/>
      <c r="W66" s="229"/>
      <c r="X66" s="229"/>
      <c r="Y66" s="229"/>
      <c r="Z66" s="229"/>
      <c r="AA66" s="229"/>
      <c r="AB66" s="229"/>
      <c r="AC66" s="229"/>
      <c r="AD66" s="229"/>
      <c r="AE66" s="229"/>
    </row>
    <row r="67" s="224" customFormat="true" ht="15" hidden="false" customHeight="false" outlineLevel="0" collapsed="false">
      <c r="G67" s="229"/>
      <c r="M67" s="230"/>
      <c r="N67" s="230"/>
      <c r="O67" s="230"/>
      <c r="Q67" s="231"/>
      <c r="R67" s="231"/>
      <c r="S67" s="231"/>
      <c r="T67" s="231"/>
      <c r="U67" s="231"/>
      <c r="V67" s="231"/>
      <c r="W67" s="229"/>
      <c r="X67" s="229"/>
      <c r="Y67" s="229"/>
      <c r="Z67" s="229"/>
      <c r="AA67" s="229"/>
      <c r="AB67" s="229"/>
      <c r="AC67" s="229"/>
      <c r="AD67" s="229"/>
      <c r="AE67" s="229"/>
    </row>
    <row r="68" s="224" customFormat="true" ht="15" hidden="false" customHeight="false" outlineLevel="0" collapsed="false">
      <c r="G68" s="229"/>
      <c r="M68" s="230"/>
      <c r="N68" s="230"/>
      <c r="O68" s="230"/>
      <c r="Q68" s="231"/>
      <c r="R68" s="231"/>
      <c r="S68" s="231"/>
      <c r="T68" s="231"/>
      <c r="U68" s="231"/>
      <c r="V68" s="231"/>
      <c r="W68" s="229"/>
      <c r="X68" s="229"/>
      <c r="Y68" s="229"/>
      <c r="Z68" s="229"/>
      <c r="AA68" s="229"/>
      <c r="AB68" s="229"/>
      <c r="AC68" s="229"/>
      <c r="AD68" s="229"/>
      <c r="AE68" s="229"/>
    </row>
    <row r="69" s="224" customFormat="true" ht="15" hidden="false" customHeight="false" outlineLevel="0" collapsed="false">
      <c r="G69" s="229"/>
      <c r="M69" s="230"/>
      <c r="N69" s="230"/>
      <c r="O69" s="230"/>
      <c r="Q69" s="231"/>
      <c r="R69" s="231"/>
      <c r="S69" s="231"/>
      <c r="T69" s="231"/>
      <c r="U69" s="231"/>
      <c r="V69" s="231"/>
      <c r="W69" s="229"/>
      <c r="X69" s="229"/>
      <c r="Y69" s="229"/>
      <c r="Z69" s="229"/>
      <c r="AA69" s="229"/>
      <c r="AB69" s="229"/>
      <c r="AC69" s="229"/>
      <c r="AD69" s="229"/>
      <c r="AE69" s="229"/>
    </row>
    <row r="70" s="224" customFormat="true" ht="15" hidden="false" customHeight="false" outlineLevel="0" collapsed="false">
      <c r="G70" s="229"/>
      <c r="M70" s="230"/>
      <c r="N70" s="230"/>
      <c r="O70" s="230"/>
      <c r="Q70" s="231"/>
      <c r="R70" s="231"/>
      <c r="S70" s="231"/>
      <c r="T70" s="231"/>
      <c r="U70" s="231"/>
      <c r="V70" s="231"/>
      <c r="W70" s="229"/>
      <c r="X70" s="229"/>
      <c r="Y70" s="229"/>
      <c r="Z70" s="229"/>
      <c r="AA70" s="229"/>
      <c r="AB70" s="229"/>
      <c r="AC70" s="229"/>
      <c r="AD70" s="229"/>
      <c r="AE70" s="229"/>
    </row>
    <row r="71" s="224" customFormat="true" ht="15" hidden="false" customHeight="false" outlineLevel="0" collapsed="false">
      <c r="G71" s="229"/>
      <c r="M71" s="230"/>
      <c r="N71" s="230"/>
      <c r="O71" s="230"/>
      <c r="Q71" s="231"/>
      <c r="R71" s="231"/>
      <c r="S71" s="231"/>
      <c r="T71" s="231"/>
      <c r="U71" s="231"/>
      <c r="V71" s="231"/>
      <c r="W71" s="229"/>
      <c r="X71" s="229"/>
      <c r="Y71" s="229"/>
      <c r="Z71" s="229"/>
      <c r="AA71" s="229"/>
      <c r="AB71" s="229"/>
      <c r="AC71" s="229"/>
      <c r="AD71" s="229"/>
      <c r="AE71" s="229"/>
    </row>
    <row r="72" s="224" customFormat="true" ht="15" hidden="false" customHeight="false" outlineLevel="0" collapsed="false">
      <c r="G72" s="229"/>
      <c r="M72" s="230"/>
      <c r="N72" s="230"/>
      <c r="O72" s="230"/>
      <c r="Q72" s="231"/>
      <c r="R72" s="231"/>
      <c r="S72" s="231"/>
      <c r="T72" s="231"/>
      <c r="U72" s="231"/>
      <c r="V72" s="231"/>
      <c r="W72" s="229"/>
      <c r="X72" s="229"/>
      <c r="Y72" s="229"/>
      <c r="Z72" s="229"/>
      <c r="AA72" s="229"/>
      <c r="AB72" s="229"/>
      <c r="AC72" s="229"/>
      <c r="AD72" s="229"/>
      <c r="AE72" s="229"/>
    </row>
    <row r="73" s="224" customFormat="true" ht="15" hidden="false" customHeight="false" outlineLevel="0" collapsed="false">
      <c r="G73" s="229"/>
      <c r="M73" s="230"/>
      <c r="N73" s="230"/>
      <c r="O73" s="230"/>
      <c r="Q73" s="231"/>
      <c r="R73" s="231"/>
      <c r="S73" s="231"/>
      <c r="T73" s="231"/>
      <c r="U73" s="231"/>
      <c r="V73" s="231"/>
      <c r="W73" s="229"/>
      <c r="X73" s="229"/>
      <c r="Y73" s="229"/>
      <c r="Z73" s="229"/>
      <c r="AA73" s="229"/>
      <c r="AB73" s="229"/>
      <c r="AC73" s="229"/>
      <c r="AD73" s="229"/>
      <c r="AE73" s="229"/>
    </row>
    <row r="74" s="224" customFormat="true" ht="15" hidden="false" customHeight="false" outlineLevel="0" collapsed="false">
      <c r="G74" s="229"/>
      <c r="M74" s="230"/>
      <c r="N74" s="230"/>
      <c r="O74" s="230"/>
      <c r="Q74" s="231"/>
      <c r="R74" s="231"/>
      <c r="S74" s="231"/>
      <c r="T74" s="231"/>
      <c r="U74" s="231"/>
      <c r="V74" s="231"/>
      <c r="W74" s="229"/>
      <c r="X74" s="229"/>
      <c r="Y74" s="229"/>
      <c r="Z74" s="229"/>
      <c r="AA74" s="229"/>
      <c r="AB74" s="229"/>
      <c r="AC74" s="229"/>
      <c r="AD74" s="229"/>
      <c r="AE74" s="229"/>
    </row>
    <row r="75" s="224" customFormat="true" ht="15" hidden="false" customHeight="false" outlineLevel="0" collapsed="false">
      <c r="G75" s="229"/>
      <c r="M75" s="230"/>
      <c r="N75" s="230"/>
      <c r="O75" s="230"/>
      <c r="Q75" s="231"/>
      <c r="R75" s="231"/>
      <c r="S75" s="231"/>
      <c r="T75" s="231"/>
      <c r="U75" s="231"/>
      <c r="V75" s="231"/>
      <c r="W75" s="229"/>
      <c r="X75" s="229"/>
      <c r="Y75" s="229"/>
      <c r="Z75" s="229"/>
      <c r="AA75" s="229"/>
      <c r="AB75" s="229"/>
      <c r="AC75" s="229"/>
      <c r="AD75" s="229"/>
      <c r="AE75" s="229"/>
    </row>
    <row r="76" s="224" customFormat="true" ht="15" hidden="false" customHeight="false" outlineLevel="0" collapsed="false">
      <c r="G76" s="229"/>
      <c r="M76" s="230"/>
      <c r="N76" s="230"/>
      <c r="O76" s="230"/>
      <c r="Q76" s="231"/>
      <c r="R76" s="231"/>
      <c r="S76" s="231"/>
      <c r="T76" s="231"/>
      <c r="U76" s="231"/>
      <c r="V76" s="231"/>
      <c r="W76" s="229"/>
      <c r="X76" s="229"/>
      <c r="Y76" s="229"/>
      <c r="Z76" s="229"/>
      <c r="AA76" s="229"/>
      <c r="AB76" s="229"/>
      <c r="AC76" s="229"/>
      <c r="AD76" s="229"/>
      <c r="AE76" s="229"/>
    </row>
    <row r="77" s="224" customFormat="true" ht="15" hidden="false" customHeight="false" outlineLevel="0" collapsed="false">
      <c r="G77" s="229"/>
      <c r="M77" s="230"/>
      <c r="N77" s="230"/>
      <c r="O77" s="230"/>
      <c r="Q77" s="231"/>
      <c r="R77" s="231"/>
      <c r="S77" s="231"/>
      <c r="T77" s="231"/>
      <c r="U77" s="231"/>
      <c r="V77" s="231"/>
      <c r="W77" s="229"/>
      <c r="X77" s="229"/>
      <c r="Y77" s="229"/>
      <c r="Z77" s="229"/>
      <c r="AA77" s="229"/>
      <c r="AB77" s="229"/>
      <c r="AC77" s="229"/>
      <c r="AD77" s="229"/>
      <c r="AE77" s="229"/>
    </row>
    <row r="78" s="224" customFormat="true" ht="15" hidden="false" customHeight="false" outlineLevel="0" collapsed="false">
      <c r="G78" s="229"/>
      <c r="M78" s="230"/>
      <c r="N78" s="230"/>
      <c r="O78" s="230"/>
      <c r="Q78" s="231"/>
      <c r="R78" s="231"/>
      <c r="S78" s="231"/>
      <c r="T78" s="231"/>
      <c r="U78" s="231"/>
      <c r="V78" s="231"/>
      <c r="W78" s="229"/>
      <c r="X78" s="229"/>
      <c r="Y78" s="229"/>
      <c r="Z78" s="229"/>
      <c r="AA78" s="229"/>
      <c r="AB78" s="229"/>
      <c r="AC78" s="229"/>
      <c r="AD78" s="229"/>
      <c r="AE78" s="229"/>
    </row>
    <row r="79" s="224" customFormat="true" ht="15" hidden="false" customHeight="false" outlineLevel="0" collapsed="false">
      <c r="G79" s="229"/>
      <c r="M79" s="230"/>
      <c r="N79" s="230"/>
      <c r="O79" s="230"/>
      <c r="Q79" s="231"/>
      <c r="R79" s="231"/>
      <c r="S79" s="231"/>
      <c r="T79" s="231"/>
      <c r="U79" s="231"/>
      <c r="V79" s="231"/>
      <c r="W79" s="229"/>
      <c r="X79" s="229"/>
      <c r="Y79" s="229"/>
      <c r="Z79" s="229"/>
      <c r="AA79" s="229"/>
      <c r="AB79" s="229"/>
      <c r="AC79" s="229"/>
      <c r="AD79" s="229"/>
      <c r="AE79" s="229"/>
    </row>
    <row r="80" s="224" customFormat="true" ht="15" hidden="false" customHeight="false" outlineLevel="0" collapsed="false">
      <c r="G80" s="229"/>
      <c r="M80" s="230"/>
      <c r="N80" s="230"/>
      <c r="O80" s="230"/>
      <c r="Q80" s="231"/>
      <c r="R80" s="231"/>
      <c r="S80" s="231"/>
      <c r="T80" s="231"/>
      <c r="U80" s="231"/>
      <c r="V80" s="231"/>
      <c r="W80" s="229"/>
      <c r="X80" s="229"/>
      <c r="Y80" s="229"/>
      <c r="Z80" s="229"/>
      <c r="AA80" s="229"/>
      <c r="AB80" s="229"/>
      <c r="AC80" s="229"/>
      <c r="AD80" s="229"/>
      <c r="AE80" s="229"/>
    </row>
    <row r="81" s="224" customFormat="true" ht="15" hidden="false" customHeight="false" outlineLevel="0" collapsed="false">
      <c r="G81" s="229"/>
      <c r="M81" s="230"/>
      <c r="N81" s="230"/>
      <c r="O81" s="230"/>
      <c r="Q81" s="231"/>
      <c r="R81" s="231"/>
      <c r="S81" s="231"/>
      <c r="T81" s="231"/>
      <c r="U81" s="231"/>
      <c r="V81" s="231"/>
      <c r="W81" s="229"/>
      <c r="X81" s="229"/>
      <c r="Y81" s="229"/>
      <c r="Z81" s="229"/>
      <c r="AA81" s="229"/>
      <c r="AB81" s="229"/>
      <c r="AC81" s="229"/>
      <c r="AD81" s="229"/>
      <c r="AE81" s="229"/>
    </row>
    <row r="82" s="224" customFormat="true" ht="15" hidden="false" customHeight="false" outlineLevel="0" collapsed="false">
      <c r="G82" s="229"/>
      <c r="M82" s="230"/>
      <c r="N82" s="230"/>
      <c r="O82" s="230"/>
      <c r="Q82" s="231"/>
      <c r="R82" s="231"/>
      <c r="S82" s="231"/>
      <c r="T82" s="231"/>
      <c r="U82" s="231"/>
      <c r="V82" s="231"/>
      <c r="W82" s="229"/>
      <c r="X82" s="229"/>
      <c r="Y82" s="229"/>
      <c r="Z82" s="229"/>
      <c r="AA82" s="229"/>
      <c r="AB82" s="229"/>
      <c r="AC82" s="229"/>
      <c r="AD82" s="229"/>
      <c r="AE82" s="229"/>
    </row>
    <row r="83" s="224" customFormat="true" ht="22.05" hidden="true" customHeight="false" outlineLevel="0" collapsed="false">
      <c r="B83" s="232" t="s">
        <v>297</v>
      </c>
      <c r="G83" s="229"/>
      <c r="M83" s="230"/>
      <c r="N83" s="230"/>
      <c r="O83" s="230"/>
      <c r="Q83" s="231"/>
      <c r="R83" s="231"/>
      <c r="S83" s="231"/>
      <c r="T83" s="231"/>
      <c r="U83" s="231"/>
      <c r="V83" s="231"/>
      <c r="W83" s="229"/>
      <c r="X83" s="229"/>
      <c r="Y83" s="229"/>
      <c r="Z83" s="229"/>
      <c r="AA83" s="229"/>
      <c r="AB83" s="229"/>
      <c r="AC83" s="229"/>
      <c r="AD83" s="229"/>
      <c r="AE83" s="229"/>
    </row>
    <row r="84" s="224" customFormat="true" ht="15" hidden="true" customHeight="false" outlineLevel="0" collapsed="false">
      <c r="G84" s="229"/>
      <c r="M84" s="230"/>
      <c r="N84" s="230"/>
      <c r="O84" s="230"/>
      <c r="Q84" s="231"/>
      <c r="R84" s="231"/>
      <c r="S84" s="231"/>
      <c r="T84" s="231"/>
      <c r="U84" s="231"/>
      <c r="V84" s="231"/>
      <c r="W84" s="229"/>
      <c r="X84" s="229"/>
      <c r="Y84" s="229"/>
      <c r="Z84" s="229"/>
      <c r="AA84" s="229"/>
      <c r="AB84" s="229"/>
      <c r="AC84" s="229"/>
      <c r="AD84" s="229"/>
      <c r="AE84" s="229"/>
    </row>
    <row r="85" s="233" customFormat="true" ht="30.9" hidden="true" customHeight="false" outlineLevel="0" collapsed="false">
      <c r="B85" s="234" t="s">
        <v>90</v>
      </c>
      <c r="C85" s="235" t="s">
        <v>91</v>
      </c>
      <c r="D85" s="235" t="s">
        <v>92</v>
      </c>
      <c r="E85" s="235" t="s">
        <v>285</v>
      </c>
      <c r="F85" s="235" t="s">
        <v>120</v>
      </c>
      <c r="G85" s="235" t="s">
        <v>97</v>
      </c>
      <c r="H85" s="235" t="s">
        <v>121</v>
      </c>
      <c r="I85" s="235" t="s">
        <v>122</v>
      </c>
      <c r="J85" s="235" t="s">
        <v>123</v>
      </c>
      <c r="K85" s="235" t="s">
        <v>105</v>
      </c>
      <c r="L85" s="235" t="s">
        <v>106</v>
      </c>
      <c r="M85" s="235" t="s">
        <v>107</v>
      </c>
      <c r="N85" s="236" t="s">
        <v>70</v>
      </c>
      <c r="O85" s="236" t="s">
        <v>71</v>
      </c>
      <c r="P85" s="236" t="s">
        <v>72</v>
      </c>
      <c r="Q85" s="236" t="s">
        <v>73</v>
      </c>
      <c r="R85" s="236" t="s">
        <v>74</v>
      </c>
      <c r="S85" s="237" t="s">
        <v>69</v>
      </c>
      <c r="T85" s="238"/>
      <c r="U85" s="238"/>
      <c r="V85" s="238"/>
    </row>
    <row r="86" s="246" customFormat="true" ht="28.15" hidden="true" customHeight="true" outlineLevel="0" collapsed="false">
      <c r="A86" s="239" t="s">
        <v>90</v>
      </c>
      <c r="B86" s="240" t="n">
        <f aca="false">correla!B4*correla!B23*correla!B42</f>
        <v>1</v>
      </c>
      <c r="C86" s="241" t="e">
        <f aca="false">correla!C4*correla!C23*correla!C42</f>
        <v>#VALUE!</v>
      </c>
      <c r="D86" s="242" t="e">
        <f aca="false">correla!D4*correla!D23*correla!D42</f>
        <v>#VALUE!</v>
      </c>
      <c r="E86" s="242" t="n">
        <f aca="false">correla!E4*correla!E23*correla!E42</f>
        <v>-0.543520590445976</v>
      </c>
      <c r="F86" s="242" t="n">
        <f aca="false">correla!F4*correla!F23*correla!F42</f>
        <v>0.563989864010994</v>
      </c>
      <c r="G86" s="242" t="n">
        <f aca="false">correla!G4*correla!G23*correla!G42</f>
        <v>0.637735775312525</v>
      </c>
      <c r="H86" s="242" t="n">
        <f aca="false">correla!H4*correla!H23*correla!H42</f>
        <v>0.523500028430357</v>
      </c>
      <c r="I86" s="242" t="n">
        <f aca="false">correla!I4*correla!I23*correla!I42</f>
        <v>-0.417812098768415</v>
      </c>
      <c r="J86" s="242" t="n">
        <f aca="false">correla!J4*correla!J23*correla!J42</f>
        <v>0.355796571384342</v>
      </c>
      <c r="K86" s="242" t="n">
        <f aca="false">correla!K4*correla!K23*correla!K42</f>
        <v>0.538788581900578</v>
      </c>
      <c r="L86" s="242" t="n">
        <f aca="false">correla!L4*correla!L23*correla!L42</f>
        <v>0.426960313930897</v>
      </c>
      <c r="M86" s="242" t="n">
        <f aca="false">correla!M4*correla!M23*correla!M42</f>
        <v>0.408492931165764</v>
      </c>
      <c r="N86" s="242" t="n">
        <f aca="false">correla!N4*correla!N23*correla!N42</f>
        <v>0.873860934170642</v>
      </c>
      <c r="O86" s="242" t="n">
        <f aca="false">correla!O4*correla!O23*correla!O42</f>
        <v>0.541948589748223</v>
      </c>
      <c r="P86" s="242" t="n">
        <f aca="false">correla!P4*correla!P23*correla!P42</f>
        <v>0.616912079612481</v>
      </c>
      <c r="Q86" s="242" t="n">
        <f aca="false">correla!Q4*correla!Q23*correla!Q42</f>
        <v>0.419980859959508</v>
      </c>
      <c r="R86" s="242" t="n">
        <f aca="false">correla!R4*correla!R23*correla!R42</f>
        <v>0.513896333042033</v>
      </c>
      <c r="S86" s="243" t="n">
        <f aca="false">correla!S4*correla!S23*correla!S42</f>
        <v>0.721261543318559</v>
      </c>
      <c r="T86" s="244"/>
      <c r="U86" s="244"/>
      <c r="V86" s="244"/>
      <c r="W86" s="245"/>
      <c r="X86" s="245"/>
      <c r="Y86" s="245"/>
      <c r="Z86" s="245"/>
      <c r="AA86" s="245"/>
      <c r="AB86" s="245"/>
      <c r="AC86" s="245"/>
      <c r="AD86" s="245"/>
      <c r="AE86" s="245"/>
    </row>
    <row r="87" s="246" customFormat="true" ht="28.15" hidden="true" customHeight="true" outlineLevel="0" collapsed="false">
      <c r="A87" s="247" t="s">
        <v>91</v>
      </c>
      <c r="B87" s="248" t="e">
        <f aca="false">correla!B5*correla!B24*correla!B43</f>
        <v>#VALUE!</v>
      </c>
      <c r="C87" s="240" t="e">
        <f aca="false">correla!C5*correla!C24*correla!C43</f>
        <v>#REF!</v>
      </c>
      <c r="D87" s="249" t="e">
        <f aca="false">correla!D5*correla!D24*correla!D43</f>
        <v>#REF!</v>
      </c>
      <c r="E87" s="250" t="e">
        <f aca="false">correla!E5*correla!E24*correla!E43</f>
        <v>#VALUE!</v>
      </c>
      <c r="F87" s="250" t="e">
        <f aca="false">correla!F5*correla!F24*correla!F43</f>
        <v>#VALUE!</v>
      </c>
      <c r="G87" s="250" t="e">
        <f aca="false">correla!G5*correla!G24*correla!G43</f>
        <v>#VALUE!</v>
      </c>
      <c r="H87" s="250" t="e">
        <f aca="false">correla!H5*correla!H24*correla!H43</f>
        <v>#VALUE!</v>
      </c>
      <c r="I87" s="250" t="e">
        <f aca="false">correla!I5*correla!I24*correla!I43</f>
        <v>#VALUE!</v>
      </c>
      <c r="J87" s="250" t="e">
        <f aca="false">correla!J5*correla!J24*correla!J43</f>
        <v>#VALUE!</v>
      </c>
      <c r="K87" s="250" t="e">
        <f aca="false">correla!K5*correla!K24*correla!K43</f>
        <v>#VALUE!</v>
      </c>
      <c r="L87" s="250" t="e">
        <f aca="false">correla!L5*correla!L24*correla!L43</f>
        <v>#VALUE!</v>
      </c>
      <c r="M87" s="250" t="e">
        <f aca="false">correla!M5*correla!M24*correla!M43</f>
        <v>#VALUE!</v>
      </c>
      <c r="N87" s="250" t="e">
        <f aca="false">correla!N5*correla!N24*correla!N43</f>
        <v>#VALUE!</v>
      </c>
      <c r="O87" s="250" t="e">
        <f aca="false">correla!O5*correla!O24*correla!O43</f>
        <v>#VALUE!</v>
      </c>
      <c r="P87" s="250" t="e">
        <f aca="false">correla!P5*correla!P24*correla!P43</f>
        <v>#VALUE!</v>
      </c>
      <c r="Q87" s="250" t="e">
        <f aca="false">correla!Q5*correla!Q24*correla!Q43</f>
        <v>#VALUE!</v>
      </c>
      <c r="R87" s="250" t="e">
        <f aca="false">correla!R5*correla!R24*correla!R43</f>
        <v>#VALUE!</v>
      </c>
      <c r="S87" s="251" t="e">
        <f aca="false">correla!S5*correla!S24*correla!S43</f>
        <v>#VALUE!</v>
      </c>
      <c r="T87" s="244"/>
      <c r="U87" s="244"/>
      <c r="V87" s="244"/>
      <c r="W87" s="245"/>
      <c r="X87" s="245"/>
      <c r="Y87" s="245"/>
      <c r="Z87" s="245"/>
      <c r="AA87" s="245"/>
      <c r="AB87" s="245"/>
      <c r="AC87" s="245"/>
      <c r="AD87" s="245"/>
      <c r="AE87" s="245"/>
    </row>
    <row r="88" s="246" customFormat="true" ht="28.15" hidden="true" customHeight="true" outlineLevel="0" collapsed="false">
      <c r="A88" s="247" t="s">
        <v>92</v>
      </c>
      <c r="B88" s="252" t="e">
        <f aca="false">correla!B6*correla!B25*correla!B44</f>
        <v>#VALUE!</v>
      </c>
      <c r="C88" s="253" t="e">
        <f aca="false">correla!C6*correla!C25*correla!C44</f>
        <v>#REF!</v>
      </c>
      <c r="D88" s="240" t="e">
        <f aca="false">correla!D6*correla!D25*correla!D44</f>
        <v>#REF!</v>
      </c>
      <c r="E88" s="249" t="e">
        <f aca="false">correla!E6*correla!E25*correla!E44</f>
        <v>#VALUE!</v>
      </c>
      <c r="F88" s="250" t="e">
        <f aca="false">correla!F6*correla!F25*correla!F44</f>
        <v>#VALUE!</v>
      </c>
      <c r="G88" s="250" t="e">
        <f aca="false">correla!G6*correla!G25*correla!G44</f>
        <v>#VALUE!</v>
      </c>
      <c r="H88" s="250" t="e">
        <f aca="false">correla!H6*correla!H25*correla!H44</f>
        <v>#VALUE!</v>
      </c>
      <c r="I88" s="250" t="e">
        <f aca="false">correla!I6*correla!I25*correla!I44</f>
        <v>#VALUE!</v>
      </c>
      <c r="J88" s="250" t="e">
        <f aca="false">correla!J6*correla!J25*correla!J44</f>
        <v>#VALUE!</v>
      </c>
      <c r="K88" s="250" t="e">
        <f aca="false">correla!K6*correla!K25*correla!K44</f>
        <v>#VALUE!</v>
      </c>
      <c r="L88" s="250" t="e">
        <f aca="false">correla!L6*correla!L25*correla!L44</f>
        <v>#VALUE!</v>
      </c>
      <c r="M88" s="250" t="e">
        <f aca="false">correla!M6*correla!M25*correla!M44</f>
        <v>#VALUE!</v>
      </c>
      <c r="N88" s="250" t="e">
        <f aca="false">correla!N6*correla!N25*correla!N44</f>
        <v>#VALUE!</v>
      </c>
      <c r="O88" s="250" t="e">
        <f aca="false">correla!O6*correla!O25*correla!O44</f>
        <v>#VALUE!</v>
      </c>
      <c r="P88" s="250" t="e">
        <f aca="false">correla!P6*correla!P25*correla!P44</f>
        <v>#VALUE!</v>
      </c>
      <c r="Q88" s="250" t="e">
        <f aca="false">correla!Q6*correla!Q25*correla!Q44</f>
        <v>#VALUE!</v>
      </c>
      <c r="R88" s="250" t="e">
        <f aca="false">correla!R6*correla!R25*correla!R44</f>
        <v>#VALUE!</v>
      </c>
      <c r="S88" s="251" t="e">
        <f aca="false">correla!S6*correla!S25*correla!S44</f>
        <v>#VALUE!</v>
      </c>
      <c r="T88" s="244"/>
      <c r="U88" s="244"/>
      <c r="V88" s="244"/>
      <c r="W88" s="245"/>
      <c r="X88" s="245"/>
      <c r="Y88" s="245"/>
      <c r="Z88" s="245"/>
      <c r="AA88" s="245"/>
      <c r="AB88" s="245"/>
      <c r="AC88" s="245"/>
      <c r="AD88" s="245"/>
      <c r="AE88" s="245"/>
    </row>
    <row r="89" s="246" customFormat="true" ht="28.15" hidden="true" customHeight="true" outlineLevel="0" collapsed="false">
      <c r="A89" s="247" t="s">
        <v>285</v>
      </c>
      <c r="B89" s="252" t="n">
        <f aca="false">correla!B7*correla!B26*correla!B45</f>
        <v>-0.543520590445976</v>
      </c>
      <c r="C89" s="250" t="e">
        <f aca="false">correla!C7*correla!C26*correla!C45</f>
        <v>#VALUE!</v>
      </c>
      <c r="D89" s="253" t="e">
        <f aca="false">correla!D7*correla!D26*correla!D45</f>
        <v>#VALUE!</v>
      </c>
      <c r="E89" s="240" t="n">
        <f aca="false">correla!E7*correla!E26*correla!E45</f>
        <v>1</v>
      </c>
      <c r="F89" s="249" t="n">
        <f aca="false">correla!F7*correla!F26*correla!F45</f>
        <v>-0.818976979468922</v>
      </c>
      <c r="G89" s="250" t="n">
        <f aca="false">correla!G7*correla!G26*correla!G45</f>
        <v>-0.845112786674213</v>
      </c>
      <c r="H89" s="250" t="n">
        <f aca="false">correla!H7*correla!H26*correla!H45</f>
        <v>-0.618386520247484</v>
      </c>
      <c r="I89" s="250" t="n">
        <f aca="false">correla!I7*correla!I26*correla!I45</f>
        <v>0.848112903983602</v>
      </c>
      <c r="J89" s="250" t="n">
        <f aca="false">correla!J7*correla!J26*correla!J45</f>
        <v>-0.375679047868383</v>
      </c>
      <c r="K89" s="250" t="n">
        <f aca="false">correla!K7*correla!K26*correla!K45</f>
        <v>-0.521152456522912</v>
      </c>
      <c r="L89" s="250" t="n">
        <f aca="false">correla!L7*correla!L26*correla!L45</f>
        <v>-0.425758479215671</v>
      </c>
      <c r="M89" s="250" t="n">
        <f aca="false">correla!M7*correla!M26*correla!M45</f>
        <v>-0.397518193492982</v>
      </c>
      <c r="N89" s="250" t="n">
        <f aca="false">correla!N7*correla!N26*correla!N45</f>
        <v>-0.748703221545266</v>
      </c>
      <c r="O89" s="250" t="n">
        <f aca="false">correla!O7*correla!O26*correla!O45</f>
        <v>-1.00409525700094</v>
      </c>
      <c r="P89" s="250" t="n">
        <f aca="false">correla!P7*correla!P26*correla!P45</f>
        <v>-0.800047216471342</v>
      </c>
      <c r="Q89" s="250" t="n">
        <f aca="false">correla!Q7*correla!Q26*correla!Q45</f>
        <v>-0.85458017335515</v>
      </c>
      <c r="R89" s="250" t="n">
        <f aca="false">correla!R7*correla!R26*correla!R45</f>
        <v>-0.503431904766406</v>
      </c>
      <c r="S89" s="251" t="n">
        <f aca="false">correla!S7*correla!S26*correla!S45</f>
        <v>-0.767560355104588</v>
      </c>
      <c r="T89" s="244"/>
      <c r="U89" s="244"/>
      <c r="V89" s="244"/>
      <c r="W89" s="245"/>
      <c r="X89" s="245"/>
      <c r="Y89" s="245"/>
      <c r="Z89" s="245"/>
      <c r="AA89" s="245"/>
      <c r="AB89" s="245"/>
      <c r="AC89" s="245"/>
      <c r="AD89" s="245"/>
      <c r="AE89" s="245"/>
    </row>
    <row r="90" s="246" customFormat="true" ht="28.15" hidden="true" customHeight="true" outlineLevel="0" collapsed="false">
      <c r="A90" s="247" t="s">
        <v>120</v>
      </c>
      <c r="B90" s="252" t="n">
        <f aca="false">correla!B8*correla!B27*correla!B46</f>
        <v>0.563989864010994</v>
      </c>
      <c r="C90" s="250" t="e">
        <f aca="false">correla!C8*correla!C27*correla!C46</f>
        <v>#VALUE!</v>
      </c>
      <c r="D90" s="250" t="e">
        <f aca="false">correla!D8*correla!D27*correla!D46</f>
        <v>#VALUE!</v>
      </c>
      <c r="E90" s="253" t="n">
        <f aca="false">correla!E8*correla!E27*correla!E46</f>
        <v>-0.818976979468922</v>
      </c>
      <c r="F90" s="240" t="n">
        <f aca="false">correla!F8*correla!F27*correla!F46</f>
        <v>1</v>
      </c>
      <c r="G90" s="249" t="n">
        <f aca="false">correla!G8*correla!G27*correla!G46</f>
        <v>0.971176755852856</v>
      </c>
      <c r="H90" s="250" t="n">
        <f aca="false">correla!H8*correla!H27*correla!H46</f>
        <v>0.786689431628855</v>
      </c>
      <c r="I90" s="250" t="n">
        <f aca="false">correla!I8*correla!I27*correla!I46</f>
        <v>-0.718531272483238</v>
      </c>
      <c r="J90" s="250" t="n">
        <f aca="false">correla!J8*correla!J27*correla!J46</f>
        <v>0.474751030855977</v>
      </c>
      <c r="K90" s="250" t="n">
        <f aca="false">correla!K8*correla!K27*correla!K46</f>
        <v>0.691209578381796</v>
      </c>
      <c r="L90" s="250" t="n">
        <f aca="false">correla!L8*correla!L27*correla!L46</f>
        <v>0.549960393218746</v>
      </c>
      <c r="M90" s="250" t="n">
        <f aca="false">correla!M8*correla!M27*correla!M46</f>
        <v>0.525360325965353</v>
      </c>
      <c r="N90" s="250" t="n">
        <f aca="false">correla!N8*correla!N27*correla!N46</f>
        <v>0.847989189317773</v>
      </c>
      <c r="O90" s="250" t="n">
        <f aca="false">correla!O8*correla!O27*correla!O46</f>
        <v>0.822697653855932</v>
      </c>
      <c r="P90" s="250" t="n">
        <f aca="false">correla!P8*correla!P27*correla!P46</f>
        <v>0.962955052834726</v>
      </c>
      <c r="Q90" s="250" t="n">
        <f aca="false">correla!Q8*correla!Q27*correla!Q46</f>
        <v>0.724842893345649</v>
      </c>
      <c r="R90" s="250" t="n">
        <f aca="false">correla!R8*correla!R27*correla!R46</f>
        <v>0.662023597304244</v>
      </c>
      <c r="S90" s="251" t="n">
        <f aca="false">correla!S8*correla!S27*correla!S46</f>
        <v>0.915067448768054</v>
      </c>
      <c r="T90" s="244"/>
      <c r="U90" s="244"/>
      <c r="V90" s="244"/>
      <c r="W90" s="245"/>
      <c r="X90" s="245"/>
      <c r="Y90" s="245"/>
      <c r="Z90" s="245"/>
      <c r="AA90" s="245"/>
      <c r="AB90" s="245"/>
      <c r="AC90" s="245"/>
      <c r="AD90" s="245"/>
      <c r="AE90" s="245"/>
    </row>
    <row r="91" s="246" customFormat="true" ht="28.15" hidden="true" customHeight="true" outlineLevel="0" collapsed="false">
      <c r="A91" s="247" t="s">
        <v>97</v>
      </c>
      <c r="B91" s="252" t="n">
        <f aca="false">correla!B9*correla!B28*correla!B47</f>
        <v>0.637735775312525</v>
      </c>
      <c r="C91" s="250" t="e">
        <f aca="false">correla!C9*correla!C28*correla!C47</f>
        <v>#VALUE!</v>
      </c>
      <c r="D91" s="250" t="e">
        <f aca="false">correla!D9*correla!D28*correla!D47</f>
        <v>#VALUE!</v>
      </c>
      <c r="E91" s="250" t="n">
        <f aca="false">correla!E9*correla!E28*correla!E47</f>
        <v>-0.845112786674213</v>
      </c>
      <c r="F91" s="253" t="n">
        <f aca="false">correla!F9*correla!F28*correla!F47</f>
        <v>0.971176755852856</v>
      </c>
      <c r="G91" s="240" t="n">
        <f aca="false">correla!G9*correla!G28*correla!G47</f>
        <v>1</v>
      </c>
      <c r="H91" s="249" t="n">
        <f aca="false">correla!H9*correla!H28*correla!H47</f>
        <v>0.748493551544143</v>
      </c>
      <c r="I91" s="250" t="n">
        <f aca="false">correla!I9*correla!I28*correla!I47</f>
        <v>-0.723805974952019</v>
      </c>
      <c r="J91" s="250" t="n">
        <f aca="false">correla!J9*correla!J28*correla!J47</f>
        <v>0.449135319680994</v>
      </c>
      <c r="K91" s="250" t="n">
        <f aca="false">correla!K9*correla!K28*correla!K47</f>
        <v>0.666928778021109</v>
      </c>
      <c r="L91" s="250" t="n">
        <f aca="false">correla!L9*correla!L28*correla!L47</f>
        <v>0.520962298396906</v>
      </c>
      <c r="M91" s="250" t="n">
        <f aca="false">correla!M9*correla!M28*correla!M47</f>
        <v>0.494100190348747</v>
      </c>
      <c r="N91" s="250" t="n">
        <f aca="false">correla!N9*correla!N28*correla!N47</f>
        <v>0.864194105350637</v>
      </c>
      <c r="O91" s="250" t="n">
        <f aca="false">correla!O9*correla!O28*correla!O47</f>
        <v>0.84697509582087</v>
      </c>
      <c r="P91" s="250" t="n">
        <f aca="false">correla!P9*correla!P28*correla!P47</f>
        <v>0.95413160749532</v>
      </c>
      <c r="Q91" s="250" t="n">
        <f aca="false">correla!Q9*correla!Q28*correla!Q47</f>
        <v>0.729290734820368</v>
      </c>
      <c r="R91" s="250" t="n">
        <f aca="false">correla!R9*correla!R28*correla!R47</f>
        <v>0.634759875022657</v>
      </c>
      <c r="S91" s="251" t="n">
        <f aca="false">correla!S9*correla!S28*correla!S47</f>
        <v>0.907000173147518</v>
      </c>
      <c r="T91" s="244"/>
      <c r="U91" s="244"/>
      <c r="V91" s="244"/>
      <c r="W91" s="245"/>
      <c r="X91" s="245"/>
      <c r="Y91" s="245"/>
      <c r="Z91" s="245"/>
      <c r="AA91" s="245"/>
      <c r="AB91" s="245"/>
      <c r="AC91" s="245"/>
      <c r="AD91" s="245"/>
      <c r="AE91" s="245"/>
    </row>
    <row r="92" s="246" customFormat="true" ht="28.15" hidden="true" customHeight="true" outlineLevel="0" collapsed="false">
      <c r="A92" s="247" t="s">
        <v>121</v>
      </c>
      <c r="B92" s="252" t="n">
        <f aca="false">correla!B10*correla!B29*correla!B48</f>
        <v>0.523500028430357</v>
      </c>
      <c r="C92" s="250" t="e">
        <f aca="false">correla!C10*correla!C29*correla!C48</f>
        <v>#VALUE!</v>
      </c>
      <c r="D92" s="250" t="e">
        <f aca="false">correla!D10*correla!D29*correla!D48</f>
        <v>#VALUE!</v>
      </c>
      <c r="E92" s="250" t="n">
        <f aca="false">correla!E10*correla!E29*correla!E48</f>
        <v>-0.618386520247484</v>
      </c>
      <c r="F92" s="250" t="n">
        <f aca="false">correla!F10*correla!F29*correla!F48</f>
        <v>0.786689431628855</v>
      </c>
      <c r="G92" s="253" t="n">
        <f aca="false">correla!G10*correla!G29*correla!G48</f>
        <v>0.748493551544143</v>
      </c>
      <c r="H92" s="240" t="n">
        <f aca="false">correla!H10*correla!H29*correla!H48</f>
        <v>1</v>
      </c>
      <c r="I92" s="249" t="n">
        <f aca="false">correla!I10*correla!I29*correla!I48</f>
        <v>-0.628692697380024</v>
      </c>
      <c r="J92" s="250" t="n">
        <f aca="false">correla!J10*correla!J29*correla!J48</f>
        <v>0.592118851635026</v>
      </c>
      <c r="K92" s="250" t="n">
        <f aca="false">correla!K10*correla!K29*correla!K48</f>
        <v>0.865466928456822</v>
      </c>
      <c r="L92" s="250" t="n">
        <f aca="false">correla!L10*correla!L29*correla!L48</f>
        <v>0.67332956800236</v>
      </c>
      <c r="M92" s="250" t="n">
        <f aca="false">correla!M10*correla!M29*correla!M48</f>
        <v>0.66150340963486</v>
      </c>
      <c r="N92" s="250" t="n">
        <f aca="false">correla!N10*correla!N29*correla!N48</f>
        <v>0.733092684160229</v>
      </c>
      <c r="O92" s="250" t="n">
        <f aca="false">correla!O10*correla!O29*correla!O48</f>
        <v>0.626993644807403</v>
      </c>
      <c r="P92" s="250" t="n">
        <f aca="false">correla!P10*correla!P29*correla!P48</f>
        <v>0.910577822509338</v>
      </c>
      <c r="Q92" s="250" t="n">
        <f aca="false">correla!Q10*correla!Q29*correla!Q48</f>
        <v>0.636992186987301</v>
      </c>
      <c r="R92" s="250" t="n">
        <f aca="false">correla!R10*correla!R29*correla!R48</f>
        <v>0.826237099855219</v>
      </c>
      <c r="S92" s="251" t="n">
        <f aca="false">correla!S10*correla!S29*correla!S48</f>
        <v>0.901824477355731</v>
      </c>
      <c r="T92" s="244"/>
      <c r="U92" s="244"/>
      <c r="V92" s="244"/>
      <c r="W92" s="245"/>
      <c r="X92" s="245"/>
      <c r="Y92" s="245"/>
      <c r="Z92" s="245"/>
      <c r="AA92" s="245"/>
      <c r="AB92" s="245"/>
      <c r="AC92" s="245"/>
      <c r="AD92" s="245"/>
      <c r="AE92" s="245"/>
    </row>
    <row r="93" s="246" customFormat="true" ht="28.15" hidden="true" customHeight="true" outlineLevel="0" collapsed="false">
      <c r="A93" s="247" t="s">
        <v>122</v>
      </c>
      <c r="B93" s="252" t="n">
        <f aca="false">correla!B11*correla!B30*correla!B49</f>
        <v>-0.417812098768415</v>
      </c>
      <c r="C93" s="250" t="e">
        <f aca="false">correla!C11*correla!C30*correla!C49</f>
        <v>#VALUE!</v>
      </c>
      <c r="D93" s="250" t="e">
        <f aca="false">correla!D11*correla!D30*correla!D49</f>
        <v>#VALUE!</v>
      </c>
      <c r="E93" s="250" t="n">
        <f aca="false">correla!E11*correla!E30*correla!E49</f>
        <v>0.848112903983602</v>
      </c>
      <c r="F93" s="250" t="n">
        <f aca="false">correla!F11*correla!F30*correla!F49</f>
        <v>-0.718531272483238</v>
      </c>
      <c r="G93" s="250" t="n">
        <f aca="false">correla!G11*correla!G30*correla!G49</f>
        <v>-0.723805974952019</v>
      </c>
      <c r="H93" s="253" t="n">
        <f aca="false">correla!H11*correla!H30*correla!H49</f>
        <v>-0.628692697380024</v>
      </c>
      <c r="I93" s="240" t="n">
        <f aca="false">correla!I11*correla!I30*correla!I49</f>
        <v>1</v>
      </c>
      <c r="J93" s="249" t="n">
        <f aca="false">correla!J11*correla!J30*correla!J49</f>
        <v>-0.447398886189509</v>
      </c>
      <c r="K93" s="250" t="n">
        <f aca="false">correla!K11*correla!K30*correla!K49</f>
        <v>-0.531024562492944</v>
      </c>
      <c r="L93" s="250" t="n">
        <f aca="false">correla!L11*correla!L30*correla!L49</f>
        <v>-0.510237444213705</v>
      </c>
      <c r="M93" s="250" t="n">
        <f aca="false">correla!M11*correla!M30*correla!M49</f>
        <v>-0.486436416825823</v>
      </c>
      <c r="N93" s="250" t="n">
        <f aca="false">correla!N11*correla!N30*correla!N49</f>
        <v>-0.645099929759305</v>
      </c>
      <c r="O93" s="250" t="n">
        <f aca="false">correla!O11*correla!O30*correla!O49</f>
        <v>-0.860489726258725</v>
      </c>
      <c r="P93" s="250" t="n">
        <f aca="false">correla!P11*correla!P30*correla!P49</f>
        <v>-0.730178625815929</v>
      </c>
      <c r="Q93" s="250" t="n">
        <f aca="false">correla!Q11*correla!Q30*correla!Q49</f>
        <v>-1.01103872962819</v>
      </c>
      <c r="R93" s="250" t="n">
        <f aca="false">correla!R11*correla!R30*correla!R49</f>
        <v>-0.542068152652319</v>
      </c>
      <c r="S93" s="251" t="n">
        <f aca="false">correla!S11*correla!S30*correla!S49</f>
        <v>-0.722096033089411</v>
      </c>
      <c r="T93" s="244"/>
      <c r="U93" s="244"/>
      <c r="V93" s="244"/>
      <c r="W93" s="245"/>
      <c r="X93" s="245"/>
      <c r="Y93" s="245"/>
      <c r="Z93" s="245"/>
      <c r="AA93" s="245"/>
      <c r="AB93" s="245"/>
      <c r="AC93" s="245"/>
      <c r="AD93" s="245"/>
      <c r="AE93" s="245"/>
    </row>
    <row r="94" s="246" customFormat="true" ht="28.15" hidden="true" customHeight="true" outlineLevel="0" collapsed="false">
      <c r="A94" s="247" t="s">
        <v>123</v>
      </c>
      <c r="B94" s="252" t="n">
        <f aca="false">correla!B12*correla!B31*correla!B50</f>
        <v>0.355796571384342</v>
      </c>
      <c r="C94" s="250" t="e">
        <f aca="false">correla!C12*correla!C31*correla!C50</f>
        <v>#VALUE!</v>
      </c>
      <c r="D94" s="250" t="e">
        <f aca="false">correla!D12*correla!D31*correla!D50</f>
        <v>#VALUE!</v>
      </c>
      <c r="E94" s="250" t="n">
        <f aca="false">correla!E12*correla!E31*correla!E50</f>
        <v>-0.375679047868383</v>
      </c>
      <c r="F94" s="250" t="n">
        <f aca="false">correla!F12*correla!F31*correla!F50</f>
        <v>0.474751030855977</v>
      </c>
      <c r="G94" s="250" t="n">
        <f aca="false">correla!G12*correla!G31*correla!G50</f>
        <v>0.449135319680994</v>
      </c>
      <c r="H94" s="250" t="n">
        <f aca="false">correla!H12*correla!H31*correla!H50</f>
        <v>0.592118851635026</v>
      </c>
      <c r="I94" s="253" t="n">
        <f aca="false">correla!I12*correla!I31*correla!I50</f>
        <v>-0.447398886189509</v>
      </c>
      <c r="J94" s="240" t="n">
        <f aca="false">correla!J12*correla!J31*correla!J50</f>
        <v>1</v>
      </c>
      <c r="K94" s="249" t="n">
        <f aca="false">correla!K12*correla!K31*correla!K50</f>
        <v>0.732337872689757</v>
      </c>
      <c r="L94" s="250" t="n">
        <f aca="false">correla!L12*correla!L31*correla!L50</f>
        <v>0.966882539304762</v>
      </c>
      <c r="M94" s="250" t="n">
        <f aca="false">correla!M12*correla!M31*correla!M50</f>
        <v>0.952841182545947</v>
      </c>
      <c r="N94" s="250" t="n">
        <f aca="false">correla!N12*correla!N31*correla!N50</f>
        <v>0.48304092621387</v>
      </c>
      <c r="O94" s="250" t="n">
        <f aca="false">correla!O12*correla!O31*correla!O50</f>
        <v>0.377661459878194</v>
      </c>
      <c r="P94" s="250" t="n">
        <f aca="false">correla!P12*correla!P31*correla!P50</f>
        <v>0.543597267791568</v>
      </c>
      <c r="Q94" s="250" t="n">
        <f aca="false">correla!Q12*correla!Q31*correla!Q50</f>
        <v>0.453822835897844</v>
      </c>
      <c r="R94" s="250" t="n">
        <f aca="false">correla!R12*correla!R31*correla!R50</f>
        <v>0.867507717850158</v>
      </c>
      <c r="S94" s="251" t="n">
        <f aca="false">correla!S12*correla!S31*correla!S50</f>
        <v>0.650599068460338</v>
      </c>
      <c r="T94" s="244"/>
      <c r="U94" s="244"/>
      <c r="V94" s="244"/>
      <c r="W94" s="245"/>
      <c r="X94" s="245"/>
      <c r="Y94" s="245"/>
      <c r="Z94" s="245"/>
      <c r="AA94" s="245"/>
      <c r="AB94" s="245"/>
      <c r="AC94" s="245"/>
      <c r="AD94" s="245"/>
      <c r="AE94" s="245"/>
    </row>
    <row r="95" s="246" customFormat="true" ht="28.15" hidden="true" customHeight="true" outlineLevel="0" collapsed="false">
      <c r="A95" s="247" t="s">
        <v>105</v>
      </c>
      <c r="B95" s="252" t="n">
        <f aca="false">correla!B13*correla!B32*correla!B51</f>
        <v>0.538788581900578</v>
      </c>
      <c r="C95" s="250" t="e">
        <f aca="false">correla!C13*correla!C32*correla!C51</f>
        <v>#VALUE!</v>
      </c>
      <c r="D95" s="250" t="e">
        <f aca="false">correla!D13*correla!D32*correla!D51</f>
        <v>#VALUE!</v>
      </c>
      <c r="E95" s="250" t="n">
        <f aca="false">correla!E13*correla!E32*correla!E51</f>
        <v>-0.521152456522912</v>
      </c>
      <c r="F95" s="250" t="n">
        <f aca="false">correla!F13*correla!F32*correla!F51</f>
        <v>0.691209578381796</v>
      </c>
      <c r="G95" s="250" t="n">
        <f aca="false">correla!G13*correla!G32*correla!G51</f>
        <v>0.666928778021109</v>
      </c>
      <c r="H95" s="250" t="n">
        <f aca="false">correla!H13*correla!H32*correla!H51</f>
        <v>0.865466928456822</v>
      </c>
      <c r="I95" s="250" t="n">
        <f aca="false">correla!I13*correla!I32*correla!I51</f>
        <v>-0.531024562492944</v>
      </c>
      <c r="J95" s="253" t="n">
        <f aca="false">correla!J13*correla!J32*correla!J51</f>
        <v>0.732337872689757</v>
      </c>
      <c r="K95" s="240" t="n">
        <f aca="false">correla!K13*correla!K32*correla!K51</f>
        <v>1</v>
      </c>
      <c r="L95" s="249" t="n">
        <f aca="false">correla!L13*correla!L32*correla!L51</f>
        <v>0.819388189214304</v>
      </c>
      <c r="M95" s="250" t="n">
        <f aca="false">correla!M13*correla!M32*correla!M51</f>
        <v>0.808942220587129</v>
      </c>
      <c r="N95" s="250" t="n">
        <f aca="false">correla!N13*correla!N32*correla!N51</f>
        <v>0.697247183362882</v>
      </c>
      <c r="O95" s="250" t="n">
        <f aca="false">correla!O13*correla!O32*correla!O51</f>
        <v>0.527938150329748</v>
      </c>
      <c r="P95" s="250" t="n">
        <f aca="false">correla!P13*correla!P32*correla!P51</f>
        <v>0.798692030173824</v>
      </c>
      <c r="Q95" s="250" t="n">
        <f aca="false">correla!Q13*correla!Q32*correla!Q51</f>
        <v>0.538117099948805</v>
      </c>
      <c r="R95" s="250" t="n">
        <f aca="false">correla!R13*correla!R32*correla!R51</f>
        <v>0.972089554001936</v>
      </c>
      <c r="S95" s="251" t="n">
        <f aca="false">correla!S13*correla!S32*correla!S51</f>
        <v>0.881220058780326</v>
      </c>
      <c r="T95" s="244"/>
      <c r="U95" s="244"/>
      <c r="V95" s="244"/>
      <c r="W95" s="245"/>
      <c r="X95" s="245"/>
      <c r="Y95" s="245"/>
      <c r="Z95" s="245"/>
      <c r="AA95" s="245"/>
      <c r="AB95" s="245"/>
      <c r="AC95" s="245"/>
      <c r="AD95" s="245"/>
      <c r="AE95" s="245"/>
    </row>
    <row r="96" s="246" customFormat="true" ht="28.15" hidden="true" customHeight="true" outlineLevel="0" collapsed="false">
      <c r="A96" s="247" t="s">
        <v>106</v>
      </c>
      <c r="B96" s="252" t="n">
        <f aca="false">correla!B14*correla!B33*correla!B52</f>
        <v>0.426960313930897</v>
      </c>
      <c r="C96" s="250" t="e">
        <f aca="false">correla!C14*correla!C33*correla!C52</f>
        <v>#VALUE!</v>
      </c>
      <c r="D96" s="250" t="e">
        <f aca="false">correla!D14*correla!D33*correla!D52</f>
        <v>#VALUE!</v>
      </c>
      <c r="E96" s="250" t="n">
        <f aca="false">correla!E14*correla!E33*correla!E52</f>
        <v>-0.425758479215671</v>
      </c>
      <c r="F96" s="250" t="n">
        <f aca="false">correla!F14*correla!F33*correla!F52</f>
        <v>0.549960393218747</v>
      </c>
      <c r="G96" s="250" t="n">
        <f aca="false">correla!G14*correla!G33*correla!G52</f>
        <v>0.520962298396906</v>
      </c>
      <c r="H96" s="250" t="n">
        <f aca="false">correla!H14*correla!H33*correla!H52</f>
        <v>0.67332956800236</v>
      </c>
      <c r="I96" s="250" t="n">
        <f aca="false">correla!I14*correla!I33*correla!I52</f>
        <v>-0.510237444213705</v>
      </c>
      <c r="J96" s="250" t="n">
        <f aca="false">correla!J14*correla!J33*correla!J52</f>
        <v>0.966882539304762</v>
      </c>
      <c r="K96" s="253" t="n">
        <f aca="false">correla!K14*correla!K33*correla!K52</f>
        <v>0.819388189214304</v>
      </c>
      <c r="L96" s="240" t="n">
        <f aca="false">correla!L14*correla!L33*correla!L52</f>
        <v>1</v>
      </c>
      <c r="M96" s="249" t="n">
        <f aca="false">correla!M14*correla!M33*correla!M52</f>
        <v>0.978886433318764</v>
      </c>
      <c r="N96" s="250" t="n">
        <f aca="false">correla!N14*correla!N33*correla!N52</f>
        <v>0.579644998034581</v>
      </c>
      <c r="O96" s="250" t="n">
        <f aca="false">correla!O14*correla!O33*correla!O52</f>
        <v>0.429135948358084</v>
      </c>
      <c r="P96" s="250" t="n">
        <f aca="false">correla!P14*correla!P33*correla!P52</f>
        <v>0.624730048586129</v>
      </c>
      <c r="Q96" s="250" t="n">
        <f aca="false">correla!Q14*correla!Q33*correla!Q52</f>
        <v>0.517355237859817</v>
      </c>
      <c r="R96" s="250" t="n">
        <f aca="false">correla!R14*correla!R33*correla!R52</f>
        <v>0.929371517288508</v>
      </c>
      <c r="S96" s="251" t="n">
        <f aca="false">correla!S14*correla!S33*correla!S52</f>
        <v>0.741129240057127</v>
      </c>
      <c r="T96" s="244"/>
      <c r="U96" s="244"/>
      <c r="V96" s="244"/>
      <c r="W96" s="245"/>
      <c r="X96" s="245"/>
      <c r="Y96" s="245"/>
      <c r="Z96" s="245"/>
      <c r="AA96" s="245"/>
      <c r="AB96" s="245"/>
      <c r="AC96" s="245"/>
      <c r="AD96" s="245"/>
      <c r="AE96" s="245"/>
    </row>
    <row r="97" s="246" customFormat="true" ht="28.15" hidden="true" customHeight="true" outlineLevel="0" collapsed="false">
      <c r="A97" s="247" t="s">
        <v>107</v>
      </c>
      <c r="B97" s="252" t="n">
        <f aca="false">correla!B15*correla!B34*correla!B53</f>
        <v>0.408492931165764</v>
      </c>
      <c r="C97" s="250" t="e">
        <f aca="false">correla!C15*correla!C34*correla!C53</f>
        <v>#VALUE!</v>
      </c>
      <c r="D97" s="250" t="e">
        <f aca="false">correla!D15*correla!D34*correla!D53</f>
        <v>#VALUE!</v>
      </c>
      <c r="E97" s="250" t="n">
        <f aca="false">correla!E15*correla!E34*correla!E53</f>
        <v>-0.397518193492982</v>
      </c>
      <c r="F97" s="250" t="n">
        <f aca="false">correla!F15*correla!F34*correla!F53</f>
        <v>0.525360325965353</v>
      </c>
      <c r="G97" s="250" t="n">
        <f aca="false">correla!G15*correla!G34*correla!G53</f>
        <v>0.494100190348747</v>
      </c>
      <c r="H97" s="250" t="n">
        <f aca="false">correla!H15*correla!H34*correla!H53</f>
        <v>0.66150340963486</v>
      </c>
      <c r="I97" s="250" t="n">
        <f aca="false">correla!I15*correla!I34*correla!I53</f>
        <v>-0.486436416825823</v>
      </c>
      <c r="J97" s="250" t="n">
        <f aca="false">correla!J15*correla!J34*correla!J53</f>
        <v>0.952841182545947</v>
      </c>
      <c r="K97" s="250" t="n">
        <f aca="false">correla!K15*correla!K34*correla!K53</f>
        <v>0.808942220587129</v>
      </c>
      <c r="L97" s="253" t="n">
        <f aca="false">correla!L15*correla!L34*correla!L53</f>
        <v>0.978886433318764</v>
      </c>
      <c r="M97" s="240" t="n">
        <f aca="false">correla!M15*correla!M34*correla!M53</f>
        <v>1</v>
      </c>
      <c r="N97" s="249" t="n">
        <f aca="false">correla!N15*correla!N34*correla!N53</f>
        <v>0.549070238314882</v>
      </c>
      <c r="O97" s="250" t="n">
        <f aca="false">correla!O15*correla!O34*correla!O53</f>
        <v>0.399878902099859</v>
      </c>
      <c r="P97" s="250" t="n">
        <f aca="false">correla!P15*correla!P34*correla!P53</f>
        <v>0.602869947382933</v>
      </c>
      <c r="Q97" s="250" t="n">
        <f aca="false">correla!Q15*correla!Q34*correla!Q53</f>
        <v>0.493346662652656</v>
      </c>
      <c r="R97" s="250" t="n">
        <f aca="false">correla!R15*correla!R34*correla!R53</f>
        <v>0.918909051240235</v>
      </c>
      <c r="S97" s="251" t="n">
        <f aca="false">correla!S15*correla!S34*correla!S53</f>
        <v>0.715195823733364</v>
      </c>
      <c r="T97" s="244"/>
      <c r="U97" s="244"/>
      <c r="V97" s="244"/>
      <c r="W97" s="245"/>
      <c r="X97" s="245"/>
      <c r="Y97" s="245"/>
      <c r="Z97" s="245"/>
      <c r="AA97" s="245"/>
      <c r="AB97" s="245"/>
      <c r="AC97" s="245"/>
      <c r="AD97" s="245"/>
      <c r="AE97" s="245"/>
    </row>
    <row r="98" s="246" customFormat="true" ht="28.15" hidden="true" customHeight="true" outlineLevel="0" collapsed="false">
      <c r="A98" s="254" t="s">
        <v>70</v>
      </c>
      <c r="B98" s="252" t="n">
        <f aca="false">correla!B16*correla!B35*correla!B54</f>
        <v>0.878284900399827</v>
      </c>
      <c r="C98" s="250" t="e">
        <f aca="false">correla!C16*correla!C35*correla!C54</f>
        <v>#VALUE!</v>
      </c>
      <c r="D98" s="250" t="e">
        <f aca="false">correla!D16*correla!D35*correla!D54</f>
        <v>#VALUE!</v>
      </c>
      <c r="E98" s="250" t="n">
        <f aca="false">correla!E16*correla!E35*correla!E54</f>
        <v>-0.748703221545266</v>
      </c>
      <c r="F98" s="250" t="n">
        <f aca="false">correla!F16*correla!F35*correla!F54</f>
        <v>0.847989189317773</v>
      </c>
      <c r="G98" s="250" t="n">
        <f aca="false">correla!G16*correla!G35*correla!G54</f>
        <v>0.863517310091465</v>
      </c>
      <c r="H98" s="250" t="n">
        <f aca="false">correla!H16*correla!H35*correla!H54</f>
        <v>0.733092684160229</v>
      </c>
      <c r="I98" s="250" t="n">
        <f aca="false">correla!I16*correla!I35*correla!I54</f>
        <v>-0.645099929759305</v>
      </c>
      <c r="J98" s="250" t="n">
        <f aca="false">correla!J16*correla!J35*correla!J54</f>
        <v>0.486416041574613</v>
      </c>
      <c r="K98" s="250" t="n">
        <f aca="false">correla!K16*correla!K35*correla!K54</f>
        <v>0.690218908157534</v>
      </c>
      <c r="L98" s="250" t="n">
        <f aca="false">correla!L16*correla!L35*correla!L54</f>
        <v>0.579644998034581</v>
      </c>
      <c r="M98" s="253" t="n">
        <f aca="false">correla!M16*correla!M35*correla!M54</f>
        <v>0.551049726915803</v>
      </c>
      <c r="N98" s="240" t="n">
        <f aca="false">correla!N16*correla!N35*correla!N54</f>
        <v>1</v>
      </c>
      <c r="O98" s="249" t="n">
        <f aca="false">correla!O16*correla!O35*correla!O54</f>
        <v>0.745649594821824</v>
      </c>
      <c r="P98" s="250" t="n">
        <f aca="false">correla!P16*correla!P35*correla!P54</f>
        <v>0.862177737905011</v>
      </c>
      <c r="Q98" s="250" t="n">
        <f aca="false">correla!Q16*correla!Q35*correla!Q54</f>
        <v>0.64893987909402</v>
      </c>
      <c r="R98" s="250" t="n">
        <f aca="false">correla!R16*correla!R35*correla!R54</f>
        <v>0.670490034849394</v>
      </c>
      <c r="S98" s="251" t="n">
        <f aca="false">correla!S16*correla!S35*correla!S54</f>
        <v>0.924854245485532</v>
      </c>
      <c r="T98" s="244"/>
      <c r="U98" s="244"/>
      <c r="V98" s="244"/>
      <c r="W98" s="245"/>
      <c r="X98" s="245"/>
      <c r="Y98" s="245"/>
      <c r="Z98" s="245"/>
      <c r="AA98" s="245"/>
      <c r="AB98" s="245"/>
      <c r="AC98" s="245"/>
      <c r="AD98" s="245"/>
      <c r="AE98" s="245"/>
    </row>
    <row r="99" s="246" customFormat="true" ht="28.15" hidden="true" customHeight="true" outlineLevel="0" collapsed="false">
      <c r="A99" s="254" t="s">
        <v>71</v>
      </c>
      <c r="B99" s="252" t="n">
        <f aca="false">correla!B17*correla!B36*correla!B55</f>
        <v>0.541948589748224</v>
      </c>
      <c r="C99" s="250" t="e">
        <f aca="false">correla!C17*correla!C36*correla!C55</f>
        <v>#VALUE!</v>
      </c>
      <c r="D99" s="250" t="e">
        <f aca="false">correla!D17*correla!D36*correla!D55</f>
        <v>#VALUE!</v>
      </c>
      <c r="E99" s="250" t="n">
        <f aca="false">correla!E17*correla!E36*correla!E55</f>
        <v>-1.00409525700094</v>
      </c>
      <c r="F99" s="250" t="n">
        <f aca="false">correla!F17*correla!F36*correla!F55</f>
        <v>0.822697653855932</v>
      </c>
      <c r="G99" s="250" t="n">
        <f aca="false">correla!G17*correla!G36*correla!G55</f>
        <v>0.84697509582087</v>
      </c>
      <c r="H99" s="250" t="n">
        <f aca="false">correla!H17*correla!H36*correla!H55</f>
        <v>0.626993644807403</v>
      </c>
      <c r="I99" s="250" t="n">
        <f aca="false">correla!I17*correla!I36*correla!I55</f>
        <v>-0.860489726258725</v>
      </c>
      <c r="J99" s="250" t="n">
        <f aca="false">correla!J17*correla!J36*correla!J55</f>
        <v>0.377661459878194</v>
      </c>
      <c r="K99" s="250" t="n">
        <f aca="false">correla!K17*correla!K36*correla!K55</f>
        <v>0.527938150329748</v>
      </c>
      <c r="L99" s="250" t="n">
        <f aca="false">correla!L17*correla!L36*correla!L55</f>
        <v>0.429135948358084</v>
      </c>
      <c r="M99" s="250" t="n">
        <f aca="false">correla!M17*correla!M36*correla!M55</f>
        <v>0.39987890209986</v>
      </c>
      <c r="N99" s="253" t="n">
        <f aca="false">correla!N17*correla!N36*correla!N55</f>
        <v>0.745649594821824</v>
      </c>
      <c r="O99" s="240" t="n">
        <f aca="false">correla!O17*correla!O36*correla!O55</f>
        <v>1</v>
      </c>
      <c r="P99" s="249" t="n">
        <f aca="false">correla!P17*correla!P36*correla!P55</f>
        <v>0.80523008952301</v>
      </c>
      <c r="Q99" s="250" t="n">
        <f aca="false">correla!Q17*correla!Q36*correla!Q55</f>
        <v>0.851094721737489</v>
      </c>
      <c r="R99" s="250" t="n">
        <f aca="false">correla!R17*correla!R36*correla!R55</f>
        <v>0.508983796214156</v>
      </c>
      <c r="S99" s="251" t="n">
        <f aca="false">correla!S17*correla!S36*correla!S55</f>
        <v>0.764429818538489</v>
      </c>
      <c r="T99" s="244"/>
      <c r="U99" s="244"/>
      <c r="V99" s="244"/>
      <c r="W99" s="245"/>
      <c r="X99" s="245"/>
      <c r="Y99" s="245"/>
      <c r="Z99" s="245"/>
      <c r="AA99" s="245"/>
      <c r="AB99" s="245"/>
      <c r="AC99" s="245"/>
      <c r="AD99" s="245"/>
      <c r="AE99" s="245"/>
    </row>
    <row r="100" s="246" customFormat="true" ht="28.15" hidden="true" customHeight="true" outlineLevel="0" collapsed="false">
      <c r="A100" s="254" t="s">
        <v>72</v>
      </c>
      <c r="B100" s="252" t="n">
        <f aca="false">correla!B18*correla!B37*correla!B56</f>
        <v>0.616912079612481</v>
      </c>
      <c r="C100" s="250" t="e">
        <f aca="false">correla!C18*correla!C37*correla!C56</f>
        <v>#VALUE!</v>
      </c>
      <c r="D100" s="250" t="e">
        <f aca="false">correla!D18*correla!D37*correla!D56</f>
        <v>#VALUE!</v>
      </c>
      <c r="E100" s="250" t="n">
        <f aca="false">correla!E18*correla!E37*correla!E56</f>
        <v>-0.800047216471342</v>
      </c>
      <c r="F100" s="250" t="n">
        <f aca="false">correla!F18*correla!F37*correla!F56</f>
        <v>0.962955052834726</v>
      </c>
      <c r="G100" s="250" t="n">
        <f aca="false">correla!G18*correla!G37*correla!G56</f>
        <v>0.95413160749532</v>
      </c>
      <c r="H100" s="250" t="n">
        <f aca="false">correla!H18*correla!H37*correla!H56</f>
        <v>0.910577822509338</v>
      </c>
      <c r="I100" s="250" t="n">
        <f aca="false">correla!I18*correla!I37*correla!I56</f>
        <v>-0.730178625815929</v>
      </c>
      <c r="J100" s="250" t="n">
        <f aca="false">correla!J18*correla!J37*correla!J56</f>
        <v>0.543597267791568</v>
      </c>
      <c r="K100" s="250" t="n">
        <f aca="false">correla!K18*correla!K37*correla!K56</f>
        <v>0.798692030173824</v>
      </c>
      <c r="L100" s="250" t="n">
        <f aca="false">correla!L18*correla!L37*correla!L56</f>
        <v>0.624730048586129</v>
      </c>
      <c r="M100" s="250" t="n">
        <f aca="false">correla!M18*correla!M37*correla!M56</f>
        <v>0.602869947382932</v>
      </c>
      <c r="N100" s="250" t="n">
        <f aca="false">correla!N18*correla!N37*correla!N56</f>
        <v>0.866401902194454</v>
      </c>
      <c r="O100" s="253" t="n">
        <f aca="false">correla!O18*correla!O37*correla!O56</f>
        <v>0.80523008952301</v>
      </c>
      <c r="P100" s="240" t="n">
        <f aca="false">correla!P18*correla!P37*correla!P56</f>
        <v>1</v>
      </c>
      <c r="Q100" s="249" t="n">
        <f aca="false">correla!Q18*correla!Q37*correla!Q56</f>
        <v>0.737367171696054</v>
      </c>
      <c r="R100" s="250" t="n">
        <f aca="false">correla!R18*correla!R37*correla!R56</f>
        <v>0.762044961763727</v>
      </c>
      <c r="S100" s="251" t="n">
        <f aca="false">correla!S18*correla!S37*correla!S56</f>
        <v>0.965746348196848</v>
      </c>
      <c r="T100" s="244"/>
      <c r="U100" s="244"/>
      <c r="V100" s="244"/>
      <c r="W100" s="245"/>
      <c r="X100" s="245"/>
      <c r="Y100" s="245"/>
      <c r="Z100" s="245"/>
      <c r="AA100" s="245"/>
      <c r="AB100" s="245"/>
      <c r="AC100" s="245"/>
      <c r="AD100" s="245"/>
      <c r="AE100" s="245"/>
    </row>
    <row r="101" s="246" customFormat="true" ht="28.15" hidden="true" customHeight="true" outlineLevel="0" collapsed="false">
      <c r="A101" s="254" t="s">
        <v>73</v>
      </c>
      <c r="B101" s="252" t="n">
        <f aca="false">correla!B19*correla!B38*correla!B57</f>
        <v>0.419980859959508</v>
      </c>
      <c r="C101" s="250" t="e">
        <f aca="false">correla!C19*correla!C38*correla!C57</f>
        <v>#VALUE!</v>
      </c>
      <c r="D101" s="250" t="e">
        <f aca="false">correla!D19*correla!D38*correla!D57</f>
        <v>#VALUE!</v>
      </c>
      <c r="E101" s="250" t="n">
        <f aca="false">correla!E19*correla!E38*correla!E57</f>
        <v>-0.85458017335515</v>
      </c>
      <c r="F101" s="250" t="n">
        <f aca="false">correla!F19*correla!F38*correla!F57</f>
        <v>0.724842893345649</v>
      </c>
      <c r="G101" s="250" t="n">
        <f aca="false">correla!G19*correla!G38*correla!G57</f>
        <v>0.729290734820368</v>
      </c>
      <c r="H101" s="250" t="n">
        <f aca="false">correla!H19*correla!H38*correla!H57</f>
        <v>0.636992186987301</v>
      </c>
      <c r="I101" s="250" t="n">
        <f aca="false">correla!I19*correla!I38*correla!I57</f>
        <v>-1.01103872962819</v>
      </c>
      <c r="J101" s="250" t="n">
        <f aca="false">correla!J19*correla!J38*correla!J57</f>
        <v>0.453822835897844</v>
      </c>
      <c r="K101" s="250" t="n">
        <f aca="false">correla!K19*correla!K38*correla!K57</f>
        <v>0.538117099948805</v>
      </c>
      <c r="L101" s="250" t="n">
        <f aca="false">correla!L19*correla!L38*correla!L57</f>
        <v>0.517355237859817</v>
      </c>
      <c r="M101" s="250" t="n">
        <f aca="false">correla!M19*correla!M38*correla!M57</f>
        <v>0.493346662652656</v>
      </c>
      <c r="N101" s="250" t="n">
        <f aca="false">correla!N19*correla!N38*correla!N57</f>
        <v>0.64893987909402</v>
      </c>
      <c r="O101" s="250" t="n">
        <f aca="false">correla!O19*correla!O38*correla!O57</f>
        <v>0.851094721737489</v>
      </c>
      <c r="P101" s="253" t="n">
        <f aca="false">correla!P19*correla!P38*correla!P57</f>
        <v>0.737367171696054</v>
      </c>
      <c r="Q101" s="240" t="n">
        <f aca="false">correla!Q19*correla!Q38*correla!Q57</f>
        <v>1</v>
      </c>
      <c r="R101" s="249" t="n">
        <f aca="false">correla!R19*correla!R38*correla!R57</f>
        <v>0.549455322255738</v>
      </c>
      <c r="S101" s="251" t="n">
        <f aca="false">correla!S19*correla!S38*correla!S57</f>
        <v>0.714212039488305</v>
      </c>
      <c r="T101" s="244"/>
      <c r="U101" s="244"/>
      <c r="V101" s="244"/>
      <c r="W101" s="245"/>
      <c r="X101" s="245"/>
      <c r="Y101" s="245"/>
      <c r="Z101" s="245"/>
      <c r="AA101" s="245"/>
      <c r="AB101" s="245"/>
      <c r="AC101" s="245"/>
      <c r="AD101" s="245"/>
      <c r="AE101" s="245"/>
    </row>
    <row r="102" s="246" customFormat="true" ht="28.15" hidden="true" customHeight="true" outlineLevel="0" collapsed="false">
      <c r="A102" s="254" t="s">
        <v>74</v>
      </c>
      <c r="B102" s="252" t="n">
        <f aca="false">correla!B20*correla!B39*correla!B58</f>
        <v>0.513896333042033</v>
      </c>
      <c r="C102" s="250" t="e">
        <f aca="false">correla!C20*correla!C39*correla!C58</f>
        <v>#VALUE!</v>
      </c>
      <c r="D102" s="250" t="e">
        <f aca="false">correla!D20*correla!D39*correla!D58</f>
        <v>#VALUE!</v>
      </c>
      <c r="E102" s="250" t="n">
        <f aca="false">correla!E20*correla!E39*correla!E58</f>
        <v>-0.503431904766406</v>
      </c>
      <c r="F102" s="250" t="n">
        <f aca="false">correla!F20*correla!F39*correla!F58</f>
        <v>0.662023597304244</v>
      </c>
      <c r="G102" s="250" t="n">
        <f aca="false">correla!G20*correla!G39*correla!G58</f>
        <v>0.634759875022657</v>
      </c>
      <c r="H102" s="250" t="n">
        <f aca="false">correla!H20*correla!H39*correla!H58</f>
        <v>0.826237099855219</v>
      </c>
      <c r="I102" s="250" t="n">
        <f aca="false">correla!I20*correla!I39*correla!I58</f>
        <v>-0.542068152652319</v>
      </c>
      <c r="J102" s="250" t="n">
        <f aca="false">correla!J20*correla!J39*correla!J58</f>
        <v>0.867507717850158</v>
      </c>
      <c r="K102" s="250" t="n">
        <f aca="false">correla!K20*correla!K39*correla!K58</f>
        <v>0.972089554001936</v>
      </c>
      <c r="L102" s="250" t="n">
        <f aca="false">correla!L20*correla!L39*correla!L58</f>
        <v>0.929371517288509</v>
      </c>
      <c r="M102" s="250" t="n">
        <f aca="false">correla!M20*correla!M39*correla!M58</f>
        <v>0.918909051240235</v>
      </c>
      <c r="N102" s="250" t="n">
        <f aca="false">correla!N20*correla!N39*correla!N58</f>
        <v>0.674546351626607</v>
      </c>
      <c r="O102" s="250" t="n">
        <f aca="false">correla!O20*correla!O39*correla!O58</f>
        <v>0.508983796214156</v>
      </c>
      <c r="P102" s="250" t="n">
        <f aca="false">correla!P20*correla!P39*correla!P58</f>
        <v>0.762044961763727</v>
      </c>
      <c r="Q102" s="253" t="n">
        <f aca="false">correla!Q20*correla!Q39*correla!Q58</f>
        <v>0.549455322255738</v>
      </c>
      <c r="R102" s="240" t="n">
        <f aca="false">correla!R20*correla!R39*correla!R58</f>
        <v>1</v>
      </c>
      <c r="S102" s="255" t="n">
        <f aca="false">correla!S20*correla!S39*correla!S58</f>
        <v>0.860904785248322</v>
      </c>
      <c r="T102" s="244"/>
      <c r="U102" s="244"/>
      <c r="V102" s="244"/>
      <c r="W102" s="245"/>
      <c r="X102" s="245"/>
      <c r="Y102" s="245"/>
      <c r="Z102" s="245"/>
      <c r="AA102" s="245"/>
      <c r="AB102" s="245"/>
      <c r="AC102" s="245"/>
      <c r="AD102" s="245"/>
      <c r="AE102" s="245"/>
    </row>
    <row r="103" s="246" customFormat="true" ht="28.15" hidden="true" customHeight="true" outlineLevel="0" collapsed="false">
      <c r="A103" s="256" t="s">
        <v>69</v>
      </c>
      <c r="B103" s="257" t="n">
        <f aca="false">correla!B21*correla!B40*correla!B59</f>
        <v>0.721261543318559</v>
      </c>
      <c r="C103" s="258" t="e">
        <f aca="false">correla!C21*correla!C40*correla!C59</f>
        <v>#VALUE!</v>
      </c>
      <c r="D103" s="258" t="e">
        <f aca="false">correla!D21*correla!D40*correla!D59</f>
        <v>#VALUE!</v>
      </c>
      <c r="E103" s="258" t="n">
        <f aca="false">correla!E21*correla!E40*correla!E59</f>
        <v>-0.767560355104588</v>
      </c>
      <c r="F103" s="258" t="n">
        <f aca="false">correla!F21*correla!F40*correla!F59</f>
        <v>0.915067448768054</v>
      </c>
      <c r="G103" s="258" t="n">
        <f aca="false">correla!G21*correla!G40*correla!G59</f>
        <v>0.907000173147518</v>
      </c>
      <c r="H103" s="258" t="n">
        <f aca="false">correla!H21*correla!H40*correla!H59</f>
        <v>0.901824477355731</v>
      </c>
      <c r="I103" s="258" t="n">
        <f aca="false">correla!I21*correla!I40*correla!I59</f>
        <v>-0.722096033089411</v>
      </c>
      <c r="J103" s="258" t="n">
        <f aca="false">correla!J21*correla!J40*correla!J59</f>
        <v>0.650599068460338</v>
      </c>
      <c r="K103" s="258" t="n">
        <f aca="false">correla!K21*correla!K40*correla!K59</f>
        <v>0.881220058780326</v>
      </c>
      <c r="L103" s="258" t="n">
        <f aca="false">correla!L21*correla!L40*correla!L59</f>
        <v>0.741129240057127</v>
      </c>
      <c r="M103" s="258" t="n">
        <f aca="false">correla!M21*correla!M40*correla!M59</f>
        <v>0.715195823733364</v>
      </c>
      <c r="N103" s="258" t="n">
        <f aca="false">correla!N21*correla!N40*correla!N59</f>
        <v>0.924854245485532</v>
      </c>
      <c r="O103" s="258" t="n">
        <f aca="false">correla!O21*correla!O40*correla!O59</f>
        <v>0.764429818538489</v>
      </c>
      <c r="P103" s="258" t="n">
        <f aca="false">correla!P21*correla!P40*correla!P59</f>
        <v>0.965746348196848</v>
      </c>
      <c r="Q103" s="258" t="n">
        <f aca="false">correla!Q21*correla!Q40*correla!Q59</f>
        <v>0.714212039488305</v>
      </c>
      <c r="R103" s="259" t="n">
        <f aca="false">correla!R21*correla!R40*correla!R59</f>
        <v>0.860904785248322</v>
      </c>
      <c r="S103" s="240" t="n">
        <f aca="false">correla!S21*correla!S40*correla!S59</f>
        <v>1</v>
      </c>
      <c r="T103" s="244"/>
      <c r="U103" s="244"/>
      <c r="V103" s="244"/>
      <c r="W103" s="245"/>
      <c r="X103" s="245"/>
      <c r="Y103" s="245"/>
      <c r="Z103" s="245"/>
      <c r="AA103" s="245"/>
      <c r="AB103" s="245"/>
      <c r="AC103" s="245"/>
      <c r="AD103" s="245"/>
      <c r="AE103" s="245"/>
    </row>
    <row r="104" s="224" customFormat="true" ht="15" hidden="true" customHeight="false" outlineLevel="0" collapsed="false">
      <c r="G104" s="229"/>
      <c r="M104" s="230"/>
      <c r="N104" s="230"/>
      <c r="O104" s="230"/>
      <c r="Q104" s="231"/>
      <c r="R104" s="231"/>
      <c r="S104" s="231"/>
      <c r="T104" s="231"/>
      <c r="U104" s="231"/>
      <c r="V104" s="231"/>
      <c r="W104" s="229"/>
      <c r="X104" s="229"/>
      <c r="Y104" s="229"/>
      <c r="Z104" s="229"/>
      <c r="AA104" s="229"/>
      <c r="AB104" s="229"/>
      <c r="AC104" s="229"/>
      <c r="AD104" s="229"/>
      <c r="AE104" s="229"/>
    </row>
    <row r="105" s="224" customFormat="true" ht="15" hidden="false" customHeight="false" outlineLevel="0" collapsed="false">
      <c r="G105" s="229"/>
      <c r="M105" s="230"/>
      <c r="N105" s="230"/>
      <c r="O105" s="230"/>
      <c r="Q105" s="231"/>
      <c r="R105" s="231"/>
      <c r="S105" s="231"/>
      <c r="T105" s="231"/>
      <c r="U105" s="231"/>
      <c r="V105" s="231"/>
      <c r="W105" s="229"/>
      <c r="X105" s="229"/>
      <c r="Y105" s="229"/>
      <c r="Z105" s="229"/>
      <c r="AA105" s="229"/>
      <c r="AB105" s="229"/>
      <c r="AC105" s="229"/>
      <c r="AD105" s="229"/>
      <c r="AE105" s="229"/>
    </row>
    <row r="106" s="224" customFormat="true" ht="15" hidden="false" customHeight="false" outlineLevel="0" collapsed="false">
      <c r="G106" s="229"/>
      <c r="M106" s="230"/>
      <c r="N106" s="230"/>
      <c r="O106" s="230"/>
      <c r="Q106" s="231"/>
      <c r="R106" s="231"/>
      <c r="S106" s="231"/>
      <c r="T106" s="231"/>
      <c r="U106" s="231"/>
      <c r="V106" s="231"/>
      <c r="W106" s="229"/>
      <c r="X106" s="229"/>
      <c r="Y106" s="229"/>
      <c r="Z106" s="229"/>
      <c r="AA106" s="229"/>
      <c r="AB106" s="229"/>
      <c r="AC106" s="229"/>
      <c r="AD106" s="229"/>
      <c r="AE106" s="229"/>
    </row>
    <row r="107" s="224" customFormat="true" ht="15" hidden="false" customHeight="false" outlineLevel="0" collapsed="false">
      <c r="G107" s="229"/>
      <c r="M107" s="230"/>
      <c r="N107" s="230"/>
      <c r="O107" s="230"/>
      <c r="Q107" s="231"/>
      <c r="R107" s="231"/>
      <c r="S107" s="231"/>
      <c r="T107" s="231"/>
      <c r="U107" s="231"/>
      <c r="V107" s="231"/>
      <c r="W107" s="229"/>
      <c r="X107" s="229"/>
      <c r="Y107" s="229"/>
      <c r="Z107" s="229"/>
      <c r="AA107" s="229"/>
      <c r="AB107" s="229"/>
      <c r="AC107" s="229"/>
      <c r="AD107" s="229"/>
      <c r="AE107" s="229"/>
    </row>
    <row r="108" s="224" customFormat="true" ht="15" hidden="false" customHeight="false" outlineLevel="0" collapsed="false">
      <c r="G108" s="229"/>
      <c r="M108" s="230"/>
      <c r="N108" s="230"/>
      <c r="O108" s="230"/>
      <c r="Q108" s="231"/>
      <c r="R108" s="231"/>
      <c r="S108" s="231"/>
      <c r="T108" s="231"/>
      <c r="U108" s="231"/>
      <c r="V108" s="231"/>
      <c r="W108" s="229"/>
      <c r="X108" s="229"/>
      <c r="Y108" s="229"/>
      <c r="Z108" s="229"/>
      <c r="AA108" s="229"/>
      <c r="AB108" s="229"/>
      <c r="AC108" s="229"/>
      <c r="AD108" s="229"/>
      <c r="AE108" s="229"/>
    </row>
    <row r="109" s="224" customFormat="true" ht="15" hidden="false" customHeight="false" outlineLevel="0" collapsed="false">
      <c r="G109" s="229"/>
      <c r="M109" s="230"/>
      <c r="N109" s="230"/>
      <c r="O109" s="230"/>
      <c r="Q109" s="231"/>
      <c r="R109" s="231"/>
      <c r="S109" s="231"/>
      <c r="T109" s="231"/>
      <c r="U109" s="231"/>
      <c r="V109" s="231"/>
      <c r="W109" s="229"/>
      <c r="X109" s="229"/>
      <c r="Y109" s="229"/>
      <c r="Z109" s="229"/>
      <c r="AA109" s="229"/>
      <c r="AB109" s="229"/>
      <c r="AC109" s="229"/>
      <c r="AD109" s="229"/>
      <c r="AE109" s="229"/>
    </row>
    <row r="110" s="224" customFormat="true" ht="15" hidden="false" customHeight="false" outlineLevel="0" collapsed="false">
      <c r="G110" s="229"/>
      <c r="M110" s="230"/>
      <c r="N110" s="230"/>
      <c r="O110" s="230"/>
      <c r="Q110" s="231"/>
      <c r="R110" s="231"/>
      <c r="S110" s="231"/>
      <c r="T110" s="231"/>
      <c r="U110" s="231"/>
      <c r="V110" s="231"/>
      <c r="W110" s="229"/>
      <c r="X110" s="229"/>
      <c r="Y110" s="229"/>
      <c r="Z110" s="229"/>
      <c r="AA110" s="229"/>
      <c r="AB110" s="229"/>
      <c r="AC110" s="229"/>
      <c r="AD110" s="229"/>
      <c r="AE110" s="229"/>
    </row>
    <row r="111" s="224" customFormat="true" ht="15" hidden="false" customHeight="false" outlineLevel="0" collapsed="false">
      <c r="G111" s="229"/>
      <c r="M111" s="230"/>
      <c r="N111" s="230"/>
      <c r="O111" s="230"/>
      <c r="Q111" s="231"/>
      <c r="R111" s="231"/>
      <c r="S111" s="231"/>
      <c r="T111" s="231"/>
      <c r="U111" s="231"/>
      <c r="V111" s="231"/>
      <c r="W111" s="229"/>
      <c r="X111" s="229"/>
      <c r="Y111" s="229"/>
      <c r="Z111" s="229"/>
      <c r="AA111" s="229"/>
      <c r="AB111" s="229"/>
      <c r="AC111" s="229"/>
      <c r="AD111" s="229"/>
      <c r="AE111" s="229"/>
    </row>
    <row r="112" s="224" customFormat="true" ht="15" hidden="false" customHeight="false" outlineLevel="0" collapsed="false">
      <c r="G112" s="229"/>
      <c r="M112" s="230"/>
      <c r="N112" s="230"/>
      <c r="O112" s="230"/>
      <c r="Q112" s="231"/>
      <c r="R112" s="231"/>
      <c r="S112" s="231"/>
      <c r="T112" s="231"/>
      <c r="U112" s="231"/>
      <c r="V112" s="231"/>
      <c r="W112" s="229"/>
      <c r="X112" s="229"/>
      <c r="Y112" s="229"/>
      <c r="Z112" s="229"/>
      <c r="AA112" s="229"/>
      <c r="AB112" s="229"/>
      <c r="AC112" s="229"/>
      <c r="AD112" s="229"/>
      <c r="AE112" s="229"/>
    </row>
    <row r="113" s="224" customFormat="true" ht="15" hidden="false" customHeight="false" outlineLevel="0" collapsed="false">
      <c r="H113" s="229"/>
      <c r="N113" s="230"/>
      <c r="O113" s="230"/>
      <c r="P113" s="230"/>
      <c r="R113" s="231"/>
      <c r="S113" s="231"/>
      <c r="T113" s="231"/>
      <c r="U113" s="231"/>
      <c r="V113" s="231"/>
      <c r="W113" s="231"/>
      <c r="X113" s="229"/>
      <c r="Y113" s="229"/>
      <c r="Z113" s="229"/>
      <c r="AA113" s="229"/>
      <c r="AB113" s="229"/>
      <c r="AC113" s="229"/>
      <c r="AD113" s="229"/>
      <c r="AE113" s="229"/>
      <c r="AF113" s="229"/>
    </row>
    <row r="114" s="260" customFormat="true" ht="64.15" hidden="false" customHeight="true" outlineLevel="0" collapsed="false">
      <c r="A114" s="260" t="s">
        <v>284</v>
      </c>
      <c r="B114" s="260" t="s">
        <v>298</v>
      </c>
      <c r="C114" s="260" t="s">
        <v>92</v>
      </c>
      <c r="D114" s="260" t="s">
        <v>123</v>
      </c>
      <c r="E114" s="260" t="s">
        <v>105</v>
      </c>
      <c r="F114" s="260" t="s">
        <v>285</v>
      </c>
      <c r="G114" s="261" t="s">
        <v>299</v>
      </c>
      <c r="H114" s="261" t="s">
        <v>288</v>
      </c>
      <c r="I114" s="260" t="s">
        <v>300</v>
      </c>
      <c r="J114" s="260" t="s">
        <v>70</v>
      </c>
      <c r="K114" s="260" t="s">
        <v>115</v>
      </c>
      <c r="L114" s="260" t="s">
        <v>72</v>
      </c>
      <c r="M114" s="260" t="s">
        <v>301</v>
      </c>
      <c r="N114" s="261" t="s">
        <v>302</v>
      </c>
      <c r="O114" s="261" t="s">
        <v>106</v>
      </c>
      <c r="P114" s="261" t="s">
        <v>107</v>
      </c>
      <c r="Q114" s="261" t="s">
        <v>303</v>
      </c>
      <c r="R114" s="261" t="s">
        <v>69</v>
      </c>
      <c r="S114" s="261" t="s">
        <v>304</v>
      </c>
      <c r="T114" s="261" t="s">
        <v>305</v>
      </c>
      <c r="U114" s="261"/>
      <c r="V114" s="261" t="s">
        <v>306</v>
      </c>
      <c r="W114" s="261" t="s">
        <v>307</v>
      </c>
      <c r="X114" s="261"/>
      <c r="Y114" s="261" t="s">
        <v>308</v>
      </c>
      <c r="Z114" s="261"/>
      <c r="AA114" s="261" t="s">
        <v>309</v>
      </c>
      <c r="AB114" s="261" t="s">
        <v>310</v>
      </c>
      <c r="AC114" s="261" t="s">
        <v>311</v>
      </c>
      <c r="AE114" s="260" t="s">
        <v>312</v>
      </c>
      <c r="AK114" s="260" t="s">
        <v>313</v>
      </c>
      <c r="AL114" s="260" t="s">
        <v>314</v>
      </c>
      <c r="AM114" s="260" t="s">
        <v>315</v>
      </c>
      <c r="AN114" s="260" t="n">
        <v>2016</v>
      </c>
      <c r="AO114" s="260" t="s">
        <v>316</v>
      </c>
      <c r="AP114" s="260" t="s">
        <v>317</v>
      </c>
      <c r="AQ114" s="260" t="s">
        <v>318</v>
      </c>
      <c r="AS114" s="260" t="s">
        <v>319</v>
      </c>
      <c r="AU114" s="260" t="s">
        <v>320</v>
      </c>
      <c r="AW114" s="260" t="n">
        <v>2016</v>
      </c>
      <c r="AZ114" s="260" t="s">
        <v>321</v>
      </c>
      <c r="BA114" s="260" t="n">
        <v>2016</v>
      </c>
    </row>
    <row r="115" s="224" customFormat="true" ht="15" hidden="false" customHeight="false" outlineLevel="0" collapsed="false">
      <c r="A115" s="262" t="n">
        <f aca="false">MIN('Índices y Ranking Barrio'!$D$4:$D$134)</f>
        <v>0.0175467546754675</v>
      </c>
      <c r="B115" s="263" t="n">
        <f aca="false">MIN('Índices y Ranking Barrio'!$D$4:$D$134)</f>
        <v>0.0175467546754675</v>
      </c>
      <c r="C115" s="264" t="n">
        <f aca="false">MIN('Índices y Ranking Barrio'!$E$4:$E$134)</f>
        <v>19587.0949040644</v>
      </c>
      <c r="D115" s="265" t="n">
        <f aca="false">MIN('Índices y Ranking Barrio'!$J$4:$J$134)</f>
        <v>0.00935180314454381</v>
      </c>
      <c r="E115" s="266" t="n">
        <f aca="false">MIN('Índices y Ranking Barrio'!$K$4:$K$134)</f>
        <v>73</v>
      </c>
      <c r="F115" s="266" t="n">
        <f aca="false">MIN('Índices y Ranking Barrio'!$E$4:$E$134)</f>
        <v>19587.0949040644</v>
      </c>
      <c r="G115" s="267" t="n">
        <f aca="false">MIN('Índices y Ranking Barrio'!$F$4:$F$134)</f>
        <v>2.94</v>
      </c>
      <c r="H115" s="267" t="n">
        <f aca="false">MIN('Índices y Ranking Barrio'!$G$4:$G$134)</f>
        <v>3.7</v>
      </c>
      <c r="I115" s="229" t="n">
        <f aca="false">MIN('Índices y Ranking Barrio'!$H$4:$H$134)</f>
        <v>0.028481565612441</v>
      </c>
      <c r="J115" s="262" t="n">
        <f aca="false">MIN('Índices y Ranking Barrio'!$N$4:$N$134)</f>
        <v>0.00319353732230662</v>
      </c>
      <c r="K115" s="262" t="n">
        <f aca="false">MIN('Índices y Ranking Barrio'!$O$4:$O$134)</f>
        <v>0.00753706494338105</v>
      </c>
      <c r="L115" s="262" t="n">
        <f aca="false">MIN('Índices y Ranking Barrio'!$P$4:$P$134)</f>
        <v>0.00386775732206745</v>
      </c>
      <c r="M115" s="262" t="n">
        <f aca="false">MIN('Índices y Ranking Barrio'!$Q$4:$Q$134)</f>
        <v>0.00746881789893605</v>
      </c>
      <c r="N115" s="229" t="n">
        <f aca="false">MIN('Índices y Ranking Barrio'!$I$4:$I$134)</f>
        <v>26876.8</v>
      </c>
      <c r="O115" s="262" t="n">
        <f aca="false">MIN('Índices y Ranking Barrio'!$L$4:$L$134)</f>
        <v>0.00825543670296489</v>
      </c>
      <c r="P115" s="262" t="n">
        <f aca="false">MIN('Índices y Ranking Barrio'!$M$4:$M$134)</f>
        <v>0.0092315369261477</v>
      </c>
      <c r="Q115" s="268" t="e">
        <f aca="false">MIN(#REF!)</f>
        <v>#VALUE!</v>
      </c>
      <c r="R115" s="262" t="n">
        <f aca="false">MIN('Índices y Ranking Barrio'!$S$4:$S$134)</f>
        <v>0.00528463299454697</v>
      </c>
      <c r="S115" s="268" t="e">
        <f aca="false">MIN(#REF!)</f>
        <v>#VALUE!</v>
      </c>
      <c r="T115" s="268" t="e">
        <f aca="false">MAX(#REF!)</f>
        <v>#VALUE!</v>
      </c>
      <c r="U115" s="269" t="e">
        <f aca="false">MIN(#REF!)</f>
        <v>#VALUE!</v>
      </c>
      <c r="V115" s="223" t="e">
        <f aca="false">(T115-U115)/10</f>
        <v>#VALUE!</v>
      </c>
      <c r="Y115" s="268" t="e">
        <f aca="false">MAX(#REF!)</f>
        <v>#VALUE!</v>
      </c>
      <c r="Z115" s="269" t="e">
        <f aca="false">MIN(#REF!)</f>
        <v>#VALUE!</v>
      </c>
      <c r="AA115" s="223" t="e">
        <f aca="false">(Y115-Z115)/10</f>
        <v>#VALUE!</v>
      </c>
      <c r="AB115" s="223"/>
      <c r="AC115" s="223"/>
      <c r="AD115" s="270" t="n">
        <f aca="false">MAX(aux!AJ5:AJ132)</f>
        <v>0.0118078312374387</v>
      </c>
      <c r="AE115" s="270" t="n">
        <f aca="false">MIN(aux!AJ5:AJ132)</f>
        <v>0.00528463299454697</v>
      </c>
      <c r="AF115" s="271" t="n">
        <f aca="false">(AD115-AE115)/10</f>
        <v>0.000652319824289174</v>
      </c>
      <c r="AI115" s="224" t="e">
        <f aca="false">MID(#REF!,5,LEN(#REF!)-4)</f>
        <v>#REF!</v>
      </c>
      <c r="AJ115" s="224" t="e">
        <f aca="false">#REF!</f>
        <v>#REF!</v>
      </c>
      <c r="AK115" s="224" t="e">
        <f aca="false">_xlfn.RANK.EQ(#REF!,#REF!)</f>
        <v>#REF!</v>
      </c>
      <c r="AL115" s="223" t="e">
        <f aca="false">#REF!</f>
        <v>#REF!</v>
      </c>
      <c r="AM115" s="272" t="e">
        <f aca="false">_xlfn.RANK.EQ(#REF!,#REF!)</f>
        <v>#REF!</v>
      </c>
      <c r="AN115" s="223" t="n">
        <v>1495786.03567595</v>
      </c>
      <c r="AO115" s="224" t="e">
        <f aca="false">_xlfn.RANK.EQ(#REF!,#REF!)</f>
        <v>#REF!</v>
      </c>
      <c r="AP115" s="224" t="n">
        <v>10</v>
      </c>
      <c r="AQ115" s="223" t="e">
        <f aca="false">#REF!</f>
        <v>#REF!</v>
      </c>
      <c r="AR115" s="224" t="n">
        <v>1</v>
      </c>
      <c r="AS115" s="224" t="e">
        <f aca="false">INDEX(AI$115:AI$135,MATCH(AR115,AK$115:AK$135,0))</f>
        <v>#N/A</v>
      </c>
      <c r="AT115" s="223" t="e">
        <f aca="false">INDEX(AL$115:AL$135,MATCH(AR115,AK$115:AK$135,0))</f>
        <v>#N/A</v>
      </c>
      <c r="AU115" s="224" t="e">
        <f aca="false">INDEX(AI$115:AI$135,MATCH(AR115,AO$115:AO$135,0))</f>
        <v>#N/A</v>
      </c>
      <c r="AV115" s="223" t="e">
        <f aca="false">INDEX(AQ$115:AQ$135,MATCH(AR115,AO$115:AO$135,0))</f>
        <v>#N/A</v>
      </c>
      <c r="AW115" s="223" t="e">
        <f aca="false">INDEX(AN$115:AN$135,MATCH(AU115,AI$115:AI$135,0))</f>
        <v>#N/A</v>
      </c>
      <c r="AY115" s="224" t="e">
        <f aca="false">INDEX(AI$115:AI$135,MATCH(AR115,AP$115:AP$135,0))</f>
        <v>#REF!</v>
      </c>
      <c r="AZ115" s="223" t="e">
        <f aca="false">INDEX(AQ$115:AQ$135,MATCH(AR115,AP$115:AP$135,0))</f>
        <v>#REF!</v>
      </c>
      <c r="BA115" s="223" t="n">
        <f aca="false">INDEX(AN$115:AN$135,MATCH(AR115,AP$115:AP$135,0))</f>
        <v>2192631.84340954</v>
      </c>
      <c r="BB115" s="223" t="e">
        <f aca="false">INDEX(AI$115:AI$135,MATCH(AR115,AP$115:AP$135,0))</f>
        <v>#REF!</v>
      </c>
      <c r="BC115" s="224" t="e">
        <f aca="false">INDEX(AJ$115:AJ$135,MATCH(AY115,AI$115:AI$135,0))</f>
        <v>#REF!</v>
      </c>
    </row>
    <row r="116" s="224" customFormat="true" ht="15" hidden="false" customHeight="false" outlineLevel="0" collapsed="false">
      <c r="A116" s="262" t="n">
        <f aca="false">_xlfn.QUARTILE.INC('Índices y Ranking Barrio'!$D$4:$D$134,1)</f>
        <v>0.0478253876910415</v>
      </c>
      <c r="B116" s="266" t="n">
        <f aca="false">_xlfn.QUARTILE.INC('Índices y Ranking Barrio'!$D$4:$D$134,1)</f>
        <v>0.0478253876910415</v>
      </c>
      <c r="C116" s="264" t="n">
        <f aca="false">_xlfn.QUARTILE.INC('Índices y Ranking Barrio'!$E$4:$E$134,1)</f>
        <v>28581.3779286107</v>
      </c>
      <c r="D116" s="265" t="n">
        <f aca="false">_xlfn.QUARTILE.INC('Índices y Ranking Barrio'!$J$4:$J$134,1)</f>
        <v>0.0347185691741189</v>
      </c>
      <c r="E116" s="266" t="n">
        <f aca="false">_xlfn.QUARTILE.INC('Índices y Ranking Barrio'!$K$4:$K$134,1)</f>
        <v>242</v>
      </c>
      <c r="F116" s="266" t="n">
        <f aca="false">_xlfn.QUARTILE.INC('Índices y Ranking Barrio'!$E$4:$E$134,1)</f>
        <v>28581.3779286107</v>
      </c>
      <c r="G116" s="267" t="n">
        <f aca="false">_xlfn.QUARTILE.INC('Índices y Ranking Barrio'!$F$4:$F$134,1)</f>
        <v>5.73</v>
      </c>
      <c r="H116" s="267" t="n">
        <f aca="false">_xlfn.QUARTILE.INC('Índices y Ranking Barrio'!$G$4:$G$134,1)</f>
        <v>7.34</v>
      </c>
      <c r="I116" s="229" t="n">
        <f aca="false">_xlfn.QUARTILE.INC('Índices y Ranking Barrio'!$H$4:$H$134,1)</f>
        <v>0.0331854138529809</v>
      </c>
      <c r="J116" s="262" t="n">
        <f aca="false">_xlfn.QUARTILE.INC('Índices y Ranking Barrio'!$N$4:$N$134,1)</f>
        <v>0.00504703795911192</v>
      </c>
      <c r="K116" s="262" t="n">
        <f aca="false">_xlfn.QUARTILE.INC('Índices y Ranking Barrio'!$O$4:$O$134,1)</f>
        <v>0.00762642760893037</v>
      </c>
      <c r="L116" s="262" t="n">
        <f aca="false">_xlfn.QUARTILE.INC('Índices y Ranking Barrio'!$P$4:$P$134,1)</f>
        <v>0.00578353995959775</v>
      </c>
      <c r="M116" s="262" t="n">
        <f aca="false">_xlfn.QUARTILE.INC('Índices y Ranking Barrio'!$Q$4:$Q$134,1)</f>
        <v>0.00762518934616273</v>
      </c>
      <c r="N116" s="229" t="n">
        <f aca="false">_xlfn.QUARTILE.INC('Índices y Ranking Barrio'!$I$4:$I$134,1)</f>
        <v>61131.395</v>
      </c>
      <c r="O116" s="262" t="n">
        <f aca="false">_xlfn.QUARTILE.INC('Índices y Ranking Barrio'!$L$4:$L$134,1)</f>
        <v>0.0251196556487103</v>
      </c>
      <c r="P116" s="262" t="n">
        <f aca="false">_xlfn.QUARTILE.INC('Índices y Ranking Barrio'!$M$4:$M$134,1)</f>
        <v>0.0288173652694611</v>
      </c>
      <c r="Q116" s="268" t="e">
        <f aca="false">_xlfn.QUARTILE.INC(#REF!:#REF!,1)</f>
        <v>#REF!</v>
      </c>
      <c r="R116" s="262" t="n">
        <f aca="false">_xlfn.QUARTILE.INC('Índices y Ranking Barrio'!$S$4:$S$134,1)</f>
        <v>0.00619895755898435</v>
      </c>
      <c r="S116" s="268" t="e">
        <f aca="false">_xlfn.QUARTILE.INC(#REF!:#REF!,1)</f>
        <v>#REF!</v>
      </c>
      <c r="U116" s="273" t="e">
        <f aca="false">MIN(#REF!)</f>
        <v>#VALUE!</v>
      </c>
      <c r="V116" s="224" t="e">
        <f aca="false">COUNTIF(#REF!,CONCATENATE("=",TEXT(OFFSET(U116,0,0),"0")))</f>
        <v>#VALUE!</v>
      </c>
      <c r="W116" s="224" t="e">
        <f aca="true">TEXT(OFFSET(U116,0,0),"#.##0€")</f>
        <v>#VALUE!</v>
      </c>
      <c r="Z116" s="269" t="e">
        <f aca="false">MIN(#REF!)</f>
        <v>#VALUE!</v>
      </c>
      <c r="AA116" s="224" t="e">
        <f aca="false">COUNTIF(#REF!,CONCATENATE("=",TEXT(OFFSET(Z116,0,0),"0")))</f>
        <v>#VALUE!</v>
      </c>
      <c r="AB116" s="224" t="e">
        <f aca="false">COUNTIF(#REF!,CONCATENATE("=",TEXT(OFFSET(Z116,0,0),"0")))</f>
        <v>#VALUE!</v>
      </c>
      <c r="AC116" s="224" t="e">
        <f aca="true">TEXT(OFFSET(Z116,0,0),"#.##0€")</f>
        <v>#VALUE!</v>
      </c>
      <c r="AD116" s="270"/>
      <c r="AE116" s="270" t="n">
        <f aca="false">MIN(aux!AJ5:AJ132)</f>
        <v>0.00528463299454697</v>
      </c>
      <c r="AF116" s="274" t="n">
        <f aca="true">COUNTIF(aux!AJ5:AJ132,CONCATENATE("=",TEXT(OFFSET(AE116,0,0),"0,0000")))</f>
        <v>0</v>
      </c>
      <c r="AG116" s="224" t="str">
        <f aca="true">TEXT(OFFSET(AE116,0,0),"0,####")</f>
        <v>0</v>
      </c>
      <c r="AI116" s="224" t="e">
        <f aca="false">MID(#REF!,5,LEN(#REF!)-4)</f>
        <v>#REF!</v>
      </c>
      <c r="AJ116" s="224" t="e">
        <f aca="false">#REF!</f>
        <v>#REF!</v>
      </c>
      <c r="AK116" s="224" t="e">
        <f aca="false">_xlfn.RANK.EQ(#REF!,#REF!)</f>
        <v>#REF!</v>
      </c>
      <c r="AL116" s="223" t="e">
        <f aca="false">#REF!</f>
        <v>#REF!</v>
      </c>
      <c r="AM116" s="272" t="e">
        <f aca="false">_xlfn.RANK.EQ(#REF!,#REF!)</f>
        <v>#REF!</v>
      </c>
      <c r="AN116" s="223" t="n">
        <v>1086723.15738985</v>
      </c>
      <c r="AO116" s="224" t="e">
        <f aca="false">_xlfn.RANK.EQ(#REF!,#REF!)</f>
        <v>#REF!</v>
      </c>
      <c r="AP116" s="224" t="n">
        <v>13</v>
      </c>
      <c r="AQ116" s="223" t="e">
        <f aca="false">#REF!</f>
        <v>#REF!</v>
      </c>
      <c r="AR116" s="224" t="n">
        <v>2</v>
      </c>
      <c r="AS116" s="224" t="e">
        <f aca="false">INDEX(AI$115:AI$135,MATCH(AR116,AK$115:AK$135,0))</f>
        <v>#N/A</v>
      </c>
      <c r="AT116" s="223" t="e">
        <f aca="false">INDEX(AL$115:AL$135,MATCH(AR116,AK$115:AK$135,0))</f>
        <v>#N/A</v>
      </c>
      <c r="AU116" s="224" t="e">
        <f aca="false">INDEX(AI$115:AI$135,MATCH(AR116,AO$115:AO$135,0))</f>
        <v>#N/A</v>
      </c>
      <c r="AV116" s="223" t="e">
        <f aca="false">INDEX(AQ$115:AQ$135,MATCH(AR116,AO$115:AO$135,0))</f>
        <v>#N/A</v>
      </c>
      <c r="AW116" s="223" t="e">
        <f aca="false">INDEX(AN$115:AN$135,MATCH(AU116,AI$115:AI$135,0))</f>
        <v>#N/A</v>
      </c>
      <c r="AY116" s="224" t="e">
        <f aca="false">INDEX(AI$115:AI$135,MATCH(AR116,AP$115:AP$135,0))</f>
        <v>#REF!</v>
      </c>
      <c r="AZ116" s="223" t="e">
        <f aca="false">INDEX(AQ$115:AQ$135,MATCH(AR116,AP$115:AP$135,0))</f>
        <v>#REF!</v>
      </c>
      <c r="BA116" s="223" t="n">
        <f aca="false">INDEX(AN$115:AN$135,MATCH(AR116,AP$115:AP$135,0))</f>
        <v>2110408.14928168</v>
      </c>
      <c r="BB116" s="223" t="e">
        <f aca="false">INDEX(AI$115:AI$135,MATCH(AR116,AP$115:AP$135,0))</f>
        <v>#REF!</v>
      </c>
      <c r="BC116" s="224" t="e">
        <f aca="false">INDEX(AJ$115:AJ$135,MATCH(AY116,AI$115:AI$135,0))</f>
        <v>#REF!</v>
      </c>
      <c r="BE116" s="118"/>
      <c r="BF116" s="118"/>
    </row>
    <row r="117" s="224" customFormat="true" ht="15" hidden="false" customHeight="false" outlineLevel="0" collapsed="false">
      <c r="A117" s="262" t="n">
        <f aca="false">_xlfn.QUARTILE.INC('Índices y Ranking Barrio'!$D$4:$D$134,2)</f>
        <v>0.0700559664983758</v>
      </c>
      <c r="B117" s="266" t="n">
        <f aca="false">_xlfn.QUARTILE.INC('Índices y Ranking Barrio'!$D$4:$D$134,2)</f>
        <v>0.0700559664983758</v>
      </c>
      <c r="C117" s="264" t="n">
        <f aca="false">_xlfn.QUARTILE.INC('Índices y Ranking Barrio'!$E$4:$E$134,2)</f>
        <v>36691.4783926056</v>
      </c>
      <c r="D117" s="265" t="n">
        <f aca="false">_xlfn.QUARTILE.INC('Índices y Ranking Barrio'!$J$4:$J$134,2)</f>
        <v>0.0414401776842598</v>
      </c>
      <c r="E117" s="266" t="n">
        <f aca="false">_xlfn.QUARTILE.INC('Índices y Ranking Barrio'!$K$4:$K$134,2)</f>
        <v>596</v>
      </c>
      <c r="F117" s="266" t="n">
        <f aca="false">_xlfn.QUARTILE.INC('Índices y Ranking Barrio'!$E$4:$E$134,2)</f>
        <v>36691.4783926056</v>
      </c>
      <c r="G117" s="267" t="n">
        <f aca="false">_xlfn.QUARTILE.INC('Índices y Ranking Barrio'!$F$4:$F$134,2)</f>
        <v>7.36</v>
      </c>
      <c r="H117" s="267" t="n">
        <f aca="false">_xlfn.QUARTILE.INC('Índices y Ranking Barrio'!$G$4:$G$134,2)</f>
        <v>9.23</v>
      </c>
      <c r="I117" s="229" t="n">
        <f aca="false">_xlfn.QUARTILE.INC('Índices y Ranking Barrio'!$H$4:$H$134,2)</f>
        <v>0.0464707450449217</v>
      </c>
      <c r="J117" s="262" t="n">
        <f aca="false">_xlfn.QUARTILE.INC('Índices y Ranking Barrio'!$N$4:$N$134,2)</f>
        <v>0.00688500776810221</v>
      </c>
      <c r="K117" s="262" t="n">
        <f aca="false">_xlfn.QUARTILE.INC('Índices y Ranking Barrio'!$O$4:$O$134,2)</f>
        <v>0.00764159501397786</v>
      </c>
      <c r="L117" s="262" t="n">
        <f aca="false">_xlfn.QUARTILE.INC('Índices y Ranking Barrio'!$P$4:$P$134,2)</f>
        <v>0.00745600009700326</v>
      </c>
      <c r="M117" s="262" t="n">
        <f aca="false">_xlfn.QUARTILE.INC('Índices y Ranking Barrio'!$Q$4:$Q$134,2)</f>
        <v>0.00764354536432736</v>
      </c>
      <c r="N117" s="229" t="n">
        <f aca="false">_xlfn.QUARTILE.INC('Índices y Ranking Barrio'!$I$4:$I$134,2)</f>
        <v>84332.83</v>
      </c>
      <c r="O117" s="262" t="n">
        <f aca="false">_xlfn.QUARTILE.INC('Índices y Ranking Barrio'!$L$4:$L$134,2)</f>
        <v>0.0421123638816614</v>
      </c>
      <c r="P117" s="262" t="n">
        <f aca="false">_xlfn.QUARTILE.INC('Índices y Ranking Barrio'!$M$4:$M$134,2)</f>
        <v>0.0434443612774451</v>
      </c>
      <c r="Q117" s="268" t="e">
        <f aca="false">_xlfn.QUARTILE.INC(#REF!:#REF!,2)</f>
        <v>#REF!</v>
      </c>
      <c r="R117" s="262" t="n">
        <f aca="false">_xlfn.QUARTILE.INC('Índices y Ranking Barrio'!$S$4:$S$134,2)</f>
        <v>0.00733501389885558</v>
      </c>
      <c r="S117" s="268" t="e">
        <f aca="false">_xlfn.QUARTILE.INC(#REF!:#REF!,2)</f>
        <v>#REF!</v>
      </c>
      <c r="U117" s="273" t="e">
        <f aca="false">U116+$V$115</f>
        <v>#VALUE!</v>
      </c>
      <c r="V117" s="224" t="e">
        <f aca="false">COUNTIFS(#REF!,CONCATENATE("&lt;",TEXT(1+OFFSET(U117,0,0),"0")),#REF!,CONCATENATE("&gt;=", TEXT(1-OFFSET(U116,0,0),"0")))</f>
        <v>#VALUE!</v>
      </c>
      <c r="W117" s="224" t="e">
        <f aca="true">CONCATENATE( TEXT(OFFSET(U116,0,0),"#.##0€")," - ",TEXT(OFFSET(U117,0,0),"#.##0€"))</f>
        <v>#VALUE!</v>
      </c>
      <c r="Z117" s="273" t="e">
        <f aca="false">Z116+$AA$115</f>
        <v>#VALUE!</v>
      </c>
      <c r="AA117" s="224" t="e">
        <f aca="false">COUNTIFS(#REF!,CONCATENATE("&lt;",TEXT(1+OFFSET(Z117,0,0),"0")),#REF!,CONCATENATE("&gt;=", TEXT(1-OFFSET(Z116,0,0),"0")))</f>
        <v>#VALUE!</v>
      </c>
      <c r="AB117" s="224" t="e">
        <f aca="false">COUNTIFS(#REF!,CONCATENATE("&lt;",TEXT(1+OFFSET(Z117,0,0),"0")),#REF!,CONCATENATE("&gt;=", TEXT(1-OFFSET(Z116,0,0),"0")))</f>
        <v>#VALUE!</v>
      </c>
      <c r="AC117" s="224" t="e">
        <f aca="true">CONCATENATE( TEXT(OFFSET(Z116,0,0),"#.##0€")," - ",TEXT(OFFSET(Z117,0,0),"#.##0€"))</f>
        <v>#VALUE!</v>
      </c>
      <c r="AD117" s="270"/>
      <c r="AE117" s="271" t="n">
        <f aca="false">AE116+$AF$115</f>
        <v>0.00593695281883615</v>
      </c>
      <c r="AF117" s="274" t="n">
        <f aca="true">COUNTIFS(aux!AJ5:AJ132,CONCATENATE("&lt;=",TEXT(OFFSET(AE117,0,0),"0,0000")),aux!AJ5:AJ132,CONCATENATE("&gt;=", TEXT(OFFSET(AE116,0,0),"0,0000")))</f>
        <v>0</v>
      </c>
      <c r="AG117" s="224" t="str">
        <f aca="true">CONCATENATE( TEXT(OFFSET(AE116,0,0),"0,####")," - ",TEXT(OFFSET(AE117,0,0),"0,####"))</f>
        <v>0 - 0</v>
      </c>
      <c r="AI117" s="224" t="e">
        <f aca="false">MID(#REF!,5,LEN(#REF!)-4)</f>
        <v>#REF!</v>
      </c>
      <c r="AJ117" s="224" t="e">
        <f aca="false">#REF!</f>
        <v>#REF!</v>
      </c>
      <c r="AK117" s="224" t="e">
        <f aca="false">_xlfn.RANK.EQ(#REF!,#REF!)</f>
        <v>#REF!</v>
      </c>
      <c r="AL117" s="223" t="e">
        <f aca="false">#REF!</f>
        <v>#REF!</v>
      </c>
      <c r="AM117" s="272" t="e">
        <f aca="false">_xlfn.RANK.EQ(#REF!,#REF!)</f>
        <v>#REF!</v>
      </c>
      <c r="AN117" s="223" t="n">
        <v>742068.839503917</v>
      </c>
      <c r="AO117" s="224" t="e">
        <f aca="false">_xlfn.RANK.EQ(#REF!,#REF!)</f>
        <v>#REF!</v>
      </c>
      <c r="AP117" s="224" t="n">
        <v>20</v>
      </c>
      <c r="AQ117" s="223" t="e">
        <f aca="false">#REF!</f>
        <v>#REF!</v>
      </c>
      <c r="AR117" s="224" t="n">
        <v>3</v>
      </c>
      <c r="AS117" s="224" t="e">
        <f aca="false">INDEX(AI$115:AI$135,MATCH(AR117,AK$115:AK$135,0))</f>
        <v>#N/A</v>
      </c>
      <c r="AT117" s="223" t="e">
        <f aca="false">INDEX(AL$115:AL$135,MATCH(AR117,AK$115:AK$135,0))</f>
        <v>#N/A</v>
      </c>
      <c r="AU117" s="224" t="e">
        <f aca="false">INDEX(AI$115:AI$135,MATCH(AR117,AO$115:AO$135,0))</f>
        <v>#N/A</v>
      </c>
      <c r="AV117" s="223" t="e">
        <f aca="false">INDEX(AQ$115:AQ$135,MATCH(AR117,AO$115:AO$135,0))</f>
        <v>#N/A</v>
      </c>
      <c r="AW117" s="223" t="e">
        <f aca="false">INDEX(AN$115:AN$135,MATCH(AU117,AI$115:AI$135,0))</f>
        <v>#N/A</v>
      </c>
      <c r="AY117" s="224" t="e">
        <f aca="false">INDEX(AI$115:AI$135,MATCH(AR117,AP$115:AP$135,0))</f>
        <v>#REF!</v>
      </c>
      <c r="AZ117" s="223" t="e">
        <f aca="false">INDEX(AQ$115:AQ$135,MATCH(AR117,AP$115:AP$135,0))</f>
        <v>#REF!</v>
      </c>
      <c r="BA117" s="223" t="n">
        <f aca="false">INDEX(AN$115:AN$135,MATCH(AR117,AP$115:AP$135,0))</f>
        <v>1967201.882009</v>
      </c>
      <c r="BB117" s="223" t="e">
        <f aca="false">INDEX(AI$115:AI$135,MATCH(AR117,AP$115:AP$135,0))</f>
        <v>#REF!</v>
      </c>
      <c r="BC117" s="224" t="e">
        <f aca="false">INDEX(AJ$115:AJ$135,MATCH(AY117,AI$115:AI$135,0))</f>
        <v>#REF!</v>
      </c>
    </row>
    <row r="118" s="224" customFormat="true" ht="15" hidden="false" customHeight="false" outlineLevel="0" collapsed="false">
      <c r="A118" s="262" t="n">
        <f aca="false">_xlfn.QUARTILE.INC('Índices y Ranking Barrio'!$D$4:$D$134,3)</f>
        <v>0.104871979366522</v>
      </c>
      <c r="B118" s="266" t="n">
        <f aca="false">_xlfn.QUARTILE.INC('Índices y Ranking Barrio'!$D$4:$D$134,3)</f>
        <v>0.104871979366522</v>
      </c>
      <c r="C118" s="264" t="n">
        <f aca="false">_xlfn.QUARTILE.INC('Índices y Ranking Barrio'!$E$4:$E$134,3)</f>
        <v>47665.3518479281</v>
      </c>
      <c r="D118" s="265" t="n">
        <f aca="false">_xlfn.QUARTILE.INC('Índices y Ranking Barrio'!$J$4:$J$134,3)</f>
        <v>0.0576889356479046</v>
      </c>
      <c r="E118" s="266" t="n">
        <f aca="false">_xlfn.QUARTILE.INC('Índices y Ranking Barrio'!$K$4:$K$134,3)</f>
        <v>1230</v>
      </c>
      <c r="F118" s="266" t="n">
        <f aca="false">_xlfn.QUARTILE.INC('Índices y Ranking Barrio'!$E$4:$E$134,3)</f>
        <v>47665.3518479281</v>
      </c>
      <c r="G118" s="267" t="n">
        <f aca="false">_xlfn.QUARTILE.INC('Índices y Ranking Barrio'!$F$4:$F$134,3)</f>
        <v>9.23</v>
      </c>
      <c r="H118" s="267" t="n">
        <f aca="false">_xlfn.QUARTILE.INC('Índices y Ranking Barrio'!$G$4:$G$134,3)</f>
        <v>11.045</v>
      </c>
      <c r="I118" s="229" t="n">
        <f aca="false">_xlfn.QUARTILE.INC('Índices y Ranking Barrio'!$H$4:$H$134,3)</f>
        <v>0.0571078097314979</v>
      </c>
      <c r="J118" s="262" t="n">
        <f aca="false">_xlfn.QUARTILE.INC('Índices y Ranking Barrio'!$N$4:$N$134,3)</f>
        <v>0.0100701682290722</v>
      </c>
      <c r="K118" s="262" t="n">
        <f aca="false">_xlfn.QUARTILE.INC('Índices y Ranking Barrio'!$O$4:$O$134,3)</f>
        <v>0.00765280429019324</v>
      </c>
      <c r="L118" s="262" t="n">
        <f aca="false">_xlfn.QUARTILE.INC('Índices y Ranking Barrio'!$P$4:$P$134,3)</f>
        <v>0.00919932307113156</v>
      </c>
      <c r="M118" s="262" t="n">
        <f aca="false">_xlfn.QUARTILE.INC('Índices y Ranking Barrio'!$Q$4:$Q$134,3)</f>
        <v>0.00765696073273234</v>
      </c>
      <c r="N118" s="229" t="n">
        <f aca="false">_xlfn.QUARTILE.INC('Índices y Ranking Barrio'!$I$4:$I$134,3)</f>
        <v>116078.955</v>
      </c>
      <c r="O118" s="262" t="n">
        <f aca="false">_xlfn.QUARTILE.INC('Índices y Ranking Barrio'!$L$4:$L$134,3)</f>
        <v>0.0673926311393788</v>
      </c>
      <c r="P118" s="262" t="n">
        <f aca="false">_xlfn.QUARTILE.INC('Índices y Ranking Barrio'!$M$4:$M$134,3)</f>
        <v>0.0644336327345309</v>
      </c>
      <c r="Q118" s="268" t="e">
        <f aca="false">_xlfn.QUARTILE.INC(#REF!:#REF!,3)</f>
        <v>#REF!</v>
      </c>
      <c r="R118" s="262" t="n">
        <f aca="false">_xlfn.QUARTILE.INC('Índices y Ranking Barrio'!$S$4:$S$134,3)</f>
        <v>0.00877120810008185</v>
      </c>
      <c r="S118" s="268" t="e">
        <f aca="false">_xlfn.QUARTILE.INC(#REF!:#REF!,3)</f>
        <v>#REF!</v>
      </c>
      <c r="U118" s="273" t="e">
        <f aca="false">U117+$V$115</f>
        <v>#VALUE!</v>
      </c>
      <c r="V118" s="224" t="e">
        <f aca="false">COUNTIFS(#REF!,CONCATENATE("&lt;",TEXT(1+OFFSET(U118,0,0),"0")),#REF!,CONCATENATE("&gt;=", TEXT(OFFSET(U117,0,0),"0")))</f>
        <v>#VALUE!</v>
      </c>
      <c r="W118" s="224" t="e">
        <f aca="true">CONCATENATE( TEXT(OFFSET(U117,0,0)+1,"#.##0€")," - ",TEXT(OFFSET(U118,0,0),"#.##0€"))</f>
        <v>#VALUE!</v>
      </c>
      <c r="Z118" s="273" t="e">
        <f aca="false">Z117+$AA$115</f>
        <v>#VALUE!</v>
      </c>
      <c r="AA118" s="224" t="e">
        <f aca="false">COUNTIFS(#REF!,CONCATENATE("&lt;",TEXT(1+OFFSET(Z118,0,0),"0")),#REF!,CONCATENATE("&gt;=", TEXT(OFFSET(Z117,0,0),"0")))</f>
        <v>#VALUE!</v>
      </c>
      <c r="AB118" s="224" t="e">
        <f aca="false">COUNTIFS(#REF!,CONCATENATE("&lt;",TEXT(1+OFFSET(Z118,0,0),"0")),#REF!,CONCATENATE("&gt;=", TEXT(OFFSET(Z117,0,0),"0")))</f>
        <v>#VALUE!</v>
      </c>
      <c r="AC118" s="224" t="e">
        <f aca="true">CONCATENATE( TEXT(OFFSET(Z117,0,0)+1,"#.##0€")," - ",TEXT(OFFSET(Z118,0,0),"#.##0€"))</f>
        <v>#VALUE!</v>
      </c>
      <c r="AD118" s="270"/>
      <c r="AE118" s="271" t="n">
        <f aca="false">AE117+$AF$115</f>
        <v>0.00658927264312532</v>
      </c>
      <c r="AF118" s="274" t="n">
        <f aca="true">COUNTIFS(aux!AJ5:AJ132,CONCATENATE("&lt;=",TEXT(OFFSET(AE118,0,0),"0,0000")),aux!AJ5:AJ132,CONCATENATE("&gt;", TEXT(OFFSET(AE117,0,0),"0,0000")))</f>
        <v>0</v>
      </c>
      <c r="AG118" s="224" t="str">
        <f aca="true">CONCATENATE( TEXT(OFFSET(AE117,0,0),"0,####")," - ",TEXT(OFFSET(AE118,0,0),"0,####"))</f>
        <v>0 - 0</v>
      </c>
      <c r="AI118" s="224" t="e">
        <f aca="false">MID(#REF!,5,LEN(#REF!)-4)</f>
        <v>#REF!</v>
      </c>
      <c r="AJ118" s="224" t="e">
        <f aca="false">#REF!</f>
        <v>#REF!</v>
      </c>
      <c r="AK118" s="224" t="e">
        <f aca="false">_xlfn.RANK.EQ(#REF!,#REF!)</f>
        <v>#REF!</v>
      </c>
      <c r="AL118" s="223" t="e">
        <f aca="false">#REF!</f>
        <v>#REF!</v>
      </c>
      <c r="AM118" s="272" t="e">
        <f aca="false">_xlfn.RANK.EQ(#REF!,#REF!)</f>
        <v>#REF!</v>
      </c>
      <c r="AN118" s="223" t="n">
        <v>810588.584610465</v>
      </c>
      <c r="AO118" s="224" t="e">
        <f aca="false">_xlfn.RANK.EQ(#REF!,#REF!)</f>
        <v>#REF!</v>
      </c>
      <c r="AP118" s="224" t="n">
        <v>18</v>
      </c>
      <c r="AQ118" s="223" t="e">
        <f aca="false">#REF!</f>
        <v>#REF!</v>
      </c>
      <c r="AR118" s="224" t="n">
        <v>4</v>
      </c>
      <c r="AS118" s="224" t="e">
        <f aca="false">INDEX(AI$115:AI$135,MATCH(AR118,AK$115:AK$135,0))</f>
        <v>#N/A</v>
      </c>
      <c r="AT118" s="223" t="e">
        <f aca="false">INDEX(AL$115:AL$135,MATCH(AR118,AK$115:AK$135,0))</f>
        <v>#N/A</v>
      </c>
      <c r="AU118" s="224" t="e">
        <f aca="false">INDEX(AI$115:AI$135,MATCH(AR118,AO$115:AO$135,0))</f>
        <v>#N/A</v>
      </c>
      <c r="AV118" s="223" t="e">
        <f aca="false">INDEX(AQ$115:AQ$135,MATCH(AR118,AO$115:AO$135,0))</f>
        <v>#N/A</v>
      </c>
      <c r="AW118" s="223" t="e">
        <f aca="false">INDEX(AN$115:AN$135,MATCH(AU118,AI$115:AI$135,0))</f>
        <v>#N/A</v>
      </c>
      <c r="AY118" s="224" t="e">
        <f aca="false">INDEX(AI$115:AI$135,MATCH(AR118,AP$115:AP$135,0))</f>
        <v>#REF!</v>
      </c>
      <c r="AZ118" s="223" t="e">
        <f aca="false">INDEX(AQ$115:AQ$135,MATCH(AR118,AP$115:AP$135,0))</f>
        <v>#REF!</v>
      </c>
      <c r="BA118" s="223" t="n">
        <f aca="false">INDEX(AN$115:AN$135,MATCH(AR118,AP$115:AP$135,0))</f>
        <v>2124112.09830299</v>
      </c>
      <c r="BB118" s="223" t="e">
        <f aca="false">INDEX(AI$115:AI$135,MATCH(AR118,AP$115:AP$135,0))</f>
        <v>#REF!</v>
      </c>
      <c r="BC118" s="224" t="e">
        <f aca="false">INDEX(AJ$115:AJ$135,MATCH(AY118,AI$115:AI$135,0))</f>
        <v>#REF!</v>
      </c>
    </row>
    <row r="119" s="224" customFormat="true" ht="15" hidden="false" customHeight="false" outlineLevel="0" collapsed="false">
      <c r="A119" s="262" t="n">
        <f aca="false">MAX('Índices y Ranking Barrio'!$D$4:$D$134)</f>
        <v>0.291881854581326</v>
      </c>
      <c r="B119" s="263" t="n">
        <f aca="false">MAX('Índices y Ranking Barrio'!$D$4:$D$134)</f>
        <v>0.291881854581326</v>
      </c>
      <c r="C119" s="264" t="n">
        <f aca="false">MAX('Índices y Ranking Barrio'!$E$4:$E$134)</f>
        <v>112320.748093875</v>
      </c>
      <c r="D119" s="265" t="n">
        <f aca="false">MAX('Índices y Ranking Barrio'!$J$4:$J$134)</f>
        <v>0.105675375533345</v>
      </c>
      <c r="E119" s="266" t="n">
        <f aca="false">MAX('Índices y Ranking Barrio'!$K$4:$K$134)</f>
        <v>3327</v>
      </c>
      <c r="F119" s="266" t="n">
        <f aca="false">MAX('Índices y Ranking Barrio'!$E$4:$E$134)</f>
        <v>112320.748093875</v>
      </c>
      <c r="G119" s="267" t="n">
        <f aca="false">MAX('Índices y Ranking Barrio'!$F$4:$F$134)</f>
        <v>13.77</v>
      </c>
      <c r="H119" s="267" t="n">
        <f aca="false">MAX('Índices y Ranking Barrio'!$G$4:$G$134)</f>
        <v>17.18</v>
      </c>
      <c r="I119" s="229" t="n">
        <f aca="false">MAX('Índices y Ranking Barrio'!$H$4:$H$134)</f>
        <v>0.077258347536777</v>
      </c>
      <c r="J119" s="262" t="n">
        <f aca="false">MAX('Índices y Ranking Barrio'!$N$4:$N$134)</f>
        <v>0.0173604344811844</v>
      </c>
      <c r="K119" s="262" t="n">
        <f aca="false">MAX('Índices y Ranking Barrio'!$O$4:$O$134)</f>
        <v>0.0076652356285261</v>
      </c>
      <c r="L119" s="262" t="n">
        <f aca="false">MAX('Índices y Ranking Barrio'!$P$4:$P$134)</f>
        <v>0.0134366750139717</v>
      </c>
      <c r="M119" s="262" t="n">
        <f aca="false">MAX('Índices y Ranking Barrio'!$Q$4:$Q$134)</f>
        <v>0.00767676718054422</v>
      </c>
      <c r="N119" s="229" t="n">
        <f aca="false">MAX('Índices y Ranking Barrio'!$I$4:$I$134)</f>
        <v>386518.19</v>
      </c>
      <c r="O119" s="262" t="n">
        <f aca="false">MAX('Índices y Ranking Barrio'!$L$4:$L$134)</f>
        <v>0.119045324596062</v>
      </c>
      <c r="P119" s="262" t="n">
        <f aca="false">MAX('Índices y Ranking Barrio'!$M$4:$M$134)</f>
        <v>0.1156125249501</v>
      </c>
      <c r="Q119" s="268" t="e">
        <f aca="false">MAX(#REF!:#REF!)</f>
        <v>#REF!</v>
      </c>
      <c r="R119" s="262" t="n">
        <f aca="false">MAX('Índices y Ranking Barrio'!$S$4:$S$134)</f>
        <v>0.0118078312374387</v>
      </c>
      <c r="S119" s="268" t="e">
        <f aca="false">MAX(#REF!:#REF!)</f>
        <v>#REF!</v>
      </c>
      <c r="U119" s="273" t="e">
        <f aca="false">U118+$V$115</f>
        <v>#VALUE!</v>
      </c>
      <c r="V119" s="224" t="e">
        <f aca="false">COUNTIFS(#REF!,CONCATENATE("&lt;",TEXT(1+OFFSET(U119,0,0),"0")),#REF!,CONCATENATE("&gt;=", TEXT(OFFSET(U118,0,0),"0")))</f>
        <v>#VALUE!</v>
      </c>
      <c r="W119" s="224" t="e">
        <f aca="true">CONCATENATE( TEXT(OFFSET(U118,0,0)+1,"#.##0€")," - ",TEXT(OFFSET(U119,0,0),"#.##0€"))</f>
        <v>#VALUE!</v>
      </c>
      <c r="Z119" s="273" t="e">
        <f aca="false">Z118+$AA$115</f>
        <v>#VALUE!</v>
      </c>
      <c r="AA119" s="224" t="e">
        <f aca="false">COUNTIFS(#REF!,CONCATENATE("&lt;",TEXT(1+OFFSET(Z119,0,0),"0")),#REF!,CONCATENATE("&gt;=", TEXT(OFFSET(Z118,0,0),"0")))</f>
        <v>#VALUE!</v>
      </c>
      <c r="AB119" s="224" t="e">
        <f aca="false">COUNTIFS(#REF!,CONCATENATE("&lt;",TEXT(1+OFFSET(Z119,0,0),"0")),#REF!,CONCATENATE("&gt;=", TEXT(OFFSET(Z118,0,0),"0")))</f>
        <v>#VALUE!</v>
      </c>
      <c r="AC119" s="224" t="e">
        <f aca="true">CONCATENATE( TEXT(OFFSET(Z118,0,0)+1,"#.##0€")," - ",TEXT(OFFSET(Z119,0,0),"#.##0€"))</f>
        <v>#VALUE!</v>
      </c>
      <c r="AD119" s="270"/>
      <c r="AE119" s="271" t="n">
        <f aca="false">AE118+$AF$115</f>
        <v>0.00724159246741449</v>
      </c>
      <c r="AF119" s="274" t="n">
        <f aca="true">COUNTIFS(aux!AJ5:AJ132,CONCATENATE("&lt;=",TEXT(OFFSET(AE119,0,0),"0,0000")),aux!AJ5:AJ132,CONCATENATE("&gt;", TEXT(OFFSET(AE118,0,0),"0,0000")))</f>
        <v>0</v>
      </c>
      <c r="AG119" s="224" t="str">
        <f aca="true">CONCATENATE( TEXT(OFFSET(AE118,0,0),"0,####")," - ",TEXT(OFFSET(AE119,0,0),"0,####"))</f>
        <v>0 - 0</v>
      </c>
      <c r="AI119" s="224" t="e">
        <f aca="false">MID(#REF!,5,LEN(#REF!)-4)</f>
        <v>#REF!</v>
      </c>
      <c r="AJ119" s="224" t="e">
        <f aca="false">#REF!</f>
        <v>#REF!</v>
      </c>
      <c r="AK119" s="224" t="e">
        <f aca="false">_xlfn.RANK.EQ(#REF!,#REF!)</f>
        <v>#REF!</v>
      </c>
      <c r="AL119" s="223" t="e">
        <f aca="false">#REF!</f>
        <v>#REF!</v>
      </c>
      <c r="AM119" s="272" t="e">
        <f aca="false">_xlfn.RANK.EQ(#REF!,#REF!)</f>
        <v>#REF!</v>
      </c>
      <c r="AN119" s="223" t="n">
        <v>822236.941278578</v>
      </c>
      <c r="AO119" s="224" t="e">
        <f aca="false">_xlfn.RANK.EQ(#REF!,#REF!)</f>
        <v>#REF!</v>
      </c>
      <c r="AP119" s="224" t="n">
        <v>21</v>
      </c>
      <c r="AQ119" s="223" t="e">
        <f aca="false">#REF!</f>
        <v>#REF!</v>
      </c>
      <c r="AR119" s="224" t="n">
        <v>5</v>
      </c>
      <c r="AS119" s="224" t="e">
        <f aca="false">INDEX(AI$115:AI$135,MATCH(AR119,AK$115:AK$135,0))</f>
        <v>#N/A</v>
      </c>
      <c r="AT119" s="223" t="e">
        <f aca="false">INDEX(AL$115:AL$135,MATCH(AR119,AK$115:AK$135,0))</f>
        <v>#N/A</v>
      </c>
      <c r="AU119" s="224" t="e">
        <f aca="false">INDEX(AI$115:AI$135,MATCH(AR119,AO$115:AO$135,0))</f>
        <v>#N/A</v>
      </c>
      <c r="AV119" s="223" t="e">
        <f aca="false">INDEX(AQ$115:AQ$135,MATCH(AR119,AO$115:AO$135,0))</f>
        <v>#N/A</v>
      </c>
      <c r="AW119" s="223" t="e">
        <f aca="false">INDEX(AN$115:AN$135,MATCH(AU119,AI$115:AI$135,0))</f>
        <v>#N/A</v>
      </c>
      <c r="AY119" s="224" t="e">
        <f aca="false">INDEX(AI$115:AI$135,MATCH(AR119,AP$115:AP$135,0))</f>
        <v>#REF!</v>
      </c>
      <c r="AZ119" s="223" t="e">
        <f aca="false">INDEX(AQ$115:AQ$135,MATCH(AR119,AP$115:AP$135,0))</f>
        <v>#REF!</v>
      </c>
      <c r="BA119" s="223" t="n">
        <f aca="false">INDEX(AN$115:AN$135,MATCH(AR119,AP$115:AP$135,0))</f>
        <v>1850033.1178768</v>
      </c>
      <c r="BB119" s="223" t="e">
        <f aca="false">INDEX(AI$115:AI$135,MATCH(AR119,AP$115:AP$135,0))</f>
        <v>#REF!</v>
      </c>
      <c r="BC119" s="224" t="e">
        <f aca="false">INDEX(AJ$115:AJ$135,MATCH(AY119,AI$115:AI$135,0))</f>
        <v>#REF!</v>
      </c>
    </row>
    <row r="120" s="224" customFormat="true" ht="15" hidden="false" customHeight="false" outlineLevel="0" collapsed="false">
      <c r="A120" s="262"/>
      <c r="B120" s="266"/>
      <c r="C120" s="266"/>
      <c r="D120" s="265"/>
      <c r="E120" s="266"/>
      <c r="F120" s="266"/>
      <c r="G120" s="266"/>
      <c r="H120" s="266"/>
      <c r="I120" s="229"/>
      <c r="J120" s="262"/>
      <c r="K120" s="262"/>
      <c r="L120" s="262"/>
      <c r="M120" s="262"/>
      <c r="Q120" s="268"/>
      <c r="R120" s="262"/>
      <c r="S120" s="268"/>
      <c r="U120" s="273" t="e">
        <f aca="false">U119+$V$115</f>
        <v>#VALUE!</v>
      </c>
      <c r="V120" s="224" t="e">
        <f aca="false">COUNTIFS(#REF!,CONCATENATE("&lt;",TEXT(1+OFFSET(U120,0,0),"0")),#REF!,CONCATENATE("&gt;=", TEXT(OFFSET(U119,0,0),"0")))</f>
        <v>#VALUE!</v>
      </c>
      <c r="W120" s="224" t="e">
        <f aca="true">CONCATENATE( TEXT(OFFSET(U119,0,0)+1,"#.##0€")," - ",TEXT(OFFSET(U120,0,0),"#.##0€"))</f>
        <v>#VALUE!</v>
      </c>
      <c r="Z120" s="273" t="e">
        <f aca="false">Z119+$AA$115</f>
        <v>#VALUE!</v>
      </c>
      <c r="AA120" s="224" t="e">
        <f aca="false">COUNTIFS(#REF!,CONCATENATE("&lt;",TEXT(1+OFFSET(Z120,0,0),"0")),#REF!,CONCATENATE("&gt;=", TEXT(OFFSET(Z119,0,0),"0")))</f>
        <v>#VALUE!</v>
      </c>
      <c r="AB120" s="224" t="e">
        <f aca="false">COUNTIFS(#REF!,CONCATENATE("&lt;",TEXT(1+OFFSET(Z120,0,0),"0")),#REF!,CONCATENATE("&gt;=", TEXT(OFFSET(Z119,0,0),"0")))</f>
        <v>#VALUE!</v>
      </c>
      <c r="AC120" s="224" t="e">
        <f aca="true">CONCATENATE( TEXT(OFFSET(Z119,0,0)+1,"#.##0€")," - ",TEXT(OFFSET(Z120,0,0),"#.##0€"))</f>
        <v>#VALUE!</v>
      </c>
      <c r="AD120" s="270"/>
      <c r="AE120" s="271" t="n">
        <f aca="false">AE119+$AF$115</f>
        <v>0.00789391229170367</v>
      </c>
      <c r="AF120" s="274" t="n">
        <f aca="true">COUNTIFS(aux!AJ5:AJ132,CONCATENATE("&lt;=",TEXT(OFFSET(AE120,0,0),"0,0000")),aux!AJ5:AJ132,CONCATENATE("&gt;", TEXT(OFFSET(AE119,0,0),"0,0000")))</f>
        <v>0</v>
      </c>
      <c r="AG120" s="224" t="str">
        <f aca="true">CONCATENATE( TEXT(OFFSET(AE119,0,0),"0,####")," - ",TEXT(OFFSET(AE120,0,0),"0,####"))</f>
        <v>0 - 0</v>
      </c>
      <c r="AI120" s="224" t="e">
        <f aca="false">MID(#REF!,5,LEN(#REF!)-4)</f>
        <v>#REF!</v>
      </c>
      <c r="AJ120" s="224" t="e">
        <f aca="false">#REF!</f>
        <v>#REF!</v>
      </c>
      <c r="AK120" s="224" t="e">
        <f aca="false">_xlfn.RANK.EQ(#REF!,#REF!)</f>
        <v>#REF!</v>
      </c>
      <c r="AL120" s="223" t="e">
        <f aca="false">#REF!</f>
        <v>#REF!</v>
      </c>
      <c r="AM120" s="272" t="e">
        <f aca="false">_xlfn.RANK.EQ(#REF!,#REF!)</f>
        <v>#REF!</v>
      </c>
      <c r="AN120" s="223" t="n">
        <v>1519082.74901217</v>
      </c>
      <c r="AO120" s="224" t="e">
        <f aca="false">_xlfn.RANK.EQ(#REF!,#REF!)</f>
        <v>#REF!</v>
      </c>
      <c r="AP120" s="224" t="n">
        <v>9</v>
      </c>
      <c r="AQ120" s="223" t="e">
        <f aca="false">#REF!</f>
        <v>#REF!</v>
      </c>
      <c r="AR120" s="224" t="n">
        <v>6</v>
      </c>
      <c r="AS120" s="224" t="e">
        <f aca="false">INDEX(AI$115:AI$135,MATCH(AR120,AK$115:AK$135,0))</f>
        <v>#N/A</v>
      </c>
      <c r="AT120" s="223" t="e">
        <f aca="false">INDEX(AL$115:AL$135,MATCH(AR120,AK$115:AK$135,0))</f>
        <v>#N/A</v>
      </c>
      <c r="AU120" s="224" t="e">
        <f aca="false">INDEX(AI$115:AI$135,MATCH(AR120,AO$115:AO$135,0))</f>
        <v>#N/A</v>
      </c>
      <c r="AV120" s="223" t="e">
        <f aca="false">INDEX(AQ$115:AQ$135,MATCH(AR120,AO$115:AO$135,0))</f>
        <v>#N/A</v>
      </c>
      <c r="AW120" s="223" t="e">
        <f aca="false">INDEX(AN$115:AN$135,MATCH(AU120,AI$115:AI$135,0))</f>
        <v>#N/A</v>
      </c>
      <c r="AY120" s="224" t="e">
        <f aca="false">INDEX(AI$115:AI$135,MATCH(AR120,AP$115:AP$135,0))</f>
        <v>#REF!</v>
      </c>
      <c r="AZ120" s="223" t="e">
        <f aca="false">INDEX(AQ$115:AQ$135,MATCH(AR120,AP$115:AP$135,0))</f>
        <v>#REF!</v>
      </c>
      <c r="BA120" s="223" t="n">
        <f aca="false">INDEX(AN$115:AN$135,MATCH(AR120,AP$115:AP$135,0))</f>
        <v>1918552.86298335</v>
      </c>
      <c r="BB120" s="223" t="e">
        <f aca="false">INDEX(AI$115:AI$135,MATCH(AR120,AP$115:AP$135,0))</f>
        <v>#REF!</v>
      </c>
      <c r="BC120" s="224" t="e">
        <f aca="false">INDEX(AJ$115:AJ$135,MATCH(AY120,AI$115:AI$135,0))</f>
        <v>#REF!</v>
      </c>
      <c r="BE120" s="118"/>
      <c r="BF120" s="118"/>
    </row>
    <row r="121" s="224" customFormat="true" ht="15" hidden="false" customHeight="false" outlineLevel="0" collapsed="false">
      <c r="A121" s="262" t="n">
        <f aca="false">A115</f>
        <v>0.0175467546754675</v>
      </c>
      <c r="B121" s="266" t="n">
        <f aca="false">B115</f>
        <v>0.0175467546754675</v>
      </c>
      <c r="C121" s="266" t="n">
        <f aca="false">C115</f>
        <v>19587.0949040644</v>
      </c>
      <c r="D121" s="265" t="n">
        <f aca="false">D115</f>
        <v>0.00935180314454381</v>
      </c>
      <c r="E121" s="266" t="n">
        <f aca="false">E115</f>
        <v>73</v>
      </c>
      <c r="F121" s="266" t="n">
        <f aca="false">F115</f>
        <v>19587.0949040644</v>
      </c>
      <c r="G121" s="267" t="n">
        <f aca="false">G115</f>
        <v>2.94</v>
      </c>
      <c r="H121" s="267" t="n">
        <f aca="false">H115</f>
        <v>3.7</v>
      </c>
      <c r="I121" s="229" t="n">
        <f aca="false">I115</f>
        <v>0.028481565612441</v>
      </c>
      <c r="J121" s="262" t="n">
        <f aca="false">J115</f>
        <v>0.00319353732230662</v>
      </c>
      <c r="K121" s="262" t="n">
        <f aca="false">K115</f>
        <v>0.00753706494338105</v>
      </c>
      <c r="L121" s="262" t="n">
        <f aca="false">L115</f>
        <v>0.00386775732206745</v>
      </c>
      <c r="M121" s="262" t="n">
        <f aca="false">M115</f>
        <v>0.00746881789893605</v>
      </c>
      <c r="N121" s="267" t="n">
        <f aca="false">N115</f>
        <v>26876.8</v>
      </c>
      <c r="O121" s="265" t="n">
        <f aca="false">O115</f>
        <v>0.00825543670296489</v>
      </c>
      <c r="P121" s="265" t="n">
        <f aca="false">P115</f>
        <v>0.0092315369261477</v>
      </c>
      <c r="Q121" s="268" t="e">
        <f aca="false">Q115</f>
        <v>#VALUE!</v>
      </c>
      <c r="R121" s="262" t="n">
        <f aca="false">R115</f>
        <v>0.00528463299454697</v>
      </c>
      <c r="S121" s="268" t="e">
        <f aca="false">S115</f>
        <v>#VALUE!</v>
      </c>
      <c r="U121" s="273" t="e">
        <f aca="false">U120+$V$115</f>
        <v>#VALUE!</v>
      </c>
      <c r="V121" s="224" t="e">
        <f aca="false">COUNTIFS(#REF!,CONCATENATE("&lt;",TEXT(1+OFFSET(U121,0,0),"0")),#REF!,CONCATENATE("&gt;=", TEXT(OFFSET(U120,0,0),"0")))</f>
        <v>#VALUE!</v>
      </c>
      <c r="W121" s="224" t="e">
        <f aca="true">CONCATENATE( TEXT(OFFSET(U120,0,0)+1,"#.##0€")," - ",TEXT(OFFSET(U121,0,0),"#.##0€"))</f>
        <v>#VALUE!</v>
      </c>
      <c r="Z121" s="273" t="e">
        <f aca="false">Z120+$AA$115</f>
        <v>#VALUE!</v>
      </c>
      <c r="AA121" s="224" t="e">
        <f aca="false">COUNTIFS(#REF!,CONCATENATE("&lt;",TEXT(1+OFFSET(Z121,0,0),"0")),#REF!,CONCATENATE("&gt;=", TEXT(OFFSET(Z120,0,0),"0")))</f>
        <v>#VALUE!</v>
      </c>
      <c r="AB121" s="224" t="e">
        <f aca="false">COUNTIFS(#REF!,CONCATENATE("&lt;",TEXT(1+OFFSET(Z121,0,0),"0")),#REF!,CONCATENATE("&gt;=", TEXT(OFFSET(Z120,0,0),"0")))</f>
        <v>#VALUE!</v>
      </c>
      <c r="AC121" s="224" t="e">
        <f aca="true">CONCATENATE( TEXT(OFFSET(Z120,0,0)+1,"#.##0€")," - ",TEXT(OFFSET(Z121,0,0),"#.##0€"))</f>
        <v>#VALUE!</v>
      </c>
      <c r="AD121" s="270"/>
      <c r="AE121" s="271" t="n">
        <f aca="false">AE120+$AF$115</f>
        <v>0.00854623211599284</v>
      </c>
      <c r="AF121" s="274" t="n">
        <f aca="true">COUNTIFS(aux!AJ5:AJ132,CONCATENATE("&lt;=",TEXT(OFFSET(AE121,0,0),"0,0000")),aux!AJ5:AJ132,CONCATENATE("&gt;", TEXT(OFFSET(AE120,0,0),"0,0000")))</f>
        <v>0</v>
      </c>
      <c r="AG121" s="224" t="str">
        <f aca="true">CONCATENATE( TEXT(OFFSET(AE120,0,0),"0,####")," - ",TEXT(OFFSET(AE121,0,0),"0,####"))</f>
        <v>0 - 0</v>
      </c>
      <c r="AI121" s="224" t="e">
        <f aca="false">MID(#REF!,5,LEN(#REF!)-4)</f>
        <v>#REF!</v>
      </c>
      <c r="AJ121" s="224" t="e">
        <f aca="false">#REF!</f>
        <v>#REF!</v>
      </c>
      <c r="AK121" s="224" t="e">
        <f aca="false">_xlfn.RANK.EQ(#REF!,#REF!)</f>
        <v>#REF!</v>
      </c>
      <c r="AL121" s="223" t="e">
        <f aca="false">#REF!</f>
        <v>#REF!</v>
      </c>
      <c r="AM121" s="272" t="e">
        <f aca="false">_xlfn.RANK.EQ(#REF!,#REF!)</f>
        <v>#REF!</v>
      </c>
      <c r="AN121" s="223" t="n">
        <v>856496.813831852</v>
      </c>
      <c r="AO121" s="224" t="e">
        <f aca="false">_xlfn.RANK.EQ(#REF!,#REF!)</f>
        <v>#REF!</v>
      </c>
      <c r="AP121" s="224" t="n">
        <v>17</v>
      </c>
      <c r="AQ121" s="223" t="e">
        <f aca="false">#REF!</f>
        <v>#REF!</v>
      </c>
      <c r="AR121" s="224" t="n">
        <v>7</v>
      </c>
      <c r="AS121" s="224" t="e">
        <f aca="false">INDEX(AI$115:AI$135,MATCH(AR121,AK$115:AK$135,0))</f>
        <v>#N/A</v>
      </c>
      <c r="AT121" s="223" t="e">
        <f aca="false">INDEX(AL$115:AL$135,MATCH(AR121,AK$115:AK$135,0))</f>
        <v>#N/A</v>
      </c>
      <c r="AU121" s="224" t="e">
        <f aca="false">INDEX(AI$115:AI$135,MATCH(AR121,AO$115:AO$135,0))</f>
        <v>#N/A</v>
      </c>
      <c r="AV121" s="223" t="e">
        <f aca="false">INDEX(AQ$115:AQ$135,MATCH(AR121,AO$115:AO$135,0))</f>
        <v>#N/A</v>
      </c>
      <c r="AW121" s="223" t="e">
        <f aca="false">INDEX(AN$115:AN$135,MATCH(AU121,AI$115:AI$135,0))</f>
        <v>#N/A</v>
      </c>
      <c r="AY121" s="224" t="e">
        <f aca="false">INDEX(AI$115:AI$135,MATCH(AR121,AP$115:AP$135,0))</f>
        <v>#REF!</v>
      </c>
      <c r="AZ121" s="223" t="e">
        <f aca="false">INDEX(AQ$115:AQ$135,MATCH(AR121,AP$115:AP$135,0))</f>
        <v>#REF!</v>
      </c>
      <c r="BA121" s="223" t="n">
        <f aca="false">INDEX(AN$115:AN$135,MATCH(AR121,AP$115:AP$135,0))</f>
        <v>1884292.99043008</v>
      </c>
      <c r="BB121" s="223" t="e">
        <f aca="false">INDEX(AI$115:AI$135,MATCH(AR121,AP$115:AP$135,0))</f>
        <v>#REF!</v>
      </c>
      <c r="BC121" s="224" t="e">
        <f aca="false">INDEX(AJ$115:AJ$135,MATCH(AY121,AI$115:AI$135,0))</f>
        <v>#REF!</v>
      </c>
      <c r="BE121" s="118"/>
      <c r="BF121" s="118"/>
    </row>
    <row r="122" s="224" customFormat="true" ht="15" hidden="false" customHeight="false" outlineLevel="0" collapsed="false">
      <c r="A122" s="262" t="n">
        <f aca="false">A116-A115</f>
        <v>0.0302786330155739</v>
      </c>
      <c r="B122" s="266" t="n">
        <f aca="false">B116-B115</f>
        <v>0.0302786330155739</v>
      </c>
      <c r="C122" s="266" t="n">
        <f aca="false">C116-C115</f>
        <v>8994.2830245463</v>
      </c>
      <c r="D122" s="265" t="n">
        <f aca="false">D116-D115</f>
        <v>0.0253667660295751</v>
      </c>
      <c r="E122" s="266" t="n">
        <f aca="false">E116-E115</f>
        <v>169</v>
      </c>
      <c r="F122" s="266" t="n">
        <f aca="false">F116-F115</f>
        <v>8994.2830245463</v>
      </c>
      <c r="G122" s="267" t="n">
        <f aca="false">G116-G115</f>
        <v>2.79</v>
      </c>
      <c r="H122" s="267" t="n">
        <f aca="false">H116-H115</f>
        <v>3.64</v>
      </c>
      <c r="I122" s="229" t="n">
        <f aca="false">I116-I115</f>
        <v>0.00470384824053987</v>
      </c>
      <c r="J122" s="262" t="n">
        <f aca="false">J116-J115</f>
        <v>0.0018535006368053</v>
      </c>
      <c r="K122" s="262" t="n">
        <f aca="false">K116-K115</f>
        <v>8.93626655493187E-005</v>
      </c>
      <c r="L122" s="262" t="n">
        <f aca="false">L116-L115</f>
        <v>0.0019157826375303</v>
      </c>
      <c r="M122" s="262" t="n">
        <f aca="false">M116-M115</f>
        <v>0.000156371447226672</v>
      </c>
      <c r="N122" s="267" t="n">
        <f aca="false">N116-N115</f>
        <v>34254.595</v>
      </c>
      <c r="O122" s="265" t="n">
        <f aca="false">O116-O115</f>
        <v>0.0168642189457454</v>
      </c>
      <c r="P122" s="265" t="n">
        <f aca="false">P116-P115</f>
        <v>0.0195858283433134</v>
      </c>
      <c r="Q122" s="268" t="e">
        <f aca="false">Q116-Q115</f>
        <v>#REF!</v>
      </c>
      <c r="R122" s="262" t="n">
        <f aca="false">R116-R115</f>
        <v>0.00091432456443738</v>
      </c>
      <c r="S122" s="268" t="e">
        <f aca="false">S116-S115</f>
        <v>#REF!</v>
      </c>
      <c r="U122" s="273" t="e">
        <f aca="false">U121+$V$115</f>
        <v>#VALUE!</v>
      </c>
      <c r="V122" s="224" t="e">
        <f aca="false">COUNTIFS(#REF!,CONCATENATE("&lt;",TEXT(1+OFFSET(U122,0,0),"0")),#REF!,CONCATENATE("&gt;=", TEXT(OFFSET(U121,0,0),"0")))</f>
        <v>#VALUE!</v>
      </c>
      <c r="W122" s="224" t="e">
        <f aca="true">CONCATENATE( TEXT(OFFSET(U121,0,0)+1,"#.##0€")," - ",TEXT(OFFSET(U122,0,0),"#.##0€"))</f>
        <v>#VALUE!</v>
      </c>
      <c r="Z122" s="273" t="e">
        <f aca="false">Z121+$AA$115</f>
        <v>#VALUE!</v>
      </c>
      <c r="AA122" s="224" t="e">
        <f aca="false">COUNTIFS(#REF!,CONCATENATE("&lt;",TEXT(1+OFFSET(Z122,0,0),"0")),#REF!,CONCATENATE("&gt;=", TEXT(OFFSET(Z121,0,0),"0")))</f>
        <v>#VALUE!</v>
      </c>
      <c r="AB122" s="224" t="e">
        <f aca="false">COUNTIFS(#REF!,CONCATENATE("&lt;",TEXT(1+OFFSET(Z122,0,0),"0")),#REF!,CONCATENATE("&gt;=", TEXT(OFFSET(Z121,0,0),"0")))</f>
        <v>#VALUE!</v>
      </c>
      <c r="AC122" s="224" t="e">
        <f aca="true">CONCATENATE( TEXT(OFFSET(Z121,0,0)+1,"#.##0€")," - ",TEXT(OFFSET(Z122,0,0),"#.##0€"))</f>
        <v>#VALUE!</v>
      </c>
      <c r="AD122" s="270"/>
      <c r="AE122" s="271" t="n">
        <f aca="false">AE121+$AF$115</f>
        <v>0.00919855194028202</v>
      </c>
      <c r="AF122" s="274" t="n">
        <f aca="true">COUNTIFS(aux!AJ5:AJ132,CONCATENATE("&lt;=",TEXT(OFFSET(AE122,0,0),"0,0000")),aux!AJ5:AJ132,CONCATENATE("&gt;", TEXT(OFFSET(AE121,0,0),"0,0000")))</f>
        <v>0</v>
      </c>
      <c r="AG122" s="224" t="str">
        <f aca="true">CONCATENATE( TEXT(OFFSET(AE121,0,0),"0,####")," - ",TEXT(OFFSET(AE122,0,0),"0,####"))</f>
        <v>0 - 0</v>
      </c>
      <c r="AI122" s="224" t="e">
        <f aca="false">MID(#REF!,5,LEN(#REF!)-4)</f>
        <v>#REF!</v>
      </c>
      <c r="AJ122" s="224" t="e">
        <f aca="false">#REF!</f>
        <v>#REF!</v>
      </c>
      <c r="AK122" s="224" t="e">
        <f aca="false">_xlfn.RANK.EQ(#REF!,#REF!)</f>
        <v>#REF!</v>
      </c>
      <c r="AL122" s="223" t="e">
        <f aca="false">#REF!</f>
        <v>#REF!</v>
      </c>
      <c r="AM122" s="272" t="e">
        <f aca="false">_xlfn.RANK.EQ(#REF!,#REF!)</f>
        <v>#REF!</v>
      </c>
      <c r="AN122" s="223" t="n">
        <v>1096315.92170477</v>
      </c>
      <c r="AO122" s="224" t="e">
        <f aca="false">_xlfn.RANK.EQ(#REF!,#REF!)</f>
        <v>#REF!</v>
      </c>
      <c r="AP122" s="224" t="n">
        <v>16</v>
      </c>
      <c r="AQ122" s="223" t="e">
        <f aca="false">#REF!</f>
        <v>#REF!</v>
      </c>
      <c r="AR122" s="224" t="n">
        <v>8</v>
      </c>
      <c r="AS122" s="224" t="e">
        <f aca="false">INDEX(AI$115:AI$135,MATCH(AR122,AK$115:AK$135,0))</f>
        <v>#N/A</v>
      </c>
      <c r="AT122" s="223" t="e">
        <f aca="false">INDEX(AL$115:AL$135,MATCH(AR122,AK$115:AK$135,0))</f>
        <v>#N/A</v>
      </c>
      <c r="AU122" s="224" t="e">
        <f aca="false">INDEX(AI$115:AI$135,MATCH(AR122,AO$115:AO$135,0))</f>
        <v>#N/A</v>
      </c>
      <c r="AV122" s="223" t="e">
        <f aca="false">INDEX(AQ$115:AQ$135,MATCH(AR122,AO$115:AO$135,0))</f>
        <v>#N/A</v>
      </c>
      <c r="AW122" s="223" t="e">
        <f aca="false">INDEX(AN$115:AN$135,MATCH(AU122,AI$115:AI$135,0))</f>
        <v>#N/A</v>
      </c>
      <c r="AY122" s="224" t="e">
        <f aca="false">INDEX(AI$115:AI$135,MATCH(AR122,AP$115:AP$135,0))</f>
        <v>#REF!</v>
      </c>
      <c r="AZ122" s="223" t="e">
        <f aca="false">INDEX(AQ$115:AQ$135,MATCH(AR122,AP$115:AP$135,0))</f>
        <v>#REF!</v>
      </c>
      <c r="BA122" s="223" t="n">
        <f aca="false">INDEX(AN$115:AN$135,MATCH(AR122,AP$115:AP$135,0))</f>
        <v>1627343.94628052</v>
      </c>
      <c r="BB122" s="223" t="e">
        <f aca="false">INDEX(AI$115:AI$135,MATCH(AR122,AP$115:AP$135,0))</f>
        <v>#REF!</v>
      </c>
      <c r="BC122" s="224" t="e">
        <f aca="false">INDEX(AJ$115:AJ$135,MATCH(AY122,AI$115:AI$135,0))</f>
        <v>#REF!</v>
      </c>
      <c r="BE122" s="118"/>
      <c r="BF122" s="118"/>
    </row>
    <row r="123" s="224" customFormat="true" ht="15" hidden="false" customHeight="false" outlineLevel="0" collapsed="false">
      <c r="A123" s="262" t="n">
        <f aca="false">A117-A116</f>
        <v>0.0222305788073343</v>
      </c>
      <c r="B123" s="266" t="n">
        <f aca="false">B117-B116</f>
        <v>0.0222305788073343</v>
      </c>
      <c r="C123" s="266" t="n">
        <f aca="false">C117-C116</f>
        <v>8110.10046399497</v>
      </c>
      <c r="D123" s="265" t="n">
        <f aca="false">D117-D116</f>
        <v>0.00672160851014087</v>
      </c>
      <c r="E123" s="266" t="n">
        <f aca="false">E117-E116</f>
        <v>354</v>
      </c>
      <c r="F123" s="266" t="n">
        <f aca="false">F117-F116</f>
        <v>8110.10046399497</v>
      </c>
      <c r="G123" s="267" t="n">
        <f aca="false">G117-G116</f>
        <v>1.63</v>
      </c>
      <c r="H123" s="267" t="n">
        <f aca="false">H117-H116</f>
        <v>1.89</v>
      </c>
      <c r="I123" s="229" t="n">
        <f aca="false">I117-I116</f>
        <v>0.0132853311919408</v>
      </c>
      <c r="J123" s="262" t="n">
        <f aca="false">J117-J116</f>
        <v>0.00183796980899029</v>
      </c>
      <c r="K123" s="262" t="n">
        <f aca="false">K117-K116</f>
        <v>1.51674050474946E-005</v>
      </c>
      <c r="L123" s="262" t="n">
        <f aca="false">L117-L116</f>
        <v>0.00167246013740551</v>
      </c>
      <c r="M123" s="262" t="n">
        <f aca="false">M117-M116</f>
        <v>1.8356018164631E-005</v>
      </c>
      <c r="N123" s="267" t="n">
        <f aca="false">N117-N116</f>
        <v>23201.435</v>
      </c>
      <c r="O123" s="265" t="n">
        <f aca="false">O117-O116</f>
        <v>0.0169927082329511</v>
      </c>
      <c r="P123" s="265" t="n">
        <f aca="false">P117-P116</f>
        <v>0.014626996007984</v>
      </c>
      <c r="Q123" s="268" t="e">
        <f aca="false">Q117-Q116</f>
        <v>#REF!</v>
      </c>
      <c r="R123" s="262" t="n">
        <f aca="false">R117-R116</f>
        <v>0.00113605633987123</v>
      </c>
      <c r="S123" s="268" t="e">
        <f aca="false">S117-S116</f>
        <v>#REF!</v>
      </c>
      <c r="U123" s="273" t="e">
        <f aca="false">U122+$V$115</f>
        <v>#VALUE!</v>
      </c>
      <c r="V123" s="224" t="e">
        <f aca="false">COUNTIFS(#REF!,CONCATENATE("&lt;",TEXT(1+OFFSET(U123,0,0),"0")),#REF!,CONCATENATE("&gt;=", TEXT(OFFSET(U122,0,0),"0")))</f>
        <v>#VALUE!</v>
      </c>
      <c r="W123" s="224" t="e">
        <f aca="true">CONCATENATE( TEXT(OFFSET(U122,0,0)+1,"#.##0€")," - ",TEXT(OFFSET(U123,0,0),"#.##0€"))</f>
        <v>#VALUE!</v>
      </c>
      <c r="Z123" s="273" t="e">
        <f aca="false">Z122+$AA$115</f>
        <v>#VALUE!</v>
      </c>
      <c r="AA123" s="224" t="e">
        <f aca="false">COUNTIFS(#REF!,CONCATENATE("&lt;",TEXT(1+OFFSET(Z123,0,0),"0")),#REF!,CONCATENATE("&gt;=", TEXT(OFFSET(Z122,0,0),"0")))</f>
        <v>#VALUE!</v>
      </c>
      <c r="AB123" s="224" t="e">
        <f aca="false">COUNTIFS(#REF!,CONCATENATE("&lt;",TEXT(1+OFFSET(Z123,0,0),"0")),#REF!,CONCATENATE("&gt;=", TEXT(OFFSET(Z122,0,0),"0")))</f>
        <v>#VALUE!</v>
      </c>
      <c r="AC123" s="224" t="e">
        <f aca="true">CONCATENATE( TEXT(OFFSET(Z122,0,0)+1,"#.##0€")," - ",TEXT(OFFSET(Z123,0,0),"#.##0€"))</f>
        <v>#VALUE!</v>
      </c>
      <c r="AD123" s="270"/>
      <c r="AE123" s="271" t="n">
        <f aca="false">AE122+$AF$115</f>
        <v>0.00985087176457119</v>
      </c>
      <c r="AF123" s="274" t="n">
        <f aca="true">COUNTIFS(aux!AJ5:AJ132,CONCATENATE("&lt;=",TEXT(OFFSET(AE123,0,0),"0,0000")),aux!AJ5:AJ132,CONCATENATE("&gt;", TEXT(OFFSET(AE122,0,0),"0,0000")))</f>
        <v>0</v>
      </c>
      <c r="AG123" s="224" t="str">
        <f aca="true">CONCATENATE( TEXT(OFFSET(AE122,0,0),"0,####")," - ",TEXT(OFFSET(AE123,0,0),"0,####"))</f>
        <v>0 - 0</v>
      </c>
      <c r="AI123" s="224" t="e">
        <f aca="false">MID(#REF!,5,LEN(#REF!)-4)</f>
        <v>#REF!</v>
      </c>
      <c r="AJ123" s="224" t="e">
        <f aca="false">#REF!</f>
        <v>#REF!</v>
      </c>
      <c r="AK123" s="224" t="e">
        <f aca="false">_xlfn.RANK.EQ(#REF!,#REF!)</f>
        <v>#REF!</v>
      </c>
      <c r="AL123" s="223" t="e">
        <f aca="false">#REF!</f>
        <v>#REF!</v>
      </c>
      <c r="AM123" s="272" t="e">
        <f aca="false">_xlfn.RANK.EQ(#REF!,#REF!)</f>
        <v>#REF!</v>
      </c>
      <c r="AN123" s="223" t="n">
        <v>1018203.41228331</v>
      </c>
      <c r="AO123" s="224" t="e">
        <f aca="false">_xlfn.RANK.EQ(#REF!,#REF!)</f>
        <v>#REF!</v>
      </c>
      <c r="AP123" s="224" t="n">
        <v>19</v>
      </c>
      <c r="AQ123" s="223" t="e">
        <f aca="false">#REF!</f>
        <v>#REF!</v>
      </c>
      <c r="AR123" s="224" t="n">
        <v>9</v>
      </c>
      <c r="AS123" s="224" t="e">
        <f aca="false">INDEX(AI$115:AI$135,MATCH(AR123,AK$115:AK$135,0))</f>
        <v>#N/A</v>
      </c>
      <c r="AT123" s="223" t="e">
        <f aca="false">INDEX(AL$115:AL$135,MATCH(AR123,AK$115:AK$135,0))</f>
        <v>#N/A</v>
      </c>
      <c r="AU123" s="224" t="e">
        <f aca="false">INDEX(AI$115:AI$135,MATCH(AR123,AO$115:AO$135,0))</f>
        <v>#N/A</v>
      </c>
      <c r="AV123" s="223" t="e">
        <f aca="false">INDEX(AQ$115:AQ$135,MATCH(AR123,AO$115:AO$135,0))</f>
        <v>#N/A</v>
      </c>
      <c r="AW123" s="223" t="e">
        <f aca="false">INDEX(AN$115:AN$135,MATCH(AU123,AI$115:AI$135,0))</f>
        <v>#N/A</v>
      </c>
      <c r="AY123" s="224" t="e">
        <f aca="false">INDEX(AI$115:AI$135,MATCH(AR123,AP$115:AP$135,0))</f>
        <v>#REF!</v>
      </c>
      <c r="AZ123" s="223" t="e">
        <f aca="false">INDEX(AQ$115:AQ$135,MATCH(AR123,AP$115:AP$135,0))</f>
        <v>#REF!</v>
      </c>
      <c r="BA123" s="223" t="n">
        <f aca="false">INDEX(AN$115:AN$135,MATCH(AR123,AP$115:AP$135,0))</f>
        <v>1519082.74901217</v>
      </c>
      <c r="BB123" s="223" t="e">
        <f aca="false">INDEX(AI$115:AI$135,MATCH(AR123,AP$115:AP$135,0))</f>
        <v>#REF!</v>
      </c>
      <c r="BC123" s="224" t="e">
        <f aca="false">INDEX(AJ$115:AJ$135,MATCH(AY123,AI$115:AI$135,0))</f>
        <v>#REF!</v>
      </c>
    </row>
    <row r="124" s="224" customFormat="true" ht="15" hidden="false" customHeight="false" outlineLevel="0" collapsed="false">
      <c r="A124" s="262" t="n">
        <f aca="false">A118-A117</f>
        <v>0.0348160128681461</v>
      </c>
      <c r="B124" s="266" t="n">
        <f aca="false">B118-B117</f>
        <v>0.0348160128681461</v>
      </c>
      <c r="C124" s="266" t="n">
        <f aca="false">C118-C117</f>
        <v>10973.8734553225</v>
      </c>
      <c r="D124" s="265" t="n">
        <f aca="false">D118-D117</f>
        <v>0.0162487579636449</v>
      </c>
      <c r="E124" s="266" t="n">
        <f aca="false">E118-E117</f>
        <v>634</v>
      </c>
      <c r="F124" s="266" t="n">
        <f aca="false">F118-F117</f>
        <v>10973.8734553225</v>
      </c>
      <c r="G124" s="267" t="n">
        <f aca="false">G118-G117</f>
        <v>1.87</v>
      </c>
      <c r="H124" s="267" t="n">
        <f aca="false">H118-H117</f>
        <v>1.815</v>
      </c>
      <c r="I124" s="229" t="n">
        <f aca="false">I118-I117</f>
        <v>0.0106370646865762</v>
      </c>
      <c r="J124" s="262" t="n">
        <f aca="false">J118-J117</f>
        <v>0.00318516046097003</v>
      </c>
      <c r="K124" s="262" t="n">
        <f aca="false">K118-K117</f>
        <v>1.12092762153751E-005</v>
      </c>
      <c r="L124" s="262" t="n">
        <f aca="false">L118-L117</f>
        <v>0.0017433229741283</v>
      </c>
      <c r="M124" s="262" t="n">
        <f aca="false">M118-M117</f>
        <v>1.34153684049785E-005</v>
      </c>
      <c r="N124" s="267" t="n">
        <f aca="false">N118-N117</f>
        <v>31746.125</v>
      </c>
      <c r="O124" s="265" t="n">
        <f aca="false">O118-O117</f>
        <v>0.0252802672577174</v>
      </c>
      <c r="P124" s="265" t="n">
        <f aca="false">P118-P117</f>
        <v>0.0209892714570858</v>
      </c>
      <c r="Q124" s="268" t="e">
        <f aca="false">Q118-Q117</f>
        <v>#REF!</v>
      </c>
      <c r="R124" s="262" t="n">
        <f aca="false">R118-R117</f>
        <v>0.00143619420122627</v>
      </c>
      <c r="S124" s="268" t="e">
        <f aca="false">S118-S117</f>
        <v>#REF!</v>
      </c>
      <c r="U124" s="273" t="e">
        <f aca="false">U123+$V$115</f>
        <v>#VALUE!</v>
      </c>
      <c r="V124" s="224" t="e">
        <f aca="false">COUNTIFS(#REF!,CONCATENATE("&lt;",TEXT(1+OFFSET(U124,0,0),"0")),#REF!,CONCATENATE("&gt;=", TEXT(OFFSET(U123,0,0),"0")))</f>
        <v>#VALUE!</v>
      </c>
      <c r="W124" s="224" t="e">
        <f aca="true">CONCATENATE( TEXT(OFFSET(U123,0,0)+1,"#.##0€")," - ",TEXT(OFFSET(U124,0,0),"#.##0€"))</f>
        <v>#VALUE!</v>
      </c>
      <c r="Z124" s="273" t="e">
        <f aca="false">Z123+$AA$115</f>
        <v>#VALUE!</v>
      </c>
      <c r="AA124" s="224" t="e">
        <f aca="false">COUNTIFS(#REF!,CONCATENATE("&lt;",TEXT(1+OFFSET(Z124,0,0),"0")),#REF!,CONCATENATE("&gt;=", TEXT(OFFSET(Z123,0,0),"0")))</f>
        <v>#VALUE!</v>
      </c>
      <c r="AB124" s="224" t="e">
        <f aca="false">COUNTIFS(#REF!,CONCATENATE("&lt;",TEXT(1+OFFSET(Z124,0,0),"0")),#REF!,CONCATENATE("&gt;=", TEXT(OFFSET(Z123,0,0),"0")))</f>
        <v>#VALUE!</v>
      </c>
      <c r="AC124" s="224" t="e">
        <f aca="true">CONCATENATE( TEXT(OFFSET(Z123,0,0)+1,"#.##0€")," - ",TEXT(OFFSET(Z124,0,0),"#.##0€"))</f>
        <v>#VALUE!</v>
      </c>
      <c r="AD124" s="270"/>
      <c r="AE124" s="271" t="n">
        <f aca="false">AE123+$AF$115</f>
        <v>0.0105031915888604</v>
      </c>
      <c r="AF124" s="274" t="n">
        <f aca="true">COUNTIFS(aux!AJ5:AJ132,CONCATENATE("&lt;=",TEXT(OFFSET(AE124,0,0),"0,0000")),aux!AJ5:AJ132,CONCATENATE("&gt;", TEXT(OFFSET(AE123,0,0),"0,0000")))</f>
        <v>0</v>
      </c>
      <c r="AG124" s="224" t="str">
        <f aca="true">CONCATENATE( TEXT(OFFSET(AE123,0,0),"0,####")," - ",TEXT(OFFSET(AE124,0,0),"0,####"))</f>
        <v>0 - 0</v>
      </c>
      <c r="AI124" s="224" t="e">
        <f aca="false">MID(#REF!,5,LEN(#REF!)-4)</f>
        <v>#REF!</v>
      </c>
      <c r="AJ124" s="224" t="e">
        <f aca="false">#REF!</f>
        <v>#REF!</v>
      </c>
      <c r="AK124" s="224" t="e">
        <f aca="false">_xlfn.RANK.EQ(#REF!,#REF!)</f>
        <v>#REF!</v>
      </c>
      <c r="AL124" s="223" t="e">
        <f aca="false">#REF!</f>
        <v>#REF!</v>
      </c>
      <c r="AM124" s="272" t="e">
        <f aca="false">_xlfn.RANK.EQ(#REF!,#REF!)</f>
        <v>#REF!</v>
      </c>
      <c r="AN124" s="223" t="n">
        <v>1850033.1178768</v>
      </c>
      <c r="AO124" s="224" t="e">
        <f aca="false">_xlfn.RANK.EQ(#REF!,#REF!)</f>
        <v>#REF!</v>
      </c>
      <c r="AP124" s="224" t="n">
        <v>5</v>
      </c>
      <c r="AQ124" s="223" t="e">
        <f aca="false">#REF!</f>
        <v>#REF!</v>
      </c>
      <c r="AR124" s="224" t="n">
        <v>10</v>
      </c>
      <c r="AS124" s="224" t="e">
        <f aca="false">INDEX(AI$115:AI$135,MATCH(AR124,AK$115:AK$135,0))</f>
        <v>#N/A</v>
      </c>
      <c r="AT124" s="223" t="e">
        <f aca="false">INDEX(AL$115:AL$135,MATCH(AR124,AK$115:AK$135,0))</f>
        <v>#N/A</v>
      </c>
      <c r="AU124" s="224" t="e">
        <f aca="false">INDEX(AI$115:AI$135,MATCH(AR124,AO$115:AO$135,0))</f>
        <v>#N/A</v>
      </c>
      <c r="AV124" s="223" t="e">
        <f aca="false">INDEX(AQ$115:AQ$135,MATCH(AR124,AO$115:AO$135,0))</f>
        <v>#N/A</v>
      </c>
      <c r="AW124" s="223" t="e">
        <f aca="false">INDEX(AN$115:AN$135,MATCH(AU124,AI$115:AI$135,0))</f>
        <v>#N/A</v>
      </c>
      <c r="AY124" s="224" t="e">
        <f aca="false">INDEX(AI$115:AI$135,MATCH(AR124,AP$115:AP$135,0))</f>
        <v>#REF!</v>
      </c>
      <c r="AZ124" s="223" t="e">
        <f aca="false">INDEX(AQ$115:AQ$135,MATCH(AR124,AP$115:AP$135,0))</f>
        <v>#REF!</v>
      </c>
      <c r="BA124" s="223" t="n">
        <f aca="false">INDEX(AN$115:AN$135,MATCH(AR124,AP$115:AP$135,0))</f>
        <v>1495786.03567595</v>
      </c>
      <c r="BB124" s="223" t="e">
        <f aca="false">INDEX(AI$115:AI$135,MATCH(AR124,AP$115:AP$135,0))</f>
        <v>#REF!</v>
      </c>
      <c r="BC124" s="224" t="e">
        <f aca="false">INDEX(AJ$115:AJ$135,MATCH(AY124,AI$115:AI$135,0))</f>
        <v>#REF!</v>
      </c>
    </row>
    <row r="125" s="224" customFormat="true" ht="15" hidden="false" customHeight="false" outlineLevel="0" collapsed="false">
      <c r="A125" s="262" t="n">
        <f aca="false">A119-A118</f>
        <v>0.187009875214805</v>
      </c>
      <c r="B125" s="266" t="n">
        <f aca="false">B119-B118</f>
        <v>0.187009875214805</v>
      </c>
      <c r="C125" s="266" t="n">
        <f aca="false">C119-C118</f>
        <v>64655.3962459471</v>
      </c>
      <c r="D125" s="265" t="n">
        <f aca="false">D119-D118</f>
        <v>0.0479864398854404</v>
      </c>
      <c r="E125" s="266" t="n">
        <f aca="false">E119-E118</f>
        <v>2097</v>
      </c>
      <c r="F125" s="266" t="n">
        <f aca="false">F119-F118</f>
        <v>64655.3962459471</v>
      </c>
      <c r="G125" s="267" t="n">
        <f aca="false">G119-G118</f>
        <v>4.54</v>
      </c>
      <c r="H125" s="267" t="n">
        <f aca="false">H119-H118</f>
        <v>6.135</v>
      </c>
      <c r="I125" s="229" t="n">
        <f aca="false">I119-I118</f>
        <v>0.0201505378052791</v>
      </c>
      <c r="J125" s="262" t="n">
        <f aca="false">J119-J118</f>
        <v>0.0072902662521122</v>
      </c>
      <c r="K125" s="262" t="n">
        <f aca="false">K119-K118</f>
        <v>1.24313383328594E-005</v>
      </c>
      <c r="L125" s="262" t="n">
        <f aca="false">L119-L118</f>
        <v>0.00423735194284012</v>
      </c>
      <c r="M125" s="262" t="n">
        <f aca="false">M119-M118</f>
        <v>1.98064478118846E-005</v>
      </c>
      <c r="N125" s="267" t="n">
        <f aca="false">N119-N118</f>
        <v>270439.235</v>
      </c>
      <c r="O125" s="265" t="n">
        <f aca="false">O119-O118</f>
        <v>0.0516526934566831</v>
      </c>
      <c r="P125" s="265" t="n">
        <f aca="false">P119-P118</f>
        <v>0.0511788922155689</v>
      </c>
      <c r="Q125" s="268" t="e">
        <f aca="false">Q119-Q118</f>
        <v>#REF!</v>
      </c>
      <c r="R125" s="262" t="n">
        <f aca="false">R119-R118</f>
        <v>0.00303662313735686</v>
      </c>
      <c r="S125" s="268" t="e">
        <f aca="false">S119-S118</f>
        <v>#REF!</v>
      </c>
      <c r="U125" s="273" t="e">
        <f aca="false">U124+$V$115</f>
        <v>#VALUE!</v>
      </c>
      <c r="V125" s="224" t="e">
        <f aca="false">COUNTIFS(#REF!,CONCATENATE("&lt;",TEXT(1+OFFSET(U125,0,0),"0")),#REF!,CONCATENATE("&gt;=", TEXT(OFFSET(U124,0,0),"0")))</f>
        <v>#VALUE!</v>
      </c>
      <c r="W125" s="224" t="e">
        <f aca="true">CONCATENATE( TEXT(OFFSET(U124,0,0)+1,"#.##0€")," - ",TEXT(OFFSET(U125,0,0),"#.##0€"))</f>
        <v>#VALUE!</v>
      </c>
      <c r="Z125" s="273" t="e">
        <f aca="false">Z124+$AA$115</f>
        <v>#VALUE!</v>
      </c>
      <c r="AA125" s="224" t="e">
        <f aca="false">COUNTIFS(#REF!,CONCATENATE("&lt;",TEXT(1+OFFSET(Z125,0,0),"0")),#REF!,CONCATENATE("&gt;=", TEXT(OFFSET(Z124,0,0),"0")))</f>
        <v>#VALUE!</v>
      </c>
      <c r="AB125" s="224" t="e">
        <f aca="false">COUNTIFS(#REF!,CONCATENATE("&lt;",TEXT(1+OFFSET(Z125,0,0),"0")),#REF!,CONCATENATE("&gt;=", TEXT(OFFSET(Z124,0,0),"0")))</f>
        <v>#VALUE!</v>
      </c>
      <c r="AC125" s="224" t="e">
        <f aca="true">CONCATENATE( TEXT(OFFSET(Z124,0,0)+1,"#.##0€")," - ",TEXT(OFFSET(Z125,0,0),"#.##0€"))</f>
        <v>#VALUE!</v>
      </c>
      <c r="AD125" s="270"/>
      <c r="AE125" s="271" t="n">
        <f aca="false">AE124+$AF$115</f>
        <v>0.0111555114131495</v>
      </c>
      <c r="AF125" s="274" t="n">
        <f aca="true">COUNTIFS(aux!AJ5:AJ132,CONCATENATE("&lt;=",TEXT(OFFSET(AE125,0,0),"0,0000")),aux!AJ5:AJ132,CONCATENATE("&gt;", TEXT(OFFSET(AE124,0,0),"0,0000")))</f>
        <v>0</v>
      </c>
      <c r="AG125" s="224" t="str">
        <f aca="true">CONCATENATE( TEXT(OFFSET(AE124,0,0),"0,####")," - ",TEXT(OFFSET(AE125,0,0),"0,####"))</f>
        <v>0 - 0</v>
      </c>
      <c r="AI125" s="224" t="e">
        <f aca="false">MID(#REF!,5,LEN(#REF!)-4)</f>
        <v>#REF!</v>
      </c>
      <c r="AJ125" s="224" t="e">
        <f aca="false">#REF!</f>
        <v>#REF!</v>
      </c>
      <c r="AK125" s="224" t="e">
        <f aca="false">_xlfn.RANK.EQ(#REF!,#REF!)</f>
        <v>#REF!</v>
      </c>
      <c r="AL125" s="223" t="e">
        <f aca="false">#REF!</f>
        <v>#REF!</v>
      </c>
      <c r="AM125" s="272" t="e">
        <f aca="false">_xlfn.RANK.EQ(#REF!,#REF!)</f>
        <v>#REF!</v>
      </c>
      <c r="AN125" s="223" t="n">
        <v>2124112.09830299</v>
      </c>
      <c r="AO125" s="224" t="e">
        <f aca="false">_xlfn.RANK.EQ(#REF!,#REF!)</f>
        <v>#REF!</v>
      </c>
      <c r="AP125" s="224" t="n">
        <v>4</v>
      </c>
      <c r="AQ125" s="223" t="e">
        <f aca="false">#REF!</f>
        <v>#REF!</v>
      </c>
      <c r="AR125" s="224" t="n">
        <v>11</v>
      </c>
      <c r="AS125" s="224" t="e">
        <f aca="false">INDEX(AI$115:AI$135,MATCH(AR125,AK$115:AK$135,0))</f>
        <v>#N/A</v>
      </c>
      <c r="AT125" s="223" t="e">
        <f aca="false">INDEX(AL$115:AL$135,MATCH(AR125,AK$115:AK$135,0))</f>
        <v>#N/A</v>
      </c>
      <c r="AU125" s="224" t="e">
        <f aca="false">INDEX(AI$115:AI$135,MATCH(AR125,AO$115:AO$135,0))</f>
        <v>#N/A</v>
      </c>
      <c r="AV125" s="223" t="e">
        <f aca="false">INDEX(AQ$115:AQ$135,MATCH(AR125,AO$115:AO$135,0))</f>
        <v>#N/A</v>
      </c>
      <c r="AW125" s="223" t="e">
        <f aca="false">INDEX(AN$115:AN$135,MATCH(AU125,AI$115:AI$135,0))</f>
        <v>#N/A</v>
      </c>
      <c r="AY125" s="224" t="e">
        <f aca="false">INDEX(AI$115:AI$135,MATCH(AR125,AP$115:AP$135,0))</f>
        <v>#REF!</v>
      </c>
      <c r="AZ125" s="223" t="e">
        <f aca="false">INDEX(AQ$115:AQ$135,MATCH(AR125,AP$115:AP$135,0))</f>
        <v>#REF!</v>
      </c>
      <c r="BA125" s="223" t="n">
        <f aca="false">INDEX(AN$115:AN$135,MATCH(AR125,AP$115:AP$135,0))</f>
        <v>1519082.74901217</v>
      </c>
      <c r="BB125" s="223" t="e">
        <f aca="false">INDEX(AI$115:AI$135,MATCH(AR125,AP$115:AP$135,0))</f>
        <v>#REF!</v>
      </c>
      <c r="BC125" s="224" t="e">
        <f aca="false">INDEX(AJ$115:AJ$135,MATCH(AY125,AI$115:AI$135,0))</f>
        <v>#REF!</v>
      </c>
    </row>
    <row r="126" s="224" customFormat="true" ht="15" hidden="false" customHeight="false" outlineLevel="0" collapsed="false">
      <c r="A126" s="267"/>
      <c r="B126" s="266"/>
      <c r="C126" s="266"/>
      <c r="D126" s="266"/>
      <c r="E126" s="266"/>
      <c r="F126" s="266"/>
      <c r="G126" s="267"/>
      <c r="H126" s="267"/>
      <c r="I126" s="229"/>
      <c r="J126" s="229"/>
      <c r="K126" s="229"/>
      <c r="L126" s="229"/>
      <c r="M126" s="229"/>
      <c r="N126" s="118"/>
      <c r="O126" s="118"/>
      <c r="P126" s="118"/>
      <c r="Q126" s="267"/>
      <c r="R126" s="262"/>
      <c r="S126" s="262"/>
      <c r="U126" s="273" t="e">
        <f aca="false">U125+$V$115</f>
        <v>#VALUE!</v>
      </c>
      <c r="V126" s="224" t="e">
        <f aca="false">COUNTIF(#REF!,CONCATENATE("&gt;=", TEXT(OFFSET(U125,0,0),"0")))</f>
        <v>#VALUE!</v>
      </c>
      <c r="W126" s="224" t="e">
        <f aca="true">CONCATENATE( TEXT(OFFSET(U125,0,0)+1,"#.##0€")," - ",TEXT(OFFSET(U126,0,0),"#.##0€"))</f>
        <v>#VALUE!</v>
      </c>
      <c r="Z126" s="273" t="e">
        <f aca="false">Z125+$AA$115</f>
        <v>#VALUE!</v>
      </c>
      <c r="AA126" s="224" t="e">
        <f aca="false">COUNTIF(#REF!,CONCATENATE("&gt;=", TEXT(OFFSET(Z125,0,0),"0")))</f>
        <v>#VALUE!</v>
      </c>
      <c r="AB126" s="224" t="e">
        <f aca="false">COUNTIF(#REF!,CONCATENATE("&gt;=", TEXT(OFFSET(Z125,0,0),"0")))</f>
        <v>#VALUE!</v>
      </c>
      <c r="AC126" s="224" t="e">
        <f aca="true">CONCATENATE( TEXT(OFFSET(Z125,0,0)+1,"#.##0€")," - ",TEXT(OFFSET(Z126,0,0),"#.##0€"))</f>
        <v>#VALUE!</v>
      </c>
      <c r="AD126" s="270"/>
      <c r="AE126" s="271" t="n">
        <f aca="false">AE125+$AF$115</f>
        <v>0.0118078312374387</v>
      </c>
      <c r="AF126" s="274" t="n">
        <f aca="true">COUNTIF(aux!AJ5:AJ132,CONCATENATE("&gt;", TEXT(OFFSET(AE125,0,0),"0,0000")))</f>
        <v>128</v>
      </c>
      <c r="AG126" s="224" t="str">
        <f aca="true">CONCATENATE( TEXT(OFFSET(AE125,0,0),"0,####")," - ",TEXT(OFFSET(AE126,0,0),"0,####"))</f>
        <v>0 - 0</v>
      </c>
      <c r="AI126" s="224" t="e">
        <f aca="false">MID(#REF!,5,LEN(#REF!)-4)</f>
        <v>#REF!</v>
      </c>
      <c r="AJ126" s="224" t="e">
        <f aca="false">#REF!</f>
        <v>#REF!</v>
      </c>
      <c r="AK126" s="224" t="e">
        <f aca="false">_xlfn.RANK.EQ(#REF!,#REF!)</f>
        <v>#REF!</v>
      </c>
      <c r="AL126" s="223" t="e">
        <f aca="false">#REF!</f>
        <v>#REF!</v>
      </c>
      <c r="AM126" s="272" t="e">
        <f aca="false">_xlfn.RANK.EQ(#REF!,#REF!)</f>
        <v>#REF!</v>
      </c>
      <c r="AN126" s="223" t="n">
        <v>1967201.882009</v>
      </c>
      <c r="AO126" s="224" t="e">
        <f aca="false">_xlfn.RANK.EQ(#REF!,#REF!)</f>
        <v>#REF!</v>
      </c>
      <c r="AP126" s="224" t="n">
        <v>3</v>
      </c>
      <c r="AQ126" s="223" t="e">
        <f aca="false">#REF!</f>
        <v>#REF!</v>
      </c>
      <c r="AR126" s="224" t="n">
        <v>12</v>
      </c>
      <c r="AS126" s="224" t="e">
        <f aca="false">INDEX(AI$115:AI$135,MATCH(AR126,AK$115:AK$135,0))</f>
        <v>#N/A</v>
      </c>
      <c r="AT126" s="223" t="e">
        <f aca="false">INDEX(AL$115:AL$135,MATCH(AR126,AK$115:AK$135,0))</f>
        <v>#N/A</v>
      </c>
      <c r="AU126" s="224" t="e">
        <f aca="false">INDEX(AI$115:AI$135,MATCH(AR126,AO$115:AO$135,0))</f>
        <v>#N/A</v>
      </c>
      <c r="AV126" s="223" t="e">
        <f aca="false">INDEX(AQ$115:AQ$135,MATCH(AR126,AO$115:AO$135,0))</f>
        <v>#N/A</v>
      </c>
      <c r="AW126" s="223" t="e">
        <f aca="false">INDEX(AN$115:AN$135,MATCH(AU126,AI$115:AI$135,0))</f>
        <v>#N/A</v>
      </c>
      <c r="AY126" s="224" t="e">
        <f aca="false">INDEX(AI$115:AI$135,MATCH(AR126,AP$115:AP$135,0))</f>
        <v>#REF!</v>
      </c>
      <c r="AZ126" s="223" t="e">
        <f aca="false">INDEX(AQ$115:AQ$135,MATCH(AR126,AP$115:AP$135,0))</f>
        <v>#REF!</v>
      </c>
      <c r="BA126" s="223" t="n">
        <f aca="false">INDEX(AN$115:AN$135,MATCH(AR126,AP$115:AP$135,0))</f>
        <v>1248429.75584131</v>
      </c>
      <c r="BB126" s="223" t="e">
        <f aca="false">INDEX(AI$115:AI$135,MATCH(AR126,AP$115:AP$135,0))</f>
        <v>#REF!</v>
      </c>
      <c r="BC126" s="224" t="e">
        <f aca="false">INDEX(AJ$115:AJ$135,MATCH(AY126,AI$115:AI$135,0))</f>
        <v>#REF!</v>
      </c>
    </row>
    <row r="127" s="224" customFormat="true" ht="15" hidden="false" customHeight="false" outlineLevel="0" collapsed="false">
      <c r="E127" s="223"/>
      <c r="F127" s="223"/>
      <c r="H127" s="275"/>
      <c r="AI127" s="224" t="e">
        <f aca="false">MID(#REF!,5,LEN(#REF!)-4)</f>
        <v>#REF!</v>
      </c>
      <c r="AJ127" s="224" t="e">
        <f aca="false">#REF!</f>
        <v>#REF!</v>
      </c>
      <c r="AK127" s="224" t="e">
        <f aca="false">_xlfn.RANK.EQ(#REF!,#REF!)</f>
        <v>#REF!</v>
      </c>
      <c r="AL127" s="223" t="e">
        <f aca="false">#REF!</f>
        <v>#REF!</v>
      </c>
      <c r="AM127" s="272" t="e">
        <f aca="false">_xlfn.RANK.EQ(#REF!,#REF!)</f>
        <v>#REF!</v>
      </c>
      <c r="AN127" s="223" t="n">
        <v>2192631.84340954</v>
      </c>
      <c r="AO127" s="224" t="e">
        <f aca="false">_xlfn.RANK.EQ(#REF!,#REF!)</f>
        <v>#REF!</v>
      </c>
      <c r="AP127" s="224" t="n">
        <v>1</v>
      </c>
      <c r="AQ127" s="223" t="e">
        <f aca="false">#REF!</f>
        <v>#REF!</v>
      </c>
      <c r="AR127" s="224" t="n">
        <v>13</v>
      </c>
      <c r="AS127" s="224" t="e">
        <f aca="false">INDEX(AI$115:AI$135,MATCH(AR127,AK$115:AK$135,0))</f>
        <v>#N/A</v>
      </c>
      <c r="AT127" s="223" t="e">
        <f aca="false">INDEX(AL$115:AL$135,MATCH(AR127,AK$115:AK$135,0))</f>
        <v>#N/A</v>
      </c>
      <c r="AU127" s="224" t="e">
        <f aca="false">INDEX(AI$115:AI$135,MATCH(AR127,AO$115:AO$135,0))</f>
        <v>#N/A</v>
      </c>
      <c r="AV127" s="223" t="e">
        <f aca="false">INDEX(AQ$115:AQ$135,MATCH(AR127,AO$115:AO$135,0))</f>
        <v>#N/A</v>
      </c>
      <c r="AW127" s="223" t="e">
        <f aca="false">INDEX(AN$115:AN$135,MATCH(AU127,AI$115:AI$135,0))</f>
        <v>#N/A</v>
      </c>
      <c r="AY127" s="224" t="e">
        <f aca="false">INDEX(AI$115:AI$135,MATCH(AR127,AP$115:AP$135,0))</f>
        <v>#REF!</v>
      </c>
      <c r="AZ127" s="223" t="e">
        <f aca="false">INDEX(AQ$115:AQ$135,MATCH(AR127,AP$115:AP$135,0))</f>
        <v>#REF!</v>
      </c>
      <c r="BA127" s="223" t="n">
        <f aca="false">INDEX(AN$115:AN$135,MATCH(AR127,AP$115:AP$135,0))</f>
        <v>1086723.15738985</v>
      </c>
      <c r="BB127" s="223" t="e">
        <f aca="false">INDEX(AI$115:AI$135,MATCH(AR127,AP$115:AP$135,0))</f>
        <v>#REF!</v>
      </c>
      <c r="BC127" s="224" t="e">
        <f aca="false">INDEX(AJ$115:AJ$135,MATCH(AY127,AI$115:AI$135,0))</f>
        <v>#REF!</v>
      </c>
    </row>
    <row r="128" s="224" customFormat="true" ht="15" hidden="false" customHeight="false" outlineLevel="0" collapsed="false">
      <c r="E128" s="223"/>
      <c r="F128" s="223"/>
      <c r="H128" s="275"/>
      <c r="AI128" s="224" t="e">
        <f aca="false">MID(#REF!,5,LEN(#REF!)-4)</f>
        <v>#REF!</v>
      </c>
      <c r="AJ128" s="224" t="e">
        <f aca="false">#REF!</f>
        <v>#REF!</v>
      </c>
      <c r="AK128" s="224" t="e">
        <f aca="false">_xlfn.RANK.EQ(#REF!,#REF!)</f>
        <v>#REF!</v>
      </c>
      <c r="AL128" s="223" t="e">
        <f aca="false">#REF!</f>
        <v>#REF!</v>
      </c>
      <c r="AM128" s="272" t="e">
        <f aca="false">_xlfn.RANK.EQ(#REF!,#REF!)</f>
        <v>#REF!</v>
      </c>
      <c r="AN128" s="223" t="n">
        <v>1519082.74901217</v>
      </c>
      <c r="AO128" s="224" t="e">
        <f aca="false">_xlfn.RANK.EQ(#REF!,#REF!)</f>
        <v>#REF!</v>
      </c>
      <c r="AP128" s="224" t="n">
        <v>11</v>
      </c>
      <c r="AQ128" s="223" t="e">
        <f aca="false">#REF!</f>
        <v>#REF!</v>
      </c>
      <c r="AR128" s="224" t="n">
        <v>14</v>
      </c>
      <c r="AS128" s="224" t="e">
        <f aca="false">INDEX(AI$115:AI$135,MATCH(AR128,AK$115:AK$135,0))</f>
        <v>#N/A</v>
      </c>
      <c r="AT128" s="223" t="e">
        <f aca="false">INDEX(AL$115:AL$135,MATCH(AR128,AK$115:AK$135,0))</f>
        <v>#N/A</v>
      </c>
      <c r="AU128" s="224" t="e">
        <f aca="false">INDEX(AI$115:AI$135,MATCH(AR128,AO$115:AO$135,0))</f>
        <v>#N/A</v>
      </c>
      <c r="AV128" s="223" t="e">
        <f aca="false">INDEX(AQ$115:AQ$135,MATCH(AR128,AO$115:AO$135,0))</f>
        <v>#N/A</v>
      </c>
      <c r="AW128" s="223" t="e">
        <f aca="false">INDEX(AN$115:AN$135,MATCH(AU128,AI$115:AI$135,0))</f>
        <v>#N/A</v>
      </c>
      <c r="AY128" s="224" t="e">
        <f aca="false">INDEX(AI$115:AI$135,MATCH(AR128,AP$115:AP$135,0))</f>
        <v>#REF!</v>
      </c>
      <c r="AZ128" s="223" t="e">
        <f aca="false">INDEX(AQ$115:AQ$135,MATCH(AR128,AP$115:AP$135,0))</f>
        <v>#REF!</v>
      </c>
      <c r="BA128" s="223" t="n">
        <f aca="false">INDEX(AN$115:AN$135,MATCH(AR128,AP$115:AP$135,0))</f>
        <v>1164835.66681132</v>
      </c>
      <c r="BB128" s="223" t="e">
        <f aca="false">INDEX(AI$115:AI$135,MATCH(AR128,AP$115:AP$135,0))</f>
        <v>#REF!</v>
      </c>
      <c r="BC128" s="224" t="e">
        <f aca="false">INDEX(AJ$115:AJ$135,MATCH(AY128,AI$115:AI$135,0))</f>
        <v>#REF!</v>
      </c>
      <c r="BE128" s="118"/>
      <c r="BF128" s="118"/>
    </row>
    <row r="129" s="224" customFormat="true" ht="15" hidden="false" customHeight="false" outlineLevel="0" collapsed="false">
      <c r="E129" s="223"/>
      <c r="F129" s="223"/>
      <c r="H129" s="267"/>
      <c r="AI129" s="224" t="e">
        <f aca="false">MID(#REF!,5,LEN(#REF!)-4)</f>
        <v>#REF!</v>
      </c>
      <c r="AJ129" s="224" t="e">
        <f aca="false">#REF!</f>
        <v>#REF!</v>
      </c>
      <c r="AK129" s="224" t="e">
        <f aca="false">_xlfn.RANK.EQ(#REF!,#REF!)</f>
        <v>#REF!</v>
      </c>
      <c r="AL129" s="223" t="e">
        <f aca="false">#REF!</f>
        <v>#REF!</v>
      </c>
      <c r="AM129" s="272" t="e">
        <f aca="false">_xlfn.RANK.EQ(#REF!,#REF!)</f>
        <v>#REF!</v>
      </c>
      <c r="AN129" s="223" t="n">
        <v>1248429.75584131</v>
      </c>
      <c r="AO129" s="224" t="e">
        <f aca="false">_xlfn.RANK.EQ(#REF!,#REF!)</f>
        <v>#REF!</v>
      </c>
      <c r="AP129" s="224" t="n">
        <v>12</v>
      </c>
      <c r="AQ129" s="223" t="e">
        <f aca="false">#REF!</f>
        <v>#REF!</v>
      </c>
      <c r="AR129" s="224" t="n">
        <v>15</v>
      </c>
      <c r="AS129" s="224" t="e">
        <f aca="false">INDEX(AI$115:AI$135,MATCH(AR129,AK$115:AK$135,0))</f>
        <v>#N/A</v>
      </c>
      <c r="AT129" s="223" t="e">
        <f aca="false">INDEX(AL$115:AL$135,MATCH(AR129,AK$115:AK$135,0))</f>
        <v>#N/A</v>
      </c>
      <c r="AU129" s="224" t="e">
        <f aca="false">INDEX(AI$115:AI$135,MATCH(AR129,AO$115:AO$135,0))</f>
        <v>#N/A</v>
      </c>
      <c r="AV129" s="223" t="e">
        <f aca="false">INDEX(AQ$115:AQ$135,MATCH(AR129,AO$115:AO$135,0))</f>
        <v>#N/A</v>
      </c>
      <c r="AW129" s="223" t="e">
        <f aca="false">INDEX(AN$115:AN$135,MATCH(AU129,AI$115:AI$135,0))</f>
        <v>#N/A</v>
      </c>
      <c r="AY129" s="224" t="e">
        <f aca="false">INDEX(AI$115:AI$135,MATCH(AR129,AP$115:AP$135,0))</f>
        <v>#REF!</v>
      </c>
      <c r="AZ129" s="223" t="e">
        <f aca="false">INDEX(AQ$115:AQ$135,MATCH(AR129,AP$115:AP$135,0))</f>
        <v>#REF!</v>
      </c>
      <c r="BA129" s="223" t="n">
        <f aca="false">INDEX(AN$115:AN$135,MATCH(AR129,AP$115:AP$135,0))</f>
        <v>945572.482470365</v>
      </c>
      <c r="BB129" s="223" t="e">
        <f aca="false">INDEX(AI$115:AI$135,MATCH(AR129,AP$115:AP$135,0))</f>
        <v>#REF!</v>
      </c>
      <c r="BC129" s="224" t="e">
        <f aca="false">INDEX(AJ$115:AJ$135,MATCH(AY129,AI$115:AI$135,0))</f>
        <v>#REF!</v>
      </c>
      <c r="BE129" s="118"/>
      <c r="BF129" s="118"/>
    </row>
    <row r="130" customFormat="false" ht="15" hidden="false" customHeight="false" outlineLevel="0" collapsed="false">
      <c r="E130" s="223"/>
      <c r="F130" s="223"/>
      <c r="H130" s="267"/>
      <c r="AI130" s="224" t="e">
        <f aca="false">MID(#REF!,5,LEN(#REF!)-4)</f>
        <v>#REF!</v>
      </c>
      <c r="AJ130" s="224" t="e">
        <f aca="false">#REF!</f>
        <v>#REF!</v>
      </c>
      <c r="AK130" s="224" t="e">
        <f aca="false">_xlfn.RANK.EQ(#REF!,#REF!)</f>
        <v>#REF!</v>
      </c>
      <c r="AL130" s="223" t="e">
        <f aca="false">#REF!</f>
        <v>#REF!</v>
      </c>
      <c r="AM130" s="272" t="e">
        <f aca="false">_xlfn.RANK.EQ(#REF!,#REF!)</f>
        <v>#REF!</v>
      </c>
      <c r="AN130" s="223" t="n">
        <v>1164835.66681132</v>
      </c>
      <c r="AO130" s="224" t="e">
        <f aca="false">_xlfn.RANK.EQ(#REF!,#REF!)</f>
        <v>#REF!</v>
      </c>
      <c r="AP130" s="224" t="n">
        <v>14</v>
      </c>
      <c r="AQ130" s="223" t="e">
        <f aca="false">#REF!</f>
        <v>#REF!</v>
      </c>
      <c r="AR130" s="224" t="n">
        <v>16</v>
      </c>
      <c r="AS130" s="224" t="e">
        <f aca="false">INDEX(AI$115:AI$135,MATCH(AR130,AK$115:AK$135,0))</f>
        <v>#N/A</v>
      </c>
      <c r="AT130" s="223" t="e">
        <f aca="false">INDEX(AL$115:AL$135,MATCH(AR130,AK$115:AK$135,0))</f>
        <v>#N/A</v>
      </c>
      <c r="AU130" s="224" t="e">
        <f aca="false">INDEX(AI$115:AI$135,MATCH(AR130,AO$115:AO$135,0))</f>
        <v>#N/A</v>
      </c>
      <c r="AV130" s="223" t="e">
        <f aca="false">INDEX(AQ$115:AQ$135,MATCH(AR130,AO$115:AO$135,0))</f>
        <v>#N/A</v>
      </c>
      <c r="AW130" s="223" t="e">
        <f aca="false">INDEX(AN$115:AN$135,MATCH(AU130,AI$115:AI$135,0))</f>
        <v>#N/A</v>
      </c>
      <c r="AY130" s="224" t="e">
        <f aca="false">INDEX(AI$115:AI$135,MATCH(AR130,AP$115:AP$135,0))</f>
        <v>#REF!</v>
      </c>
      <c r="AZ130" s="223" t="e">
        <f aca="false">INDEX(AQ$115:AQ$135,MATCH(AR130,AP$115:AP$135,0))</f>
        <v>#REF!</v>
      </c>
      <c r="BA130" s="223" t="n">
        <f aca="false">INDEX(AN$115:AN$135,MATCH(AR130,AP$115:AP$135,0))</f>
        <v>1096315.92170477</v>
      </c>
      <c r="BB130" s="223" t="e">
        <f aca="false">INDEX(AI$115:AI$135,MATCH(AR130,AP$115:AP$135,0))</f>
        <v>#REF!</v>
      </c>
      <c r="BC130" s="224" t="e">
        <f aca="false">INDEX(AJ$115:AJ$135,MATCH(AY130,AI$115:AI$135,0))</f>
        <v>#REF!</v>
      </c>
      <c r="BE130" s="224"/>
      <c r="BF130" s="224"/>
    </row>
    <row r="131" customFormat="false" ht="15" hidden="false" customHeight="false" outlineLevel="0" collapsed="false">
      <c r="E131" s="223"/>
      <c r="F131" s="223"/>
      <c r="H131" s="267"/>
      <c r="AI131" s="224" t="e">
        <f aca="false">MID(#REF!,5,LEN(#REF!)-4)</f>
        <v>#REF!</v>
      </c>
      <c r="AJ131" s="224" t="e">
        <f aca="false">#REF!</f>
        <v>#REF!</v>
      </c>
      <c r="AK131" s="224" t="e">
        <f aca="false">_xlfn.RANK.EQ(#REF!,#REF!)</f>
        <v>#REF!</v>
      </c>
      <c r="AL131" s="223" t="e">
        <f aca="false">#REF!</f>
        <v>#REF!</v>
      </c>
      <c r="AM131" s="272" t="e">
        <f aca="false">_xlfn.RANK.EQ(#REF!,#REF!)</f>
        <v>#REF!</v>
      </c>
      <c r="AN131" s="223" t="n">
        <v>2110408.14928168</v>
      </c>
      <c r="AO131" s="224" t="e">
        <f aca="false">_xlfn.RANK.EQ(#REF!,#REF!)</f>
        <v>#REF!</v>
      </c>
      <c r="AP131" s="224" t="n">
        <v>2</v>
      </c>
      <c r="AQ131" s="223" t="e">
        <f aca="false">#REF!</f>
        <v>#REF!</v>
      </c>
      <c r="AR131" s="224" t="n">
        <v>17</v>
      </c>
      <c r="AS131" s="224" t="e">
        <f aca="false">INDEX(AI$115:AI$135,MATCH(AR131,AK$115:AK$135,0))</f>
        <v>#N/A</v>
      </c>
      <c r="AT131" s="223" t="e">
        <f aca="false">INDEX(AL$115:AL$135,MATCH(AR131,AK$115:AK$135,0))</f>
        <v>#N/A</v>
      </c>
      <c r="AU131" s="224" t="e">
        <f aca="false">INDEX(AI$115:AI$135,MATCH(AR131,AO$115:AO$135,0))</f>
        <v>#N/A</v>
      </c>
      <c r="AV131" s="223" t="e">
        <f aca="false">INDEX(AQ$115:AQ$135,MATCH(AR131,AO$115:AO$135,0))</f>
        <v>#N/A</v>
      </c>
      <c r="AW131" s="223" t="e">
        <f aca="false">INDEX(AN$115:AN$135,MATCH(AU131,AI$115:AI$135,0))</f>
        <v>#N/A</v>
      </c>
      <c r="AY131" s="224" t="e">
        <f aca="false">INDEX(AI$115:AI$135,MATCH(AR131,AP$115:AP$135,0))</f>
        <v>#REF!</v>
      </c>
      <c r="AZ131" s="223" t="e">
        <f aca="false">INDEX(AQ$115:AQ$135,MATCH(AR131,AP$115:AP$135,0))</f>
        <v>#REF!</v>
      </c>
      <c r="BA131" s="223" t="n">
        <f aca="false">INDEX(AN$115:AN$135,MATCH(AR131,AP$115:AP$135,0))</f>
        <v>856496.813831852</v>
      </c>
      <c r="BB131" s="223" t="e">
        <f aca="false">INDEX(AI$115:AI$135,MATCH(AR131,AP$115:AP$135,0))</f>
        <v>#REF!</v>
      </c>
      <c r="BC131" s="224" t="e">
        <f aca="false">INDEX(AJ$115:AJ$135,MATCH(AY131,AI$115:AI$135,0))</f>
        <v>#REF!</v>
      </c>
      <c r="BE131" s="224"/>
      <c r="BF131" s="224"/>
    </row>
    <row r="132" customFormat="false" ht="15" hidden="false" customHeight="false" outlineLevel="0" collapsed="false">
      <c r="E132" s="223"/>
      <c r="F132" s="223"/>
      <c r="AI132" s="224" t="e">
        <f aca="false">MID(#REF!,5,LEN(#REF!)-4)</f>
        <v>#REF!</v>
      </c>
      <c r="AJ132" s="224" t="e">
        <f aca="false">#REF!</f>
        <v>#REF!</v>
      </c>
      <c r="AK132" s="224" t="e">
        <f aca="false">_xlfn.RANK.EQ(#REF!,#REF!)</f>
        <v>#REF!</v>
      </c>
      <c r="AL132" s="223" t="e">
        <f aca="false">#REF!</f>
        <v>#REF!</v>
      </c>
      <c r="AM132" s="272" t="e">
        <f aca="false">_xlfn.RANK.EQ(#REF!,#REF!)</f>
        <v>#REF!</v>
      </c>
      <c r="AN132" s="223" t="n">
        <v>1918552.86298335</v>
      </c>
      <c r="AO132" s="224" t="e">
        <f aca="false">_xlfn.RANK.EQ(#REF!,#REF!)</f>
        <v>#REF!</v>
      </c>
      <c r="AP132" s="224" t="n">
        <v>6</v>
      </c>
      <c r="AQ132" s="223" t="e">
        <f aca="false">#REF!</f>
        <v>#REF!</v>
      </c>
      <c r="AR132" s="224" t="n">
        <v>18</v>
      </c>
      <c r="AS132" s="224" t="e">
        <f aca="false">INDEX(AI$115:AI$135,MATCH(AR132,AK$115:AK$135,0))</f>
        <v>#N/A</v>
      </c>
      <c r="AT132" s="223" t="e">
        <f aca="false">INDEX(AL$115:AL$135,MATCH(AR132,AK$115:AK$135,0))</f>
        <v>#N/A</v>
      </c>
      <c r="AU132" s="224" t="e">
        <f aca="false">INDEX(AI$115:AI$135,MATCH(AR132,AO$115:AO$135,0))</f>
        <v>#N/A</v>
      </c>
      <c r="AV132" s="223" t="e">
        <f aca="false">INDEX(AQ$115:AQ$135,MATCH(AR132,AO$115:AO$135,0))</f>
        <v>#N/A</v>
      </c>
      <c r="AW132" s="223" t="e">
        <f aca="false">INDEX(AN$115:AN$135,MATCH(AU132,AI$115:AI$135,0))</f>
        <v>#N/A</v>
      </c>
      <c r="AY132" s="224" t="e">
        <f aca="false">INDEX(AI$115:AI$135,MATCH(AR132,AP$115:AP$135,0))</f>
        <v>#REF!</v>
      </c>
      <c r="AZ132" s="223" t="e">
        <f aca="false">INDEX(AQ$115:AQ$135,MATCH(AR132,AP$115:AP$135,0))</f>
        <v>#REF!</v>
      </c>
      <c r="BA132" s="223" t="n">
        <f aca="false">INDEX(AN$115:AN$135,MATCH(AR132,AP$115:AP$135,0))</f>
        <v>810588.584610465</v>
      </c>
      <c r="BB132" s="223" t="e">
        <f aca="false">INDEX(AI$115:AI$135,MATCH(AR132,AP$115:AP$135,0))</f>
        <v>#REF!</v>
      </c>
      <c r="BC132" s="224" t="e">
        <f aca="false">INDEX(AJ$115:AJ$135,MATCH(AY132,AI$115:AI$135,0))</f>
        <v>#REF!</v>
      </c>
      <c r="BE132" s="224"/>
      <c r="BF132" s="224"/>
    </row>
    <row r="133" customFormat="false" ht="15" hidden="false" customHeight="false" outlineLevel="0" collapsed="false">
      <c r="E133" s="223"/>
      <c r="F133" s="223"/>
      <c r="AI133" s="224" t="e">
        <f aca="false">MID(#REF!,5,LEN(#REF!)-4)</f>
        <v>#REF!</v>
      </c>
      <c r="AJ133" s="224" t="e">
        <f aca="false">#REF!</f>
        <v>#REF!</v>
      </c>
      <c r="AK133" s="224" t="e">
        <f aca="false">_xlfn.RANK.EQ(#REF!,#REF!)</f>
        <v>#REF!</v>
      </c>
      <c r="AL133" s="223" t="e">
        <f aca="false">#REF!</f>
        <v>#REF!</v>
      </c>
      <c r="AM133" s="272" t="e">
        <f aca="false">_xlfn.RANK.EQ(#REF!,#REF!)</f>
        <v>#REF!</v>
      </c>
      <c r="AN133" s="223" t="n">
        <v>1884292.99043008</v>
      </c>
      <c r="AO133" s="224" t="e">
        <f aca="false">_xlfn.RANK.EQ(#REF!,#REF!)</f>
        <v>#REF!</v>
      </c>
      <c r="AP133" s="224" t="n">
        <v>7</v>
      </c>
      <c r="AQ133" s="223" t="e">
        <f aca="false">#REF!</f>
        <v>#REF!</v>
      </c>
      <c r="AR133" s="224" t="n">
        <v>19</v>
      </c>
      <c r="AS133" s="224" t="e">
        <f aca="false">INDEX(AI$115:AI$135,MATCH(AR133,AK$115:AK$135,0))</f>
        <v>#N/A</v>
      </c>
      <c r="AT133" s="223" t="e">
        <f aca="false">INDEX(AL$115:AL$135,MATCH(AR133,AK$115:AK$135,0))</f>
        <v>#N/A</v>
      </c>
      <c r="AU133" s="224" t="e">
        <f aca="false">INDEX(AI$115:AI$135,MATCH(AR133,AO$115:AO$135,0))</f>
        <v>#N/A</v>
      </c>
      <c r="AV133" s="223" t="e">
        <f aca="false">INDEX(AQ$115:AQ$135,MATCH(AR133,AO$115:AO$135,0))</f>
        <v>#N/A</v>
      </c>
      <c r="AW133" s="223" t="e">
        <f aca="false">INDEX(AN$115:AN$135,MATCH(AU133,AI$115:AI$135,0))</f>
        <v>#N/A</v>
      </c>
      <c r="AY133" s="224" t="e">
        <f aca="false">INDEX(AI$115:AI$135,MATCH(AR133,AP$115:AP$135,0))</f>
        <v>#REF!</v>
      </c>
      <c r="AZ133" s="223" t="e">
        <f aca="false">INDEX(AQ$115:AQ$135,MATCH(AR133,AP$115:AP$135,0))</f>
        <v>#REF!</v>
      </c>
      <c r="BA133" s="223" t="n">
        <f aca="false">INDEX(AN$115:AN$135,MATCH(AR133,AP$115:AP$135,0))</f>
        <v>1018203.41228331</v>
      </c>
      <c r="BB133" s="223" t="e">
        <f aca="false">INDEX(AI$115:AI$135,MATCH(AR133,AP$115:AP$135,0))</f>
        <v>#REF!</v>
      </c>
      <c r="BC133" s="224" t="e">
        <f aca="false">INDEX(AJ$115:AJ$135,MATCH(AY133,AI$115:AI$135,0))</f>
        <v>#REF!</v>
      </c>
      <c r="BE133" s="224"/>
      <c r="BF133" s="224"/>
    </row>
    <row r="134" customFormat="false" ht="15" hidden="false" customHeight="false" outlineLevel="0" collapsed="false">
      <c r="E134" s="223"/>
      <c r="F134" s="223"/>
      <c r="AI134" s="224" t="e">
        <f aca="false">MID(#REF!,5,LEN(#REF!)-4)</f>
        <v>#REF!</v>
      </c>
      <c r="AJ134" s="224" t="e">
        <f aca="false">#REF!</f>
        <v>#REF!</v>
      </c>
      <c r="AK134" s="224" t="e">
        <f aca="false">_xlfn.RANK.EQ(#REF!,#REF!)</f>
        <v>#REF!</v>
      </c>
      <c r="AL134" s="223" t="e">
        <f aca="false">#REF!</f>
        <v>#REF!</v>
      </c>
      <c r="AM134" s="272" t="e">
        <f aca="false">_xlfn.RANK.EQ(#REF!,#REF!)</f>
        <v>#REF!</v>
      </c>
      <c r="AN134" s="223" t="n">
        <v>1627343.94628052</v>
      </c>
      <c r="AO134" s="224" t="e">
        <f aca="false">_xlfn.RANK.EQ(#REF!,#REF!)</f>
        <v>#REF!</v>
      </c>
      <c r="AP134" s="224" t="n">
        <v>8</v>
      </c>
      <c r="AQ134" s="223" t="e">
        <f aca="false">#REF!</f>
        <v>#REF!</v>
      </c>
      <c r="AR134" s="224" t="n">
        <v>20</v>
      </c>
      <c r="AS134" s="224" t="e">
        <f aca="false">INDEX(AI$115:AI$135,MATCH(AR134,AK$115:AK$135,0))</f>
        <v>#N/A</v>
      </c>
      <c r="AT134" s="223" t="e">
        <f aca="false">INDEX(AL$115:AL$135,MATCH(AR134,AK$115:AK$135,0))</f>
        <v>#N/A</v>
      </c>
      <c r="AU134" s="224" t="e">
        <f aca="false">INDEX(AI$115:AI$135,MATCH(AR134,AO$115:AO$135,0))</f>
        <v>#N/A</v>
      </c>
      <c r="AV134" s="223" t="e">
        <f aca="false">INDEX(AQ$115:AQ$135,MATCH(AR134,AO$115:AO$135,0))</f>
        <v>#N/A</v>
      </c>
      <c r="AW134" s="223" t="e">
        <f aca="false">INDEX(AN$115:AN$135,MATCH(AU134,AI$115:AI$135,0))</f>
        <v>#N/A</v>
      </c>
      <c r="AY134" s="224" t="e">
        <f aca="false">INDEX(AI$115:AI$135,MATCH(AR134,AP$115:AP$135,0))</f>
        <v>#REF!</v>
      </c>
      <c r="AZ134" s="223" t="e">
        <f aca="false">INDEX(AQ$115:AQ$135,MATCH(AR134,AP$115:AP$135,0))</f>
        <v>#REF!</v>
      </c>
      <c r="BA134" s="223" t="n">
        <f aca="false">INDEX(AN$115:AN$135,MATCH(AR134,AP$115:AP$135,0))</f>
        <v>742068.839503917</v>
      </c>
      <c r="BB134" s="223" t="e">
        <f aca="false">INDEX(AI$115:AI$135,MATCH(AR134,AP$115:AP$135,0))</f>
        <v>#REF!</v>
      </c>
      <c r="BC134" s="224" t="e">
        <f aca="false">INDEX(AJ$115:AJ$135,MATCH(AY134,AI$115:AI$135,0))</f>
        <v>#REF!</v>
      </c>
      <c r="BE134" s="224"/>
      <c r="BF134" s="224"/>
    </row>
    <row r="135" customFormat="false" ht="15" hidden="false" customHeight="false" outlineLevel="0" collapsed="false">
      <c r="E135" s="223"/>
      <c r="F135" s="223"/>
      <c r="AI135" s="224" t="e">
        <f aca="false">MID(#REF!,5,LEN(#REF!)-4)</f>
        <v>#REF!</v>
      </c>
      <c r="AJ135" s="224" t="e">
        <f aca="false">#REF!</f>
        <v>#REF!</v>
      </c>
      <c r="AK135" s="224" t="e">
        <f aca="false">_xlfn.RANK.EQ(#REF!,#REF!)</f>
        <v>#REF!</v>
      </c>
      <c r="AL135" s="223" t="e">
        <f aca="false">#REF!</f>
        <v>#REF!</v>
      </c>
      <c r="AM135" s="272" t="e">
        <f aca="false">_xlfn.RANK.EQ(#REF!,#REF!)</f>
        <v>#REF!</v>
      </c>
      <c r="AN135" s="223" t="n">
        <v>945572.482470365</v>
      </c>
      <c r="AO135" s="224" t="e">
        <f aca="false">_xlfn.RANK.EQ(#REF!,#REF!)</f>
        <v>#REF!</v>
      </c>
      <c r="AP135" s="224" t="n">
        <v>15</v>
      </c>
      <c r="AQ135" s="223" t="e">
        <f aca="false">#REF!</f>
        <v>#REF!</v>
      </c>
      <c r="AR135" s="224" t="n">
        <v>21</v>
      </c>
      <c r="AS135" s="224" t="e">
        <f aca="false">INDEX(AI$115:AI$135,MATCH(AR135,AK$115:AK$135,0))</f>
        <v>#N/A</v>
      </c>
      <c r="AT135" s="223" t="e">
        <f aca="false">INDEX(AL$115:AL$135,MATCH(AR135,AK$115:AK$135,0))</f>
        <v>#N/A</v>
      </c>
      <c r="AU135" s="224" t="e">
        <f aca="false">INDEX(AI$115:AI$135,MATCH(AR135,AO$115:AO$135,0))</f>
        <v>#N/A</v>
      </c>
      <c r="AV135" s="223" t="e">
        <f aca="false">INDEX(AQ$115:AQ$135,MATCH(AR135,AO$115:AO$135,0))</f>
        <v>#N/A</v>
      </c>
      <c r="AW135" s="223" t="e">
        <f aca="false">INDEX(AN$115:AN$135,MATCH(AU135,AI$115:AI$135,0))</f>
        <v>#N/A</v>
      </c>
      <c r="AY135" s="224" t="e">
        <f aca="false">INDEX(AI$115:AI$135,MATCH(AR135,AP$115:AP$135,0))</f>
        <v>#REF!</v>
      </c>
      <c r="AZ135" s="223" t="e">
        <f aca="false">INDEX(AQ$115:AQ$135,MATCH(AR135,AP$115:AP$135,0))</f>
        <v>#REF!</v>
      </c>
      <c r="BA135" s="223" t="n">
        <f aca="false">INDEX(AN$115:AN$135,MATCH(AR135,AP$115:AP$135,0))</f>
        <v>822236.941278578</v>
      </c>
      <c r="BB135" s="223" t="e">
        <f aca="false">INDEX(AI$115:AI$135,MATCH(AR135,AP$115:AP$135,0))</f>
        <v>#REF!</v>
      </c>
      <c r="BC135" s="224" t="e">
        <f aca="false">INDEX(AJ$115:AJ$135,MATCH(AY135,AI$115:AI$135,0))</f>
        <v>#REF!</v>
      </c>
      <c r="BE135" s="224"/>
      <c r="BF135" s="224"/>
    </row>
    <row r="136" customFormat="false" ht="15" hidden="false" customHeight="false" outlineLevel="0" collapsed="false">
      <c r="E136" s="223"/>
      <c r="F136" s="223"/>
    </row>
    <row r="137" customFormat="false" ht="15" hidden="false" customHeight="false" outlineLevel="0" collapsed="false">
      <c r="E137" s="223"/>
      <c r="F137" s="223"/>
    </row>
    <row r="138" customFormat="false" ht="15" hidden="false" customHeight="false" outlineLevel="0" collapsed="false">
      <c r="E138" s="223"/>
      <c r="F138" s="223"/>
      <c r="AS138" s="118" t="n">
        <v>1</v>
      </c>
      <c r="AT138" s="118" t="s">
        <v>215</v>
      </c>
    </row>
    <row r="139" customFormat="false" ht="15" hidden="false" customHeight="false" outlineLevel="0" collapsed="false">
      <c r="E139" s="223"/>
      <c r="F139" s="223"/>
      <c r="AS139" s="118" t="n">
        <v>2</v>
      </c>
      <c r="AT139" s="118" t="s">
        <v>246</v>
      </c>
    </row>
    <row r="140" customFormat="false" ht="15" hidden="false" customHeight="false" outlineLevel="0" collapsed="false">
      <c r="E140" s="223"/>
      <c r="F140" s="223"/>
      <c r="AS140" s="118" t="n">
        <v>3</v>
      </c>
      <c r="AT140" s="118" t="s">
        <v>207</v>
      </c>
    </row>
    <row r="141" customFormat="false" ht="15" hidden="false" customHeight="false" outlineLevel="0" collapsed="false">
      <c r="E141" s="223"/>
      <c r="F141" s="223"/>
      <c r="AS141" s="118" t="n">
        <v>4</v>
      </c>
      <c r="AT141" s="118" t="s">
        <v>199</v>
      </c>
    </row>
    <row r="142" customFormat="false" ht="15" hidden="false" customHeight="false" outlineLevel="0" collapsed="false">
      <c r="E142" s="223"/>
      <c r="AS142" s="118" t="n">
        <v>5</v>
      </c>
      <c r="AT142" s="118" t="s">
        <v>191</v>
      </c>
    </row>
    <row r="143" customFormat="false" ht="15" hidden="false" customHeight="false" outlineLevel="0" collapsed="false">
      <c r="E143" s="223"/>
      <c r="AS143" s="118" t="n">
        <v>6</v>
      </c>
      <c r="AT143" s="118" t="s">
        <v>252</v>
      </c>
    </row>
    <row r="144" customFormat="false" ht="15" hidden="false" customHeight="false" outlineLevel="0" collapsed="false">
      <c r="E144" s="223"/>
      <c r="AS144" s="118" t="n">
        <v>7</v>
      </c>
      <c r="AT144" s="118" t="s">
        <v>256</v>
      </c>
    </row>
    <row r="145" customFormat="false" ht="15" hidden="false" customHeight="false" outlineLevel="0" collapsed="false">
      <c r="E145" s="223"/>
      <c r="AS145" s="118" t="n">
        <v>8</v>
      </c>
      <c r="AT145" s="118" t="s">
        <v>261</v>
      </c>
    </row>
    <row r="146" customFormat="false" ht="15" hidden="false" customHeight="false" outlineLevel="0" collapsed="false">
      <c r="E146" s="223"/>
      <c r="AS146" s="118" t="n">
        <v>9</v>
      </c>
      <c r="AT146" s="118" t="s">
        <v>160</v>
      </c>
    </row>
    <row r="147" customFormat="false" ht="15" hidden="false" customHeight="false" outlineLevel="0" collapsed="false">
      <c r="E147" s="223"/>
      <c r="AS147" s="118" t="n">
        <v>10</v>
      </c>
      <c r="AT147" s="118" t="s">
        <v>124</v>
      </c>
    </row>
    <row r="148" customFormat="false" ht="15" hidden="false" customHeight="false" outlineLevel="0" collapsed="false">
      <c r="E148" s="223"/>
      <c r="AS148" s="118" t="n">
        <v>11</v>
      </c>
      <c r="AT148" s="118" t="s">
        <v>222</v>
      </c>
    </row>
    <row r="149" customFormat="false" ht="15" hidden="false" customHeight="false" outlineLevel="0" collapsed="false">
      <c r="E149" s="223"/>
      <c r="AS149" s="118" t="n">
        <v>12</v>
      </c>
      <c r="AT149" s="118" t="s">
        <v>229</v>
      </c>
    </row>
    <row r="150" customFormat="false" ht="15" hidden="false" customHeight="false" outlineLevel="0" collapsed="false">
      <c r="E150" s="223"/>
      <c r="AS150" s="118" t="n">
        <v>13</v>
      </c>
      <c r="AT150" s="118" t="s">
        <v>131</v>
      </c>
    </row>
    <row r="151" customFormat="false" ht="15" hidden="false" customHeight="false" outlineLevel="0" collapsed="false">
      <c r="E151" s="223"/>
      <c r="AS151" s="118" t="n">
        <v>14</v>
      </c>
      <c r="AT151" s="118" t="s">
        <v>239</v>
      </c>
    </row>
    <row r="152" customFormat="false" ht="15" hidden="false" customHeight="false" outlineLevel="0" collapsed="false">
      <c r="E152" s="223"/>
      <c r="AS152" s="118" t="n">
        <v>15</v>
      </c>
      <c r="AT152" s="118" t="s">
        <v>270</v>
      </c>
    </row>
    <row r="153" customFormat="false" ht="15" hidden="false" customHeight="false" outlineLevel="0" collapsed="false">
      <c r="E153" s="223"/>
      <c r="AS153" s="118" t="n">
        <v>16</v>
      </c>
      <c r="AT153" s="118" t="s">
        <v>174</v>
      </c>
    </row>
    <row r="154" customFormat="false" ht="15" hidden="false" customHeight="false" outlineLevel="0" collapsed="false">
      <c r="E154" s="223"/>
      <c r="AS154" s="118" t="n">
        <v>17</v>
      </c>
      <c r="AT154" s="118" t="s">
        <v>167</v>
      </c>
    </row>
    <row r="155" customFormat="false" ht="15" hidden="false" customHeight="false" outlineLevel="0" collapsed="false">
      <c r="E155" s="223"/>
      <c r="AS155" s="118" t="n">
        <v>18</v>
      </c>
      <c r="AT155" s="118" t="s">
        <v>146</v>
      </c>
    </row>
    <row r="156" customFormat="false" ht="15" hidden="false" customHeight="false" outlineLevel="0" collapsed="false">
      <c r="E156" s="223"/>
      <c r="AS156" s="118" t="n">
        <v>19</v>
      </c>
      <c r="AT156" s="118" t="s">
        <v>183</v>
      </c>
    </row>
    <row r="157" customFormat="false" ht="15" hidden="false" customHeight="false" outlineLevel="0" collapsed="false">
      <c r="E157" s="223"/>
      <c r="AS157" s="118" t="n">
        <v>20</v>
      </c>
      <c r="AT157" s="118" t="s">
        <v>139</v>
      </c>
    </row>
    <row r="158" customFormat="false" ht="15" hidden="false" customHeight="false" outlineLevel="0" collapsed="false">
      <c r="E158" s="223"/>
      <c r="AS158" s="118" t="n">
        <v>21</v>
      </c>
      <c r="AT158" s="118" t="s">
        <v>153</v>
      </c>
    </row>
    <row r="159" customFormat="false" ht="15" hidden="false" customHeight="false" outlineLevel="0" collapsed="false">
      <c r="E159" s="223"/>
    </row>
    <row r="160" customFormat="false" ht="15" hidden="false" customHeight="false" outlineLevel="0" collapsed="false">
      <c r="E160" s="223"/>
    </row>
    <row r="161" customFormat="false" ht="15" hidden="false" customHeight="false" outlineLevel="0" collapsed="false">
      <c r="E161" s="223"/>
    </row>
    <row r="162" customFormat="false" ht="15" hidden="false" customHeight="false" outlineLevel="0" collapsed="false">
      <c r="E162" s="223"/>
    </row>
    <row r="163" customFormat="false" ht="15" hidden="false" customHeight="false" outlineLevel="0" collapsed="false">
      <c r="E163" s="223"/>
    </row>
    <row r="164" customFormat="false" ht="15" hidden="false" customHeight="false" outlineLevel="0" collapsed="false">
      <c r="E164" s="223"/>
    </row>
    <row r="165" customFormat="false" ht="15" hidden="false" customHeight="false" outlineLevel="0" collapsed="false">
      <c r="E165" s="223"/>
    </row>
    <row r="166" customFormat="false" ht="15" hidden="false" customHeight="false" outlineLevel="0" collapsed="false">
      <c r="E166" s="223"/>
    </row>
    <row r="167" customFormat="false" ht="15" hidden="false" customHeight="false" outlineLevel="0" collapsed="false">
      <c r="E167" s="223"/>
    </row>
    <row r="168" customFormat="false" ht="15" hidden="false" customHeight="false" outlineLevel="0" collapsed="false">
      <c r="E168" s="223"/>
    </row>
    <row r="169" customFormat="false" ht="15" hidden="false" customHeight="false" outlineLevel="0" collapsed="false">
      <c r="E169" s="223"/>
    </row>
    <row r="170" customFormat="false" ht="15" hidden="false" customHeight="false" outlineLevel="0" collapsed="false">
      <c r="E170" s="223"/>
    </row>
    <row r="171" customFormat="false" ht="15" hidden="false" customHeight="false" outlineLevel="0" collapsed="false">
      <c r="E171" s="223"/>
    </row>
    <row r="172" customFormat="false" ht="15" hidden="false" customHeight="false" outlineLevel="0" collapsed="false">
      <c r="E172" s="223"/>
    </row>
    <row r="173" customFormat="false" ht="15" hidden="false" customHeight="false" outlineLevel="0" collapsed="false">
      <c r="E173" s="223"/>
    </row>
    <row r="174" customFormat="false" ht="15" hidden="false" customHeight="false" outlineLevel="0" collapsed="false">
      <c r="E174" s="223"/>
    </row>
    <row r="175" customFormat="false" ht="15" hidden="false" customHeight="false" outlineLevel="0" collapsed="false">
      <c r="E175" s="223"/>
    </row>
    <row r="176" customFormat="false" ht="15" hidden="false" customHeight="false" outlineLevel="0" collapsed="false">
      <c r="E176" s="223"/>
    </row>
    <row r="177" customFormat="false" ht="15" hidden="false" customHeight="false" outlineLevel="0" collapsed="false">
      <c r="E177" s="223"/>
    </row>
    <row r="178" customFormat="false" ht="15" hidden="false" customHeight="false" outlineLevel="0" collapsed="false">
      <c r="E178" s="223"/>
    </row>
    <row r="179" customFormat="false" ht="15" hidden="false" customHeight="false" outlineLevel="0" collapsed="false">
      <c r="E179" s="223"/>
    </row>
    <row r="180" customFormat="false" ht="15" hidden="false" customHeight="false" outlineLevel="0" collapsed="false">
      <c r="E180" s="223"/>
    </row>
    <row r="181" customFormat="false" ht="15" hidden="false" customHeight="false" outlineLevel="0" collapsed="false">
      <c r="E181" s="223"/>
    </row>
    <row r="182" customFormat="false" ht="15" hidden="false" customHeight="false" outlineLevel="0" collapsed="false">
      <c r="E182" s="223"/>
    </row>
    <row r="183" customFormat="false" ht="15" hidden="false" customHeight="false" outlineLevel="0" collapsed="false">
      <c r="E183" s="223"/>
    </row>
    <row r="184" customFormat="false" ht="15" hidden="false" customHeight="false" outlineLevel="0" collapsed="false">
      <c r="E184" s="223"/>
    </row>
    <row r="185" customFormat="false" ht="15" hidden="false" customHeight="false" outlineLevel="0" collapsed="false">
      <c r="E185" s="223"/>
    </row>
    <row r="186" customFormat="false" ht="15" hidden="false" customHeight="false" outlineLevel="0" collapsed="false">
      <c r="E186" s="223"/>
    </row>
    <row r="187" customFormat="false" ht="15" hidden="false" customHeight="false" outlineLevel="0" collapsed="false">
      <c r="E187" s="223"/>
    </row>
    <row r="188" customFormat="false" ht="15" hidden="false" customHeight="false" outlineLevel="0" collapsed="false">
      <c r="E188" s="223"/>
    </row>
    <row r="189" customFormat="false" ht="15" hidden="false" customHeight="false" outlineLevel="0" collapsed="false">
      <c r="E189" s="223"/>
    </row>
    <row r="190" customFormat="false" ht="15" hidden="false" customHeight="false" outlineLevel="0" collapsed="false">
      <c r="E190" s="223"/>
    </row>
    <row r="191" customFormat="false" ht="15" hidden="false" customHeight="false" outlineLevel="0" collapsed="false">
      <c r="E191" s="223"/>
    </row>
    <row r="192" customFormat="false" ht="15" hidden="false" customHeight="false" outlineLevel="0" collapsed="false">
      <c r="E192" s="223"/>
    </row>
    <row r="193" customFormat="false" ht="15" hidden="false" customHeight="false" outlineLevel="0" collapsed="false">
      <c r="E193" s="223"/>
    </row>
    <row r="194" customFormat="false" ht="15" hidden="false" customHeight="false" outlineLevel="0" collapsed="false">
      <c r="E194" s="223"/>
    </row>
    <row r="195" customFormat="false" ht="15" hidden="false" customHeight="false" outlineLevel="0" collapsed="false">
      <c r="E195" s="223"/>
    </row>
    <row r="196" customFormat="false" ht="15" hidden="false" customHeight="false" outlineLevel="0" collapsed="false">
      <c r="E196" s="223"/>
    </row>
    <row r="197" customFormat="false" ht="15" hidden="false" customHeight="false" outlineLevel="0" collapsed="false">
      <c r="E197" s="223"/>
    </row>
    <row r="198" customFormat="false" ht="15" hidden="false" customHeight="false" outlineLevel="0" collapsed="false">
      <c r="E198" s="223"/>
    </row>
    <row r="199" customFormat="false" ht="15" hidden="false" customHeight="false" outlineLevel="0" collapsed="false">
      <c r="E199" s="223"/>
    </row>
    <row r="200" customFormat="false" ht="15" hidden="false" customHeight="false" outlineLevel="0" collapsed="false">
      <c r="E200" s="223"/>
    </row>
    <row r="201" customFormat="false" ht="15" hidden="false" customHeight="false" outlineLevel="0" collapsed="false">
      <c r="E201" s="223"/>
    </row>
    <row r="202" customFormat="false" ht="15" hidden="false" customHeight="false" outlineLevel="0" collapsed="false">
      <c r="E202" s="223"/>
    </row>
    <row r="203" customFormat="false" ht="15" hidden="false" customHeight="false" outlineLevel="0" collapsed="false">
      <c r="E203" s="223"/>
    </row>
    <row r="204" customFormat="false" ht="15" hidden="false" customHeight="false" outlineLevel="0" collapsed="false">
      <c r="E204" s="223"/>
    </row>
    <row r="205" customFormat="false" ht="15" hidden="false" customHeight="false" outlineLevel="0" collapsed="false">
      <c r="E205" s="223"/>
    </row>
    <row r="206" customFormat="false" ht="15" hidden="false" customHeight="false" outlineLevel="0" collapsed="false">
      <c r="E206" s="223"/>
    </row>
    <row r="207" customFormat="false" ht="15" hidden="false" customHeight="false" outlineLevel="0" collapsed="false">
      <c r="E207" s="223"/>
    </row>
    <row r="208" customFormat="false" ht="15" hidden="false" customHeight="false" outlineLevel="0" collapsed="false">
      <c r="E208" s="223"/>
    </row>
    <row r="209" customFormat="false" ht="15" hidden="false" customHeight="false" outlineLevel="0" collapsed="false">
      <c r="E209" s="223"/>
    </row>
    <row r="210" customFormat="false" ht="15" hidden="false" customHeight="false" outlineLevel="0" collapsed="false">
      <c r="E210" s="223"/>
    </row>
    <row r="211" customFormat="false" ht="15" hidden="false" customHeight="false" outlineLevel="0" collapsed="false">
      <c r="E211" s="223"/>
    </row>
    <row r="212" customFormat="false" ht="15" hidden="false" customHeight="false" outlineLevel="0" collapsed="false">
      <c r="E212" s="223"/>
    </row>
    <row r="213" customFormat="false" ht="15" hidden="false" customHeight="false" outlineLevel="0" collapsed="false">
      <c r="E213" s="223"/>
    </row>
    <row r="214" customFormat="false" ht="15" hidden="false" customHeight="false" outlineLevel="0" collapsed="false">
      <c r="E214" s="223"/>
    </row>
    <row r="215" customFormat="false" ht="15" hidden="false" customHeight="false" outlineLevel="0" collapsed="false">
      <c r="E215" s="223"/>
    </row>
    <row r="216" customFormat="false" ht="15" hidden="false" customHeight="false" outlineLevel="0" collapsed="false">
      <c r="E216" s="223"/>
    </row>
    <row r="217" customFormat="false" ht="15" hidden="false" customHeight="false" outlineLevel="0" collapsed="false">
      <c r="E217" s="223"/>
    </row>
    <row r="218" customFormat="false" ht="15" hidden="false" customHeight="false" outlineLevel="0" collapsed="false">
      <c r="E218" s="223"/>
    </row>
    <row r="219" customFormat="false" ht="15" hidden="false" customHeight="false" outlineLevel="0" collapsed="false">
      <c r="E219" s="223"/>
    </row>
    <row r="220" customFormat="false" ht="15" hidden="false" customHeight="false" outlineLevel="0" collapsed="false">
      <c r="E220" s="223"/>
    </row>
    <row r="221" customFormat="false" ht="15" hidden="false" customHeight="false" outlineLevel="0" collapsed="false">
      <c r="E221" s="223"/>
    </row>
    <row r="222" customFormat="false" ht="15" hidden="false" customHeight="false" outlineLevel="0" collapsed="false">
      <c r="E222" s="223"/>
    </row>
  </sheetData>
  <mergeCells count="6">
    <mergeCell ref="K37:O37"/>
    <mergeCell ref="P37:T37"/>
    <mergeCell ref="T114:U114"/>
    <mergeCell ref="Y114:Z114"/>
    <mergeCell ref="AS114:AT114"/>
    <mergeCell ref="AU114:AV114"/>
  </mergeCells>
  <conditionalFormatting sqref="B86:S103">
    <cfRule type="colorScale" priority="2">
      <colorScale>
        <cfvo type="min" val="0"/>
        <cfvo type="num" val="0"/>
        <cfvo type="max" val="0"/>
        <color rgb="FF70AD47"/>
        <color rgb="FFFFFFFF"/>
        <color rgb="FF70AD47"/>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U136"/>
  <sheetViews>
    <sheetView showFormulas="false" showGridLines="false" showRowColHeaders="true" showZeros="true" rightToLeft="false" tabSelected="false" showOutlineSymbols="true" defaultGridColor="true" view="normal" topLeftCell="B142" colorId="64" zoomScale="100" zoomScaleNormal="100" zoomScalePageLayoutView="100" workbookViewId="0">
      <selection pane="topLeft" activeCell="K6" activeCellId="0" sqref="K6"/>
    </sheetView>
  </sheetViews>
  <sheetFormatPr defaultRowHeight="15" zeroHeight="false" outlineLevelRow="0" outlineLevelCol="0"/>
  <cols>
    <col collapsed="false" customWidth="true" hidden="false" outlineLevel="0" max="1" min="1" style="0" width="10.53"/>
    <col collapsed="false" customWidth="true" hidden="false" outlineLevel="0" max="2" min="2" style="0" width="20"/>
    <col collapsed="false" customWidth="true" hidden="false" outlineLevel="0" max="3" min="3" style="0" width="29.25"/>
    <col collapsed="false" customWidth="true" hidden="false" outlineLevel="0" max="4" min="4" style="0" width="14.25"/>
    <col collapsed="false" customWidth="true" hidden="false" outlineLevel="0" max="5" min="5" style="0" width="10.53"/>
    <col collapsed="false" customWidth="true" hidden="false" outlineLevel="0" max="6" min="6" style="0" width="12.25"/>
    <col collapsed="false" customWidth="true" hidden="false" outlineLevel="0" max="8" min="7" style="0" width="12.75"/>
    <col collapsed="false" customWidth="true" hidden="false" outlineLevel="0" max="9" min="9" style="0" width="12.5"/>
    <col collapsed="false" customWidth="true" hidden="false" outlineLevel="0" max="10" min="10" style="0" width="11.75"/>
    <col collapsed="false" customWidth="true" hidden="false" outlineLevel="0" max="11" min="11" style="0" width="12.75"/>
    <col collapsed="false" customWidth="true" hidden="false" outlineLevel="0" max="12" min="12" style="0" width="13.25"/>
    <col collapsed="false" customWidth="true" hidden="false" outlineLevel="0" max="13" min="13" style="0" width="10.53"/>
    <col collapsed="false" customWidth="true" hidden="false" outlineLevel="0" max="14" min="14" style="0" width="12.75"/>
    <col collapsed="false" customWidth="true" hidden="false" outlineLevel="0" max="15" min="15" style="0" width="14"/>
    <col collapsed="false" customWidth="true" hidden="false" outlineLevel="0" max="16" min="16" style="0" width="11.62"/>
    <col collapsed="false" customWidth="true" hidden="false" outlineLevel="0" max="1025" min="17" style="0" width="10.53"/>
  </cols>
  <sheetData>
    <row r="1" customFormat="false" ht="23.65" hidden="false" customHeight="true" outlineLevel="0" collapsed="false">
      <c r="A1" s="276"/>
      <c r="B1" s="276"/>
      <c r="C1" s="276"/>
      <c r="D1" s="277" t="s">
        <v>70</v>
      </c>
      <c r="E1" s="277"/>
      <c r="F1" s="277"/>
      <c r="G1" s="278" t="s">
        <v>115</v>
      </c>
      <c r="H1" s="279" t="s">
        <v>72</v>
      </c>
      <c r="I1" s="279"/>
      <c r="J1" s="279"/>
      <c r="K1" s="280" t="s">
        <v>81</v>
      </c>
      <c r="L1" s="281" t="s">
        <v>74</v>
      </c>
      <c r="M1" s="281"/>
      <c r="N1" s="281"/>
      <c r="O1" s="281"/>
      <c r="P1" s="282" t="s">
        <v>322</v>
      </c>
    </row>
    <row r="2" customFormat="false" ht="60.5" hidden="false" customHeight="false" outlineLevel="0" collapsed="false">
      <c r="A2" s="276"/>
      <c r="B2" s="276"/>
      <c r="C2" s="283" t="s">
        <v>323</v>
      </c>
      <c r="D2" s="284" t="s">
        <v>324</v>
      </c>
      <c r="E2" s="285" t="s">
        <v>325</v>
      </c>
      <c r="F2" s="286" t="s">
        <v>326</v>
      </c>
      <c r="G2" s="287" t="s">
        <v>327</v>
      </c>
      <c r="H2" s="288" t="s">
        <v>328</v>
      </c>
      <c r="I2" s="288" t="s">
        <v>329</v>
      </c>
      <c r="J2" s="289" t="s">
        <v>330</v>
      </c>
      <c r="K2" s="287" t="s">
        <v>331</v>
      </c>
      <c r="L2" s="288" t="s">
        <v>332</v>
      </c>
      <c r="M2" s="288" t="s">
        <v>333</v>
      </c>
      <c r="N2" s="289" t="s">
        <v>334</v>
      </c>
      <c r="O2" s="289" t="s">
        <v>335</v>
      </c>
      <c r="P2" s="290" t="s">
        <v>336</v>
      </c>
    </row>
    <row r="3" customFormat="false" ht="21.05" hidden="false" customHeight="false" outlineLevel="0" collapsed="false">
      <c r="A3" s="276"/>
      <c r="B3" s="276"/>
      <c r="C3" s="283" t="s">
        <v>337</v>
      </c>
      <c r="D3" s="284" t="s">
        <v>338</v>
      </c>
      <c r="E3" s="291" t="n">
        <v>2012</v>
      </c>
      <c r="F3" s="284" t="s">
        <v>338</v>
      </c>
      <c r="G3" s="288" t="n">
        <v>2015</v>
      </c>
      <c r="H3" s="292" t="s">
        <v>339</v>
      </c>
      <c r="I3" s="292" t="s">
        <v>339</v>
      </c>
      <c r="J3" s="292" t="s">
        <v>339</v>
      </c>
      <c r="K3" s="293" t="n">
        <v>2018</v>
      </c>
      <c r="L3" s="292" t="s">
        <v>339</v>
      </c>
      <c r="M3" s="292" t="s">
        <v>339</v>
      </c>
      <c r="N3" s="292" t="s">
        <v>339</v>
      </c>
      <c r="O3" s="292" t="s">
        <v>339</v>
      </c>
      <c r="P3" s="290" t="s">
        <v>340</v>
      </c>
    </row>
    <row r="4" customFormat="false" ht="90.1" hidden="false" customHeight="false" outlineLevel="0" collapsed="false">
      <c r="A4" s="276"/>
      <c r="B4" s="276"/>
      <c r="C4" s="283" t="s">
        <v>341</v>
      </c>
      <c r="D4" s="284" t="s">
        <v>342</v>
      </c>
      <c r="E4" s="294" t="s">
        <v>343</v>
      </c>
      <c r="F4" s="284" t="s">
        <v>342</v>
      </c>
      <c r="G4" s="293" t="s">
        <v>344</v>
      </c>
      <c r="H4" s="295" t="s">
        <v>345</v>
      </c>
      <c r="I4" s="295" t="s">
        <v>345</v>
      </c>
      <c r="J4" s="295" t="s">
        <v>345</v>
      </c>
      <c r="K4" s="293" t="s">
        <v>346</v>
      </c>
      <c r="L4" s="284" t="s">
        <v>347</v>
      </c>
      <c r="M4" s="284" t="s">
        <v>347</v>
      </c>
      <c r="N4" s="284" t="s">
        <v>347</v>
      </c>
      <c r="O4" s="284" t="s">
        <v>347</v>
      </c>
      <c r="P4" s="290" t="s">
        <v>348</v>
      </c>
    </row>
    <row r="5" customFormat="false" ht="46.05" hidden="false" customHeight="false" outlineLevel="0" collapsed="false">
      <c r="A5" s="276"/>
      <c r="B5" s="276"/>
      <c r="C5" s="283" t="s">
        <v>349</v>
      </c>
      <c r="D5" s="296" t="s">
        <v>350</v>
      </c>
      <c r="E5" s="297" t="s">
        <v>298</v>
      </c>
      <c r="F5" s="297" t="s">
        <v>351</v>
      </c>
      <c r="G5" s="298" t="s">
        <v>285</v>
      </c>
      <c r="H5" s="296" t="s">
        <v>352</v>
      </c>
      <c r="I5" s="299" t="s">
        <v>353</v>
      </c>
      <c r="J5" s="300" t="s">
        <v>354</v>
      </c>
      <c r="K5" s="301" t="s">
        <v>355</v>
      </c>
      <c r="L5" s="296" t="s">
        <v>123</v>
      </c>
      <c r="M5" s="299" t="s">
        <v>105</v>
      </c>
      <c r="N5" s="300" t="s">
        <v>106</v>
      </c>
      <c r="O5" s="300" t="s">
        <v>107</v>
      </c>
      <c r="P5" s="282" t="s">
        <v>70</v>
      </c>
    </row>
    <row r="6" customFormat="false" ht="15" hidden="false" customHeight="false" outlineLevel="0" collapsed="false">
      <c r="A6" s="276"/>
      <c r="B6" s="302" t="s">
        <v>124</v>
      </c>
      <c r="C6" s="303" t="s">
        <v>125</v>
      </c>
      <c r="D6" s="304" t="n">
        <v>0.0772373972906951</v>
      </c>
      <c r="E6" s="305" t="n">
        <v>79.53</v>
      </c>
      <c r="F6" s="306" t="n">
        <v>0.26652407532996</v>
      </c>
      <c r="G6" s="307" t="n">
        <v>34675.8479134597</v>
      </c>
      <c r="H6" s="308" t="n">
        <v>8.21</v>
      </c>
      <c r="I6" s="308" t="n">
        <v>10.76</v>
      </c>
      <c r="J6" s="306" t="n">
        <v>0.0474973847268045</v>
      </c>
      <c r="K6" s="307" t="n">
        <v>124121.57</v>
      </c>
      <c r="L6" s="306" t="n">
        <v>0.0347185691741189</v>
      </c>
      <c r="M6" s="309" t="n">
        <v>897</v>
      </c>
      <c r="N6" s="306" t="n">
        <v>0.028845844977675</v>
      </c>
      <c r="O6" s="306" t="n">
        <v>0.0276322355289421</v>
      </c>
      <c r="P6" s="309" t="n">
        <v>22490</v>
      </c>
    </row>
    <row r="7" customFormat="false" ht="15" hidden="false" customHeight="false" outlineLevel="0" collapsed="false">
      <c r="A7" s="276"/>
      <c r="B7" s="310" t="s">
        <v>124</v>
      </c>
      <c r="C7" s="311" t="s">
        <v>126</v>
      </c>
      <c r="D7" s="304" t="n">
        <v>0.163634326686086</v>
      </c>
      <c r="E7" s="305" t="n">
        <v>82.04</v>
      </c>
      <c r="F7" s="306" t="n">
        <v>0.350727162351202</v>
      </c>
      <c r="G7" s="307" t="n">
        <v>25999.8327430822</v>
      </c>
      <c r="H7" s="308" t="n">
        <v>8.94</v>
      </c>
      <c r="I7" s="308" t="n">
        <v>11.99</v>
      </c>
      <c r="J7" s="306" t="n">
        <v>0.0474973847268045</v>
      </c>
      <c r="K7" s="307" t="n">
        <v>86821.52</v>
      </c>
      <c r="L7" s="306" t="n">
        <v>0.0347185691741189</v>
      </c>
      <c r="M7" s="309" t="n">
        <v>897</v>
      </c>
      <c r="N7" s="306" t="n">
        <v>0.028845844977675</v>
      </c>
      <c r="O7" s="306" t="n">
        <v>0.0276322355289421</v>
      </c>
      <c r="P7" s="309" t="n">
        <v>44499</v>
      </c>
    </row>
    <row r="8" customFormat="false" ht="15" hidden="false" customHeight="false" outlineLevel="0" collapsed="false">
      <c r="A8" s="276"/>
      <c r="B8" s="310" t="s">
        <v>124</v>
      </c>
      <c r="C8" s="311" t="s">
        <v>127</v>
      </c>
      <c r="D8" s="304" t="n">
        <v>0.092678757952711</v>
      </c>
      <c r="E8" s="305" t="n">
        <v>80.94</v>
      </c>
      <c r="F8" s="306" t="n">
        <v>0.235011466637545</v>
      </c>
      <c r="G8" s="307" t="n">
        <v>34952.6798046567</v>
      </c>
      <c r="H8" s="308" t="n">
        <v>6.88</v>
      </c>
      <c r="I8" s="308" t="n">
        <v>9.04</v>
      </c>
      <c r="J8" s="306" t="n">
        <v>0.0474973847268045</v>
      </c>
      <c r="K8" s="307" t="n">
        <v>147344.7</v>
      </c>
      <c r="L8" s="306" t="n">
        <v>0.0347185691741189</v>
      </c>
      <c r="M8" s="309" t="n">
        <v>897</v>
      </c>
      <c r="N8" s="306" t="n">
        <v>0.028845844977675</v>
      </c>
      <c r="O8" s="306" t="n">
        <v>0.0276322355289421</v>
      </c>
      <c r="P8" s="309" t="n">
        <v>10445</v>
      </c>
    </row>
    <row r="9" customFormat="false" ht="15" hidden="false" customHeight="false" outlineLevel="0" collapsed="false">
      <c r="A9" s="276"/>
      <c r="B9" s="310" t="s">
        <v>124</v>
      </c>
      <c r="C9" s="311" t="s">
        <v>128</v>
      </c>
      <c r="D9" s="304" t="n">
        <v>0.0969356979128966</v>
      </c>
      <c r="E9" s="305" t="n">
        <v>81.36</v>
      </c>
      <c r="F9" s="306" t="n">
        <v>0.217425320056899</v>
      </c>
      <c r="G9" s="307" t="n">
        <v>40314.882263767</v>
      </c>
      <c r="H9" s="308" t="n">
        <v>6.63</v>
      </c>
      <c r="I9" s="308" t="n">
        <v>9.39</v>
      </c>
      <c r="J9" s="306" t="n">
        <v>0.0474973847268045</v>
      </c>
      <c r="K9" s="307" t="n">
        <v>158945.04</v>
      </c>
      <c r="L9" s="306" t="n">
        <v>0.0347185691741189</v>
      </c>
      <c r="M9" s="309" t="n">
        <v>897</v>
      </c>
      <c r="N9" s="306" t="n">
        <v>0.028845844977675</v>
      </c>
      <c r="O9" s="306" t="n">
        <v>0.0276322355289421</v>
      </c>
      <c r="P9" s="309" t="n">
        <v>16583</v>
      </c>
      <c r="T9" s="179"/>
      <c r="U9" s="179"/>
    </row>
    <row r="10" customFormat="false" ht="15" hidden="false" customHeight="false" outlineLevel="0" collapsed="false">
      <c r="A10" s="276"/>
      <c r="B10" s="310" t="s">
        <v>124</v>
      </c>
      <c r="C10" s="311" t="s">
        <v>129</v>
      </c>
      <c r="D10" s="304" t="n">
        <v>0.112308638379131</v>
      </c>
      <c r="E10" s="305" t="n">
        <v>82.81</v>
      </c>
      <c r="F10" s="306" t="n">
        <v>0.261149390474748</v>
      </c>
      <c r="G10" s="307" t="n">
        <v>30701.6520392922</v>
      </c>
      <c r="H10" s="308" t="n">
        <v>7.06</v>
      </c>
      <c r="I10" s="308" t="n">
        <v>9.92</v>
      </c>
      <c r="J10" s="306" t="n">
        <v>0.0474973847268045</v>
      </c>
      <c r="K10" s="307" t="n">
        <v>106883.32</v>
      </c>
      <c r="L10" s="306" t="n">
        <v>0.0347185691741189</v>
      </c>
      <c r="M10" s="309" t="n">
        <v>897</v>
      </c>
      <c r="N10" s="306" t="n">
        <v>0.028845844977675</v>
      </c>
      <c r="O10" s="306" t="n">
        <v>0.0276322355289421</v>
      </c>
      <c r="P10" s="309" t="n">
        <v>30744</v>
      </c>
    </row>
    <row r="11" customFormat="false" ht="15" hidden="false" customHeight="false" outlineLevel="0" collapsed="false">
      <c r="A11" s="276"/>
      <c r="B11" s="310" t="s">
        <v>124</v>
      </c>
      <c r="C11" s="311" t="s">
        <v>130</v>
      </c>
      <c r="D11" s="304" t="n">
        <v>0.117900291626163</v>
      </c>
      <c r="E11" s="305" t="n">
        <v>79.08</v>
      </c>
      <c r="F11" s="306" t="n">
        <v>0.265122265122265</v>
      </c>
      <c r="G11" s="307" t="n">
        <v>30935.8043113426</v>
      </c>
      <c r="H11" s="308" t="n">
        <v>7.9</v>
      </c>
      <c r="I11" s="308" t="n">
        <v>11.45</v>
      </c>
      <c r="J11" s="306" t="n">
        <v>0.0474973847268045</v>
      </c>
      <c r="K11" s="307" t="n">
        <v>171610.78</v>
      </c>
      <c r="L11" s="306" t="n">
        <v>0.0347185691741189</v>
      </c>
      <c r="M11" s="309" t="n">
        <v>897</v>
      </c>
      <c r="N11" s="306" t="n">
        <v>0.028845844977675</v>
      </c>
      <c r="O11" s="306" t="n">
        <v>0.0276322355289421</v>
      </c>
      <c r="P11" s="309" t="n">
        <v>7203</v>
      </c>
    </row>
    <row r="12" customFormat="false" ht="15" hidden="false" customHeight="false" outlineLevel="0" collapsed="false">
      <c r="A12" s="276"/>
      <c r="B12" s="310" t="s">
        <v>131</v>
      </c>
      <c r="C12" s="311" t="s">
        <v>132</v>
      </c>
      <c r="D12" s="304" t="n">
        <v>0.0367533782296756</v>
      </c>
      <c r="E12" s="305" t="n">
        <v>83.7</v>
      </c>
      <c r="F12" s="306" t="n">
        <v>0.266246920339447</v>
      </c>
      <c r="G12" s="307" t="n">
        <v>41950.8120458648</v>
      </c>
      <c r="H12" s="308" t="n">
        <v>6.83</v>
      </c>
      <c r="I12" s="308" t="n">
        <v>8.06</v>
      </c>
      <c r="J12" s="306" t="n">
        <v>0.0396706228899877</v>
      </c>
      <c r="K12" s="307" t="n">
        <v>87446.56</v>
      </c>
      <c r="L12" s="306" t="n">
        <v>0.0352446081009995</v>
      </c>
      <c r="M12" s="309" t="n">
        <v>266</v>
      </c>
      <c r="N12" s="306" t="n">
        <v>0.0352381870161575</v>
      </c>
      <c r="O12" s="306" t="n">
        <v>0.0392028443113772</v>
      </c>
      <c r="P12" s="309" t="n">
        <v>22710</v>
      </c>
    </row>
    <row r="13" customFormat="false" ht="15" hidden="false" customHeight="false" outlineLevel="0" collapsed="false">
      <c r="A13" s="276"/>
      <c r="B13" s="310" t="s">
        <v>131</v>
      </c>
      <c r="C13" s="311" t="s">
        <v>133</v>
      </c>
      <c r="D13" s="304" t="n">
        <v>0.0379581507986177</v>
      </c>
      <c r="E13" s="305" t="n">
        <v>84.41</v>
      </c>
      <c r="F13" s="306" t="n">
        <v>0.263450459859179</v>
      </c>
      <c r="G13" s="307" t="n">
        <v>44669.1824389435</v>
      </c>
      <c r="H13" s="308" t="n">
        <v>6.57</v>
      </c>
      <c r="I13" s="308" t="n">
        <v>7.67</v>
      </c>
      <c r="J13" s="306" t="n">
        <v>0.0396706228899877</v>
      </c>
      <c r="K13" s="307" t="n">
        <v>83248.38</v>
      </c>
      <c r="L13" s="306" t="n">
        <v>0.0352446081009995</v>
      </c>
      <c r="M13" s="309" t="n">
        <v>266</v>
      </c>
      <c r="N13" s="306" t="n">
        <v>0.0352381870161575</v>
      </c>
      <c r="O13" s="306" t="n">
        <v>0.0392028443113772</v>
      </c>
      <c r="P13" s="309" t="n">
        <v>36774</v>
      </c>
    </row>
    <row r="14" customFormat="false" ht="15" hidden="false" customHeight="false" outlineLevel="0" collapsed="false">
      <c r="A14" s="276"/>
      <c r="B14" s="310" t="s">
        <v>131</v>
      </c>
      <c r="C14" s="311" t="s">
        <v>134</v>
      </c>
      <c r="D14" s="304" t="n">
        <v>0.100409111571291</v>
      </c>
      <c r="E14" s="305" t="n">
        <v>83.39</v>
      </c>
      <c r="F14" s="306" t="n">
        <v>0.395276265067613</v>
      </c>
      <c r="G14" s="307" t="n">
        <v>31933.91199662</v>
      </c>
      <c r="H14" s="308" t="n">
        <v>7.87</v>
      </c>
      <c r="I14" s="308" t="n">
        <v>9.81</v>
      </c>
      <c r="J14" s="306" t="n">
        <v>0.0396706228899877</v>
      </c>
      <c r="K14" s="307" t="n">
        <v>79471.76</v>
      </c>
      <c r="L14" s="306" t="n">
        <v>0.0352446081009995</v>
      </c>
      <c r="M14" s="309" t="n">
        <v>266</v>
      </c>
      <c r="N14" s="306" t="n">
        <v>0.0352381870161575</v>
      </c>
      <c r="O14" s="306" t="n">
        <v>0.0392028443113772</v>
      </c>
      <c r="P14" s="309" t="n">
        <v>19883</v>
      </c>
    </row>
    <row r="15" customFormat="false" ht="15" hidden="false" customHeight="false" outlineLevel="0" collapsed="false">
      <c r="A15" s="276"/>
      <c r="B15" s="310" t="s">
        <v>131</v>
      </c>
      <c r="C15" s="311" t="s">
        <v>135</v>
      </c>
      <c r="D15" s="304" t="n">
        <v>0.0397361313110326</v>
      </c>
      <c r="E15" s="305" t="n">
        <v>82.86</v>
      </c>
      <c r="F15" s="306" t="n">
        <v>0.173716012084592</v>
      </c>
      <c r="G15" s="307" t="n">
        <v>48935.036576627</v>
      </c>
      <c r="H15" s="308" t="n">
        <v>4.94</v>
      </c>
      <c r="I15" s="308" t="n">
        <v>6.22</v>
      </c>
      <c r="J15" s="306" t="n">
        <v>0.0396706228899877</v>
      </c>
      <c r="K15" s="307" t="n">
        <v>90178.67</v>
      </c>
      <c r="L15" s="306" t="n">
        <v>0.0352446081009995</v>
      </c>
      <c r="M15" s="309" t="n">
        <v>266</v>
      </c>
      <c r="N15" s="306" t="n">
        <v>0.0352381870161575</v>
      </c>
      <c r="O15" s="306" t="n">
        <v>0.0392028443113772</v>
      </c>
      <c r="P15" s="309" t="n">
        <v>19561</v>
      </c>
    </row>
    <row r="16" customFormat="false" ht="15" hidden="false" customHeight="false" outlineLevel="0" collapsed="false">
      <c r="A16" s="276"/>
      <c r="B16" s="310" t="s">
        <v>131</v>
      </c>
      <c r="C16" s="311" t="s">
        <v>136</v>
      </c>
      <c r="D16" s="304" t="n">
        <v>0.0754559021584829</v>
      </c>
      <c r="E16" s="305" t="n">
        <v>83.46</v>
      </c>
      <c r="F16" s="306" t="n">
        <v>0.288485811790005</v>
      </c>
      <c r="G16" s="307" t="n">
        <v>39647.6886525592</v>
      </c>
      <c r="H16" s="308" t="n">
        <v>6.42</v>
      </c>
      <c r="I16" s="308" t="n">
        <v>7.8</v>
      </c>
      <c r="J16" s="306" t="n">
        <v>0.0396706228899877</v>
      </c>
      <c r="K16" s="307" t="n">
        <v>83583.65</v>
      </c>
      <c r="L16" s="306" t="n">
        <v>0.0352446081009995</v>
      </c>
      <c r="M16" s="309" t="n">
        <v>266</v>
      </c>
      <c r="N16" s="306" t="n">
        <v>0.0352381870161575</v>
      </c>
      <c r="O16" s="306" t="n">
        <v>0.0392028443113772</v>
      </c>
      <c r="P16" s="309" t="n">
        <v>27616</v>
      </c>
    </row>
    <row r="17" customFormat="false" ht="15" hidden="false" customHeight="false" outlineLevel="0" collapsed="false">
      <c r="A17" s="276"/>
      <c r="B17" s="310" t="s">
        <v>131</v>
      </c>
      <c r="C17" s="311" t="s">
        <v>137</v>
      </c>
      <c r="D17" s="304" t="n">
        <v>0.0974444617057636</v>
      </c>
      <c r="E17" s="305" t="n">
        <v>83.27</v>
      </c>
      <c r="F17" s="306" t="n">
        <v>0.323206476225923</v>
      </c>
      <c r="G17" s="307" t="n">
        <v>33938.3690529766</v>
      </c>
      <c r="H17" s="308" t="n">
        <v>7.21</v>
      </c>
      <c r="I17" s="308" t="n">
        <v>9.23</v>
      </c>
      <c r="J17" s="306" t="n">
        <v>0.0396706228899877</v>
      </c>
      <c r="K17" s="307" t="n">
        <v>81739.38</v>
      </c>
      <c r="L17" s="306" t="n">
        <v>0.0352446081009995</v>
      </c>
      <c r="M17" s="309" t="n">
        <v>266</v>
      </c>
      <c r="N17" s="306" t="n">
        <v>0.0352381870161575</v>
      </c>
      <c r="O17" s="306" t="n">
        <v>0.0392028443113772</v>
      </c>
      <c r="P17" s="309" t="n">
        <v>25805</v>
      </c>
    </row>
    <row r="18" customFormat="false" ht="15" hidden="false" customHeight="false" outlineLevel="0" collapsed="false">
      <c r="A18" s="276"/>
      <c r="B18" s="310" t="s">
        <v>131</v>
      </c>
      <c r="C18" s="311" t="s">
        <v>138</v>
      </c>
      <c r="D18" s="304" t="n">
        <v>0.0334763948497854</v>
      </c>
      <c r="E18" s="305" t="n">
        <v>78.85</v>
      </c>
      <c r="F18" s="306" t="n">
        <v>0.290362953692115</v>
      </c>
      <c r="G18" s="307" t="n">
        <v>37939.2847228916</v>
      </c>
      <c r="H18" s="308" t="n">
        <v>7.96</v>
      </c>
      <c r="I18" s="308" t="n">
        <v>7.42</v>
      </c>
      <c r="J18" s="306" t="n">
        <v>0.0396706228899877</v>
      </c>
      <c r="K18" s="307" t="n">
        <v>127649.25</v>
      </c>
      <c r="L18" s="306" t="n">
        <v>0.0352446081009995</v>
      </c>
      <c r="M18" s="309" t="n">
        <v>266</v>
      </c>
      <c r="N18" s="306" t="n">
        <v>0.0352381870161575</v>
      </c>
      <c r="O18" s="306" t="n">
        <v>0.0392028443113772</v>
      </c>
      <c r="P18" s="309" t="n">
        <v>1165</v>
      </c>
    </row>
    <row r="19" customFormat="false" ht="15" hidden="false" customHeight="false" outlineLevel="0" collapsed="false">
      <c r="A19" s="276"/>
      <c r="B19" s="310" t="s">
        <v>139</v>
      </c>
      <c r="C19" s="311" t="s">
        <v>140</v>
      </c>
      <c r="D19" s="304" t="n">
        <v>0.0506830153864468</v>
      </c>
      <c r="E19" s="305" t="n">
        <v>84.16</v>
      </c>
      <c r="F19" s="306" t="n">
        <v>0.256413988864224</v>
      </c>
      <c r="G19" s="307" t="n">
        <v>41948.887029967</v>
      </c>
      <c r="H19" s="308" t="n">
        <v>6.1</v>
      </c>
      <c r="I19" s="308" t="n">
        <v>7.59</v>
      </c>
      <c r="J19" s="306" t="n">
        <v>0.0330983715655516</v>
      </c>
      <c r="K19" s="307" t="n">
        <v>95321.7</v>
      </c>
      <c r="L19" s="306" t="n">
        <v>0.0201648255304226</v>
      </c>
      <c r="M19" s="309" t="n">
        <v>121</v>
      </c>
      <c r="N19" s="306" t="n">
        <v>0.016607240371334</v>
      </c>
      <c r="O19" s="306" t="n">
        <v>0.0261664171656687</v>
      </c>
      <c r="P19" s="309" t="n">
        <v>33622</v>
      </c>
    </row>
    <row r="20" customFormat="false" ht="15" hidden="false" customHeight="false" outlineLevel="0" collapsed="false">
      <c r="A20" s="276"/>
      <c r="B20" s="310" t="s">
        <v>139</v>
      </c>
      <c r="C20" s="311" t="s">
        <v>141</v>
      </c>
      <c r="D20" s="304" t="n">
        <v>0.0385936222403925</v>
      </c>
      <c r="E20" s="305" t="n">
        <v>82.52</v>
      </c>
      <c r="F20" s="306" t="n">
        <v>0.261341019833917</v>
      </c>
      <c r="G20" s="307" t="n">
        <v>45842.9286514838</v>
      </c>
      <c r="H20" s="308" t="n">
        <v>6.73</v>
      </c>
      <c r="I20" s="308" t="n">
        <v>8.78</v>
      </c>
      <c r="J20" s="306" t="n">
        <v>0.0330983715655516</v>
      </c>
      <c r="K20" s="307" t="n">
        <v>89195.73</v>
      </c>
      <c r="L20" s="306" t="n">
        <v>0.0201648255304226</v>
      </c>
      <c r="M20" s="309" t="n">
        <v>121</v>
      </c>
      <c r="N20" s="306" t="n">
        <v>0.016607240371334</v>
      </c>
      <c r="O20" s="306" t="n">
        <v>0.0261664171656687</v>
      </c>
      <c r="P20" s="309" t="n">
        <v>18433</v>
      </c>
    </row>
    <row r="21" customFormat="false" ht="15" hidden="false" customHeight="false" outlineLevel="0" collapsed="false">
      <c r="A21" s="276"/>
      <c r="B21" s="310" t="s">
        <v>139</v>
      </c>
      <c r="C21" s="311" t="s">
        <v>142</v>
      </c>
      <c r="D21" s="304" t="n">
        <v>0.0198381960581806</v>
      </c>
      <c r="E21" s="305" t="n">
        <v>85.36</v>
      </c>
      <c r="F21" s="306" t="n">
        <v>0.205168236877524</v>
      </c>
      <c r="G21" s="307" t="n">
        <v>58249.1444892188</v>
      </c>
      <c r="H21" s="308" t="n">
        <v>5.21</v>
      </c>
      <c r="I21" s="308" t="n">
        <v>6.64</v>
      </c>
      <c r="J21" s="306" t="n">
        <v>0.0330983715655516</v>
      </c>
      <c r="K21" s="307" t="n">
        <v>124451.81</v>
      </c>
      <c r="L21" s="306" t="n">
        <v>0.0201648255304226</v>
      </c>
      <c r="M21" s="309" t="n">
        <v>121</v>
      </c>
      <c r="N21" s="306" t="n">
        <v>0.016607240371334</v>
      </c>
      <c r="O21" s="306" t="n">
        <v>0.0261664171656687</v>
      </c>
      <c r="P21" s="309" t="n">
        <v>23279</v>
      </c>
    </row>
    <row r="22" customFormat="false" ht="15" hidden="false" customHeight="false" outlineLevel="0" collapsed="false">
      <c r="A22" s="276"/>
      <c r="B22" s="310" t="s">
        <v>139</v>
      </c>
      <c r="C22" s="311" t="s">
        <v>143</v>
      </c>
      <c r="D22" s="304" t="n">
        <v>0.0521143815201192</v>
      </c>
      <c r="E22" s="305" t="n">
        <v>82.81</v>
      </c>
      <c r="F22" s="306" t="n">
        <v>0.234021688970928</v>
      </c>
      <c r="G22" s="307" t="n">
        <v>45561.1376637797</v>
      </c>
      <c r="H22" s="308" t="n">
        <v>5.73</v>
      </c>
      <c r="I22" s="308" t="n">
        <v>7.45</v>
      </c>
      <c r="J22" s="306" t="n">
        <v>0.0330983715655516</v>
      </c>
      <c r="K22" s="307" t="n">
        <v>160287.21</v>
      </c>
      <c r="L22" s="306" t="n">
        <v>0.0201648255304226</v>
      </c>
      <c r="M22" s="309" t="n">
        <v>121</v>
      </c>
      <c r="N22" s="306" t="n">
        <v>0.016607240371334</v>
      </c>
      <c r="O22" s="306" t="n">
        <v>0.0261664171656687</v>
      </c>
      <c r="P22" s="309" t="n">
        <v>21513</v>
      </c>
    </row>
    <row r="23" customFormat="false" ht="15" hidden="false" customHeight="false" outlineLevel="0" collapsed="false">
      <c r="A23" s="276"/>
      <c r="B23" s="310" t="s">
        <v>139</v>
      </c>
      <c r="C23" s="311" t="s">
        <v>144</v>
      </c>
      <c r="D23" s="304" t="n">
        <v>0.0371731448763251</v>
      </c>
      <c r="E23" s="305" t="n">
        <v>84.89</v>
      </c>
      <c r="F23" s="306" t="n">
        <v>0.188418323249784</v>
      </c>
      <c r="G23" s="307" t="n">
        <v>84955.302447994</v>
      </c>
      <c r="H23" s="308" t="n">
        <v>4.15</v>
      </c>
      <c r="I23" s="308" t="n">
        <v>5.03</v>
      </c>
      <c r="J23" s="306" t="n">
        <v>0.0330983715655516</v>
      </c>
      <c r="K23" s="307" t="n">
        <v>329936.75</v>
      </c>
      <c r="L23" s="306" t="n">
        <v>0.0201648255304226</v>
      </c>
      <c r="M23" s="309" t="n">
        <v>121</v>
      </c>
      <c r="N23" s="306" t="n">
        <v>0.016607240371334</v>
      </c>
      <c r="O23" s="306" t="n">
        <v>0.0261664171656687</v>
      </c>
      <c r="P23" s="309" t="n">
        <v>7012</v>
      </c>
    </row>
    <row r="24" customFormat="false" ht="15" hidden="false" customHeight="false" outlineLevel="0" collapsed="false">
      <c r="A24" s="276"/>
      <c r="B24" s="310" t="s">
        <v>139</v>
      </c>
      <c r="C24" s="311" t="s">
        <v>145</v>
      </c>
      <c r="D24" s="304" t="n">
        <v>0.0246727748691099</v>
      </c>
      <c r="E24" s="305" t="n">
        <v>83.81</v>
      </c>
      <c r="F24" s="306" t="n">
        <v>0.160604508196721</v>
      </c>
      <c r="G24" s="307" t="n">
        <v>69100.1609099165</v>
      </c>
      <c r="H24" s="308" t="n">
        <v>4.81</v>
      </c>
      <c r="I24" s="308" t="n">
        <v>5.71</v>
      </c>
      <c r="J24" s="306" t="n">
        <v>0.0330983715655516</v>
      </c>
      <c r="K24" s="307" t="n">
        <v>205637.32</v>
      </c>
      <c r="L24" s="306" t="n">
        <v>0.0201648255304226</v>
      </c>
      <c r="M24" s="309" t="n">
        <v>121</v>
      </c>
      <c r="N24" s="306" t="n">
        <v>0.016607240371334</v>
      </c>
      <c r="O24" s="306" t="n">
        <v>0.0261664171656687</v>
      </c>
      <c r="P24" s="309" t="n">
        <v>15354</v>
      </c>
    </row>
    <row r="25" customFormat="false" ht="15" hidden="false" customHeight="false" outlineLevel="0" collapsed="false">
      <c r="A25" s="276"/>
      <c r="B25" s="310" t="s">
        <v>146</v>
      </c>
      <c r="C25" s="311" t="s">
        <v>147</v>
      </c>
      <c r="D25" s="304" t="n">
        <v>0.0713379030210713</v>
      </c>
      <c r="E25" s="305" t="n">
        <v>84.12</v>
      </c>
      <c r="F25" s="306" t="n">
        <v>0.145619479589401</v>
      </c>
      <c r="G25" s="307" t="n">
        <v>84705.7178808273</v>
      </c>
      <c r="H25" s="308" t="n">
        <v>3.89</v>
      </c>
      <c r="I25" s="308" t="n">
        <v>5</v>
      </c>
      <c r="J25" s="306" t="n">
        <v>0.0290463058593043</v>
      </c>
      <c r="K25" s="307" t="n">
        <v>261448.85</v>
      </c>
      <c r="L25" s="306" t="n">
        <v>0.037816353965749</v>
      </c>
      <c r="M25" s="309" t="n">
        <v>111</v>
      </c>
      <c r="N25" s="306" t="n">
        <v>0.0251196556487103</v>
      </c>
      <c r="O25" s="306" t="n">
        <v>0.0288173652694611</v>
      </c>
      <c r="P25" s="309" t="n">
        <v>15718</v>
      </c>
    </row>
    <row r="26" customFormat="false" ht="15" hidden="false" customHeight="false" outlineLevel="0" collapsed="false">
      <c r="A26" s="276"/>
      <c r="B26" s="310" t="s">
        <v>146</v>
      </c>
      <c r="C26" s="311" t="s">
        <v>148</v>
      </c>
      <c r="D26" s="304" t="n">
        <v>0.067828671801108</v>
      </c>
      <c r="E26" s="305" t="n">
        <v>83.79</v>
      </c>
      <c r="F26" s="306" t="n">
        <v>0.201103413946157</v>
      </c>
      <c r="G26" s="307" t="n">
        <v>48814.7378325123</v>
      </c>
      <c r="H26" s="308" t="n">
        <v>5.24</v>
      </c>
      <c r="I26" s="308" t="n">
        <v>7.17</v>
      </c>
      <c r="J26" s="306" t="n">
        <v>0.0290463058593043</v>
      </c>
      <c r="K26" s="307" t="n">
        <v>157508.54</v>
      </c>
      <c r="L26" s="306" t="n">
        <v>0.037816353965749</v>
      </c>
      <c r="M26" s="309" t="n">
        <v>111</v>
      </c>
      <c r="N26" s="306" t="n">
        <v>0.0251196556487103</v>
      </c>
      <c r="O26" s="306" t="n">
        <v>0.0288173652694611</v>
      </c>
      <c r="P26" s="309" t="n">
        <v>29554</v>
      </c>
    </row>
    <row r="27" customFormat="false" ht="15" hidden="false" customHeight="false" outlineLevel="0" collapsed="false">
      <c r="A27" s="276"/>
      <c r="B27" s="310" t="s">
        <v>146</v>
      </c>
      <c r="C27" s="311" t="s">
        <v>149</v>
      </c>
      <c r="D27" s="304" t="n">
        <v>0.0620812647611703</v>
      </c>
      <c r="E27" s="305" t="n">
        <v>83.93</v>
      </c>
      <c r="F27" s="306" t="n">
        <v>0.257286962641487</v>
      </c>
      <c r="G27" s="307" t="n">
        <v>40503.5590024741</v>
      </c>
      <c r="H27" s="308" t="n">
        <v>6.05</v>
      </c>
      <c r="I27" s="308" t="n">
        <v>8.13</v>
      </c>
      <c r="J27" s="306" t="n">
        <v>0.0290463058593043</v>
      </c>
      <c r="K27" s="307" t="n">
        <v>109738.52</v>
      </c>
      <c r="L27" s="306" t="n">
        <v>0.037816353965749</v>
      </c>
      <c r="M27" s="309" t="n">
        <v>111</v>
      </c>
      <c r="N27" s="306" t="n">
        <v>0.0251196556487103</v>
      </c>
      <c r="O27" s="306" t="n">
        <v>0.0288173652694611</v>
      </c>
      <c r="P27" s="309" t="n">
        <v>20922</v>
      </c>
    </row>
    <row r="28" customFormat="false" ht="15" hidden="false" customHeight="false" outlineLevel="0" collapsed="false">
      <c r="A28" s="276"/>
      <c r="B28" s="310" t="s">
        <v>146</v>
      </c>
      <c r="C28" s="311" t="s">
        <v>150</v>
      </c>
      <c r="D28" s="304" t="n">
        <v>0.0599142005380644</v>
      </c>
      <c r="E28" s="305" t="n">
        <v>84.93</v>
      </c>
      <c r="F28" s="306" t="n">
        <v>0.217780304617134</v>
      </c>
      <c r="G28" s="307" t="n">
        <v>46340.8740988493</v>
      </c>
      <c r="H28" s="308" t="n">
        <v>5.85</v>
      </c>
      <c r="I28" s="308" t="n">
        <v>7.62</v>
      </c>
      <c r="J28" s="306" t="n">
        <v>0.0290463058593043</v>
      </c>
      <c r="K28" s="307" t="n">
        <v>114996.92</v>
      </c>
      <c r="L28" s="306" t="n">
        <v>0.037816353965749</v>
      </c>
      <c r="M28" s="309" t="n">
        <v>111</v>
      </c>
      <c r="N28" s="306" t="n">
        <v>0.0251196556487103</v>
      </c>
      <c r="O28" s="306" t="n">
        <v>0.0288173652694611</v>
      </c>
      <c r="P28" s="309" t="n">
        <v>41477</v>
      </c>
    </row>
    <row r="29" customFormat="false" ht="15" hidden="false" customHeight="false" outlineLevel="0" collapsed="false">
      <c r="A29" s="276"/>
      <c r="B29" s="310" t="s">
        <v>146</v>
      </c>
      <c r="C29" s="311" t="s">
        <v>151</v>
      </c>
      <c r="D29" s="304" t="n">
        <v>0.073153273525482</v>
      </c>
      <c r="E29" s="305" t="n">
        <v>84.7</v>
      </c>
      <c r="F29" s="306" t="n">
        <v>0.191233169227119</v>
      </c>
      <c r="G29" s="307" t="n">
        <v>47375.4245291166</v>
      </c>
      <c r="H29" s="308" t="n">
        <v>5.45</v>
      </c>
      <c r="I29" s="308" t="n">
        <v>7.35</v>
      </c>
      <c r="J29" s="306" t="n">
        <v>0.0290463058593043</v>
      </c>
      <c r="K29" s="307" t="n">
        <v>152904.34</v>
      </c>
      <c r="L29" s="306" t="n">
        <v>0.037816353965749</v>
      </c>
      <c r="M29" s="309" t="n">
        <v>111</v>
      </c>
      <c r="N29" s="306" t="n">
        <v>0.0251196556487103</v>
      </c>
      <c r="O29" s="306" t="n">
        <v>0.0288173652694611</v>
      </c>
      <c r="P29" s="309" t="n">
        <v>20920</v>
      </c>
    </row>
    <row r="30" customFormat="false" ht="15" hidden="false" customHeight="false" outlineLevel="0" collapsed="false">
      <c r="A30" s="276"/>
      <c r="B30" s="310" t="s">
        <v>146</v>
      </c>
      <c r="C30" s="311" t="s">
        <v>152</v>
      </c>
      <c r="D30" s="304" t="n">
        <v>0.0800188835123333</v>
      </c>
      <c r="E30" s="305" t="n">
        <v>84.11</v>
      </c>
      <c r="F30" s="306" t="n">
        <v>0.164832713754647</v>
      </c>
      <c r="G30" s="307" t="n">
        <v>82811.1790116372</v>
      </c>
      <c r="H30" s="308" t="n">
        <v>3.75</v>
      </c>
      <c r="I30" s="308" t="n">
        <v>5.68</v>
      </c>
      <c r="J30" s="306" t="n">
        <v>0.0290463058593043</v>
      </c>
      <c r="K30" s="307" t="n">
        <v>261652.21</v>
      </c>
      <c r="L30" s="306" t="n">
        <v>0.037816353965749</v>
      </c>
      <c r="M30" s="309" t="n">
        <v>111</v>
      </c>
      <c r="N30" s="306" t="n">
        <v>0.0251196556487103</v>
      </c>
      <c r="O30" s="306" t="n">
        <v>0.0288173652694611</v>
      </c>
      <c r="P30" s="309" t="n">
        <v>16837</v>
      </c>
    </row>
    <row r="31" customFormat="false" ht="15" hidden="false" customHeight="false" outlineLevel="0" collapsed="false">
      <c r="A31" s="276"/>
      <c r="B31" s="310" t="s">
        <v>153</v>
      </c>
      <c r="C31" s="311" t="s">
        <v>154</v>
      </c>
      <c r="D31" s="304" t="n">
        <v>0.057742782152231</v>
      </c>
      <c r="E31" s="305" t="n">
        <v>84.73</v>
      </c>
      <c r="F31" s="306" t="n">
        <v>0.162640042679674</v>
      </c>
      <c r="G31" s="307" t="n">
        <v>103573.082656006</v>
      </c>
      <c r="H31" s="308" t="n">
        <v>3.41</v>
      </c>
      <c r="I31" s="308" t="n">
        <v>4.37</v>
      </c>
      <c r="J31" s="306" t="n">
        <v>0.028481565612441</v>
      </c>
      <c r="K31" s="307" t="n">
        <v>315478.28</v>
      </c>
      <c r="L31" s="306" t="n">
        <v>0.0243146881758139</v>
      </c>
      <c r="M31" s="309" t="n">
        <v>147</v>
      </c>
      <c r="N31" s="306" t="n">
        <v>0.0227426038354052</v>
      </c>
      <c r="O31" s="306" t="n">
        <v>0.029815369261477</v>
      </c>
      <c r="P31" s="309" t="n">
        <v>17211</v>
      </c>
    </row>
    <row r="32" customFormat="false" ht="15" hidden="false" customHeight="false" outlineLevel="0" collapsed="false">
      <c r="A32" s="276"/>
      <c r="B32" s="310" t="s">
        <v>153</v>
      </c>
      <c r="C32" s="311" t="s">
        <v>155</v>
      </c>
      <c r="D32" s="304" t="n">
        <v>0.0613328952412245</v>
      </c>
      <c r="E32" s="305" t="n">
        <v>83.04</v>
      </c>
      <c r="F32" s="306" t="n">
        <v>0.227873957740348</v>
      </c>
      <c r="G32" s="307" t="n">
        <v>43701.5220015745</v>
      </c>
      <c r="H32" s="308" t="n">
        <v>6.39</v>
      </c>
      <c r="I32" s="308" t="n">
        <v>8.54</v>
      </c>
      <c r="J32" s="306" t="n">
        <v>0.028481565612441</v>
      </c>
      <c r="K32" s="307" t="n">
        <v>101729.75</v>
      </c>
      <c r="L32" s="306" t="n">
        <v>0.0243146881758139</v>
      </c>
      <c r="M32" s="309" t="n">
        <v>147</v>
      </c>
      <c r="N32" s="306" t="n">
        <v>0.0227426038354052</v>
      </c>
      <c r="O32" s="306" t="n">
        <v>0.029815369261477</v>
      </c>
      <c r="P32" s="309" t="n">
        <v>36601</v>
      </c>
    </row>
    <row r="33" customFormat="false" ht="15" hidden="false" customHeight="false" outlineLevel="0" collapsed="false">
      <c r="A33" s="276"/>
      <c r="B33" s="310" t="s">
        <v>153</v>
      </c>
      <c r="C33" s="311" t="s">
        <v>156</v>
      </c>
      <c r="D33" s="304" t="n">
        <v>0.0718342619137772</v>
      </c>
      <c r="E33" s="305" t="n">
        <v>83.46</v>
      </c>
      <c r="F33" s="306" t="n">
        <v>0.247046979865772</v>
      </c>
      <c r="G33" s="307" t="n">
        <v>43706.9826198041</v>
      </c>
      <c r="H33" s="308" t="n">
        <v>6.32</v>
      </c>
      <c r="I33" s="308" t="n">
        <v>7.98</v>
      </c>
      <c r="J33" s="306" t="n">
        <v>0.028481565612441</v>
      </c>
      <c r="K33" s="307" t="n">
        <v>114722.5</v>
      </c>
      <c r="L33" s="306" t="n">
        <v>0.0243146881758139</v>
      </c>
      <c r="M33" s="309" t="n">
        <v>147</v>
      </c>
      <c r="N33" s="306" t="n">
        <v>0.0227426038354052</v>
      </c>
      <c r="O33" s="306" t="n">
        <v>0.029815369261477</v>
      </c>
      <c r="P33" s="309" t="n">
        <v>18594</v>
      </c>
    </row>
    <row r="34" customFormat="false" ht="15" hidden="false" customHeight="false" outlineLevel="0" collapsed="false">
      <c r="A34" s="276"/>
      <c r="B34" s="310" t="s">
        <v>153</v>
      </c>
      <c r="C34" s="311" t="s">
        <v>157</v>
      </c>
      <c r="D34" s="304" t="n">
        <v>0.0351894941510216</v>
      </c>
      <c r="E34" s="305" t="n">
        <v>84.24</v>
      </c>
      <c r="F34" s="306" t="n">
        <v>0.171520105146425</v>
      </c>
      <c r="G34" s="307" t="n">
        <v>62635.3503539972</v>
      </c>
      <c r="H34" s="308" t="n">
        <v>4.88</v>
      </c>
      <c r="I34" s="308" t="n">
        <v>6.49</v>
      </c>
      <c r="J34" s="306" t="n">
        <v>0.028481565612441</v>
      </c>
      <c r="K34" s="307" t="n">
        <v>156270.15</v>
      </c>
      <c r="L34" s="306" t="n">
        <v>0.0243146881758139</v>
      </c>
      <c r="M34" s="309" t="n">
        <v>147</v>
      </c>
      <c r="N34" s="306" t="n">
        <v>0.0227426038354052</v>
      </c>
      <c r="O34" s="306" t="n">
        <v>0.029815369261477</v>
      </c>
      <c r="P34" s="309" t="n">
        <v>31610</v>
      </c>
    </row>
    <row r="35" customFormat="false" ht="15" hidden="false" customHeight="false" outlineLevel="0" collapsed="false">
      <c r="A35" s="276"/>
      <c r="B35" s="310" t="s">
        <v>153</v>
      </c>
      <c r="C35" s="311" t="s">
        <v>158</v>
      </c>
      <c r="D35" s="304" t="n">
        <v>0.048824297844546</v>
      </c>
      <c r="E35" s="305" t="n">
        <v>84.79</v>
      </c>
      <c r="F35" s="306" t="n">
        <v>0.141271663659723</v>
      </c>
      <c r="G35" s="307" t="n">
        <v>80248.3920255963</v>
      </c>
      <c r="H35" s="308" t="n">
        <v>3.75</v>
      </c>
      <c r="I35" s="308" t="n">
        <v>5.22</v>
      </c>
      <c r="J35" s="306" t="n">
        <v>0.028481565612441</v>
      </c>
      <c r="K35" s="307" t="n">
        <v>201904.31</v>
      </c>
      <c r="L35" s="306" t="n">
        <v>0.0243146881758139</v>
      </c>
      <c r="M35" s="309" t="n">
        <v>147</v>
      </c>
      <c r="N35" s="306" t="n">
        <v>0.0227426038354052</v>
      </c>
      <c r="O35" s="306" t="n">
        <v>0.029815369261477</v>
      </c>
      <c r="P35" s="309" t="n">
        <v>24650</v>
      </c>
    </row>
    <row r="36" customFormat="false" ht="15" hidden="false" customHeight="false" outlineLevel="0" collapsed="false">
      <c r="A36" s="276"/>
      <c r="B36" s="310" t="s">
        <v>153</v>
      </c>
      <c r="C36" s="311" t="s">
        <v>159</v>
      </c>
      <c r="D36" s="304" t="n">
        <v>0.0480706537846008</v>
      </c>
      <c r="E36" s="305" t="n">
        <v>85.1</v>
      </c>
      <c r="F36" s="306" t="n">
        <v>0.182390414075535</v>
      </c>
      <c r="G36" s="307" t="n">
        <v>54869.9650135588</v>
      </c>
      <c r="H36" s="308" t="n">
        <v>5.09</v>
      </c>
      <c r="I36" s="308" t="n">
        <v>7.29</v>
      </c>
      <c r="J36" s="306" t="n">
        <v>0.028481565612441</v>
      </c>
      <c r="K36" s="307" t="n">
        <v>106610.94</v>
      </c>
      <c r="L36" s="306" t="n">
        <v>0.0243146881758139</v>
      </c>
      <c r="M36" s="309" t="n">
        <v>147</v>
      </c>
      <c r="N36" s="306" t="n">
        <v>0.0227426038354052</v>
      </c>
      <c r="O36" s="306" t="n">
        <v>0.029815369261477</v>
      </c>
      <c r="P36" s="309" t="n">
        <v>16881</v>
      </c>
    </row>
    <row r="37" customFormat="false" ht="15" hidden="false" customHeight="false" outlineLevel="0" collapsed="false">
      <c r="A37" s="276"/>
      <c r="B37" s="310" t="s">
        <v>160</v>
      </c>
      <c r="C37" s="311" t="s">
        <v>161</v>
      </c>
      <c r="D37" s="304" t="n">
        <v>0.181669565217391</v>
      </c>
      <c r="E37" s="305" t="n">
        <v>83.1</v>
      </c>
      <c r="F37" s="306" t="n">
        <v>0.426491866532205</v>
      </c>
      <c r="G37" s="307" t="n">
        <v>31125.2299026959</v>
      </c>
      <c r="H37" s="308" t="n">
        <v>7.27</v>
      </c>
      <c r="I37" s="308" t="n">
        <v>9.52</v>
      </c>
      <c r="J37" s="306" t="n">
        <v>0.0469339163786954</v>
      </c>
      <c r="K37" s="307" t="n">
        <v>78564.54</v>
      </c>
      <c r="L37" s="306" t="n">
        <v>0.0362966859547607</v>
      </c>
      <c r="M37" s="309" t="n">
        <v>873</v>
      </c>
      <c r="N37" s="306" t="n">
        <v>0.0459670424978317</v>
      </c>
      <c r="O37" s="306" t="n">
        <v>0.0464071856287425</v>
      </c>
      <c r="P37" s="309" t="n">
        <v>28967</v>
      </c>
    </row>
    <row r="38" customFormat="false" ht="15" hidden="false" customHeight="false" outlineLevel="0" collapsed="false">
      <c r="A38" s="276"/>
      <c r="B38" s="310" t="s">
        <v>160</v>
      </c>
      <c r="C38" s="311" t="s">
        <v>162</v>
      </c>
      <c r="D38" s="304" t="n">
        <v>0.104454954165937</v>
      </c>
      <c r="E38" s="305" t="n">
        <v>83.5</v>
      </c>
      <c r="F38" s="306" t="n">
        <v>0.273665416889841</v>
      </c>
      <c r="G38" s="307" t="n">
        <v>43306.0232761758</v>
      </c>
      <c r="H38" s="308" t="n">
        <v>6.14</v>
      </c>
      <c r="I38" s="308" t="n">
        <v>8.4</v>
      </c>
      <c r="J38" s="306" t="n">
        <v>0.0469339163786954</v>
      </c>
      <c r="K38" s="307" t="n">
        <v>119218.39</v>
      </c>
      <c r="L38" s="306" t="n">
        <v>0.0362966859547607</v>
      </c>
      <c r="M38" s="309" t="n">
        <v>873</v>
      </c>
      <c r="N38" s="306" t="n">
        <v>0.0459670424978317</v>
      </c>
      <c r="O38" s="306" t="n">
        <v>0.0464071856287425</v>
      </c>
      <c r="P38" s="309" t="n">
        <v>34367</v>
      </c>
    </row>
    <row r="39" customFormat="false" ht="15" hidden="false" customHeight="false" outlineLevel="0" collapsed="false">
      <c r="A39" s="276"/>
      <c r="B39" s="310" t="s">
        <v>160</v>
      </c>
      <c r="C39" s="311" t="s">
        <v>163</v>
      </c>
      <c r="D39" s="304" t="n">
        <v>0.105289004567107</v>
      </c>
      <c r="E39" s="305" t="n">
        <v>84.44</v>
      </c>
      <c r="F39" s="306" t="n">
        <v>0.262451430589898</v>
      </c>
      <c r="G39" s="307" t="n">
        <v>45025.3268859599</v>
      </c>
      <c r="H39" s="308" t="n">
        <v>6</v>
      </c>
      <c r="I39" s="308" t="n">
        <v>8.17</v>
      </c>
      <c r="J39" s="306" t="n">
        <v>0.0469339163786954</v>
      </c>
      <c r="K39" s="307" t="n">
        <v>114667.38</v>
      </c>
      <c r="L39" s="306" t="n">
        <v>0.0362966859547607</v>
      </c>
      <c r="M39" s="309" t="n">
        <v>873</v>
      </c>
      <c r="N39" s="306" t="n">
        <v>0.0459670424978317</v>
      </c>
      <c r="O39" s="306" t="n">
        <v>0.0464071856287425</v>
      </c>
      <c r="P39" s="309" t="n">
        <v>20454</v>
      </c>
    </row>
    <row r="40" customFormat="false" ht="15" hidden="false" customHeight="false" outlineLevel="0" collapsed="false">
      <c r="A40" s="276"/>
      <c r="B40" s="310" t="s">
        <v>160</v>
      </c>
      <c r="C40" s="311" t="s">
        <v>164</v>
      </c>
      <c r="D40" s="304" t="n">
        <v>0.103742027563445</v>
      </c>
      <c r="E40" s="305" t="n">
        <v>82.6</v>
      </c>
      <c r="F40" s="306" t="n">
        <v>0.484101928064043</v>
      </c>
      <c r="G40" s="307" t="n">
        <v>28746.7033662579</v>
      </c>
      <c r="H40" s="308" t="n">
        <v>10.69</v>
      </c>
      <c r="I40" s="308" t="n">
        <v>13.3</v>
      </c>
      <c r="J40" s="306" t="n">
        <v>0.0469339163786954</v>
      </c>
      <c r="K40" s="307" t="n">
        <v>82364.88</v>
      </c>
      <c r="L40" s="306" t="n">
        <v>0.0362966859547607</v>
      </c>
      <c r="M40" s="309" t="n">
        <v>873</v>
      </c>
      <c r="N40" s="306" t="n">
        <v>0.0459670424978317</v>
      </c>
      <c r="O40" s="306" t="n">
        <v>0.0464071856287425</v>
      </c>
      <c r="P40" s="309" t="n">
        <v>22623</v>
      </c>
    </row>
    <row r="41" customFormat="false" ht="15" hidden="false" customHeight="false" outlineLevel="0" collapsed="false">
      <c r="A41" s="276"/>
      <c r="B41" s="310" t="s">
        <v>160</v>
      </c>
      <c r="C41" s="311" t="s">
        <v>165</v>
      </c>
      <c r="D41" s="304" t="n">
        <v>0.1692151265105</v>
      </c>
      <c r="E41" s="305" t="n">
        <v>83.03</v>
      </c>
      <c r="F41" s="306" t="n">
        <v>0.479169784962331</v>
      </c>
      <c r="G41" s="307" t="n">
        <v>28242.0523623145</v>
      </c>
      <c r="H41" s="308" t="n">
        <v>7.93</v>
      </c>
      <c r="I41" s="308" t="n">
        <v>10.57</v>
      </c>
      <c r="J41" s="306" t="n">
        <v>0.0469339163786954</v>
      </c>
      <c r="K41" s="307" t="n">
        <v>56778.23</v>
      </c>
      <c r="L41" s="306" t="n">
        <v>0.0362966859547607</v>
      </c>
      <c r="M41" s="309" t="n">
        <v>873</v>
      </c>
      <c r="N41" s="306" t="n">
        <v>0.0459670424978317</v>
      </c>
      <c r="O41" s="306" t="n">
        <v>0.0464071856287425</v>
      </c>
      <c r="P41" s="309" t="n">
        <v>25740</v>
      </c>
    </row>
    <row r="42" customFormat="false" ht="15" hidden="false" customHeight="false" outlineLevel="0" collapsed="false">
      <c r="A42" s="276"/>
      <c r="B42" s="310" t="s">
        <v>160</v>
      </c>
      <c r="C42" s="311" t="s">
        <v>166</v>
      </c>
      <c r="D42" s="304" t="n">
        <v>0.187865734720416</v>
      </c>
      <c r="E42" s="305" t="n">
        <v>82.77</v>
      </c>
      <c r="F42" s="306" t="n">
        <v>0.450243095065687</v>
      </c>
      <c r="G42" s="307" t="n">
        <v>28945.5254772727</v>
      </c>
      <c r="H42" s="308" t="n">
        <v>7.36</v>
      </c>
      <c r="I42" s="308" t="n">
        <v>10.31</v>
      </c>
      <c r="J42" s="306" t="n">
        <v>0.0469339163786954</v>
      </c>
      <c r="K42" s="307" t="n">
        <v>70355.9</v>
      </c>
      <c r="L42" s="306" t="n">
        <v>0.0362966859547607</v>
      </c>
      <c r="M42" s="309" t="n">
        <v>873</v>
      </c>
      <c r="N42" s="306" t="n">
        <v>0.0459670424978317</v>
      </c>
      <c r="O42" s="306" t="n">
        <v>0.0464071856287425</v>
      </c>
      <c r="P42" s="309" t="n">
        <v>24817</v>
      </c>
    </row>
    <row r="43" customFormat="false" ht="15" hidden="false" customHeight="false" outlineLevel="0" collapsed="false">
      <c r="A43" s="276"/>
      <c r="B43" s="310" t="s">
        <v>167</v>
      </c>
      <c r="C43" s="311" t="s">
        <v>168</v>
      </c>
      <c r="D43" s="304" t="n">
        <v>0.0614576899320568</v>
      </c>
      <c r="E43" s="305" t="n">
        <v>83.84</v>
      </c>
      <c r="F43" s="306" t="n">
        <v>0.221745427238105</v>
      </c>
      <c r="G43" s="307" t="n">
        <v>42607.6365402033</v>
      </c>
      <c r="H43" s="308" t="n">
        <v>6.15</v>
      </c>
      <c r="I43" s="308" t="n">
        <v>8.02</v>
      </c>
      <c r="J43" s="306" t="n">
        <v>0.0301465596866271</v>
      </c>
      <c r="K43" s="307" t="n">
        <v>112274.14</v>
      </c>
      <c r="L43" s="306" t="n">
        <v>0.0414401776842598</v>
      </c>
      <c r="M43" s="309" t="n">
        <v>154</v>
      </c>
      <c r="N43" s="306" t="n">
        <v>0.0323793003758312</v>
      </c>
      <c r="O43" s="306" t="n">
        <v>0.032559880239521</v>
      </c>
      <c r="P43" s="309" t="n">
        <v>22809</v>
      </c>
    </row>
    <row r="44" customFormat="false" ht="15" hidden="false" customHeight="false" outlineLevel="0" collapsed="false">
      <c r="A44" s="276"/>
      <c r="B44" s="310" t="s">
        <v>167</v>
      </c>
      <c r="C44" s="311" t="s">
        <v>169</v>
      </c>
      <c r="D44" s="304" t="n">
        <v>0.0579412369015821</v>
      </c>
      <c r="E44" s="305" t="n">
        <v>82.97</v>
      </c>
      <c r="F44" s="306" t="n">
        <v>0.240138686498166</v>
      </c>
      <c r="G44" s="307" t="n">
        <v>42210.1517765152</v>
      </c>
      <c r="H44" s="308" t="n">
        <v>5.96</v>
      </c>
      <c r="I44" s="308" t="n">
        <v>8.14</v>
      </c>
      <c r="J44" s="306" t="n">
        <v>0.0301465596866271</v>
      </c>
      <c r="K44" s="307" t="n">
        <v>120510.75</v>
      </c>
      <c r="L44" s="306" t="n">
        <v>0.0414401776842598</v>
      </c>
      <c r="M44" s="309" t="n">
        <v>154</v>
      </c>
      <c r="N44" s="306" t="n">
        <v>0.0323793003758312</v>
      </c>
      <c r="O44" s="306" t="n">
        <v>0.032559880239521</v>
      </c>
      <c r="P44" s="309" t="n">
        <v>24388</v>
      </c>
    </row>
    <row r="45" customFormat="false" ht="15" hidden="false" customHeight="false" outlineLevel="0" collapsed="false">
      <c r="A45" s="276"/>
      <c r="B45" s="310" t="s">
        <v>167</v>
      </c>
      <c r="C45" s="311" t="s">
        <v>170</v>
      </c>
      <c r="D45" s="304" t="n">
        <v>0.0625535211841944</v>
      </c>
      <c r="E45" s="305" t="n">
        <v>83.5</v>
      </c>
      <c r="F45" s="306" t="n">
        <v>0.219465272296764</v>
      </c>
      <c r="G45" s="307" t="n">
        <v>41126.2198025844</v>
      </c>
      <c r="H45" s="308" t="n">
        <v>5.89</v>
      </c>
      <c r="I45" s="308" t="n">
        <v>7.61</v>
      </c>
      <c r="J45" s="306" t="n">
        <v>0.0301465596866271</v>
      </c>
      <c r="K45" s="307" t="n">
        <v>116258.33</v>
      </c>
      <c r="L45" s="306" t="n">
        <v>0.0414401776842598</v>
      </c>
      <c r="M45" s="309" t="n">
        <v>154</v>
      </c>
      <c r="N45" s="306" t="n">
        <v>0.0323793003758312</v>
      </c>
      <c r="O45" s="306" t="n">
        <v>0.032559880239521</v>
      </c>
      <c r="P45" s="309" t="n">
        <v>24486</v>
      </c>
    </row>
    <row r="46" customFormat="false" ht="15" hidden="false" customHeight="false" outlineLevel="0" collapsed="false">
      <c r="A46" s="276"/>
      <c r="B46" s="310" t="s">
        <v>167</v>
      </c>
      <c r="C46" s="311" t="s">
        <v>171</v>
      </c>
      <c r="D46" s="304" t="n">
        <v>0.0685893226930653</v>
      </c>
      <c r="E46" s="305" t="n">
        <v>84.02</v>
      </c>
      <c r="F46" s="306" t="n">
        <v>0.195871733366999</v>
      </c>
      <c r="G46" s="307" t="n">
        <v>68786.7092139108</v>
      </c>
      <c r="H46" s="308" t="n">
        <v>4.39</v>
      </c>
      <c r="I46" s="308" t="n">
        <v>5.75</v>
      </c>
      <c r="J46" s="306" t="n">
        <v>0.0301465596866271</v>
      </c>
      <c r="K46" s="307" t="n">
        <v>183975.01</v>
      </c>
      <c r="L46" s="306" t="n">
        <v>0.0414401776842598</v>
      </c>
      <c r="M46" s="309" t="n">
        <v>154</v>
      </c>
      <c r="N46" s="306" t="n">
        <v>0.0323793003758312</v>
      </c>
      <c r="O46" s="306" t="n">
        <v>0.032559880239521</v>
      </c>
      <c r="P46" s="309" t="n">
        <v>19770</v>
      </c>
    </row>
    <row r="47" customFormat="false" ht="15" hidden="false" customHeight="false" outlineLevel="0" collapsed="false">
      <c r="A47" s="276"/>
      <c r="B47" s="310" t="s">
        <v>167</v>
      </c>
      <c r="C47" s="311" t="s">
        <v>172</v>
      </c>
      <c r="D47" s="304" t="n">
        <v>0.0590409996672705</v>
      </c>
      <c r="E47" s="305" t="n">
        <v>84.44</v>
      </c>
      <c r="F47" s="306" t="n">
        <v>0.2177222071215</v>
      </c>
      <c r="G47" s="307" t="n">
        <v>47955.2791667397</v>
      </c>
      <c r="H47" s="308" t="n">
        <v>5.31</v>
      </c>
      <c r="I47" s="308" t="n">
        <v>7.18</v>
      </c>
      <c r="J47" s="306" t="n">
        <v>0.0301465596866271</v>
      </c>
      <c r="K47" s="307" t="n">
        <v>121443.52</v>
      </c>
      <c r="L47" s="306" t="n">
        <v>0.0414401776842598</v>
      </c>
      <c r="M47" s="309" t="n">
        <v>154</v>
      </c>
      <c r="N47" s="306" t="n">
        <v>0.0323793003758312</v>
      </c>
      <c r="O47" s="306" t="n">
        <v>0.032559880239521</v>
      </c>
      <c r="P47" s="309" t="n">
        <v>27171</v>
      </c>
    </row>
    <row r="48" customFormat="false" ht="15" hidden="false" customHeight="false" outlineLevel="0" collapsed="false">
      <c r="A48" s="276"/>
      <c r="B48" s="310" t="s">
        <v>167</v>
      </c>
      <c r="C48" s="311" t="s">
        <v>173</v>
      </c>
      <c r="D48" s="304" t="n">
        <v>0.0359672752668862</v>
      </c>
      <c r="E48" s="305" t="n">
        <v>84.33</v>
      </c>
      <c r="F48" s="306" t="n">
        <v>0.171601656673054</v>
      </c>
      <c r="G48" s="307" t="n">
        <v>59458.5754002255</v>
      </c>
      <c r="H48" s="308" t="n">
        <v>4.63</v>
      </c>
      <c r="I48" s="308" t="n">
        <v>5.92</v>
      </c>
      <c r="J48" s="306" t="n">
        <v>0.0301465596866271</v>
      </c>
      <c r="K48" s="307" t="n">
        <v>177760.6</v>
      </c>
      <c r="L48" s="306" t="n">
        <v>0.0414401776842598</v>
      </c>
      <c r="M48" s="309" t="n">
        <v>154</v>
      </c>
      <c r="N48" s="306" t="n">
        <v>0.0323793003758312</v>
      </c>
      <c r="O48" s="306" t="n">
        <v>0.032559880239521</v>
      </c>
      <c r="P48" s="309" t="n">
        <v>20211</v>
      </c>
    </row>
    <row r="49" customFormat="false" ht="15" hidden="false" customHeight="false" outlineLevel="0" collapsed="false">
      <c r="A49" s="276"/>
      <c r="B49" s="310" t="s">
        <v>174</v>
      </c>
      <c r="C49" s="311" t="s">
        <v>175</v>
      </c>
      <c r="D49" s="304" t="n">
        <v>0.0211226851851852</v>
      </c>
      <c r="E49" s="305" t="n">
        <v>80.21</v>
      </c>
      <c r="F49" s="306" t="n">
        <v>0.482111229188806</v>
      </c>
      <c r="G49" s="307" t="n">
        <v>39061.7270865533</v>
      </c>
      <c r="H49" s="308" t="n">
        <v>6.21</v>
      </c>
      <c r="I49" s="308" t="n">
        <v>8.12</v>
      </c>
      <c r="J49" s="306" t="n">
        <v>0.0361108345777335</v>
      </c>
      <c r="K49" s="307" t="n">
        <v>94498.3</v>
      </c>
      <c r="L49" s="306" t="n">
        <v>0.0503243906715764</v>
      </c>
      <c r="M49" s="309" t="n">
        <v>475</v>
      </c>
      <c r="N49" s="306" t="n">
        <v>0.0547364363496194</v>
      </c>
      <c r="O49" s="306" t="n">
        <v>0.0542040918163673</v>
      </c>
      <c r="P49" s="309" t="n">
        <v>3483</v>
      </c>
    </row>
    <row r="50" customFormat="false" ht="15" hidden="false" customHeight="false" outlineLevel="0" collapsed="false">
      <c r="A50" s="276"/>
      <c r="B50" s="310" t="s">
        <v>174</v>
      </c>
      <c r="C50" s="311" t="s">
        <v>176</v>
      </c>
      <c r="D50" s="304" t="n">
        <v>0.0451453308596166</v>
      </c>
      <c r="E50" s="305" t="n">
        <v>84.91</v>
      </c>
      <c r="F50" s="306" t="n">
        <v>0.161413969335605</v>
      </c>
      <c r="G50" s="307" t="n">
        <v>98155.7929422895</v>
      </c>
      <c r="H50" s="308" t="n">
        <v>3.31</v>
      </c>
      <c r="I50" s="308" t="n">
        <v>4.76</v>
      </c>
      <c r="J50" s="306" t="n">
        <v>0.0361108345777335</v>
      </c>
      <c r="K50" s="307" t="n">
        <v>172607.26</v>
      </c>
      <c r="L50" s="306" t="n">
        <v>0.0503243906715764</v>
      </c>
      <c r="M50" s="309" t="n">
        <v>475</v>
      </c>
      <c r="N50" s="306" t="n">
        <v>0.0547364363496194</v>
      </c>
      <c r="O50" s="306" t="n">
        <v>0.0542040918163673</v>
      </c>
      <c r="P50" s="309" t="n">
        <v>3259</v>
      </c>
    </row>
    <row r="51" customFormat="false" ht="15" hidden="false" customHeight="false" outlineLevel="0" collapsed="false">
      <c r="A51" s="276"/>
      <c r="B51" s="310" t="s">
        <v>174</v>
      </c>
      <c r="C51" s="311" t="s">
        <v>177</v>
      </c>
      <c r="D51" s="304" t="n">
        <v>0.0489957669098442</v>
      </c>
      <c r="E51" s="305" t="n">
        <v>83.13</v>
      </c>
      <c r="F51" s="306" t="n">
        <v>0.355073293632616</v>
      </c>
      <c r="G51" s="307" t="n">
        <v>45508.0580730877</v>
      </c>
      <c r="H51" s="308" t="n">
        <v>6.82</v>
      </c>
      <c r="I51" s="308" t="n">
        <v>8.35</v>
      </c>
      <c r="J51" s="306" t="n">
        <v>0.0361108345777335</v>
      </c>
      <c r="K51" s="307" t="n">
        <v>100133.82</v>
      </c>
      <c r="L51" s="306" t="n">
        <v>0.0503243906715764</v>
      </c>
      <c r="M51" s="309" t="n">
        <v>475</v>
      </c>
      <c r="N51" s="306" t="n">
        <v>0.0547364363496194</v>
      </c>
      <c r="O51" s="306" t="n">
        <v>0.0542040918163673</v>
      </c>
      <c r="P51" s="309" t="n">
        <v>44657</v>
      </c>
    </row>
    <row r="52" customFormat="false" ht="15" hidden="false" customHeight="false" outlineLevel="0" collapsed="false">
      <c r="A52" s="276"/>
      <c r="B52" s="310" t="s">
        <v>174</v>
      </c>
      <c r="C52" s="311" t="s">
        <v>178</v>
      </c>
      <c r="D52" s="304" t="n">
        <v>0.0765609406864234</v>
      </c>
      <c r="E52" s="305" t="n">
        <v>83.61</v>
      </c>
      <c r="F52" s="306" t="n">
        <v>0.441606796371074</v>
      </c>
      <c r="G52" s="307" t="n">
        <v>33746.0138188456</v>
      </c>
      <c r="H52" s="308" t="n">
        <v>7.08</v>
      </c>
      <c r="I52" s="308" t="n">
        <v>9</v>
      </c>
      <c r="J52" s="306" t="n">
        <v>0.0361108345777335</v>
      </c>
      <c r="K52" s="307" t="n">
        <v>75022.46</v>
      </c>
      <c r="L52" s="306" t="n">
        <v>0.0503243906715764</v>
      </c>
      <c r="M52" s="309" t="n">
        <v>475</v>
      </c>
      <c r="N52" s="306" t="n">
        <v>0.0547364363496194</v>
      </c>
      <c r="O52" s="306" t="n">
        <v>0.0542040918163673</v>
      </c>
      <c r="P52" s="309" t="n">
        <v>46429</v>
      </c>
    </row>
    <row r="53" customFormat="false" ht="15" hidden="false" customHeight="false" outlineLevel="0" collapsed="false">
      <c r="A53" s="276"/>
      <c r="B53" s="310" t="s">
        <v>174</v>
      </c>
      <c r="C53" s="311" t="s">
        <v>179</v>
      </c>
      <c r="D53" s="304" t="n">
        <v>0.0281798537726075</v>
      </c>
      <c r="E53" s="305" t="n">
        <v>84.4</v>
      </c>
      <c r="F53" s="306" t="n">
        <v>0.235289875973464</v>
      </c>
      <c r="G53" s="307" t="n">
        <v>58457.3752869185</v>
      </c>
      <c r="H53" s="308" t="n">
        <v>5.32</v>
      </c>
      <c r="I53" s="308" t="n">
        <v>6.62</v>
      </c>
      <c r="J53" s="306" t="n">
        <v>0.0361108345777335</v>
      </c>
      <c r="K53" s="307" t="n">
        <v>96815.18</v>
      </c>
      <c r="L53" s="306" t="n">
        <v>0.0503243906715764</v>
      </c>
      <c r="M53" s="309" t="n">
        <v>475</v>
      </c>
      <c r="N53" s="306" t="n">
        <v>0.0547364363496194</v>
      </c>
      <c r="O53" s="306" t="n">
        <v>0.0542040918163673</v>
      </c>
      <c r="P53" s="309" t="n">
        <v>33852</v>
      </c>
    </row>
    <row r="54" customFormat="false" ht="15" hidden="false" customHeight="false" outlineLevel="0" collapsed="false">
      <c r="A54" s="276"/>
      <c r="B54" s="310" t="s">
        <v>174</v>
      </c>
      <c r="C54" s="311" t="s">
        <v>180</v>
      </c>
      <c r="D54" s="304" t="n">
        <v>0.07253676886069</v>
      </c>
      <c r="E54" s="305" t="n">
        <v>82.22</v>
      </c>
      <c r="F54" s="306" t="n">
        <v>0.305108286252354</v>
      </c>
      <c r="G54" s="307" t="n">
        <v>42537.2500960052</v>
      </c>
      <c r="H54" s="308" t="n">
        <v>6.6</v>
      </c>
      <c r="I54" s="308" t="n">
        <v>8.36</v>
      </c>
      <c r="J54" s="306" t="n">
        <v>0.0361108345777335</v>
      </c>
      <c r="K54" s="307" t="n">
        <v>84332.83</v>
      </c>
      <c r="L54" s="306" t="n">
        <v>0.0503243906715764</v>
      </c>
      <c r="M54" s="309" t="n">
        <v>475</v>
      </c>
      <c r="N54" s="306" t="n">
        <v>0.0547364363496194</v>
      </c>
      <c r="O54" s="306" t="n">
        <v>0.0542040918163673</v>
      </c>
      <c r="P54" s="309" t="n">
        <v>62796</v>
      </c>
    </row>
    <row r="55" customFormat="false" ht="15" hidden="false" customHeight="false" outlineLevel="0" collapsed="false">
      <c r="A55" s="276"/>
      <c r="B55" s="310" t="s">
        <v>174</v>
      </c>
      <c r="C55" s="311" t="s">
        <v>181</v>
      </c>
      <c r="D55" s="304" t="n">
        <v>0.0204317175120095</v>
      </c>
      <c r="E55" s="305" t="n">
        <v>82.79</v>
      </c>
      <c r="F55" s="306" t="n">
        <v>0.156315519731631</v>
      </c>
      <c r="G55" s="307" t="n">
        <v>78328.1005562156</v>
      </c>
      <c r="H55" s="308" t="n">
        <v>4.14</v>
      </c>
      <c r="I55" s="308" t="n">
        <v>5.62</v>
      </c>
      <c r="J55" s="306" t="n">
        <v>0.0361108345777335</v>
      </c>
      <c r="K55" s="307" t="n">
        <v>137514.56</v>
      </c>
      <c r="L55" s="306" t="n">
        <v>0.0503243906715764</v>
      </c>
      <c r="M55" s="309" t="n">
        <v>475</v>
      </c>
      <c r="N55" s="306" t="n">
        <v>0.0547364363496194</v>
      </c>
      <c r="O55" s="306" t="n">
        <v>0.0542040918163673</v>
      </c>
      <c r="P55" s="309" t="n">
        <v>32715</v>
      </c>
    </row>
    <row r="56" customFormat="false" ht="15" hidden="false" customHeight="false" outlineLevel="0" collapsed="false">
      <c r="A56" s="276"/>
      <c r="B56" s="310" t="s">
        <v>174</v>
      </c>
      <c r="C56" s="311" t="s">
        <v>182</v>
      </c>
      <c r="D56" s="304" t="n">
        <v>0.0212813370473538</v>
      </c>
      <c r="E56" s="305" t="n">
        <v>88.66</v>
      </c>
      <c r="F56" s="306" t="n">
        <v>0.15826750204304</v>
      </c>
      <c r="G56" s="307" t="n">
        <v>57441.3442330211</v>
      </c>
      <c r="H56" s="308" t="n">
        <v>3.73</v>
      </c>
      <c r="I56" s="308" t="n">
        <v>5.3</v>
      </c>
      <c r="J56" s="306" t="n">
        <v>0.0361108345777335</v>
      </c>
      <c r="K56" s="307" t="n">
        <v>81519.53</v>
      </c>
      <c r="L56" s="306" t="n">
        <v>0.0503243906715764</v>
      </c>
      <c r="M56" s="309" t="n">
        <v>475</v>
      </c>
      <c r="N56" s="306" t="n">
        <v>0.0547364363496194</v>
      </c>
      <c r="O56" s="306" t="n">
        <v>0.0542040918163673</v>
      </c>
      <c r="P56" s="309" t="n">
        <v>18299</v>
      </c>
    </row>
    <row r="57" customFormat="false" ht="15" hidden="false" customHeight="false" outlineLevel="0" collapsed="false">
      <c r="A57" s="276"/>
      <c r="B57" s="310" t="s">
        <v>183</v>
      </c>
      <c r="C57" s="311" t="s">
        <v>184</v>
      </c>
      <c r="D57" s="304" t="n">
        <v>0.0427131782945736</v>
      </c>
      <c r="E57" s="305" t="n">
        <v>82.74</v>
      </c>
      <c r="F57" s="306" t="n">
        <v>0.283583507505225</v>
      </c>
      <c r="G57" s="307" t="n">
        <v>41436.0838529902</v>
      </c>
      <c r="H57" s="308" t="n">
        <v>7.57</v>
      </c>
      <c r="I57" s="308" t="n">
        <v>9.53</v>
      </c>
      <c r="J57" s="306" t="n">
        <v>0.032221233886064</v>
      </c>
      <c r="K57" s="307" t="n">
        <v>98568.69</v>
      </c>
      <c r="L57" s="306" t="n">
        <v>0.0245484832544275</v>
      </c>
      <c r="M57" s="309" t="n">
        <v>242</v>
      </c>
      <c r="N57" s="306" t="n">
        <v>0.0247663101088947</v>
      </c>
      <c r="O57" s="306" t="n">
        <v>0.0238585329341317</v>
      </c>
      <c r="P57" s="309" t="n">
        <v>12891</v>
      </c>
    </row>
    <row r="58" customFormat="false" ht="15" hidden="false" customHeight="false" outlineLevel="0" collapsed="false">
      <c r="A58" s="276"/>
      <c r="B58" s="310" t="s">
        <v>183</v>
      </c>
      <c r="C58" s="311" t="s">
        <v>185</v>
      </c>
      <c r="D58" s="304" t="n">
        <v>0.067189063021007</v>
      </c>
      <c r="E58" s="305" t="n">
        <v>82.88</v>
      </c>
      <c r="F58" s="306" t="n">
        <v>0.207941908292287</v>
      </c>
      <c r="G58" s="307" t="n">
        <v>53460.6435623358</v>
      </c>
      <c r="H58" s="308" t="n">
        <v>5.81</v>
      </c>
      <c r="I58" s="308" t="n">
        <v>7.51</v>
      </c>
      <c r="J58" s="306" t="n">
        <v>0.032221233886064</v>
      </c>
      <c r="K58" s="307" t="n">
        <v>202053.54</v>
      </c>
      <c r="L58" s="306" t="n">
        <v>0.0245484832544275</v>
      </c>
      <c r="M58" s="309" t="n">
        <v>242</v>
      </c>
      <c r="N58" s="306" t="n">
        <v>0.0247663101088947</v>
      </c>
      <c r="O58" s="306" t="n">
        <v>0.0238585329341317</v>
      </c>
      <c r="P58" s="309" t="n">
        <v>23963</v>
      </c>
    </row>
    <row r="59" customFormat="false" ht="15" hidden="false" customHeight="false" outlineLevel="0" collapsed="false">
      <c r="A59" s="276"/>
      <c r="B59" s="310" t="s">
        <v>183</v>
      </c>
      <c r="C59" s="311" t="s">
        <v>186</v>
      </c>
      <c r="D59" s="304" t="n">
        <v>0.0632415978132571</v>
      </c>
      <c r="E59" s="305" t="n">
        <v>83.16</v>
      </c>
      <c r="F59" s="306" t="n">
        <v>0.183474508550424</v>
      </c>
      <c r="G59" s="307" t="n">
        <v>67390.492096167</v>
      </c>
      <c r="H59" s="308" t="n">
        <v>4.86</v>
      </c>
      <c r="I59" s="308" t="n">
        <v>6.66</v>
      </c>
      <c r="J59" s="306" t="n">
        <v>0.032221233886064</v>
      </c>
      <c r="K59" s="307" t="n">
        <v>154344.74</v>
      </c>
      <c r="L59" s="306" t="n">
        <v>0.0245484832544275</v>
      </c>
      <c r="M59" s="309" t="n">
        <v>242</v>
      </c>
      <c r="N59" s="306" t="n">
        <v>0.0247663101088947</v>
      </c>
      <c r="O59" s="306" t="n">
        <v>0.0238585329341317</v>
      </c>
      <c r="P59" s="309" t="n">
        <v>16123</v>
      </c>
    </row>
    <row r="60" customFormat="false" ht="15" hidden="false" customHeight="false" outlineLevel="0" collapsed="false">
      <c r="A60" s="276"/>
      <c r="B60" s="310" t="s">
        <v>183</v>
      </c>
      <c r="C60" s="311" t="s">
        <v>187</v>
      </c>
      <c r="D60" s="304" t="n">
        <v>0.0772996124821538</v>
      </c>
      <c r="E60" s="305" t="n">
        <v>83.7</v>
      </c>
      <c r="F60" s="306" t="n">
        <v>0.400120518228382</v>
      </c>
      <c r="G60" s="307" t="n">
        <v>34996.9307976869</v>
      </c>
      <c r="H60" s="308" t="n">
        <v>7.36</v>
      </c>
      <c r="I60" s="308" t="n">
        <v>8.85</v>
      </c>
      <c r="J60" s="306" t="n">
        <v>0.032221233886064</v>
      </c>
      <c r="K60" s="307" t="n">
        <v>81625.61</v>
      </c>
      <c r="L60" s="306" t="n">
        <v>0.0245484832544275</v>
      </c>
      <c r="M60" s="309" t="n">
        <v>242</v>
      </c>
      <c r="N60" s="306" t="n">
        <v>0.0247663101088947</v>
      </c>
      <c r="O60" s="306" t="n">
        <v>0.0238585329341317</v>
      </c>
      <c r="P60" s="309" t="n">
        <v>29682</v>
      </c>
    </row>
    <row r="61" customFormat="false" ht="15" hidden="false" customHeight="false" outlineLevel="0" collapsed="false">
      <c r="A61" s="276"/>
      <c r="B61" s="310" t="s">
        <v>183</v>
      </c>
      <c r="C61" s="311" t="s">
        <v>188</v>
      </c>
      <c r="D61" s="304" t="n">
        <v>0.0579268292682927</v>
      </c>
      <c r="E61" s="305" t="n">
        <v>81.2</v>
      </c>
      <c r="F61" s="306" t="n">
        <v>0.146023147008126</v>
      </c>
      <c r="G61" s="307" t="n">
        <v>112320.748093875</v>
      </c>
      <c r="H61" s="308" t="n">
        <v>3.4</v>
      </c>
      <c r="I61" s="308" t="n">
        <v>4.38</v>
      </c>
      <c r="J61" s="306" t="n">
        <v>0.032221233886064</v>
      </c>
      <c r="K61" s="307" t="n">
        <v>200754.89</v>
      </c>
      <c r="L61" s="306" t="n">
        <v>0.0245484832544275</v>
      </c>
      <c r="M61" s="309" t="n">
        <v>242</v>
      </c>
      <c r="N61" s="306" t="n">
        <v>0.0247663101088947</v>
      </c>
      <c r="O61" s="306" t="n">
        <v>0.0238585329341317</v>
      </c>
      <c r="P61" s="309" t="n">
        <v>6667</v>
      </c>
    </row>
    <row r="62" customFormat="false" ht="15" hidden="false" customHeight="false" outlineLevel="0" collapsed="false">
      <c r="A62" s="276"/>
      <c r="B62" s="310" t="s">
        <v>183</v>
      </c>
      <c r="C62" s="311" t="s">
        <v>189</v>
      </c>
      <c r="D62" s="304" t="n">
        <v>0.0466911764705882</v>
      </c>
      <c r="E62" s="305" t="n">
        <v>79.15</v>
      </c>
      <c r="F62" s="306" t="n">
        <v>0.166753246753247</v>
      </c>
      <c r="G62" s="307" t="n">
        <v>101419.171710362</v>
      </c>
      <c r="H62" s="308" t="n">
        <v>2.94</v>
      </c>
      <c r="I62" s="308" t="n">
        <v>3.7</v>
      </c>
      <c r="J62" s="306" t="n">
        <v>0.032221233886064</v>
      </c>
      <c r="K62" s="307" t="n">
        <v>386518.19</v>
      </c>
      <c r="L62" s="306" t="n">
        <v>0.0245484832544275</v>
      </c>
      <c r="M62" s="309" t="n">
        <v>242</v>
      </c>
      <c r="N62" s="306" t="n">
        <v>0.0247663101088947</v>
      </c>
      <c r="O62" s="306" t="n">
        <v>0.0238585329341317</v>
      </c>
      <c r="P62" s="309" t="n">
        <v>2770</v>
      </c>
    </row>
    <row r="63" customFormat="false" ht="15" hidden="false" customHeight="false" outlineLevel="0" collapsed="false">
      <c r="A63" s="276"/>
      <c r="B63" s="310" t="s">
        <v>183</v>
      </c>
      <c r="C63" s="311" t="s">
        <v>190</v>
      </c>
      <c r="D63" s="304" t="n">
        <v>0.0458161236040997</v>
      </c>
      <c r="E63" s="305" t="n">
        <v>81.98</v>
      </c>
      <c r="F63" s="306" t="n">
        <v>0.186788676008007</v>
      </c>
      <c r="G63" s="307" t="n">
        <v>77060.7556397454</v>
      </c>
      <c r="H63" s="308" t="n">
        <v>3.93</v>
      </c>
      <c r="I63" s="308" t="n">
        <v>5.17</v>
      </c>
      <c r="J63" s="306" t="n">
        <v>0.032221233886064</v>
      </c>
      <c r="K63" s="307" t="n">
        <v>147611.65</v>
      </c>
      <c r="L63" s="306" t="n">
        <v>0.0245484832544275</v>
      </c>
      <c r="M63" s="309" t="n">
        <v>242</v>
      </c>
      <c r="N63" s="306" t="n">
        <v>0.0247663101088947</v>
      </c>
      <c r="O63" s="306" t="n">
        <v>0.0238585329341317</v>
      </c>
      <c r="P63" s="309" t="n">
        <v>26625</v>
      </c>
    </row>
    <row r="64" customFormat="false" ht="15" hidden="false" customHeight="false" outlineLevel="0" collapsed="false">
      <c r="A64" s="276"/>
      <c r="B64" s="310" t="s">
        <v>191</v>
      </c>
      <c r="C64" s="311" t="s">
        <v>192</v>
      </c>
      <c r="D64" s="304" t="n">
        <v>0.100046533271289</v>
      </c>
      <c r="E64" s="305" t="n">
        <v>82.44</v>
      </c>
      <c r="F64" s="306" t="n">
        <v>0.51445446067765</v>
      </c>
      <c r="G64" s="307" t="n">
        <v>29540.9576941288</v>
      </c>
      <c r="H64" s="308" t="n">
        <v>11.07</v>
      </c>
      <c r="I64" s="308" t="n">
        <v>12.1</v>
      </c>
      <c r="J64" s="306" t="n">
        <v>0.0549234017942407</v>
      </c>
      <c r="K64" s="307" t="n">
        <v>64231.31</v>
      </c>
      <c r="L64" s="306" t="n">
        <v>0.105675375533345</v>
      </c>
      <c r="M64" s="309" t="n">
        <v>1230</v>
      </c>
      <c r="N64" s="306" t="n">
        <v>0.0998682984806142</v>
      </c>
      <c r="O64" s="306" t="n">
        <v>0.0830526447105788</v>
      </c>
      <c r="P64" s="309" t="n">
        <v>17403</v>
      </c>
    </row>
    <row r="65" customFormat="false" ht="15" hidden="false" customHeight="false" outlineLevel="0" collapsed="false">
      <c r="A65" s="276"/>
      <c r="B65" s="310" t="s">
        <v>191</v>
      </c>
      <c r="C65" s="311" t="s">
        <v>193</v>
      </c>
      <c r="D65" s="304" t="n">
        <v>0.139237142788125</v>
      </c>
      <c r="E65" s="305" t="n">
        <v>83.16</v>
      </c>
      <c r="F65" s="306" t="n">
        <v>0.485116702030919</v>
      </c>
      <c r="G65" s="307" t="n">
        <v>27913.6339112542</v>
      </c>
      <c r="H65" s="308" t="n">
        <v>9.61</v>
      </c>
      <c r="I65" s="308" t="n">
        <v>11.76</v>
      </c>
      <c r="J65" s="306" t="n">
        <v>0.0549234017942407</v>
      </c>
      <c r="K65" s="307" t="n">
        <v>69655.86</v>
      </c>
      <c r="L65" s="306" t="n">
        <v>0.105675375533345</v>
      </c>
      <c r="M65" s="309" t="n">
        <v>1230</v>
      </c>
      <c r="N65" s="306" t="n">
        <v>0.0998682984806142</v>
      </c>
      <c r="O65" s="306" t="n">
        <v>0.0830526447105788</v>
      </c>
      <c r="P65" s="309" t="n">
        <v>41617</v>
      </c>
    </row>
    <row r="66" customFormat="false" ht="15" hidden="false" customHeight="false" outlineLevel="0" collapsed="false">
      <c r="A66" s="276"/>
      <c r="B66" s="310" t="s">
        <v>191</v>
      </c>
      <c r="C66" s="311" t="s">
        <v>194</v>
      </c>
      <c r="D66" s="304" t="n">
        <v>0.119899684400361</v>
      </c>
      <c r="E66" s="305" t="n">
        <v>84.02</v>
      </c>
      <c r="F66" s="306" t="n">
        <v>0.507490230134607</v>
      </c>
      <c r="G66" s="307" t="n">
        <v>30075.7055536143</v>
      </c>
      <c r="H66" s="308" t="n">
        <v>9.63</v>
      </c>
      <c r="I66" s="308" t="n">
        <v>11.24</v>
      </c>
      <c r="J66" s="306" t="n">
        <v>0.0549234017942407</v>
      </c>
      <c r="K66" s="307" t="n">
        <v>63152.23</v>
      </c>
      <c r="L66" s="306" t="n">
        <v>0.105675375533345</v>
      </c>
      <c r="M66" s="309" t="n">
        <v>1230</v>
      </c>
      <c r="N66" s="306" t="n">
        <v>0.0998682984806142</v>
      </c>
      <c r="O66" s="306" t="n">
        <v>0.0830526447105788</v>
      </c>
      <c r="P66" s="309" t="n">
        <v>35727</v>
      </c>
    </row>
    <row r="67" customFormat="false" ht="15" hidden="false" customHeight="false" outlineLevel="0" collapsed="false">
      <c r="A67" s="276"/>
      <c r="B67" s="310" t="s">
        <v>191</v>
      </c>
      <c r="C67" s="311" t="s">
        <v>195</v>
      </c>
      <c r="D67" s="304" t="n">
        <v>0.104288897985173</v>
      </c>
      <c r="E67" s="305" t="n">
        <v>84.05</v>
      </c>
      <c r="F67" s="306" t="n">
        <v>0.516081980701623</v>
      </c>
      <c r="G67" s="307" t="n">
        <v>31116.5071197473</v>
      </c>
      <c r="H67" s="308" t="n">
        <v>8.38</v>
      </c>
      <c r="I67" s="308" t="n">
        <v>9.69</v>
      </c>
      <c r="J67" s="306" t="n">
        <v>0.0549234017942407</v>
      </c>
      <c r="K67" s="307" t="n">
        <v>58979.22</v>
      </c>
      <c r="L67" s="306" t="n">
        <v>0.105675375533345</v>
      </c>
      <c r="M67" s="309" t="n">
        <v>1230</v>
      </c>
      <c r="N67" s="306" t="n">
        <v>0.0998682984806142</v>
      </c>
      <c r="O67" s="306" t="n">
        <v>0.0830526447105788</v>
      </c>
      <c r="P67" s="309" t="n">
        <v>66210</v>
      </c>
    </row>
    <row r="68" customFormat="false" ht="15" hidden="false" customHeight="false" outlineLevel="0" collapsed="false">
      <c r="A68" s="276"/>
      <c r="B68" s="310" t="s">
        <v>191</v>
      </c>
      <c r="C68" s="311" t="s">
        <v>196</v>
      </c>
      <c r="D68" s="304" t="n">
        <v>0.119896749723437</v>
      </c>
      <c r="E68" s="305" t="n">
        <v>82.55</v>
      </c>
      <c r="F68" s="306" t="n">
        <v>0.478142620232173</v>
      </c>
      <c r="G68" s="307" t="n">
        <v>31913.206846746</v>
      </c>
      <c r="H68" s="308" t="n">
        <v>7.33</v>
      </c>
      <c r="I68" s="308" t="n">
        <v>8.72</v>
      </c>
      <c r="J68" s="306" t="n">
        <v>0.0549234017942407</v>
      </c>
      <c r="K68" s="307" t="n">
        <v>63522.08</v>
      </c>
      <c r="L68" s="306" t="n">
        <v>0.105675375533345</v>
      </c>
      <c r="M68" s="309" t="n">
        <v>1230</v>
      </c>
      <c r="N68" s="306" t="n">
        <v>0.0998682984806142</v>
      </c>
      <c r="O68" s="306" t="n">
        <v>0.0830526447105788</v>
      </c>
      <c r="P68" s="309" t="n">
        <v>19138</v>
      </c>
    </row>
    <row r="69" customFormat="false" ht="15" hidden="false" customHeight="false" outlineLevel="0" collapsed="false">
      <c r="A69" s="276"/>
      <c r="B69" s="310" t="s">
        <v>191</v>
      </c>
      <c r="C69" s="311" t="s">
        <v>197</v>
      </c>
      <c r="D69" s="304" t="n">
        <v>0.0376192158247969</v>
      </c>
      <c r="E69" s="305" t="n">
        <v>80.59</v>
      </c>
      <c r="F69" s="306" t="n">
        <v>0.300887198986058</v>
      </c>
      <c r="G69" s="307" t="n">
        <v>35197.13451</v>
      </c>
      <c r="H69" s="308" t="n">
        <v>7.68</v>
      </c>
      <c r="I69" s="308" t="n">
        <v>9.81</v>
      </c>
      <c r="J69" s="306" t="n">
        <v>0.0549234017942407</v>
      </c>
      <c r="K69" s="307" t="n">
        <v>60658.68</v>
      </c>
      <c r="L69" s="306" t="n">
        <v>0.105675375533345</v>
      </c>
      <c r="M69" s="309" t="n">
        <v>1230</v>
      </c>
      <c r="N69" s="306" t="n">
        <v>0.0998682984806142</v>
      </c>
      <c r="O69" s="306" t="n">
        <v>0.0830526447105788</v>
      </c>
      <c r="P69" s="309" t="n">
        <v>5670</v>
      </c>
    </row>
    <row r="70" customFormat="false" ht="15" hidden="false" customHeight="false" outlineLevel="0" collapsed="false">
      <c r="A70" s="276"/>
      <c r="B70" s="310" t="s">
        <v>191</v>
      </c>
      <c r="C70" s="311" t="s">
        <v>198</v>
      </c>
      <c r="D70" s="304" t="n">
        <v>0.0700559664983758</v>
      </c>
      <c r="E70" s="305" t="n">
        <v>83.19</v>
      </c>
      <c r="F70" s="306" t="n">
        <v>0.538035522591978</v>
      </c>
      <c r="G70" s="307" t="n">
        <v>29910.4549361744</v>
      </c>
      <c r="H70" s="308" t="n">
        <v>8.41</v>
      </c>
      <c r="I70" s="308" t="n">
        <v>9.77</v>
      </c>
      <c r="J70" s="306" t="n">
        <v>0.0549234017942407</v>
      </c>
      <c r="K70" s="307" t="n">
        <v>55535.46</v>
      </c>
      <c r="L70" s="306" t="n">
        <v>0.105675375533345</v>
      </c>
      <c r="M70" s="309" t="n">
        <v>1230</v>
      </c>
      <c r="N70" s="306" t="n">
        <v>0.0998682984806142</v>
      </c>
      <c r="O70" s="306" t="n">
        <v>0.0830526447105788</v>
      </c>
      <c r="P70" s="309" t="n">
        <v>51570</v>
      </c>
    </row>
    <row r="71" customFormat="false" ht="15" hidden="false" customHeight="false" outlineLevel="0" collapsed="false">
      <c r="A71" s="276"/>
      <c r="B71" s="310" t="s">
        <v>199</v>
      </c>
      <c r="C71" s="311" t="s">
        <v>200</v>
      </c>
      <c r="D71" s="304" t="n">
        <v>0.122482919813017</v>
      </c>
      <c r="E71" s="305" t="n">
        <v>83.3</v>
      </c>
      <c r="F71" s="306" t="n">
        <v>0.497644515878734</v>
      </c>
      <c r="G71" s="307" t="n">
        <v>27579.2279443115</v>
      </c>
      <c r="H71" s="308" t="n">
        <v>9.36</v>
      </c>
      <c r="I71" s="308" t="n">
        <v>11.61</v>
      </c>
      <c r="J71" s="306" t="n">
        <v>0.0622599579699993</v>
      </c>
      <c r="K71" s="307" t="n">
        <v>58639.77</v>
      </c>
      <c r="L71" s="306" t="n">
        <v>0.0940440703723187</v>
      </c>
      <c r="M71" s="309" t="n">
        <v>1964</v>
      </c>
      <c r="N71" s="306" t="n">
        <v>0.101988371719508</v>
      </c>
      <c r="O71" s="306" t="n">
        <v>0.094560878243513</v>
      </c>
      <c r="P71" s="309" t="n">
        <v>22420</v>
      </c>
    </row>
    <row r="72" customFormat="false" ht="15" hidden="false" customHeight="false" outlineLevel="0" collapsed="false">
      <c r="A72" s="276"/>
      <c r="B72" s="310" t="s">
        <v>199</v>
      </c>
      <c r="C72" s="311" t="s">
        <v>201</v>
      </c>
      <c r="D72" s="304" t="n">
        <v>0.155792195001847</v>
      </c>
      <c r="E72" s="305" t="n">
        <v>82.66</v>
      </c>
      <c r="F72" s="306" t="n">
        <v>0.525640024976584</v>
      </c>
      <c r="G72" s="307" t="n">
        <v>28031.4791042033</v>
      </c>
      <c r="H72" s="308" t="n">
        <v>8.62</v>
      </c>
      <c r="I72" s="308" t="n">
        <v>10.41</v>
      </c>
      <c r="J72" s="306" t="n">
        <v>0.0622599579699993</v>
      </c>
      <c r="K72" s="307" t="n">
        <v>54050.37</v>
      </c>
      <c r="L72" s="306" t="n">
        <v>0.0940440703723187</v>
      </c>
      <c r="M72" s="309" t="n">
        <v>1964</v>
      </c>
      <c r="N72" s="306" t="n">
        <v>0.101988371719508</v>
      </c>
      <c r="O72" s="306" t="n">
        <v>0.094560878243513</v>
      </c>
      <c r="P72" s="309" t="n">
        <v>32801</v>
      </c>
    </row>
    <row r="73" customFormat="false" ht="15" hidden="false" customHeight="false" outlineLevel="0" collapsed="false">
      <c r="A73" s="276"/>
      <c r="B73" s="310" t="s">
        <v>199</v>
      </c>
      <c r="C73" s="311" t="s">
        <v>202</v>
      </c>
      <c r="D73" s="304" t="n">
        <v>0.140659853711677</v>
      </c>
      <c r="E73" s="305" t="n">
        <v>82.73</v>
      </c>
      <c r="F73" s="306" t="n">
        <v>0.568956828489837</v>
      </c>
      <c r="G73" s="307" t="n">
        <v>26282.7243978732</v>
      </c>
      <c r="H73" s="308" t="n">
        <v>11.55</v>
      </c>
      <c r="I73" s="308" t="n">
        <v>13.81</v>
      </c>
      <c r="J73" s="306" t="n">
        <v>0.0622599579699993</v>
      </c>
      <c r="K73" s="307" t="n">
        <v>50492.96</v>
      </c>
      <c r="L73" s="306" t="n">
        <v>0.0940440703723187</v>
      </c>
      <c r="M73" s="309" t="n">
        <v>1964</v>
      </c>
      <c r="N73" s="306" t="n">
        <v>0.101988371719508</v>
      </c>
      <c r="O73" s="306" t="n">
        <v>0.094560878243513</v>
      </c>
      <c r="P73" s="309" t="n">
        <v>38785</v>
      </c>
    </row>
    <row r="74" customFormat="false" ht="15" hidden="false" customHeight="false" outlineLevel="0" collapsed="false">
      <c r="A74" s="276"/>
      <c r="B74" s="310" t="s">
        <v>199</v>
      </c>
      <c r="C74" s="311" t="s">
        <v>203</v>
      </c>
      <c r="D74" s="304" t="n">
        <v>0.16321542836829</v>
      </c>
      <c r="E74" s="305" t="n">
        <v>83.15</v>
      </c>
      <c r="F74" s="306" t="n">
        <v>0.566425870534455</v>
      </c>
      <c r="G74" s="307" t="n">
        <v>27788.2132821128</v>
      </c>
      <c r="H74" s="308" t="n">
        <v>9.29</v>
      </c>
      <c r="I74" s="308" t="n">
        <v>11.02</v>
      </c>
      <c r="J74" s="306" t="n">
        <v>0.0622599579699993</v>
      </c>
      <c r="K74" s="307" t="n">
        <v>53480.84</v>
      </c>
      <c r="L74" s="306" t="n">
        <v>0.0940440703723187</v>
      </c>
      <c r="M74" s="309" t="n">
        <v>1964</v>
      </c>
      <c r="N74" s="306" t="n">
        <v>0.101988371719508</v>
      </c>
      <c r="O74" s="306" t="n">
        <v>0.094560878243513</v>
      </c>
      <c r="P74" s="309" t="n">
        <v>45491</v>
      </c>
    </row>
    <row r="75" customFormat="false" ht="15" hidden="false" customHeight="false" outlineLevel="0" collapsed="false">
      <c r="A75" s="276"/>
      <c r="B75" s="310" t="s">
        <v>199</v>
      </c>
      <c r="C75" s="311" t="s">
        <v>204</v>
      </c>
      <c r="D75" s="304" t="n">
        <v>0.158989773966345</v>
      </c>
      <c r="E75" s="305" t="n">
        <v>82.06</v>
      </c>
      <c r="F75" s="306" t="n">
        <v>0.600704087619793</v>
      </c>
      <c r="G75" s="307" t="n">
        <v>25725.1872554806</v>
      </c>
      <c r="H75" s="308" t="n">
        <v>10.58</v>
      </c>
      <c r="I75" s="308" t="n">
        <v>12.1</v>
      </c>
      <c r="J75" s="306" t="n">
        <v>0.0622599579699993</v>
      </c>
      <c r="K75" s="307" t="n">
        <v>50230.98</v>
      </c>
      <c r="L75" s="306" t="n">
        <v>0.0940440703723187</v>
      </c>
      <c r="M75" s="309" t="n">
        <v>1964</v>
      </c>
      <c r="N75" s="306" t="n">
        <v>0.101988371719508</v>
      </c>
      <c r="O75" s="306" t="n">
        <v>0.094560878243513</v>
      </c>
      <c r="P75" s="309" t="n">
        <v>34516</v>
      </c>
    </row>
    <row r="76" customFormat="false" ht="15" hidden="false" customHeight="false" outlineLevel="0" collapsed="false">
      <c r="A76" s="276"/>
      <c r="B76" s="310" t="s">
        <v>199</v>
      </c>
      <c r="C76" s="311" t="s">
        <v>205</v>
      </c>
      <c r="D76" s="304" t="n">
        <v>0.0797775662108361</v>
      </c>
      <c r="E76" s="305" t="n">
        <v>82.8</v>
      </c>
      <c r="F76" s="306" t="n">
        <v>0.452542476469869</v>
      </c>
      <c r="G76" s="307" t="n">
        <v>31280.5620099041</v>
      </c>
      <c r="H76" s="308" t="n">
        <v>8.25</v>
      </c>
      <c r="I76" s="308" t="n">
        <v>9.22</v>
      </c>
      <c r="J76" s="306" t="n">
        <v>0.0622599579699993</v>
      </c>
      <c r="K76" s="307" t="n">
        <v>53572.15</v>
      </c>
      <c r="L76" s="306" t="n">
        <v>0.0940440703723187</v>
      </c>
      <c r="M76" s="309" t="n">
        <v>1964</v>
      </c>
      <c r="N76" s="306" t="n">
        <v>0.101988371719508</v>
      </c>
      <c r="O76" s="306" t="n">
        <v>0.094560878243513</v>
      </c>
      <c r="P76" s="309" t="n">
        <v>46709</v>
      </c>
    </row>
    <row r="77" customFormat="false" ht="15" hidden="false" customHeight="false" outlineLevel="0" collapsed="false">
      <c r="A77" s="276"/>
      <c r="B77" s="310" t="s">
        <v>199</v>
      </c>
      <c r="C77" s="311" t="s">
        <v>206</v>
      </c>
      <c r="D77" s="304" t="n">
        <v>0.138734925593738</v>
      </c>
      <c r="E77" s="305" t="n">
        <v>82.56</v>
      </c>
      <c r="F77" s="306" t="n">
        <v>0.56429344883595</v>
      </c>
      <c r="G77" s="307" t="n">
        <v>27997.6117863216</v>
      </c>
      <c r="H77" s="308" t="n">
        <v>9.72</v>
      </c>
      <c r="I77" s="308" t="n">
        <v>11.16</v>
      </c>
      <c r="J77" s="306" t="n">
        <v>0.0622599579699993</v>
      </c>
      <c r="K77" s="307" t="n">
        <v>51026.14</v>
      </c>
      <c r="L77" s="306" t="n">
        <v>0.0940440703723187</v>
      </c>
      <c r="M77" s="309" t="n">
        <v>1964</v>
      </c>
      <c r="N77" s="306" t="n">
        <v>0.101988371719508</v>
      </c>
      <c r="O77" s="306" t="n">
        <v>0.094560878243513</v>
      </c>
      <c r="P77" s="309" t="n">
        <v>30362</v>
      </c>
    </row>
    <row r="78" customFormat="false" ht="15" hidden="false" customHeight="false" outlineLevel="0" collapsed="false">
      <c r="A78" s="276"/>
      <c r="B78" s="310" t="s">
        <v>207</v>
      </c>
      <c r="C78" s="311" t="s">
        <v>208</v>
      </c>
      <c r="D78" s="304" t="n">
        <v>0.0504544446907559</v>
      </c>
      <c r="E78" s="305" t="n">
        <v>81.31</v>
      </c>
      <c r="F78" s="306" t="n">
        <v>0.62287499249114</v>
      </c>
      <c r="G78" s="307" t="n">
        <v>26857.9425527045</v>
      </c>
      <c r="H78" s="308" t="n">
        <v>10.62</v>
      </c>
      <c r="I78" s="308" t="n">
        <v>11.82</v>
      </c>
      <c r="J78" s="306" t="n">
        <v>0.0661265225089875</v>
      </c>
      <c r="K78" s="307" t="n">
        <v>53708.18</v>
      </c>
      <c r="L78" s="306" t="n">
        <v>0.0576889356479046</v>
      </c>
      <c r="M78" s="309" t="n">
        <v>1540</v>
      </c>
      <c r="N78" s="306" t="n">
        <v>0.0673926311393788</v>
      </c>
      <c r="O78" s="306" t="n">
        <v>0.0644336327345309</v>
      </c>
      <c r="P78" s="309" t="n">
        <v>22782</v>
      </c>
    </row>
    <row r="79" customFormat="false" ht="15" hidden="false" customHeight="false" outlineLevel="0" collapsed="false">
      <c r="A79" s="276"/>
      <c r="B79" s="310" t="s">
        <v>207</v>
      </c>
      <c r="C79" s="311" t="s">
        <v>209</v>
      </c>
      <c r="D79" s="304" t="n">
        <v>0.108016504568229</v>
      </c>
      <c r="E79" s="305" t="n">
        <v>80.58</v>
      </c>
      <c r="F79" s="306" t="n">
        <v>0.662660419637401</v>
      </c>
      <c r="G79" s="307" t="n">
        <v>24995.8694500883</v>
      </c>
      <c r="H79" s="308" t="n">
        <v>13.14</v>
      </c>
      <c r="I79" s="308" t="n">
        <v>14.04</v>
      </c>
      <c r="J79" s="306" t="n">
        <v>0.0661265225089875</v>
      </c>
      <c r="K79" s="307" t="n">
        <v>53439.81</v>
      </c>
      <c r="L79" s="306" t="n">
        <v>0.0576889356479046</v>
      </c>
      <c r="M79" s="309" t="n">
        <v>1540</v>
      </c>
      <c r="N79" s="306" t="n">
        <v>0.0673926311393788</v>
      </c>
      <c r="O79" s="306" t="n">
        <v>0.0644336327345309</v>
      </c>
      <c r="P79" s="309" t="n">
        <v>13755</v>
      </c>
    </row>
    <row r="80" customFormat="false" ht="15" hidden="false" customHeight="false" outlineLevel="0" collapsed="false">
      <c r="A80" s="276"/>
      <c r="B80" s="310" t="s">
        <v>207</v>
      </c>
      <c r="C80" s="311" t="s">
        <v>210</v>
      </c>
      <c r="D80" s="304" t="n">
        <v>0.139644103580508</v>
      </c>
      <c r="E80" s="305" t="n">
        <v>82.12</v>
      </c>
      <c r="F80" s="306" t="n">
        <v>0.594794636898623</v>
      </c>
      <c r="G80" s="307" t="n">
        <v>25440.2477533762</v>
      </c>
      <c r="H80" s="308" t="n">
        <v>10.86</v>
      </c>
      <c r="I80" s="308" t="n">
        <v>12.18</v>
      </c>
      <c r="J80" s="306" t="n">
        <v>0.0661265225089875</v>
      </c>
      <c r="K80" s="307" t="n">
        <v>50304.3</v>
      </c>
      <c r="L80" s="306" t="n">
        <v>0.0576889356479046</v>
      </c>
      <c r="M80" s="309" t="n">
        <v>1540</v>
      </c>
      <c r="N80" s="306" t="n">
        <v>0.0673926311393788</v>
      </c>
      <c r="O80" s="306" t="n">
        <v>0.0644336327345309</v>
      </c>
      <c r="P80" s="309" t="n">
        <v>23564</v>
      </c>
    </row>
    <row r="81" customFormat="false" ht="15" hidden="false" customHeight="false" outlineLevel="0" collapsed="false">
      <c r="A81" s="276"/>
      <c r="B81" s="310" t="s">
        <v>207</v>
      </c>
      <c r="C81" s="311" t="s">
        <v>211</v>
      </c>
      <c r="D81" s="304" t="n">
        <v>0.233346040217288</v>
      </c>
      <c r="E81" s="305" t="n">
        <v>83.41</v>
      </c>
      <c r="F81" s="306" t="n">
        <v>0.613557174532784</v>
      </c>
      <c r="G81" s="307" t="n">
        <v>25506.2488443106</v>
      </c>
      <c r="H81" s="308" t="n">
        <v>9.6</v>
      </c>
      <c r="I81" s="308" t="n">
        <v>11.08</v>
      </c>
      <c r="J81" s="306" t="n">
        <v>0.0661265225089875</v>
      </c>
      <c r="K81" s="307" t="n">
        <v>54512.7</v>
      </c>
      <c r="L81" s="306" t="n">
        <v>0.0576889356479046</v>
      </c>
      <c r="M81" s="309" t="n">
        <v>1540</v>
      </c>
      <c r="N81" s="306" t="n">
        <v>0.0673926311393788</v>
      </c>
      <c r="O81" s="306" t="n">
        <v>0.0644336327345309</v>
      </c>
      <c r="P81" s="309" t="n">
        <v>21239</v>
      </c>
    </row>
    <row r="82" customFormat="false" ht="15" hidden="false" customHeight="false" outlineLevel="0" collapsed="false">
      <c r="A82" s="276"/>
      <c r="B82" s="310" t="s">
        <v>207</v>
      </c>
      <c r="C82" s="311" t="s">
        <v>212</v>
      </c>
      <c r="D82" s="304" t="n">
        <v>0.222459768327762</v>
      </c>
      <c r="E82" s="305" t="n">
        <v>82.16</v>
      </c>
      <c r="F82" s="306" t="n">
        <v>0.582019556974656</v>
      </c>
      <c r="G82" s="307" t="n">
        <v>26358.1596933887</v>
      </c>
      <c r="H82" s="308" t="n">
        <v>8.84</v>
      </c>
      <c r="I82" s="308" t="n">
        <v>11.02</v>
      </c>
      <c r="J82" s="306" t="n">
        <v>0.0661265225089875</v>
      </c>
      <c r="K82" s="307" t="n">
        <v>51943.63</v>
      </c>
      <c r="L82" s="306" t="n">
        <v>0.0576889356479046</v>
      </c>
      <c r="M82" s="309" t="n">
        <v>1540</v>
      </c>
      <c r="N82" s="306" t="n">
        <v>0.0673926311393788</v>
      </c>
      <c r="O82" s="306" t="n">
        <v>0.0644336327345309</v>
      </c>
      <c r="P82" s="309" t="n">
        <v>26062</v>
      </c>
    </row>
    <row r="83" customFormat="false" ht="15" hidden="false" customHeight="false" outlineLevel="0" collapsed="false">
      <c r="A83" s="276"/>
      <c r="B83" s="310" t="s">
        <v>207</v>
      </c>
      <c r="C83" s="311" t="s">
        <v>213</v>
      </c>
      <c r="D83" s="304" t="n">
        <v>0.179455355187267</v>
      </c>
      <c r="E83" s="305" t="n">
        <v>84.25</v>
      </c>
      <c r="F83" s="306" t="n">
        <v>0.637739851509016</v>
      </c>
      <c r="G83" s="307" t="n">
        <v>25498.3842078898</v>
      </c>
      <c r="H83" s="308" t="n">
        <v>9.24</v>
      </c>
      <c r="I83" s="308" t="n">
        <v>11.17</v>
      </c>
      <c r="J83" s="306" t="n">
        <v>0.0661265225089875</v>
      </c>
      <c r="K83" s="307" t="n">
        <v>42213.74</v>
      </c>
      <c r="L83" s="306" t="n">
        <v>0.0576889356479046</v>
      </c>
      <c r="M83" s="309" t="n">
        <v>1540</v>
      </c>
      <c r="N83" s="306" t="n">
        <v>0.0673926311393788</v>
      </c>
      <c r="O83" s="306" t="n">
        <v>0.0644336327345309</v>
      </c>
      <c r="P83" s="309" t="n">
        <v>13853</v>
      </c>
    </row>
    <row r="84" customFormat="false" ht="15" hidden="false" customHeight="false" outlineLevel="0" collapsed="false">
      <c r="A84" s="276"/>
      <c r="B84" s="310" t="s">
        <v>207</v>
      </c>
      <c r="C84" s="311" t="s">
        <v>214</v>
      </c>
      <c r="D84" s="304" t="n">
        <v>0.291881854581326</v>
      </c>
      <c r="E84" s="305" t="n">
        <v>82.73</v>
      </c>
      <c r="F84" s="306" t="n">
        <v>0.697656608975341</v>
      </c>
      <c r="G84" s="307" t="n">
        <v>23173.8699772727</v>
      </c>
      <c r="H84" s="308" t="n">
        <v>9.48</v>
      </c>
      <c r="I84" s="308" t="n">
        <v>11.76</v>
      </c>
      <c r="J84" s="306" t="n">
        <v>0.0661265225089875</v>
      </c>
      <c r="K84" s="307" t="n">
        <v>44169.38</v>
      </c>
      <c r="L84" s="306" t="n">
        <v>0.0576889356479046</v>
      </c>
      <c r="M84" s="309" t="n">
        <v>1540</v>
      </c>
      <c r="N84" s="306" t="n">
        <v>0.0673926311393788</v>
      </c>
      <c r="O84" s="306" t="n">
        <v>0.0644336327345309</v>
      </c>
      <c r="P84" s="309" t="n">
        <v>17374</v>
      </c>
    </row>
    <row r="85" customFormat="false" ht="15" hidden="false" customHeight="false" outlineLevel="0" collapsed="false">
      <c r="A85" s="276"/>
      <c r="B85" s="310" t="s">
        <v>215</v>
      </c>
      <c r="C85" s="311" t="s">
        <v>216</v>
      </c>
      <c r="D85" s="304" t="n">
        <v>0.102571647148826</v>
      </c>
      <c r="E85" s="305" t="n">
        <v>80.02</v>
      </c>
      <c r="F85" s="306" t="n">
        <v>0.728715953307393</v>
      </c>
      <c r="G85" s="307" t="n">
        <v>22055.0909948959</v>
      </c>
      <c r="H85" s="308" t="n">
        <v>13.56</v>
      </c>
      <c r="I85" s="308" t="n">
        <v>14.68</v>
      </c>
      <c r="J85" s="306" t="n">
        <v>0.077258347536777</v>
      </c>
      <c r="K85" s="307" t="n">
        <v>43010.62</v>
      </c>
      <c r="L85" s="306" t="n">
        <v>0.102811385820329</v>
      </c>
      <c r="M85" s="309" t="n">
        <v>3327</v>
      </c>
      <c r="N85" s="306" t="n">
        <v>0.119045324596062</v>
      </c>
      <c r="O85" s="306" t="n">
        <v>0.1156125249501</v>
      </c>
      <c r="P85" s="309" t="n">
        <v>34483</v>
      </c>
    </row>
    <row r="86" customFormat="false" ht="15" hidden="false" customHeight="false" outlineLevel="0" collapsed="false">
      <c r="A86" s="276"/>
      <c r="B86" s="310" t="s">
        <v>215</v>
      </c>
      <c r="C86" s="311" t="s">
        <v>217</v>
      </c>
      <c r="D86" s="304" t="n">
        <v>0.220006456900191</v>
      </c>
      <c r="E86" s="305" t="n">
        <v>82.14</v>
      </c>
      <c r="F86" s="306" t="n">
        <v>0.631506081682434</v>
      </c>
      <c r="G86" s="307" t="n">
        <v>21224.7913612672</v>
      </c>
      <c r="H86" s="308" t="n">
        <v>11.16</v>
      </c>
      <c r="I86" s="308" t="n">
        <v>14.13</v>
      </c>
      <c r="J86" s="306" t="n">
        <v>0.077258347536777</v>
      </c>
      <c r="K86" s="307" t="n">
        <v>45412.27</v>
      </c>
      <c r="L86" s="306" t="n">
        <v>0.102811385820329</v>
      </c>
      <c r="M86" s="309" t="n">
        <v>3327</v>
      </c>
      <c r="N86" s="306" t="n">
        <v>0.119045324596062</v>
      </c>
      <c r="O86" s="306" t="n">
        <v>0.1156125249501</v>
      </c>
      <c r="P86" s="309" t="n">
        <v>41064</v>
      </c>
    </row>
    <row r="87" customFormat="false" ht="15" hidden="false" customHeight="false" outlineLevel="0" collapsed="false">
      <c r="A87" s="276"/>
      <c r="B87" s="312" t="s">
        <v>215</v>
      </c>
      <c r="C87" s="313" t="s">
        <v>218</v>
      </c>
      <c r="D87" s="304" t="n">
        <v>0.096977488719151</v>
      </c>
      <c r="E87" s="305" t="n">
        <v>82.77</v>
      </c>
      <c r="F87" s="306" t="n">
        <v>0.543088001622773</v>
      </c>
      <c r="G87" s="307" t="n">
        <v>28754.3117819879</v>
      </c>
      <c r="H87" s="308" t="n">
        <v>9.7</v>
      </c>
      <c r="I87" s="308" t="n">
        <v>10.66</v>
      </c>
      <c r="J87" s="306" t="n">
        <v>0.077258347536777</v>
      </c>
      <c r="K87" s="307" t="n">
        <v>44166.15</v>
      </c>
      <c r="L87" s="306" t="n">
        <v>0.102811385820329</v>
      </c>
      <c r="M87" s="309" t="n">
        <v>3327</v>
      </c>
      <c r="N87" s="306" t="n">
        <v>0.119045324596062</v>
      </c>
      <c r="O87" s="306" t="n">
        <v>0.1156125249501</v>
      </c>
      <c r="P87" s="309" t="n">
        <v>40082</v>
      </c>
    </row>
    <row r="88" customFormat="false" ht="15" hidden="false" customHeight="false" outlineLevel="0" collapsed="false">
      <c r="A88" s="276"/>
      <c r="B88" s="312" t="s">
        <v>215</v>
      </c>
      <c r="C88" s="313" t="s">
        <v>219</v>
      </c>
      <c r="D88" s="304" t="n">
        <v>0.0742165242165242</v>
      </c>
      <c r="E88" s="305" t="n">
        <v>82.31</v>
      </c>
      <c r="F88" s="306" t="n">
        <v>0.624685216850614</v>
      </c>
      <c r="G88" s="307" t="n">
        <v>26632.0903675335</v>
      </c>
      <c r="H88" s="308" t="n">
        <v>10.87</v>
      </c>
      <c r="I88" s="308" t="n">
        <v>11.93</v>
      </c>
      <c r="J88" s="306" t="n">
        <v>0.077258347536777</v>
      </c>
      <c r="K88" s="307" t="n">
        <v>42372.63</v>
      </c>
      <c r="L88" s="306" t="n">
        <v>0.102811385820329</v>
      </c>
      <c r="M88" s="309" t="n">
        <v>3327</v>
      </c>
      <c r="N88" s="306" t="n">
        <v>0.119045324596062</v>
      </c>
      <c r="O88" s="306" t="n">
        <v>0.1156125249501</v>
      </c>
      <c r="P88" s="309" t="n">
        <v>42471</v>
      </c>
    </row>
    <row r="89" customFormat="false" ht="15" hidden="false" customHeight="false" outlineLevel="0" collapsed="false">
      <c r="A89" s="276"/>
      <c r="B89" s="312" t="s">
        <v>215</v>
      </c>
      <c r="C89" s="313" t="s">
        <v>220</v>
      </c>
      <c r="D89" s="304" t="n">
        <v>0.0975705890784005</v>
      </c>
      <c r="E89" s="305" t="n">
        <v>81.26</v>
      </c>
      <c r="F89" s="306" t="n">
        <v>0.671866346686358</v>
      </c>
      <c r="G89" s="307" t="n">
        <v>23824.7011850072</v>
      </c>
      <c r="H89" s="308" t="n">
        <v>12.19</v>
      </c>
      <c r="I89" s="308" t="n">
        <v>13.76</v>
      </c>
      <c r="J89" s="306" t="n">
        <v>0.077258347536777</v>
      </c>
      <c r="K89" s="307" t="n">
        <v>39888.36</v>
      </c>
      <c r="L89" s="306" t="n">
        <v>0.102811385820329</v>
      </c>
      <c r="M89" s="309" t="n">
        <v>3327</v>
      </c>
      <c r="N89" s="306" t="n">
        <v>0.119045324596062</v>
      </c>
      <c r="O89" s="306" t="n">
        <v>0.1156125249501</v>
      </c>
      <c r="P89" s="309" t="n">
        <v>28284</v>
      </c>
    </row>
    <row r="90" customFormat="false" ht="15" hidden="false" customHeight="false" outlineLevel="0" collapsed="false">
      <c r="A90" s="276"/>
      <c r="B90" s="312" t="s">
        <v>215</v>
      </c>
      <c r="C90" s="313" t="s">
        <v>221</v>
      </c>
      <c r="D90" s="304" t="n">
        <v>0.153401521337402</v>
      </c>
      <c r="E90" s="305" t="n">
        <v>82.83</v>
      </c>
      <c r="F90" s="306" t="n">
        <v>0.598297943116926</v>
      </c>
      <c r="G90" s="307" t="n">
        <v>24872.5386984291</v>
      </c>
      <c r="H90" s="308" t="n">
        <v>11.28</v>
      </c>
      <c r="I90" s="308" t="n">
        <v>12.91</v>
      </c>
      <c r="J90" s="306" t="n">
        <v>0.077258347536777</v>
      </c>
      <c r="K90" s="307" t="n">
        <v>46440.28</v>
      </c>
      <c r="L90" s="306" t="n">
        <v>0.102811385820329</v>
      </c>
      <c r="M90" s="309" t="n">
        <v>3327</v>
      </c>
      <c r="N90" s="306" t="n">
        <v>0.119045324596062</v>
      </c>
      <c r="O90" s="306" t="n">
        <v>0.1156125249501</v>
      </c>
      <c r="P90" s="309" t="n">
        <v>46990</v>
      </c>
    </row>
    <row r="91" customFormat="false" ht="15" hidden="false" customHeight="false" outlineLevel="0" collapsed="false">
      <c r="A91" s="276"/>
      <c r="B91" s="312" t="s">
        <v>222</v>
      </c>
      <c r="C91" s="313" t="s">
        <v>223</v>
      </c>
      <c r="D91" s="304" t="n">
        <v>0.05065521418346</v>
      </c>
      <c r="E91" s="305" t="n">
        <v>81</v>
      </c>
      <c r="F91" s="306" t="n">
        <v>0.466704854647</v>
      </c>
      <c r="G91" s="307" t="n">
        <v>34024.5241388975</v>
      </c>
      <c r="H91" s="308" t="n">
        <v>10.24</v>
      </c>
      <c r="I91" s="308" t="n">
        <v>10.2</v>
      </c>
      <c r="J91" s="306" t="n">
        <v>0.0571078097314979</v>
      </c>
      <c r="K91" s="307" t="n">
        <v>98890.1</v>
      </c>
      <c r="L91" s="306" t="n">
        <v>0.0391606756677772</v>
      </c>
      <c r="M91" s="309" t="n">
        <v>520</v>
      </c>
      <c r="N91" s="306" t="n">
        <v>0.0372940156114484</v>
      </c>
      <c r="O91" s="306" t="n">
        <v>0.0434443612774451</v>
      </c>
      <c r="P91" s="309" t="n">
        <v>9087</v>
      </c>
    </row>
    <row r="92" customFormat="false" ht="15" hidden="false" customHeight="false" outlineLevel="0" collapsed="false">
      <c r="A92" s="276"/>
      <c r="B92" s="312" t="s">
        <v>222</v>
      </c>
      <c r="C92" s="313" t="s">
        <v>224</v>
      </c>
      <c r="D92" s="304" t="n">
        <v>0.0192854884603225</v>
      </c>
      <c r="E92" s="305" t="n">
        <v>82.23</v>
      </c>
      <c r="F92" s="306" t="n">
        <v>0.290661571530929</v>
      </c>
      <c r="G92" s="307" t="n">
        <v>45040.7301922175</v>
      </c>
      <c r="H92" s="308" t="n">
        <v>8.38</v>
      </c>
      <c r="I92" s="308" t="n">
        <v>9.24</v>
      </c>
      <c r="J92" s="306" t="n">
        <v>0.0571078097314979</v>
      </c>
      <c r="K92" s="307" t="n">
        <v>96989.93</v>
      </c>
      <c r="L92" s="306" t="n">
        <v>0.0391606756677772</v>
      </c>
      <c r="M92" s="309" t="n">
        <v>520</v>
      </c>
      <c r="N92" s="306" t="n">
        <v>0.0372940156114484</v>
      </c>
      <c r="O92" s="306" t="n">
        <v>0.0434443612774451</v>
      </c>
      <c r="P92" s="309" t="n">
        <v>6321</v>
      </c>
    </row>
    <row r="93" customFormat="false" ht="15" hidden="false" customHeight="false" outlineLevel="0" collapsed="false">
      <c r="A93" s="276"/>
      <c r="B93" s="312" t="s">
        <v>222</v>
      </c>
      <c r="C93" s="313" t="s">
        <v>225</v>
      </c>
      <c r="D93" s="304" t="n">
        <v>0.0365622032288699</v>
      </c>
      <c r="E93" s="305" t="n">
        <v>83.47</v>
      </c>
      <c r="F93" s="306" t="n">
        <v>0.383267853015946</v>
      </c>
      <c r="G93" s="307" t="n">
        <v>40428.4098530513</v>
      </c>
      <c r="H93" s="308" t="n">
        <v>7.71</v>
      </c>
      <c r="I93" s="308" t="n">
        <v>8.79</v>
      </c>
      <c r="J93" s="306" t="n">
        <v>0.0571078097314979</v>
      </c>
      <c r="K93" s="307" t="n">
        <v>81953.86</v>
      </c>
      <c r="L93" s="306" t="n">
        <v>0.0391606756677772</v>
      </c>
      <c r="M93" s="309" t="n">
        <v>520</v>
      </c>
      <c r="N93" s="306" t="n">
        <v>0.0372940156114484</v>
      </c>
      <c r="O93" s="306" t="n">
        <v>0.0434443612774451</v>
      </c>
      <c r="P93" s="309" t="n">
        <v>27419</v>
      </c>
    </row>
    <row r="94" customFormat="false" ht="15" hidden="false" customHeight="false" outlineLevel="0" collapsed="false">
      <c r="A94" s="276"/>
      <c r="B94" s="312" t="s">
        <v>222</v>
      </c>
      <c r="C94" s="313" t="s">
        <v>226</v>
      </c>
      <c r="D94" s="304" t="n">
        <v>0.0566537140282705</v>
      </c>
      <c r="E94" s="305" t="n">
        <v>83.52</v>
      </c>
      <c r="F94" s="306" t="n">
        <v>0.443762348292408</v>
      </c>
      <c r="G94" s="307" t="n">
        <v>35438.8711740488</v>
      </c>
      <c r="H94" s="308" t="n">
        <v>9.62</v>
      </c>
      <c r="I94" s="308" t="n">
        <v>10.73</v>
      </c>
      <c r="J94" s="306" t="n">
        <v>0.0571078097314979</v>
      </c>
      <c r="K94" s="307" t="n">
        <v>87817.15</v>
      </c>
      <c r="L94" s="306" t="n">
        <v>0.0391606756677772</v>
      </c>
      <c r="M94" s="309" t="n">
        <v>520</v>
      </c>
      <c r="N94" s="306" t="n">
        <v>0.0372940156114484</v>
      </c>
      <c r="O94" s="306" t="n">
        <v>0.0434443612774451</v>
      </c>
      <c r="P94" s="309" t="n">
        <v>17821</v>
      </c>
    </row>
    <row r="95" customFormat="false" ht="15" hidden="false" customHeight="false" outlineLevel="0" collapsed="false">
      <c r="A95" s="276"/>
      <c r="B95" s="312" t="s">
        <v>222</v>
      </c>
      <c r="C95" s="313" t="s">
        <v>227</v>
      </c>
      <c r="D95" s="304" t="n">
        <v>0.0853745118920838</v>
      </c>
      <c r="E95" s="305" t="n">
        <v>81.81</v>
      </c>
      <c r="F95" s="306" t="n">
        <v>0.533135215453195</v>
      </c>
      <c r="G95" s="307" t="n">
        <v>28013.7068747194</v>
      </c>
      <c r="H95" s="308" t="n">
        <v>9.92</v>
      </c>
      <c r="I95" s="308" t="n">
        <v>11.84</v>
      </c>
      <c r="J95" s="306" t="n">
        <v>0.0571078097314979</v>
      </c>
      <c r="K95" s="307" t="n">
        <v>72379.86</v>
      </c>
      <c r="L95" s="306" t="n">
        <v>0.0391606756677772</v>
      </c>
      <c r="M95" s="309" t="n">
        <v>520</v>
      </c>
      <c r="N95" s="306" t="n">
        <v>0.0372940156114484</v>
      </c>
      <c r="O95" s="306" t="n">
        <v>0.0434443612774451</v>
      </c>
      <c r="P95" s="309" t="n">
        <v>17135</v>
      </c>
    </row>
    <row r="96" customFormat="false" ht="15" hidden="false" customHeight="false" outlineLevel="0" collapsed="false">
      <c r="A96" s="276"/>
      <c r="B96" s="312" t="s">
        <v>222</v>
      </c>
      <c r="C96" s="313" t="s">
        <v>228</v>
      </c>
      <c r="D96" s="304" t="n">
        <v>0.0662424927157043</v>
      </c>
      <c r="E96" s="305" t="n">
        <v>84.3</v>
      </c>
      <c r="F96" s="306" t="n">
        <v>0.481349003576903</v>
      </c>
      <c r="G96" s="307" t="n">
        <v>29156.1159960856</v>
      </c>
      <c r="H96" s="308" t="n">
        <v>8.8</v>
      </c>
      <c r="I96" s="308" t="n">
        <v>9.86</v>
      </c>
      <c r="J96" s="306" t="n">
        <v>0.0571078097314979</v>
      </c>
      <c r="K96" s="307" t="n">
        <v>74639.28</v>
      </c>
      <c r="L96" s="306" t="n">
        <v>0.0391606756677772</v>
      </c>
      <c r="M96" s="309" t="n">
        <v>520</v>
      </c>
      <c r="N96" s="306" t="n">
        <v>0.0372940156114484</v>
      </c>
      <c r="O96" s="306" t="n">
        <v>0.0434443612774451</v>
      </c>
      <c r="P96" s="309" t="n">
        <v>16907</v>
      </c>
    </row>
    <row r="97" customFormat="false" ht="15" hidden="false" customHeight="false" outlineLevel="0" collapsed="false">
      <c r="A97" s="276"/>
      <c r="B97" s="312" t="s">
        <v>229</v>
      </c>
      <c r="C97" s="313" t="s">
        <v>230</v>
      </c>
      <c r="D97" s="304" t="n">
        <v>0.114527479892761</v>
      </c>
      <c r="E97" s="305" t="n">
        <v>83.91</v>
      </c>
      <c r="F97" s="306" t="n">
        <v>0.49792650165619</v>
      </c>
      <c r="G97" s="307" t="n">
        <v>28196.6239385058</v>
      </c>
      <c r="H97" s="308" t="n">
        <v>8.43</v>
      </c>
      <c r="I97" s="308" t="n">
        <v>10.82</v>
      </c>
      <c r="J97" s="306" t="n">
        <v>0.0464707450449217</v>
      </c>
      <c r="K97" s="307" t="n">
        <v>69508.26</v>
      </c>
      <c r="L97" s="306" t="n">
        <v>0.0730609620667485</v>
      </c>
      <c r="M97" s="309" t="n">
        <v>596</v>
      </c>
      <c r="N97" s="306" t="n">
        <v>0.0646622337862581</v>
      </c>
      <c r="O97" s="306" t="n">
        <v>0.0753804890219561</v>
      </c>
      <c r="P97" s="309" t="n">
        <v>47970</v>
      </c>
    </row>
    <row r="98" customFormat="false" ht="15" hidden="false" customHeight="false" outlineLevel="0" collapsed="false">
      <c r="A98" s="276"/>
      <c r="B98" s="312" t="s">
        <v>229</v>
      </c>
      <c r="C98" s="313" t="s">
        <v>231</v>
      </c>
      <c r="D98" s="304" t="n">
        <v>0.119391759319817</v>
      </c>
      <c r="E98" s="305" t="n">
        <v>82.85</v>
      </c>
      <c r="F98" s="306" t="n">
        <v>0.507818008377919</v>
      </c>
      <c r="G98" s="307" t="n">
        <v>30038.9555432669</v>
      </c>
      <c r="H98" s="308" t="n">
        <v>8.18</v>
      </c>
      <c r="I98" s="308" t="n">
        <v>9.95</v>
      </c>
      <c r="J98" s="306" t="n">
        <v>0.0464707450449217</v>
      </c>
      <c r="K98" s="307" t="n">
        <v>70105.52</v>
      </c>
      <c r="L98" s="306" t="n">
        <v>0.0730609620667485</v>
      </c>
      <c r="M98" s="309" t="n">
        <v>596</v>
      </c>
      <c r="N98" s="306" t="n">
        <v>0.0646622337862581</v>
      </c>
      <c r="O98" s="306" t="n">
        <v>0.0753804890219561</v>
      </c>
      <c r="P98" s="309" t="n">
        <v>61762</v>
      </c>
    </row>
    <row r="99" customFormat="false" ht="15" hidden="false" customHeight="false" outlineLevel="0" collapsed="false">
      <c r="A99" s="276"/>
      <c r="B99" s="312" t="s">
        <v>229</v>
      </c>
      <c r="C99" s="313" t="s">
        <v>232</v>
      </c>
      <c r="D99" s="304" t="n">
        <v>0.13387765149961</v>
      </c>
      <c r="E99" s="305" t="n">
        <v>83.58</v>
      </c>
      <c r="F99" s="306" t="n">
        <v>0.440042826552463</v>
      </c>
      <c r="G99" s="307" t="n">
        <v>30421.5557167099</v>
      </c>
      <c r="H99" s="308" t="n">
        <v>8.21</v>
      </c>
      <c r="I99" s="308" t="n">
        <v>10.76</v>
      </c>
      <c r="J99" s="306" t="n">
        <v>0.0464707450449217</v>
      </c>
      <c r="K99" s="307" t="n">
        <v>78617.45</v>
      </c>
      <c r="L99" s="306" t="n">
        <v>0.0730609620667485</v>
      </c>
      <c r="M99" s="309" t="n">
        <v>596</v>
      </c>
      <c r="N99" s="306" t="n">
        <v>0.0646622337862581</v>
      </c>
      <c r="O99" s="306" t="n">
        <v>0.0753804890219561</v>
      </c>
      <c r="P99" s="309" t="n">
        <v>24656</v>
      </c>
    </row>
    <row r="100" customFormat="false" ht="15" hidden="false" customHeight="false" outlineLevel="0" collapsed="false">
      <c r="A100" s="276"/>
      <c r="B100" s="312" t="s">
        <v>229</v>
      </c>
      <c r="C100" s="313" t="s">
        <v>233</v>
      </c>
      <c r="D100" s="304" t="n">
        <v>0.0872951016680286</v>
      </c>
      <c r="E100" s="305" t="n">
        <v>83.74</v>
      </c>
      <c r="F100" s="306" t="n">
        <v>0.361017964071856</v>
      </c>
      <c r="G100" s="307" t="n">
        <v>34263.2416840776</v>
      </c>
      <c r="H100" s="308" t="n">
        <v>7.71</v>
      </c>
      <c r="I100" s="308" t="n">
        <v>9.43</v>
      </c>
      <c r="J100" s="306" t="n">
        <v>0.0464707450449217</v>
      </c>
      <c r="K100" s="307" t="n">
        <v>84627.53</v>
      </c>
      <c r="L100" s="306" t="n">
        <v>0.0730609620667485</v>
      </c>
      <c r="M100" s="309" t="n">
        <v>596</v>
      </c>
      <c r="N100" s="306" t="n">
        <v>0.0646622337862581</v>
      </c>
      <c r="O100" s="306" t="n">
        <v>0.0753804890219561</v>
      </c>
      <c r="P100" s="309" t="n">
        <v>20844</v>
      </c>
    </row>
    <row r="101" customFormat="false" ht="15" hidden="false" customHeight="false" outlineLevel="0" collapsed="false">
      <c r="A101" s="276"/>
      <c r="B101" s="312" t="s">
        <v>229</v>
      </c>
      <c r="C101" s="313" t="s">
        <v>234</v>
      </c>
      <c r="D101" s="304" t="n">
        <v>0.0478746955944211</v>
      </c>
      <c r="E101" s="305" t="n">
        <v>84.16</v>
      </c>
      <c r="F101" s="306" t="n">
        <v>0.346169887390519</v>
      </c>
      <c r="G101" s="307" t="n">
        <v>42449.9468798582</v>
      </c>
      <c r="H101" s="308" t="n">
        <v>7.46</v>
      </c>
      <c r="I101" s="308" t="n">
        <v>9.14</v>
      </c>
      <c r="J101" s="306" t="n">
        <v>0.0464707450449217</v>
      </c>
      <c r="K101" s="307" t="n">
        <v>94529</v>
      </c>
      <c r="L101" s="306" t="n">
        <v>0.0730609620667485</v>
      </c>
      <c r="M101" s="309" t="n">
        <v>596</v>
      </c>
      <c r="N101" s="306" t="n">
        <v>0.0646622337862581</v>
      </c>
      <c r="O101" s="306" t="n">
        <v>0.0753804890219561</v>
      </c>
      <c r="P101" s="309" t="n">
        <v>18223</v>
      </c>
    </row>
    <row r="102" customFormat="false" ht="15" hidden="false" customHeight="false" outlineLevel="0" collapsed="false">
      <c r="A102" s="276"/>
      <c r="B102" s="312" t="s">
        <v>229</v>
      </c>
      <c r="C102" s="313" t="s">
        <v>235</v>
      </c>
      <c r="D102" s="304" t="n">
        <v>0.0477760797876619</v>
      </c>
      <c r="E102" s="305" t="n">
        <v>83.87</v>
      </c>
      <c r="F102" s="306" t="n">
        <v>0.193113126079447</v>
      </c>
      <c r="G102" s="307" t="n">
        <v>56198.1898953215</v>
      </c>
      <c r="H102" s="308" t="n">
        <v>5.16</v>
      </c>
      <c r="I102" s="308" t="n">
        <v>7.33</v>
      </c>
      <c r="J102" s="306" t="n">
        <v>0.0464707450449217</v>
      </c>
      <c r="K102" s="307" t="n">
        <v>102522.46</v>
      </c>
      <c r="L102" s="306" t="n">
        <v>0.0730609620667485</v>
      </c>
      <c r="M102" s="309" t="n">
        <v>596</v>
      </c>
      <c r="N102" s="306" t="n">
        <v>0.0646622337862581</v>
      </c>
      <c r="O102" s="306" t="n">
        <v>0.0753804890219561</v>
      </c>
      <c r="P102" s="309" t="n">
        <v>12459</v>
      </c>
    </row>
    <row r="103" customFormat="false" ht="15" hidden="false" customHeight="false" outlineLevel="0" collapsed="false">
      <c r="A103" s="276"/>
      <c r="B103" s="312" t="s">
        <v>229</v>
      </c>
      <c r="C103" s="313" t="s">
        <v>236</v>
      </c>
      <c r="D103" s="304" t="n">
        <v>0.0489821882951654</v>
      </c>
      <c r="E103" s="305" t="n">
        <v>83.89</v>
      </c>
      <c r="F103" s="306" t="n">
        <v>0.198183319570603</v>
      </c>
      <c r="G103" s="307" t="n">
        <v>54247.1572063758</v>
      </c>
      <c r="H103" s="308" t="n">
        <v>5.92</v>
      </c>
      <c r="I103" s="308" t="n">
        <v>8.5</v>
      </c>
      <c r="J103" s="306" t="n">
        <v>0.0464707450449217</v>
      </c>
      <c r="K103" s="307" t="n">
        <v>112367.5</v>
      </c>
      <c r="L103" s="306" t="n">
        <v>0.0730609620667485</v>
      </c>
      <c r="M103" s="309" t="n">
        <v>596</v>
      </c>
      <c r="N103" s="306" t="n">
        <v>0.0646622337862581</v>
      </c>
      <c r="O103" s="306" t="n">
        <v>0.0753804890219561</v>
      </c>
      <c r="P103" s="309" t="n">
        <v>6368</v>
      </c>
    </row>
    <row r="104" customFormat="false" ht="15" hidden="false" customHeight="false" outlineLevel="0" collapsed="false">
      <c r="A104" s="276"/>
      <c r="B104" s="312" t="s">
        <v>229</v>
      </c>
      <c r="C104" s="313" t="s">
        <v>237</v>
      </c>
      <c r="D104" s="304" t="n">
        <v>0.0482539682539683</v>
      </c>
      <c r="E104" s="305" t="n">
        <v>84.1</v>
      </c>
      <c r="F104" s="306" t="n">
        <v>0.168430335097002</v>
      </c>
      <c r="G104" s="307" t="n">
        <v>67826.1492998205</v>
      </c>
      <c r="H104" s="308" t="n">
        <v>4.01</v>
      </c>
      <c r="I104" s="308" t="n">
        <v>4.61</v>
      </c>
      <c r="J104" s="306" t="n">
        <v>0.0464707450449217</v>
      </c>
      <c r="K104" s="307" t="n">
        <v>168128.52</v>
      </c>
      <c r="L104" s="306" t="n">
        <v>0.0730609620667485</v>
      </c>
      <c r="M104" s="309" t="n">
        <v>596</v>
      </c>
      <c r="N104" s="306" t="n">
        <v>0.0646622337862581</v>
      </c>
      <c r="O104" s="306" t="n">
        <v>0.0753804890219561</v>
      </c>
      <c r="P104" s="309" t="n">
        <v>1569</v>
      </c>
    </row>
    <row r="105" customFormat="false" ht="15" hidden="false" customHeight="false" outlineLevel="0" collapsed="false">
      <c r="A105" s="276"/>
      <c r="B105" s="310" t="s">
        <v>229</v>
      </c>
      <c r="C105" s="311" t="s">
        <v>238</v>
      </c>
      <c r="D105" s="304" t="n">
        <v>0.0253417503065534</v>
      </c>
      <c r="E105" s="305" t="n">
        <v>83.94</v>
      </c>
      <c r="F105" s="306" t="n">
        <v>0.160987439373212</v>
      </c>
      <c r="G105" s="307" t="n">
        <v>65589.45233329</v>
      </c>
      <c r="H105" s="308" t="n">
        <v>5.42</v>
      </c>
      <c r="I105" s="308" t="n">
        <v>7.25</v>
      </c>
      <c r="J105" s="306" t="n">
        <v>0.0464707450449217</v>
      </c>
      <c r="K105" s="307" t="n">
        <v>112754.23</v>
      </c>
      <c r="L105" s="306" t="n">
        <v>0.0730609620667485</v>
      </c>
      <c r="M105" s="309" t="n">
        <v>596</v>
      </c>
      <c r="N105" s="306" t="n">
        <v>0.0646622337862581</v>
      </c>
      <c r="O105" s="306" t="n">
        <v>0.0753804890219561</v>
      </c>
      <c r="P105" s="309" t="n">
        <v>22055</v>
      </c>
    </row>
    <row r="106" customFormat="false" ht="15" hidden="false" customHeight="false" outlineLevel="0" collapsed="false">
      <c r="A106" s="276"/>
      <c r="B106" s="310" t="s">
        <v>239</v>
      </c>
      <c r="C106" s="311" t="s">
        <v>240</v>
      </c>
      <c r="D106" s="304" t="n">
        <v>0.0292371623627189</v>
      </c>
      <c r="E106" s="305" t="n">
        <v>78.81</v>
      </c>
      <c r="F106" s="306" t="n">
        <v>0.132265847773635</v>
      </c>
      <c r="G106" s="307" t="n">
        <v>81736.547158496</v>
      </c>
      <c r="H106" s="308" t="n">
        <v>4.29</v>
      </c>
      <c r="I106" s="308" t="n">
        <v>5.81</v>
      </c>
      <c r="J106" s="306" t="n">
        <v>0.0387425487014352</v>
      </c>
      <c r="K106" s="307" t="n">
        <v>144304.94</v>
      </c>
      <c r="L106" s="306" t="n">
        <v>0.0486293763516278</v>
      </c>
      <c r="M106" s="309" t="n">
        <v>403</v>
      </c>
      <c r="N106" s="306" t="n">
        <v>0.0421123638816614</v>
      </c>
      <c r="O106" s="306" t="n">
        <v>0.0418537924151697</v>
      </c>
      <c r="P106" s="309" t="n">
        <v>6731</v>
      </c>
    </row>
    <row r="107" customFormat="false" ht="15" hidden="false" customHeight="false" outlineLevel="0" collapsed="false">
      <c r="A107" s="276"/>
      <c r="B107" s="310" t="s">
        <v>239</v>
      </c>
      <c r="C107" s="311" t="s">
        <v>241</v>
      </c>
      <c r="D107" s="304" t="n">
        <v>0.0402771174353053</v>
      </c>
      <c r="E107" s="305" t="n">
        <v>83.4</v>
      </c>
      <c r="F107" s="306" t="n">
        <v>0.138752696607178</v>
      </c>
      <c r="G107" s="307" t="n">
        <v>97253.6423164336</v>
      </c>
      <c r="H107" s="308" t="n">
        <v>3.86</v>
      </c>
      <c r="I107" s="308" t="n">
        <v>5.23</v>
      </c>
      <c r="J107" s="306" t="n">
        <v>0.0387425487014352</v>
      </c>
      <c r="K107" s="307" t="n">
        <v>214047.1</v>
      </c>
      <c r="L107" s="306" t="n">
        <v>0.0486293763516278</v>
      </c>
      <c r="M107" s="309" t="n">
        <v>403</v>
      </c>
      <c r="N107" s="306" t="n">
        <v>0.0421123638816614</v>
      </c>
      <c r="O107" s="306" t="n">
        <v>0.0418537924151697</v>
      </c>
      <c r="P107" s="309" t="n">
        <v>14766</v>
      </c>
    </row>
    <row r="108" customFormat="false" ht="15" hidden="false" customHeight="false" outlineLevel="0" collapsed="false">
      <c r="A108" s="276"/>
      <c r="B108" s="310" t="s">
        <v>239</v>
      </c>
      <c r="C108" s="311" t="s">
        <v>242</v>
      </c>
      <c r="D108" s="304" t="n">
        <v>0.0479730228665666</v>
      </c>
      <c r="E108" s="305" t="n">
        <v>84.43</v>
      </c>
      <c r="F108" s="306" t="n">
        <v>0.401112066846891</v>
      </c>
      <c r="G108" s="307" t="n">
        <v>39790.2400918192</v>
      </c>
      <c r="H108" s="308" t="n">
        <v>7.15</v>
      </c>
      <c r="I108" s="308" t="n">
        <v>8.66</v>
      </c>
      <c r="J108" s="306" t="n">
        <v>0.0387425487014352</v>
      </c>
      <c r="K108" s="307" t="n">
        <v>93176</v>
      </c>
      <c r="L108" s="306" t="n">
        <v>0.0486293763516278</v>
      </c>
      <c r="M108" s="309" t="n">
        <v>403</v>
      </c>
      <c r="N108" s="306" t="n">
        <v>0.0421123638816614</v>
      </c>
      <c r="O108" s="306" t="n">
        <v>0.0418537924151697</v>
      </c>
      <c r="P108" s="309" t="n">
        <v>40703</v>
      </c>
    </row>
    <row r="109" customFormat="false" ht="15" hidden="false" customHeight="false" outlineLevel="0" collapsed="false">
      <c r="A109" s="276"/>
      <c r="B109" s="310" t="s">
        <v>239</v>
      </c>
      <c r="C109" s="311" t="s">
        <v>243</v>
      </c>
      <c r="D109" s="304" t="n">
        <v>0.0637027968014692</v>
      </c>
      <c r="E109" s="305" t="n">
        <v>83.56</v>
      </c>
      <c r="F109" s="306" t="n">
        <v>0.472506654516678</v>
      </c>
      <c r="G109" s="307" t="n">
        <v>33701.4312862047</v>
      </c>
      <c r="H109" s="308" t="n">
        <v>8.78</v>
      </c>
      <c r="I109" s="308" t="n">
        <v>10.6</v>
      </c>
      <c r="J109" s="306" t="n">
        <v>0.0387425487014352</v>
      </c>
      <c r="K109" s="307" t="n">
        <v>80444.05</v>
      </c>
      <c r="L109" s="306" t="n">
        <v>0.0486293763516278</v>
      </c>
      <c r="M109" s="309" t="n">
        <v>403</v>
      </c>
      <c r="N109" s="306" t="n">
        <v>0.0421123638816614</v>
      </c>
      <c r="O109" s="306" t="n">
        <v>0.0418537924151697</v>
      </c>
      <c r="P109" s="309" t="n">
        <v>52547</v>
      </c>
    </row>
    <row r="110" customFormat="false" ht="15" hidden="false" customHeight="false" outlineLevel="0" collapsed="false">
      <c r="A110" s="276"/>
      <c r="B110" s="310" t="s">
        <v>239</v>
      </c>
      <c r="C110" s="311" t="s">
        <v>244</v>
      </c>
      <c r="D110" s="304" t="n">
        <v>0.0515355903346212</v>
      </c>
      <c r="E110" s="305" t="n">
        <v>84.21</v>
      </c>
      <c r="F110" s="306" t="n">
        <v>0.392065640331585</v>
      </c>
      <c r="G110" s="307" t="n">
        <v>36691.4783926056</v>
      </c>
      <c r="H110" s="308" t="n">
        <v>8.72</v>
      </c>
      <c r="I110" s="308" t="n">
        <v>10.35</v>
      </c>
      <c r="J110" s="306" t="n">
        <v>0.0387425487014352</v>
      </c>
      <c r="K110" s="307" t="n">
        <v>104658.69</v>
      </c>
      <c r="L110" s="306" t="n">
        <v>0.0486293763516278</v>
      </c>
      <c r="M110" s="309" t="n">
        <v>403</v>
      </c>
      <c r="N110" s="306" t="n">
        <v>0.0421123638816614</v>
      </c>
      <c r="O110" s="306" t="n">
        <v>0.0418537924151697</v>
      </c>
      <c r="P110" s="309" t="n">
        <v>15344</v>
      </c>
    </row>
    <row r="111" customFormat="false" ht="15" hidden="false" customHeight="false" outlineLevel="0" collapsed="false">
      <c r="A111" s="276"/>
      <c r="B111" s="310" t="s">
        <v>239</v>
      </c>
      <c r="C111" s="311" t="s">
        <v>245</v>
      </c>
      <c r="D111" s="304" t="n">
        <v>0.0485109674567656</v>
      </c>
      <c r="E111" s="305" t="n">
        <v>83.16</v>
      </c>
      <c r="F111" s="306" t="n">
        <v>0.147510496210093</v>
      </c>
      <c r="G111" s="307" t="n">
        <v>55975.1455794732</v>
      </c>
      <c r="H111" s="308" t="n">
        <v>5.14</v>
      </c>
      <c r="I111" s="308" t="n">
        <v>7.08</v>
      </c>
      <c r="J111" s="306" t="n">
        <v>0.0387425487014352</v>
      </c>
      <c r="K111" s="307" t="n">
        <v>114377.07</v>
      </c>
      <c r="L111" s="306" t="n">
        <v>0.0486293763516278</v>
      </c>
      <c r="M111" s="309" t="n">
        <v>403</v>
      </c>
      <c r="N111" s="306" t="n">
        <v>0.0421123638816614</v>
      </c>
      <c r="O111" s="306" t="n">
        <v>0.0418537924151697</v>
      </c>
      <c r="P111" s="309" t="n">
        <v>56352</v>
      </c>
    </row>
    <row r="112" customFormat="false" ht="15" hidden="false" customHeight="false" outlineLevel="0" collapsed="false">
      <c r="A112" s="276"/>
      <c r="B112" s="310" t="s">
        <v>246</v>
      </c>
      <c r="C112" s="311" t="s">
        <v>247</v>
      </c>
      <c r="D112" s="304" t="n">
        <v>0.138264972121267</v>
      </c>
      <c r="E112" s="305" t="n">
        <v>82.02</v>
      </c>
      <c r="F112" s="306" t="n">
        <v>0.637493148181984</v>
      </c>
      <c r="G112" s="307" t="n">
        <v>24884.4147377196</v>
      </c>
      <c r="H112" s="308" t="n">
        <v>12.39</v>
      </c>
      <c r="I112" s="308" t="n">
        <v>13.53</v>
      </c>
      <c r="J112" s="306" t="n">
        <v>0.0765560059520755</v>
      </c>
      <c r="K112" s="307" t="n">
        <v>51666.28</v>
      </c>
      <c r="L112" s="306" t="n">
        <v>0.0523700976094453</v>
      </c>
      <c r="M112" s="309" t="n">
        <v>1563</v>
      </c>
      <c r="N112" s="306" t="n">
        <v>0.0595547846198323</v>
      </c>
      <c r="O112" s="306" t="n">
        <v>0.0598490518962076</v>
      </c>
      <c r="P112" s="309" t="n">
        <v>44861</v>
      </c>
    </row>
    <row r="113" customFormat="false" ht="15" hidden="false" customHeight="false" outlineLevel="0" collapsed="false">
      <c r="A113" s="276"/>
      <c r="B113" s="310" t="s">
        <v>246</v>
      </c>
      <c r="C113" s="311" t="s">
        <v>248</v>
      </c>
      <c r="D113" s="304" t="n">
        <v>0.268937927474513</v>
      </c>
      <c r="E113" s="305" t="n">
        <v>81.25</v>
      </c>
      <c r="F113" s="306" t="n">
        <v>0.746862310815799</v>
      </c>
      <c r="G113" s="307" t="n">
        <v>19587.0949040644</v>
      </c>
      <c r="H113" s="308" t="n">
        <v>13.77</v>
      </c>
      <c r="I113" s="308" t="n">
        <v>17.18</v>
      </c>
      <c r="J113" s="306" t="n">
        <v>0.0765560059520755</v>
      </c>
      <c r="K113" s="307" t="n">
        <v>26876.8</v>
      </c>
      <c r="L113" s="306" t="n">
        <v>0.0523700976094453</v>
      </c>
      <c r="M113" s="309" t="n">
        <v>1563</v>
      </c>
      <c r="N113" s="306" t="n">
        <v>0.0595547846198323</v>
      </c>
      <c r="O113" s="306" t="n">
        <v>0.0598490518962076</v>
      </c>
      <c r="P113" s="309" t="n">
        <v>15841</v>
      </c>
    </row>
    <row r="114" customFormat="false" ht="15" hidden="false" customHeight="false" outlineLevel="0" collapsed="false">
      <c r="A114" s="276"/>
      <c r="B114" s="310" t="s">
        <v>246</v>
      </c>
      <c r="C114" s="311" t="s">
        <v>249</v>
      </c>
      <c r="D114" s="304" t="n">
        <v>0.0918546091526166</v>
      </c>
      <c r="E114" s="305" t="n">
        <v>82.02</v>
      </c>
      <c r="F114" s="306" t="n">
        <v>0.463624553426437</v>
      </c>
      <c r="G114" s="307" t="n">
        <v>30153.304534441</v>
      </c>
      <c r="H114" s="308" t="n">
        <v>8.65</v>
      </c>
      <c r="I114" s="308" t="n">
        <v>10.39</v>
      </c>
      <c r="J114" s="306" t="n">
        <v>0.0765560059520755</v>
      </c>
      <c r="K114" s="307" t="n">
        <v>61604.11</v>
      </c>
      <c r="L114" s="306" t="n">
        <v>0.0523700976094453</v>
      </c>
      <c r="M114" s="309" t="n">
        <v>1563</v>
      </c>
      <c r="N114" s="306" t="n">
        <v>0.0595547846198323</v>
      </c>
      <c r="O114" s="306" t="n">
        <v>0.0598490518962076</v>
      </c>
      <c r="P114" s="309" t="n">
        <v>18768</v>
      </c>
    </row>
    <row r="115" customFormat="false" ht="15" hidden="false" customHeight="false" outlineLevel="0" collapsed="false">
      <c r="A115" s="276"/>
      <c r="B115" s="310" t="s">
        <v>246</v>
      </c>
      <c r="C115" s="311" t="s">
        <v>250</v>
      </c>
      <c r="D115" s="304" t="n">
        <v>0.137146720757268</v>
      </c>
      <c r="E115" s="305" t="n">
        <v>83.28</v>
      </c>
      <c r="F115" s="306" t="n">
        <v>0.57422979473433</v>
      </c>
      <c r="G115" s="307" t="n">
        <v>28416.0524909634</v>
      </c>
      <c r="H115" s="308" t="n">
        <v>9.79</v>
      </c>
      <c r="I115" s="308" t="n">
        <v>11.07</v>
      </c>
      <c r="J115" s="306" t="n">
        <v>0.0765560059520755</v>
      </c>
      <c r="K115" s="307" t="n">
        <v>52206.91</v>
      </c>
      <c r="L115" s="306" t="n">
        <v>0.0523700976094453</v>
      </c>
      <c r="M115" s="309" t="n">
        <v>1563</v>
      </c>
      <c r="N115" s="306" t="n">
        <v>0.0595547846198323</v>
      </c>
      <c r="O115" s="306" t="n">
        <v>0.0598490518962076</v>
      </c>
      <c r="P115" s="309" t="n">
        <v>37460</v>
      </c>
    </row>
    <row r="116" customFormat="false" ht="15" hidden="false" customHeight="false" outlineLevel="0" collapsed="false">
      <c r="A116" s="276"/>
      <c r="B116" s="310" t="s">
        <v>246</v>
      </c>
      <c r="C116" s="311" t="s">
        <v>251</v>
      </c>
      <c r="D116" s="304" t="n">
        <v>0.112095266213955</v>
      </c>
      <c r="E116" s="305" t="n">
        <v>83.21</v>
      </c>
      <c r="F116" s="306" t="n">
        <v>0.588427226168842</v>
      </c>
      <c r="G116" s="307" t="n">
        <v>28062.4299562607</v>
      </c>
      <c r="H116" s="308" t="n">
        <v>10.62</v>
      </c>
      <c r="I116" s="308" t="n">
        <v>12.46</v>
      </c>
      <c r="J116" s="306" t="n">
        <v>0.0765560059520755</v>
      </c>
      <c r="K116" s="307" t="n">
        <v>58943.3</v>
      </c>
      <c r="L116" s="306" t="n">
        <v>0.0523700976094453</v>
      </c>
      <c r="M116" s="309" t="n">
        <v>1563</v>
      </c>
      <c r="N116" s="306" t="n">
        <v>0.0595547846198323</v>
      </c>
      <c r="O116" s="306" t="n">
        <v>0.0598490518962076</v>
      </c>
      <c r="P116" s="309" t="n">
        <v>30867</v>
      </c>
    </row>
    <row r="117" customFormat="false" ht="15" hidden="false" customHeight="false" outlineLevel="0" collapsed="false">
      <c r="A117" s="276"/>
      <c r="B117" s="310" t="s">
        <v>252</v>
      </c>
      <c r="C117" s="311" t="s">
        <v>253</v>
      </c>
      <c r="D117" s="304" t="n">
        <v>0.101635631605435</v>
      </c>
      <c r="E117" s="305" t="n">
        <v>82.85</v>
      </c>
      <c r="F117" s="306" t="n">
        <v>0.643144601720788</v>
      </c>
      <c r="G117" s="307" t="n">
        <v>28357.1952380006</v>
      </c>
      <c r="H117" s="308" t="n">
        <v>12.05</v>
      </c>
      <c r="I117" s="308" t="n">
        <v>13.6</v>
      </c>
      <c r="J117" s="306" t="n">
        <v>0.0631053046393887</v>
      </c>
      <c r="K117" s="307" t="n">
        <v>55794.28</v>
      </c>
      <c r="L117" s="306" t="n">
        <v>0.0259512537261091</v>
      </c>
      <c r="M117" s="309" t="n">
        <v>1370</v>
      </c>
      <c r="N117" s="306" t="n">
        <v>0.0210079984581286</v>
      </c>
      <c r="O117" s="306" t="n">
        <v>0.0222367764471058</v>
      </c>
      <c r="P117" s="309" t="n">
        <v>40077</v>
      </c>
    </row>
    <row r="118" customFormat="false" ht="15" hidden="false" customHeight="false" outlineLevel="0" collapsed="false">
      <c r="A118" s="276"/>
      <c r="B118" s="310" t="s">
        <v>252</v>
      </c>
      <c r="C118" s="311" t="s">
        <v>254</v>
      </c>
      <c r="D118" s="304" t="n">
        <v>0.0325581395348837</v>
      </c>
      <c r="E118" s="305" t="n">
        <v>82.28</v>
      </c>
      <c r="F118" s="306" t="n">
        <v>0.448919655968114</v>
      </c>
      <c r="G118" s="307" t="n">
        <v>36426.5820036597</v>
      </c>
      <c r="H118" s="308" t="n">
        <v>9.22</v>
      </c>
      <c r="I118" s="308" t="n">
        <v>10.59</v>
      </c>
      <c r="J118" s="306" t="n">
        <v>0.0631053046393887</v>
      </c>
      <c r="K118" s="307" t="n">
        <v>57584.02</v>
      </c>
      <c r="L118" s="306" t="n">
        <v>0.0259512537261091</v>
      </c>
      <c r="M118" s="309" t="n">
        <v>1370</v>
      </c>
      <c r="N118" s="306" t="n">
        <v>0.0210079984581286</v>
      </c>
      <c r="O118" s="306" t="n">
        <v>0.0222367764471058</v>
      </c>
      <c r="P118" s="309" t="n">
        <v>24349</v>
      </c>
    </row>
    <row r="119" customFormat="false" ht="15" hidden="false" customHeight="false" outlineLevel="0" collapsed="false">
      <c r="A119" s="276"/>
      <c r="B119" s="310" t="s">
        <v>252</v>
      </c>
      <c r="C119" s="311" t="s">
        <v>255</v>
      </c>
      <c r="D119" s="304" t="n">
        <v>0.0556931260604393</v>
      </c>
      <c r="E119" s="305" t="n">
        <v>82.85</v>
      </c>
      <c r="F119" s="306" t="n">
        <v>0.278674456216787</v>
      </c>
      <c r="G119" s="307" t="n">
        <v>32080.2102615069</v>
      </c>
      <c r="H119" s="308" t="n">
        <v>7.65</v>
      </c>
      <c r="I119" s="308" t="n">
        <v>9.8</v>
      </c>
      <c r="J119" s="306" t="n">
        <v>0.0631053046393887</v>
      </c>
      <c r="K119" s="307" t="n">
        <v>70762.74</v>
      </c>
      <c r="L119" s="306" t="n">
        <v>0.0259512537261091</v>
      </c>
      <c r="M119" s="309" t="n">
        <v>1370</v>
      </c>
      <c r="N119" s="306" t="n">
        <v>0.0210079984581286</v>
      </c>
      <c r="O119" s="306" t="n">
        <v>0.0222367764471058</v>
      </c>
      <c r="P119" s="309" t="n">
        <v>44953</v>
      </c>
    </row>
    <row r="120" customFormat="false" ht="15" hidden="false" customHeight="false" outlineLevel="0" collapsed="false">
      <c r="A120" s="276"/>
      <c r="B120" s="310" t="s">
        <v>256</v>
      </c>
      <c r="C120" s="311" t="s">
        <v>257</v>
      </c>
      <c r="D120" s="304" t="n">
        <v>0.0991520467836257</v>
      </c>
      <c r="E120" s="305" t="n">
        <v>83.34</v>
      </c>
      <c r="F120" s="306" t="n">
        <v>0.663015587300371</v>
      </c>
      <c r="G120" s="307" t="n">
        <v>24737.4617385981</v>
      </c>
      <c r="H120" s="308" t="n">
        <v>11.92</v>
      </c>
      <c r="I120" s="308" t="n">
        <v>13.81</v>
      </c>
      <c r="J120" s="306" t="n">
        <v>0.0625353292159531</v>
      </c>
      <c r="K120" s="307" t="n">
        <v>54182.2</v>
      </c>
      <c r="L120" s="306" t="n">
        <v>0.0308609503769946</v>
      </c>
      <c r="M120" s="309" t="n">
        <v>669</v>
      </c>
      <c r="N120" s="306" t="n">
        <v>0.024252352960072</v>
      </c>
      <c r="O120" s="306" t="n">
        <v>0.0238585329341317</v>
      </c>
      <c r="P120" s="309" t="n">
        <v>34597</v>
      </c>
    </row>
    <row r="121" customFormat="false" ht="15" hidden="false" customHeight="false" outlineLevel="0" collapsed="false">
      <c r="A121" s="276"/>
      <c r="B121" s="310" t="s">
        <v>256</v>
      </c>
      <c r="C121" s="311" t="s">
        <v>258</v>
      </c>
      <c r="D121" s="304" t="n">
        <v>0.0360605545160742</v>
      </c>
      <c r="E121" s="305" t="n">
        <v>83.34</v>
      </c>
      <c r="F121" s="306" t="n">
        <v>0.351970443349754</v>
      </c>
      <c r="G121" s="307" t="n">
        <v>38092.0998192573</v>
      </c>
      <c r="H121" s="308" t="n">
        <v>8.94</v>
      </c>
      <c r="I121" s="308" t="n">
        <v>9.35</v>
      </c>
      <c r="J121" s="306" t="n">
        <v>0.0625353292159531</v>
      </c>
      <c r="K121" s="307" t="n">
        <v>61754.93</v>
      </c>
      <c r="L121" s="306" t="n">
        <v>0.0308609503769946</v>
      </c>
      <c r="M121" s="309" t="n">
        <v>669</v>
      </c>
      <c r="N121" s="306" t="n">
        <v>0.024252352960072</v>
      </c>
      <c r="O121" s="306" t="n">
        <v>0.0238585329341317</v>
      </c>
      <c r="P121" s="309" t="n">
        <v>17589</v>
      </c>
    </row>
    <row r="122" customFormat="false" ht="15" hidden="false" customHeight="false" outlineLevel="0" collapsed="false">
      <c r="A122" s="276"/>
      <c r="B122" s="310" t="s">
        <v>256</v>
      </c>
      <c r="C122" s="311" t="s">
        <v>259</v>
      </c>
      <c r="D122" s="304" t="n">
        <v>0.0175467546754675</v>
      </c>
      <c r="E122" s="305" t="n">
        <v>83.34</v>
      </c>
      <c r="F122" s="306" t="n">
        <v>0.231768577862463</v>
      </c>
      <c r="G122" s="307" t="n">
        <v>39290.7010145847</v>
      </c>
      <c r="H122" s="308" t="n">
        <v>5.73</v>
      </c>
      <c r="I122" s="308" t="n">
        <v>6.57</v>
      </c>
      <c r="J122" s="306" t="n">
        <v>0.0625353292159531</v>
      </c>
      <c r="K122" s="307" t="n">
        <v>77028.05</v>
      </c>
      <c r="L122" s="306" t="n">
        <v>0.0308609503769946</v>
      </c>
      <c r="M122" s="309" t="n">
        <v>669</v>
      </c>
      <c r="N122" s="306" t="n">
        <v>0.024252352960072</v>
      </c>
      <c r="O122" s="306" t="n">
        <v>0.0238585329341317</v>
      </c>
      <c r="P122" s="309" t="n">
        <v>18191</v>
      </c>
    </row>
    <row r="123" customFormat="false" ht="15" hidden="false" customHeight="false" outlineLevel="0" collapsed="false">
      <c r="A123" s="276"/>
      <c r="B123" s="310" t="s">
        <v>256</v>
      </c>
      <c r="C123" s="311" t="s">
        <v>260</v>
      </c>
      <c r="D123" s="304" t="n">
        <v>0.0423280423280423</v>
      </c>
      <c r="E123" s="305" t="n">
        <v>83.34</v>
      </c>
      <c r="F123" s="306" t="n">
        <v>0.358974358974359</v>
      </c>
      <c r="G123" s="307" t="n">
        <v>38691.400416921</v>
      </c>
      <c r="H123" s="308" t="n">
        <v>6.01</v>
      </c>
      <c r="I123" s="308" t="n">
        <v>9.41</v>
      </c>
      <c r="J123" s="306" t="n">
        <v>0.0625353292159531</v>
      </c>
      <c r="K123" s="307" t="n">
        <v>106107.71</v>
      </c>
      <c r="L123" s="306" t="n">
        <v>0.0308609503769946</v>
      </c>
      <c r="M123" s="309" t="n">
        <v>669</v>
      </c>
      <c r="N123" s="306" t="n">
        <v>0.024252352960072</v>
      </c>
      <c r="O123" s="306" t="n">
        <v>0.0238585329341317</v>
      </c>
      <c r="P123" s="309" t="n">
        <v>1071</v>
      </c>
    </row>
    <row r="124" customFormat="false" ht="15" hidden="false" customHeight="false" outlineLevel="0" collapsed="false">
      <c r="A124" s="276"/>
      <c r="B124" s="310" t="s">
        <v>261</v>
      </c>
      <c r="C124" s="311" t="s">
        <v>262</v>
      </c>
      <c r="D124" s="304" t="n">
        <v>0.10208501578445</v>
      </c>
      <c r="E124" s="305" t="n">
        <v>83.06</v>
      </c>
      <c r="F124" s="306" t="n">
        <v>0.489279130687882</v>
      </c>
      <c r="G124" s="307" t="n">
        <v>31368.0821042939</v>
      </c>
      <c r="H124" s="308" t="n">
        <v>9.08</v>
      </c>
      <c r="I124" s="308" t="n">
        <v>11.26</v>
      </c>
      <c r="J124" s="306" t="n">
        <v>0.052258064516129</v>
      </c>
      <c r="K124" s="307" t="n">
        <v>67547.84</v>
      </c>
      <c r="L124" s="306" t="n">
        <v>0.0555263311707289</v>
      </c>
      <c r="M124" s="309" t="n">
        <v>807</v>
      </c>
      <c r="N124" s="306" t="n">
        <v>0.0681635668626128</v>
      </c>
      <c r="O124" s="306" t="n">
        <v>0.0578218562874252</v>
      </c>
      <c r="P124" s="309" t="n">
        <v>27615</v>
      </c>
    </row>
    <row r="125" customFormat="false" ht="15" hidden="false" customHeight="false" outlineLevel="0" collapsed="false">
      <c r="A125" s="276"/>
      <c r="B125" s="310" t="s">
        <v>261</v>
      </c>
      <c r="C125" s="311" t="s">
        <v>263</v>
      </c>
      <c r="D125" s="304" t="n">
        <v>0.0743764679566044</v>
      </c>
      <c r="E125" s="305" t="n">
        <v>81.49</v>
      </c>
      <c r="F125" s="306" t="n">
        <v>0.657174762702401</v>
      </c>
      <c r="G125" s="307" t="n">
        <v>23534.7450276702</v>
      </c>
      <c r="H125" s="308" t="n">
        <v>11.97</v>
      </c>
      <c r="I125" s="308" t="n">
        <v>14.41</v>
      </c>
      <c r="J125" s="306" t="n">
        <v>0.052258064516129</v>
      </c>
      <c r="K125" s="307" t="n">
        <v>62968.18</v>
      </c>
      <c r="L125" s="306" t="n">
        <v>0.0555263311707289</v>
      </c>
      <c r="M125" s="309" t="n">
        <v>807</v>
      </c>
      <c r="N125" s="306" t="n">
        <v>0.0681635668626128</v>
      </c>
      <c r="O125" s="306" t="n">
        <v>0.0578218562874252</v>
      </c>
      <c r="P125" s="309" t="n">
        <v>9107</v>
      </c>
    </row>
    <row r="126" customFormat="false" ht="15" hidden="false" customHeight="false" outlineLevel="0" collapsed="false">
      <c r="A126" s="276"/>
      <c r="B126" s="310" t="s">
        <v>261</v>
      </c>
      <c r="C126" s="311" t="s">
        <v>264</v>
      </c>
      <c r="D126" s="304" t="n">
        <v>0.107117181883537</v>
      </c>
      <c r="E126" s="305" t="n">
        <v>78.36</v>
      </c>
      <c r="F126" s="306" t="n">
        <v>0.69253920481546</v>
      </c>
      <c r="G126" s="307" t="n">
        <v>21841.9888400866</v>
      </c>
      <c r="H126" s="308" t="n">
        <v>13.07</v>
      </c>
      <c r="I126" s="308" t="n">
        <v>15.08</v>
      </c>
      <c r="J126" s="306" t="n">
        <v>0.052258064516129</v>
      </c>
      <c r="K126" s="307" t="n">
        <v>46961.13</v>
      </c>
      <c r="L126" s="306" t="n">
        <v>0.0555263311707289</v>
      </c>
      <c r="M126" s="309" t="n">
        <v>807</v>
      </c>
      <c r="N126" s="306" t="n">
        <v>0.0681635668626128</v>
      </c>
      <c r="O126" s="306" t="n">
        <v>0.0578218562874252</v>
      </c>
      <c r="P126" s="309" t="n">
        <v>8524</v>
      </c>
    </row>
    <row r="127" customFormat="false" ht="15" hidden="false" customHeight="false" outlineLevel="0" collapsed="false">
      <c r="A127" s="276"/>
      <c r="B127" s="310" t="s">
        <v>261</v>
      </c>
      <c r="C127" s="311" t="s">
        <v>265</v>
      </c>
      <c r="D127" s="304" t="n">
        <v>0.0595680688416392</v>
      </c>
      <c r="E127" s="305" t="n">
        <v>81.45</v>
      </c>
      <c r="F127" s="306" t="n">
        <v>0.56915400571845</v>
      </c>
      <c r="G127" s="307" t="n">
        <v>28111.3514107266</v>
      </c>
      <c r="H127" s="308" t="n">
        <v>10.07</v>
      </c>
      <c r="I127" s="308" t="n">
        <v>11.49</v>
      </c>
      <c r="J127" s="306" t="n">
        <v>0.052258064516129</v>
      </c>
      <c r="K127" s="307" t="n">
        <v>73483.65</v>
      </c>
      <c r="L127" s="306" t="n">
        <v>0.0555263311707289</v>
      </c>
      <c r="M127" s="309" t="n">
        <v>807</v>
      </c>
      <c r="N127" s="306" t="n">
        <v>0.0681635668626128</v>
      </c>
      <c r="O127" s="306" t="n">
        <v>0.0578218562874252</v>
      </c>
      <c r="P127" s="309" t="n">
        <v>24174</v>
      </c>
    </row>
    <row r="128" customFormat="false" ht="15" hidden="false" customHeight="false" outlineLevel="0" collapsed="false">
      <c r="A128" s="276"/>
      <c r="B128" s="310" t="s">
        <v>261</v>
      </c>
      <c r="C128" s="311" t="s">
        <v>266</v>
      </c>
      <c r="D128" s="304" t="n">
        <v>0.0243662864385298</v>
      </c>
      <c r="E128" s="305" t="n">
        <v>83.81</v>
      </c>
      <c r="F128" s="306" t="n">
        <v>0.316274216233383</v>
      </c>
      <c r="G128" s="307" t="n">
        <v>43369.4685542836</v>
      </c>
      <c r="H128" s="308" t="n">
        <v>5.98</v>
      </c>
      <c r="I128" s="308" t="n">
        <v>7.08</v>
      </c>
      <c r="J128" s="306" t="n">
        <v>0.052258064516129</v>
      </c>
      <c r="K128" s="307" t="n">
        <v>80925.23</v>
      </c>
      <c r="L128" s="306" t="n">
        <v>0.0555263311707289</v>
      </c>
      <c r="M128" s="309" t="n">
        <v>807</v>
      </c>
      <c r="N128" s="306" t="n">
        <v>0.0681635668626128</v>
      </c>
      <c r="O128" s="306" t="n">
        <v>0.0578218562874252</v>
      </c>
      <c r="P128" s="309" t="n">
        <v>31754</v>
      </c>
    </row>
    <row r="129" customFormat="false" ht="15" hidden="false" customHeight="false" outlineLevel="0" collapsed="false">
      <c r="A129" s="276"/>
      <c r="B129" s="310" t="s">
        <v>261</v>
      </c>
      <c r="C129" s="311" t="s">
        <v>267</v>
      </c>
      <c r="D129" s="304" t="n">
        <v>0.0939626110940852</v>
      </c>
      <c r="E129" s="305" t="n">
        <v>85.24</v>
      </c>
      <c r="F129" s="306" t="n">
        <v>0.287906898296509</v>
      </c>
      <c r="G129" s="307" t="n">
        <v>38202.7270639004</v>
      </c>
      <c r="H129" s="308" t="n">
        <v>5.6</v>
      </c>
      <c r="I129" s="308" t="n">
        <v>7.91</v>
      </c>
      <c r="J129" s="306" t="n">
        <v>0.052258064516129</v>
      </c>
      <c r="K129" s="307" t="n">
        <v>59944.22</v>
      </c>
      <c r="L129" s="306" t="n">
        <v>0.0555263311707289</v>
      </c>
      <c r="M129" s="309" t="n">
        <v>807</v>
      </c>
      <c r="N129" s="306" t="n">
        <v>0.0681635668626128</v>
      </c>
      <c r="O129" s="306" t="n">
        <v>0.0578218562874252</v>
      </c>
      <c r="P129" s="309" t="n">
        <v>16608</v>
      </c>
    </row>
    <row r="130" customFormat="false" ht="15" hidden="false" customHeight="false" outlineLevel="0" collapsed="false">
      <c r="A130" s="276"/>
      <c r="B130" s="310" t="s">
        <v>261</v>
      </c>
      <c r="C130" s="311" t="s">
        <v>268</v>
      </c>
      <c r="D130" s="304" t="n">
        <v>0.0875206003015533</v>
      </c>
      <c r="E130" s="305" t="n">
        <v>83.06</v>
      </c>
      <c r="F130" s="306" t="n">
        <v>0.540085325748822</v>
      </c>
      <c r="G130" s="307" t="n">
        <v>31306.0089447945</v>
      </c>
      <c r="H130" s="308" t="n">
        <v>8.84</v>
      </c>
      <c r="I130" s="308" t="n">
        <v>11.23</v>
      </c>
      <c r="J130" s="306" t="n">
        <v>0.052258064516129</v>
      </c>
      <c r="K130" s="307" t="n">
        <v>62705.28</v>
      </c>
      <c r="L130" s="306" t="n">
        <v>0.0555263311707289</v>
      </c>
      <c r="M130" s="309" t="n">
        <v>807</v>
      </c>
      <c r="N130" s="306" t="n">
        <v>0.0681635668626128</v>
      </c>
      <c r="O130" s="306" t="n">
        <v>0.0578218562874252</v>
      </c>
      <c r="P130" s="309" t="n">
        <v>28655</v>
      </c>
    </row>
    <row r="131" customFormat="false" ht="15" hidden="false" customHeight="false" outlineLevel="0" collapsed="false">
      <c r="A131" s="276"/>
      <c r="B131" s="310" t="s">
        <v>261</v>
      </c>
      <c r="C131" s="311" t="s">
        <v>269</v>
      </c>
      <c r="D131" s="304" t="n">
        <v>0.0372109506511916</v>
      </c>
      <c r="E131" s="305" t="n">
        <v>84.45</v>
      </c>
      <c r="F131" s="306" t="n">
        <v>0.260990928122819</v>
      </c>
      <c r="G131" s="307" t="n">
        <v>54441.1045863053</v>
      </c>
      <c r="H131" s="308" t="n">
        <v>6.23</v>
      </c>
      <c r="I131" s="308" t="n">
        <v>7.7</v>
      </c>
      <c r="J131" s="306" t="n">
        <v>0.052258064516129</v>
      </c>
      <c r="K131" s="307" t="n">
        <v>119894.91</v>
      </c>
      <c r="L131" s="306" t="n">
        <v>0.0555263311707289</v>
      </c>
      <c r="M131" s="309" t="n">
        <v>807</v>
      </c>
      <c r="N131" s="306" t="n">
        <v>0.0681635668626128</v>
      </c>
      <c r="O131" s="306" t="n">
        <v>0.0578218562874252</v>
      </c>
      <c r="P131" s="309" t="n">
        <v>11365</v>
      </c>
    </row>
    <row r="132" customFormat="false" ht="15" hidden="false" customHeight="false" outlineLevel="0" collapsed="false">
      <c r="A132" s="276"/>
      <c r="B132" s="310" t="s">
        <v>270</v>
      </c>
      <c r="C132" s="311" t="s">
        <v>271</v>
      </c>
      <c r="D132" s="304" t="n">
        <v>0.0241180705543556</v>
      </c>
      <c r="E132" s="305" t="n">
        <v>83.91</v>
      </c>
      <c r="F132" s="306" t="n">
        <v>0.209598366235534</v>
      </c>
      <c r="G132" s="307" t="n">
        <v>52281.1907390498</v>
      </c>
      <c r="H132" s="308" t="n">
        <v>4.98</v>
      </c>
      <c r="I132" s="308" t="n">
        <v>6.35</v>
      </c>
      <c r="J132" s="306" t="n">
        <v>0.0331854138529809</v>
      </c>
      <c r="K132" s="307" t="n">
        <v>88289.33</v>
      </c>
      <c r="L132" s="306" t="n">
        <v>0.00935180314454381</v>
      </c>
      <c r="M132" s="309" t="n">
        <v>73</v>
      </c>
      <c r="N132" s="306" t="n">
        <v>0.00825543670296489</v>
      </c>
      <c r="O132" s="306" t="n">
        <v>0.0092315369261477</v>
      </c>
      <c r="P132" s="309" t="n">
        <v>19508</v>
      </c>
    </row>
    <row r="133" customFormat="false" ht="15" hidden="false" customHeight="false" outlineLevel="0" collapsed="false">
      <c r="A133" s="276"/>
      <c r="B133" s="310" t="s">
        <v>270</v>
      </c>
      <c r="C133" s="311" t="s">
        <v>272</v>
      </c>
      <c r="D133" s="304" t="n">
        <v>0.138238573021182</v>
      </c>
      <c r="E133" s="305" t="n">
        <v>81.84</v>
      </c>
      <c r="F133" s="306" t="n">
        <v>0.591911764705882</v>
      </c>
      <c r="G133" s="307" t="n">
        <v>24254.3146616541</v>
      </c>
      <c r="H133" s="308" t="n">
        <v>7.82</v>
      </c>
      <c r="I133" s="308" t="n">
        <v>9.27</v>
      </c>
      <c r="J133" s="306" t="n">
        <v>0.0331854138529809</v>
      </c>
      <c r="K133" s="307" t="n">
        <v>73598.76</v>
      </c>
      <c r="L133" s="306" t="n">
        <v>0.00935180314454381</v>
      </c>
      <c r="M133" s="309" t="n">
        <v>73</v>
      </c>
      <c r="N133" s="306" t="n">
        <v>0.00825543670296489</v>
      </c>
      <c r="O133" s="306" t="n">
        <v>0.0092315369261477</v>
      </c>
      <c r="P133" s="309" t="n">
        <v>1830</v>
      </c>
    </row>
    <row r="134" customFormat="false" ht="15" hidden="false" customHeight="false" outlineLevel="0" collapsed="false">
      <c r="B134" s="310" t="s">
        <v>270</v>
      </c>
      <c r="C134" s="311" t="s">
        <v>273</v>
      </c>
      <c r="D134" s="304" t="n">
        <v>0.101690294438386</v>
      </c>
      <c r="E134" s="305" t="n">
        <v>82.96</v>
      </c>
      <c r="F134" s="306" t="n">
        <v>0.504963822985024</v>
      </c>
      <c r="G134" s="307" t="n">
        <v>29450.04216593</v>
      </c>
      <c r="H134" s="308" t="n">
        <v>7.55</v>
      </c>
      <c r="I134" s="308" t="n">
        <v>10.04</v>
      </c>
      <c r="J134" s="306" t="n">
        <v>0.0331854138529809</v>
      </c>
      <c r="K134" s="307" t="n">
        <v>82966.28</v>
      </c>
      <c r="L134" s="306" t="n">
        <v>0.00935180314454381</v>
      </c>
      <c r="M134" s="309" t="n">
        <v>73</v>
      </c>
      <c r="N134" s="306" t="n">
        <v>0.00825543670296489</v>
      </c>
      <c r="O134" s="306" t="n">
        <v>0.0092315369261477</v>
      </c>
      <c r="P134" s="309" t="n">
        <v>7464</v>
      </c>
    </row>
    <row r="135" customFormat="false" ht="15" hidden="false" customHeight="false" outlineLevel="0" collapsed="false">
      <c r="B135" s="310" t="s">
        <v>270</v>
      </c>
      <c r="C135" s="311" t="s">
        <v>274</v>
      </c>
      <c r="D135" s="304" t="n">
        <v>0.0519148936170213</v>
      </c>
      <c r="E135" s="305" t="n">
        <v>83.02</v>
      </c>
      <c r="F135" s="306" t="n">
        <v>0.306941431670282</v>
      </c>
      <c r="G135" s="307" t="n">
        <v>40271.041996997</v>
      </c>
      <c r="H135" s="308" t="n">
        <v>5.77</v>
      </c>
      <c r="I135" s="308" t="n">
        <v>7.17</v>
      </c>
      <c r="J135" s="306" t="n">
        <v>0.0331854138529809</v>
      </c>
      <c r="K135" s="307" t="n">
        <v>101313.54</v>
      </c>
      <c r="L135" s="306" t="n">
        <v>0.00935180314454381</v>
      </c>
      <c r="M135" s="309" t="n">
        <v>73</v>
      </c>
      <c r="N135" s="306" t="n">
        <v>0.00825543670296489</v>
      </c>
      <c r="O135" s="306" t="n">
        <v>0.0092315369261477</v>
      </c>
      <c r="P135" s="309" t="n">
        <v>12224</v>
      </c>
    </row>
    <row r="136" customFormat="false" ht="15" hidden="false" customHeight="false" outlineLevel="0" collapsed="false">
      <c r="B136" s="310" t="s">
        <v>270</v>
      </c>
      <c r="C136" s="311" t="s">
        <v>275</v>
      </c>
      <c r="D136" s="304" t="n">
        <v>0.0243675099866844</v>
      </c>
      <c r="E136" s="305" t="n">
        <v>84.65</v>
      </c>
      <c r="F136" s="306" t="n">
        <v>0.153059136484551</v>
      </c>
      <c r="G136" s="307" t="n">
        <v>65879.163713693</v>
      </c>
      <c r="H136" s="308" t="n">
        <v>4.2</v>
      </c>
      <c r="I136" s="308" t="n">
        <v>5.46</v>
      </c>
      <c r="J136" s="306" t="n">
        <v>0.0331854138529809</v>
      </c>
      <c r="K136" s="307" t="n">
        <v>115899.58</v>
      </c>
      <c r="L136" s="306" t="n">
        <v>0.00935180314454381</v>
      </c>
      <c r="M136" s="309" t="n">
        <v>73</v>
      </c>
      <c r="N136" s="306" t="n">
        <v>0.00825543670296489</v>
      </c>
      <c r="O136" s="306" t="n">
        <v>0.0092315369261477</v>
      </c>
      <c r="P136" s="309" t="n">
        <v>7585</v>
      </c>
    </row>
  </sheetData>
  <mergeCells count="3">
    <mergeCell ref="D1:F1"/>
    <mergeCell ref="H1:J1"/>
    <mergeCell ref="L1:O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LibreOffice/6.2.0.3$MacOSX_X86_64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2019-11-11T15:04:20Z</dcterms:created>
  <dc:creator/>
  <dc:description/>
  <dc:language>en-US</dc:language>
  <cp:lastModifiedBy/>
  <dcterms:modified xsi:type="dcterms:W3CDTF">2020-12-12T14:59:12Z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