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Org\Forschung\IMMUNOLOGY\Public\Summerfield group\EP\"/>
    </mc:Choice>
  </mc:AlternateContent>
  <xr:revisionPtr revIDLastSave="0" documentId="13_ncr:1_{E2BB9914-9A2F-4F8F-BFAA-59C4F07D8316}" xr6:coauthVersionLast="47" xr6:coauthVersionMax="47" xr10:uidLastSave="{00000000-0000-0000-0000-000000000000}"/>
  <bookViews>
    <workbookView xWindow="3825" yWindow="600" windowWidth="18900" windowHeight="10965" activeTab="5" xr2:uid="{F2C57BC0-FBB8-403A-A7EE-7B529EA9243F}"/>
  </bookViews>
  <sheets>
    <sheet name="240527" sheetId="1" r:id="rId1"/>
    <sheet name="240702" sheetId="2" r:id="rId2"/>
    <sheet name="240716" sheetId="3" r:id="rId3"/>
    <sheet name="240717_RNA" sheetId="4" r:id="rId4"/>
    <sheet name="RNA_samples" sheetId="6" r:id="rId5"/>
    <sheet name="Sheet1" sheetId="8" r:id="rId6"/>
    <sheet name="Trizol_samples" sheetId="5" r:id="rId7"/>
    <sheet name="Primer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8" l="1"/>
  <c r="U14" i="8"/>
  <c r="T14" i="8"/>
  <c r="S14" i="8"/>
  <c r="R14" i="8"/>
  <c r="Q14" i="8"/>
  <c r="P14" i="8"/>
  <c r="O14" i="8"/>
  <c r="D14" i="8"/>
  <c r="V13" i="8"/>
  <c r="U13" i="8"/>
  <c r="T13" i="8"/>
  <c r="S13" i="8"/>
  <c r="R13" i="8"/>
  <c r="Q13" i="8"/>
  <c r="P13" i="8"/>
  <c r="O13" i="8"/>
  <c r="D13" i="8"/>
  <c r="V12" i="8"/>
  <c r="U12" i="8"/>
  <c r="T12" i="8"/>
  <c r="S12" i="8"/>
  <c r="R12" i="8"/>
  <c r="Q12" i="8"/>
  <c r="P12" i="8"/>
  <c r="O12" i="8"/>
  <c r="D12" i="8"/>
  <c r="V11" i="8"/>
  <c r="U11" i="8"/>
  <c r="T11" i="8"/>
  <c r="S11" i="8"/>
  <c r="R11" i="8"/>
  <c r="Q11" i="8"/>
  <c r="P11" i="8"/>
  <c r="O11" i="8"/>
  <c r="D11" i="8"/>
  <c r="V10" i="8"/>
  <c r="U10" i="8"/>
  <c r="T10" i="8"/>
  <c r="S10" i="8"/>
  <c r="R10" i="8"/>
  <c r="Q10" i="8"/>
  <c r="P10" i="8"/>
  <c r="O10" i="8"/>
  <c r="D10" i="8"/>
  <c r="V9" i="8"/>
  <c r="U9" i="8"/>
  <c r="T9" i="8"/>
  <c r="S9" i="8"/>
  <c r="R9" i="8"/>
  <c r="Q9" i="8"/>
  <c r="P9" i="8"/>
  <c r="O9" i="8"/>
  <c r="V8" i="8"/>
  <c r="U8" i="8"/>
  <c r="T8" i="8"/>
  <c r="S8" i="8"/>
  <c r="R8" i="8"/>
  <c r="Q8" i="8"/>
  <c r="P8" i="8"/>
  <c r="O8" i="8"/>
  <c r="V7" i="8"/>
  <c r="U7" i="8"/>
  <c r="T7" i="8"/>
  <c r="S7" i="8"/>
  <c r="R7" i="8"/>
  <c r="Q7" i="8"/>
  <c r="P7" i="8"/>
  <c r="O7" i="8"/>
  <c r="V6" i="8"/>
  <c r="U6" i="8"/>
  <c r="T6" i="8"/>
  <c r="S6" i="8"/>
  <c r="R6" i="8"/>
  <c r="Q6" i="8"/>
  <c r="P6" i="8"/>
  <c r="O6" i="8"/>
  <c r="V5" i="8"/>
  <c r="U5" i="8"/>
  <c r="T5" i="8"/>
  <c r="S5" i="8"/>
  <c r="R5" i="8"/>
  <c r="Q5" i="8"/>
  <c r="P5" i="8"/>
  <c r="O5" i="8"/>
  <c r="V4" i="8"/>
  <c r="U4" i="8"/>
  <c r="T4" i="8"/>
  <c r="S4" i="8"/>
  <c r="R4" i="8"/>
  <c r="Q4" i="8"/>
  <c r="P4" i="8"/>
  <c r="O4" i="8"/>
  <c r="V3" i="8"/>
  <c r="U3" i="8"/>
  <c r="T3" i="8"/>
  <c r="S3" i="8"/>
  <c r="R3" i="8"/>
  <c r="Q3" i="8"/>
  <c r="P3" i="8"/>
  <c r="O3" i="8"/>
  <c r="V2" i="8"/>
  <c r="U2" i="8"/>
  <c r="T2" i="8"/>
  <c r="S2" i="8"/>
  <c r="R2" i="8"/>
  <c r="Q2" i="8"/>
  <c r="P2" i="8"/>
  <c r="O2" i="8"/>
  <c r="V1" i="8"/>
  <c r="U1" i="8"/>
  <c r="T1" i="8"/>
  <c r="S1" i="8"/>
  <c r="R1" i="8"/>
  <c r="Q1" i="8"/>
  <c r="P1" i="8"/>
  <c r="O1" i="8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P18" i="6"/>
  <c r="P19" i="6"/>
  <c r="P20" i="6"/>
  <c r="P21" i="6"/>
  <c r="P26" i="6"/>
  <c r="P27" i="6"/>
  <c r="P28" i="6"/>
  <c r="P29" i="6"/>
  <c r="P30" i="6"/>
  <c r="P31" i="6"/>
  <c r="D28" i="6"/>
  <c r="D29" i="6"/>
  <c r="D30" i="6"/>
  <c r="D31" i="6"/>
  <c r="D27" i="6"/>
  <c r="Q31" i="6"/>
  <c r="R31" i="6" s="1"/>
  <c r="S31" i="6"/>
  <c r="T31" i="6"/>
  <c r="U31" i="6"/>
  <c r="V31" i="6"/>
  <c r="Q30" i="6"/>
  <c r="R30" i="6" s="1"/>
  <c r="S30" i="6"/>
  <c r="T30" i="6"/>
  <c r="U30" i="6"/>
  <c r="V30" i="6"/>
  <c r="Q29" i="6"/>
  <c r="R29" i="6" s="1"/>
  <c r="S29" i="6"/>
  <c r="T29" i="6"/>
  <c r="U29" i="6"/>
  <c r="V29" i="6"/>
  <c r="Q28" i="6"/>
  <c r="R28" i="6" s="1"/>
  <c r="S28" i="6"/>
  <c r="T28" i="6"/>
  <c r="U28" i="6"/>
  <c r="V28" i="6"/>
  <c r="Q27" i="6"/>
  <c r="R27" i="6" s="1"/>
  <c r="S27" i="6"/>
  <c r="T27" i="6"/>
  <c r="U27" i="6"/>
  <c r="V27" i="6"/>
  <c r="Q26" i="6"/>
  <c r="R26" i="6" s="1"/>
  <c r="S26" i="6"/>
  <c r="T26" i="6"/>
  <c r="U26" i="6" s="1"/>
  <c r="V26" i="6"/>
  <c r="P22" i="6"/>
  <c r="P23" i="6"/>
  <c r="P24" i="6"/>
  <c r="P25" i="6"/>
  <c r="Q22" i="6"/>
  <c r="R22" i="6" s="1"/>
  <c r="Q23" i="6"/>
  <c r="R23" i="6" s="1"/>
  <c r="Q24" i="6"/>
  <c r="R24" i="6" s="1"/>
  <c r="Q25" i="6"/>
  <c r="R25" i="6" s="1"/>
  <c r="S22" i="6"/>
  <c r="S23" i="6"/>
  <c r="S24" i="6"/>
  <c r="S25" i="6"/>
  <c r="T22" i="6"/>
  <c r="U22" i="6" s="1"/>
  <c r="T23" i="6"/>
  <c r="U23" i="6" s="1"/>
  <c r="T24" i="6"/>
  <c r="U24" i="6" s="1"/>
  <c r="T25" i="6"/>
  <c r="U25" i="6" s="1"/>
  <c r="V22" i="6"/>
  <c r="V23" i="6"/>
  <c r="V24" i="6"/>
  <c r="V25" i="6"/>
  <c r="R18" i="6"/>
  <c r="Q18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T18" i="6"/>
  <c r="U18" i="6" s="1"/>
  <c r="R2" i="6"/>
  <c r="Q2" i="6"/>
  <c r="Q3" i="6"/>
  <c r="R3" i="6" s="1"/>
  <c r="Q4" i="6"/>
  <c r="R4" i="6" s="1"/>
  <c r="Q5" i="6"/>
  <c r="R5" i="6" s="1"/>
  <c r="Q6" i="6"/>
  <c r="R6" i="6" s="1"/>
  <c r="Q7" i="6"/>
  <c r="R7" i="6" s="1"/>
  <c r="Q8" i="6"/>
  <c r="R8" i="6" s="1"/>
  <c r="Q9" i="6"/>
  <c r="R9" i="6" s="1"/>
  <c r="Q10" i="6"/>
  <c r="R10" i="6" s="1"/>
  <c r="Q11" i="6"/>
  <c r="R11" i="6" s="1"/>
  <c r="Q12" i="6"/>
  <c r="R12" i="6" s="1"/>
  <c r="Q13" i="6"/>
  <c r="R13" i="6" s="1"/>
  <c r="Q14" i="6"/>
  <c r="R14" i="6" s="1"/>
  <c r="Q15" i="6"/>
  <c r="R15" i="6" s="1"/>
  <c r="Q16" i="6"/>
  <c r="R16" i="6" s="1"/>
  <c r="Q17" i="6"/>
  <c r="R17" i="6" s="1"/>
  <c r="Q19" i="6"/>
  <c r="R19" i="6" s="1"/>
  <c r="Q20" i="6"/>
  <c r="R20" i="6" s="1"/>
  <c r="Q21" i="6"/>
  <c r="R21" i="6" s="1"/>
  <c r="S18" i="6"/>
  <c r="S19" i="6"/>
  <c r="S20" i="6"/>
  <c r="S21" i="6"/>
  <c r="T19" i="6"/>
  <c r="U19" i="6" s="1"/>
  <c r="T20" i="6"/>
  <c r="U20" i="6" s="1"/>
  <c r="T21" i="6"/>
  <c r="U21" i="6" s="1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S16" i="6"/>
  <c r="S17" i="6"/>
  <c r="T16" i="6"/>
  <c r="U16" i="6" s="1"/>
  <c r="T17" i="6"/>
  <c r="U17" i="6" s="1"/>
  <c r="T15" i="6"/>
  <c r="U15" i="6" s="1"/>
  <c r="S15" i="6"/>
  <c r="T14" i="6"/>
  <c r="U14" i="6" s="1"/>
  <c r="S14" i="6"/>
  <c r="T13" i="6"/>
  <c r="U13" i="6" s="1"/>
  <c r="S13" i="6"/>
  <c r="T12" i="6"/>
  <c r="U12" i="6" s="1"/>
  <c r="S12" i="6"/>
  <c r="T11" i="6"/>
  <c r="U11" i="6" s="1"/>
  <c r="S11" i="6"/>
  <c r="T10" i="6"/>
  <c r="U10" i="6" s="1"/>
  <c r="S10" i="6"/>
  <c r="T9" i="6"/>
  <c r="U9" i="6" s="1"/>
  <c r="S9" i="6"/>
  <c r="T8" i="6"/>
  <c r="U8" i="6" s="1"/>
  <c r="S8" i="6"/>
  <c r="T7" i="6"/>
  <c r="U7" i="6" s="1"/>
  <c r="S7" i="6"/>
  <c r="T6" i="6"/>
  <c r="U6" i="6" s="1"/>
  <c r="S6" i="6"/>
  <c r="T5" i="6"/>
  <c r="U5" i="6" s="1"/>
  <c r="S5" i="6"/>
  <c r="T4" i="6"/>
  <c r="U4" i="6" s="1"/>
  <c r="S4" i="6"/>
  <c r="T3" i="6"/>
  <c r="U3" i="6" s="1"/>
  <c r="S3" i="6"/>
  <c r="T2" i="6"/>
  <c r="U2" i="6" s="1"/>
  <c r="S2" i="6"/>
  <c r="T2" i="4"/>
  <c r="U2" i="4" s="1"/>
  <c r="T3" i="4"/>
  <c r="U3" i="4" s="1"/>
  <c r="T4" i="4"/>
  <c r="U4" i="4" s="1"/>
  <c r="T5" i="4"/>
  <c r="U5" i="4" s="1"/>
  <c r="T6" i="4"/>
  <c r="U6" i="4" s="1"/>
  <c r="T7" i="4"/>
  <c r="U7" i="4" s="1"/>
  <c r="T8" i="4"/>
  <c r="U8" i="4" s="1"/>
  <c r="T9" i="4"/>
  <c r="U9" i="4" s="1"/>
  <c r="T10" i="4"/>
  <c r="U10" i="4" s="1"/>
  <c r="T11" i="4"/>
  <c r="U11" i="4" s="1"/>
  <c r="T12" i="4"/>
  <c r="U12" i="4" s="1"/>
  <c r="T13" i="4"/>
  <c r="U13" i="4" s="1"/>
  <c r="T14" i="4"/>
  <c r="U14" i="4" s="1"/>
  <c r="T15" i="4"/>
  <c r="U15" i="4" s="1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O2" i="4"/>
  <c r="O12" i="4"/>
  <c r="O13" i="4"/>
  <c r="O14" i="4"/>
  <c r="O15" i="4"/>
  <c r="O3" i="4"/>
  <c r="O4" i="4"/>
  <c r="O5" i="4"/>
  <c r="O6" i="4"/>
  <c r="O7" i="4"/>
  <c r="O8" i="4"/>
  <c r="O9" i="4"/>
  <c r="O10" i="4"/>
  <c r="O11" i="4"/>
  <c r="E7" i="3"/>
  <c r="E6" i="3"/>
  <c r="C14" i="2"/>
  <c r="B14" i="2"/>
  <c r="C15" i="2"/>
  <c r="C10" i="2"/>
  <c r="C9" i="2"/>
  <c r="C8" i="2"/>
  <c r="C7" i="2"/>
  <c r="D4" i="2"/>
  <c r="D6" i="1"/>
</calcChain>
</file>

<file path=xl/sharedStrings.xml><?xml version="1.0" encoding="utf-8"?>
<sst xmlns="http://schemas.openxmlformats.org/spreadsheetml/2006/main" count="324" uniqueCount="74">
  <si>
    <t>PBMCs</t>
  </si>
  <si>
    <t>PBMCs are isolated om 240627 by the standard method</t>
  </si>
  <si>
    <t>Vol_ul</t>
  </si>
  <si>
    <t>Reaction_cells</t>
  </si>
  <si>
    <t>Viability_%</t>
  </si>
  <si>
    <t>Conc_cell_ml</t>
  </si>
  <si>
    <t>Flow cytometry measurements</t>
  </si>
  <si>
    <t>Cell freezing measurements</t>
  </si>
  <si>
    <t>Cells_per_vial</t>
  </si>
  <si>
    <t>#vials</t>
  </si>
  <si>
    <t>Vol_mL</t>
  </si>
  <si>
    <r>
      <t xml:space="preserve"> </t>
    </r>
    <r>
      <rPr>
        <sz val="7"/>
        <color theme="1"/>
        <rFont val="Times New Roman"/>
        <family val="1"/>
      </rPr>
      <t xml:space="preserve">          </t>
    </r>
    <r>
      <rPr>
        <b/>
        <sz val="12"/>
        <color theme="1"/>
        <rFont val="Arial"/>
        <family val="2"/>
      </rPr>
      <t>Reagent</t>
    </r>
  </si>
  <si>
    <r>
      <t xml:space="preserve"> </t>
    </r>
    <r>
      <rPr>
        <sz val="7"/>
        <color theme="1"/>
        <rFont val="Times New Roman"/>
        <family val="1"/>
      </rPr>
      <t xml:space="preserve">          </t>
    </r>
    <r>
      <rPr>
        <b/>
        <sz val="12"/>
        <color theme="1"/>
        <rFont val="Arial"/>
        <family val="2"/>
      </rPr>
      <t>Volume [μL/sample]</t>
    </r>
  </si>
  <si>
    <r>
      <t xml:space="preserve"> </t>
    </r>
    <r>
      <rPr>
        <sz val="7"/>
        <color theme="1"/>
        <rFont val="Times New Roman"/>
        <family val="1"/>
      </rPr>
      <t xml:space="preserve">          </t>
    </r>
    <r>
      <rPr>
        <b/>
        <sz val="12"/>
        <color theme="1"/>
        <rFont val="Arial"/>
        <family val="2"/>
      </rPr>
      <t> </t>
    </r>
  </si>
  <si>
    <r>
      <t xml:space="preserve"> 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"/>
        <family val="2"/>
      </rPr>
      <t>Staining buffer</t>
    </r>
  </si>
  <si>
    <t>CD16</t>
  </si>
  <si>
    <t>CD172</t>
  </si>
  <si>
    <t>CD3</t>
  </si>
  <si>
    <t>CD79a</t>
  </si>
  <si>
    <t># Pig</t>
  </si>
  <si>
    <t>Sample_name</t>
  </si>
  <si>
    <t>Concentration ng/uL</t>
  </si>
  <si>
    <t>Factor</t>
  </si>
  <si>
    <t>A260</t>
  </si>
  <si>
    <t>mm</t>
  </si>
  <si>
    <t>260/280</t>
  </si>
  <si>
    <t>260/230</t>
  </si>
  <si>
    <t>Type</t>
  </si>
  <si>
    <t>RNA</t>
  </si>
  <si>
    <t>Animal</t>
  </si>
  <si>
    <t>Date</t>
  </si>
  <si>
    <t>T_cell</t>
  </si>
  <si>
    <t>B_cell</t>
  </si>
  <si>
    <t>2.1_T</t>
  </si>
  <si>
    <t>2.2_T</t>
  </si>
  <si>
    <t>5.1_T</t>
  </si>
  <si>
    <t>5.2_T</t>
  </si>
  <si>
    <t>Cell_type</t>
  </si>
  <si>
    <t>fresh_PBMC</t>
  </si>
  <si>
    <t>frozen_sorted_Bcell</t>
  </si>
  <si>
    <t>frozen_sorted_Tcell</t>
  </si>
  <si>
    <t>Method</t>
  </si>
  <si>
    <t>Cell_number</t>
  </si>
  <si>
    <t>Qiagen</t>
  </si>
  <si>
    <t>Trizol(-20)_Qiagen</t>
  </si>
  <si>
    <t>Storage</t>
  </si>
  <si>
    <t>Vol_ml</t>
  </si>
  <si>
    <t>Column3</t>
  </si>
  <si>
    <t>Column4</t>
  </si>
  <si>
    <t>frozen_PBMCs</t>
  </si>
  <si>
    <t>Column5</t>
  </si>
  <si>
    <t>Column6</t>
  </si>
  <si>
    <t>Column7</t>
  </si>
  <si>
    <t>Column8</t>
  </si>
  <si>
    <t>RNA_1</t>
  </si>
  <si>
    <t>RNA_2</t>
  </si>
  <si>
    <t>RNA_3</t>
  </si>
  <si>
    <t>RNA_4</t>
  </si>
  <si>
    <t>RNA_5</t>
  </si>
  <si>
    <t>RNA_6</t>
  </si>
  <si>
    <t>NA</t>
  </si>
  <si>
    <t>Trizol(-20)_Ethanol</t>
  </si>
  <si>
    <t>RNA_7</t>
  </si>
  <si>
    <t>RNA_8</t>
  </si>
  <si>
    <t>RNA_9</t>
  </si>
  <si>
    <t>RNA_10</t>
  </si>
  <si>
    <t>Trizol_Qiagen</t>
  </si>
  <si>
    <t>PureLink</t>
  </si>
  <si>
    <t>Trizol</t>
  </si>
  <si>
    <t>Column9</t>
  </si>
  <si>
    <t>RNA_11</t>
  </si>
  <si>
    <t>RNA_12</t>
  </si>
  <si>
    <t>RNA_13</t>
  </si>
  <si>
    <t>RNA_14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</si>
</sst>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0" fillId="0" borderId="1" xfId="0" applyFill="1" applyBorder="1"/>
    <xf numFmtId="0" fontId="3" fillId="0" borderId="2" xfId="0" applyFont="1" applyBorder="1" applyAlignment="1">
      <alignment horizontal="left" vertical="center" wrapText="1" indent="2"/>
    </xf>
    <xf numFmtId="2" fontId="3" fillId="0" borderId="3" xfId="0" applyNumberFormat="1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2" fontId="3" fillId="0" borderId="5" xfId="0" applyNumberFormat="1" applyFont="1" applyBorder="1" applyAlignment="1">
      <alignment horizontal="left" vertical="center" wrapText="1" indent="2"/>
    </xf>
    <xf numFmtId="0" fontId="3" fillId="0" borderId="5" xfId="0" applyFont="1" applyBorder="1" applyAlignment="1">
      <alignment horizontal="left" vertical="center" wrapText="1" indent="2"/>
    </xf>
    <xf numFmtId="1" fontId="0" fillId="0" borderId="1" xfId="0" applyNumberFormat="1" applyBorder="1"/>
    <xf numFmtId="0" fontId="6" fillId="2" borderId="1" xfId="0" applyFont="1" applyFill="1" applyBorder="1"/>
    <xf numFmtId="11" fontId="6" fillId="2" borderId="1" xfId="0" applyNumberFormat="1" applyFont="1" applyFill="1" applyBorder="1"/>
    <xf numFmtId="0" fontId="6" fillId="2" borderId="0" xfId="0" applyFont="1" applyFill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164" fontId="6" fillId="0" borderId="9" xfId="0" applyNumberFormat="1" applyFont="1" applyFill="1" applyBorder="1"/>
    <xf numFmtId="0" fontId="6" fillId="0" borderId="0" xfId="0" applyFont="1" applyFill="1"/>
    <xf numFmtId="0" fontId="6" fillId="0" borderId="6" xfId="0" applyFont="1" applyFill="1" applyBorder="1" applyAlignment="1">
      <alignment horizontal="right"/>
    </xf>
    <xf numFmtId="0" fontId="6" fillId="0" borderId="1" xfId="0" applyFont="1" applyFill="1" applyBorder="1"/>
    <xf numFmtId="11" fontId="6" fillId="0" borderId="1" xfId="0" applyNumberFormat="1" applyFont="1" applyFill="1" applyBorder="1"/>
    <xf numFmtId="0" fontId="6" fillId="0" borderId="7" xfId="0" applyFont="1" applyFill="1" applyBorder="1"/>
    <xf numFmtId="164" fontId="6" fillId="0" borderId="0" xfId="0" applyNumberFormat="1" applyFont="1" applyFill="1" applyAlignment="1">
      <alignment horizontal="left"/>
    </xf>
    <xf numFmtId="164" fontId="6" fillId="0" borderId="0" xfId="0" applyNumberFormat="1" applyFont="1" applyFill="1"/>
    <xf numFmtId="0" fontId="6" fillId="0" borderId="0" xfId="0" applyNumberFormat="1" applyFont="1" applyFill="1"/>
    <xf numFmtId="0" fontId="6" fillId="0" borderId="11" xfId="0" applyFont="1" applyFill="1" applyBorder="1" applyAlignment="1">
      <alignment horizontal="right"/>
    </xf>
    <xf numFmtId="0" fontId="6" fillId="0" borderId="12" xfId="0" applyFont="1" applyFill="1" applyBorder="1"/>
    <xf numFmtId="0" fontId="6" fillId="0" borderId="13" xfId="0" applyFont="1" applyFill="1" applyBorder="1"/>
    <xf numFmtId="11" fontId="6" fillId="0" borderId="12" xfId="0" applyNumberFormat="1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0" fontId="6" fillId="0" borderId="1" xfId="0" applyFont="1" applyBorder="1"/>
    <xf numFmtId="164" fontId="6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/>
    <xf numFmtId="0" fontId="6" fillId="0" borderId="1" xfId="0" applyNumberFormat="1" applyFont="1" applyFill="1" applyBorder="1"/>
    <xf numFmtId="0" fontId="6" fillId="2" borderId="1" xfId="0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left"/>
    </xf>
    <xf numFmtId="164" fontId="6" fillId="2" borderId="1" xfId="0" applyNumberFormat="1" applyFont="1" applyFill="1" applyBorder="1"/>
    <xf numFmtId="0" fontId="6" fillId="0" borderId="12" xfId="0" applyFont="1" applyFill="1" applyBorder="1" applyAlignment="1">
      <alignment horizontal="right"/>
    </xf>
    <xf numFmtId="164" fontId="6" fillId="0" borderId="12" xfId="0" applyNumberFormat="1" applyFont="1" applyFill="1" applyBorder="1" applyAlignment="1">
      <alignment horizontal="left"/>
    </xf>
    <xf numFmtId="164" fontId="6" fillId="0" borderId="12" xfId="0" applyNumberFormat="1" applyFont="1" applyFill="1" applyBorder="1"/>
    <xf numFmtId="0" fontId="6" fillId="0" borderId="12" xfId="0" applyNumberFormat="1" applyFont="1" applyFill="1" applyBorder="1"/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6C8DD-5278-45D4-8573-B746433A4098}" name="Table1" displayName="Table1" ref="A1:U15" totalsRowShown="0" headerRowDxfId="52" dataDxfId="50" headerRowBorderDxfId="51" tableBorderDxfId="49" totalsRowBorderDxfId="48">
  <autoFilter ref="A1:U15" xr:uid="{7A86C8DD-5278-45D4-8573-B746433A4098}"/>
  <tableColumns count="21">
    <tableColumn id="1" xr3:uid="{61ED352B-94E7-4BE1-BB91-8C1EFC70FF3A}" name="Sample_name" dataDxfId="47"/>
    <tableColumn id="2" xr3:uid="{B4B95620-1E60-468F-A157-070A8250697C}" name="Concentration ng/uL" dataDxfId="46"/>
    <tableColumn id="3" xr3:uid="{4DBF9C44-1D24-4EE7-BA9F-F9DBA1075643}" name="Factor" dataDxfId="45"/>
    <tableColumn id="4" xr3:uid="{6705C663-5287-48CA-9D08-DE7D2F980235}" name="A260" dataDxfId="44"/>
    <tableColumn id="5" xr3:uid="{E19F9FF7-C35D-46CE-8398-64BDFDBBFCC7}" name="mm" dataDxfId="43"/>
    <tableColumn id="6" xr3:uid="{3E40D479-3094-4337-970B-34772F08DE6B}" name="260/280" dataDxfId="42"/>
    <tableColumn id="7" xr3:uid="{B4C1AE94-BA89-4125-999C-7E4A00BA44D0}" name="260/230" dataDxfId="41"/>
    <tableColumn id="8" xr3:uid="{ACFEB6C0-A3C1-484D-8C1D-681E849BFFB2}" name="Type" dataDxfId="40"/>
    <tableColumn id="9" xr3:uid="{A9207081-3DCD-410C-AF40-7DF58F80A833}" name="Animal" dataDxfId="39"/>
    <tableColumn id="12" xr3:uid="{14140F20-7788-406F-A5D0-1653E59FEA2D}" name="Cell_type" dataDxfId="38"/>
    <tableColumn id="13" xr3:uid="{835C15E7-9252-4966-BCF8-1D1DF21FB4F5}" name="Cell_number" dataDxfId="37"/>
    <tableColumn id="10" xr3:uid="{A017C7B9-A6B1-460D-9677-3EC8C39DC80A}" name="Method" dataDxfId="36"/>
    <tableColumn id="11" xr3:uid="{3D95E331-565B-48CB-8208-1B2886CD210F}" name="Date" dataDxfId="35"/>
    <tableColumn id="14" xr3:uid="{A9CEDE49-D598-498B-B7E4-736735E17DAA}" name="Storage" dataDxfId="34"/>
    <tableColumn id="15" xr3:uid="{283EB3A6-6BF7-4727-A688-B5618B9811CA}" name="Vol_ml" dataDxfId="33">
      <calculatedColumnFormula>500/Table1[[#This Row],[Concentration ng/uL]]</calculatedColumnFormula>
    </tableColumn>
    <tableColumn id="18" xr3:uid="{E6D0C06C-BB41-4ACE-BB6B-38119E582483}" name="Column3" dataDxfId="32">
      <calculatedColumnFormula>1000/Table1[[#This Row],[Concentration ng/uL]]</calculatedColumnFormula>
    </tableColumn>
    <tableColumn id="20" xr3:uid="{69A63CB7-22E8-4879-8E78-BA66BAF3EDDD}" name="Column4" dataDxfId="31">
      <calculatedColumnFormula>1*25</calculatedColumnFormula>
    </tableColumn>
    <tableColumn id="21" xr3:uid="{AF8E5DD6-276E-4A71-B106-37F93F7E4BDF}" name="Column5" dataDxfId="30">
      <calculatedColumnFormula>250/1000</calculatedColumnFormula>
    </tableColumn>
    <tableColumn id="22" xr3:uid="{15B25C86-F7B8-4389-AC36-81E40E0EF38B}" name="Column6" dataDxfId="29">
      <calculatedColumnFormula>1000/25</calculatedColumnFormula>
    </tableColumn>
    <tableColumn id="23" xr3:uid="{4DF44296-245F-42C3-9F50-31D45F2B93DF}" name="Column7" dataDxfId="28">
      <calculatedColumnFormula>100/Table1[[#This Row],[Concentration ng/uL]]</calculatedColumnFormula>
    </tableColumn>
    <tableColumn id="24" xr3:uid="{C948F311-FDB0-44B9-8383-1251EFC8C0C9}" name="Column8" dataDxfId="27">
      <calculatedColumnFormula>20-6.4-Table1[[#This Row],[Column7]]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F9A5E-CCAD-4FA1-854F-D72B509FB30D}" name="Table13" displayName="Table13" ref="A1:V31" totalsRowShown="0" headerRowDxfId="26" dataDxfId="24" headerRowBorderDxfId="25" tableBorderDxfId="23" totalsRowBorderDxfId="22">
  <autoFilter ref="A1:V31" xr:uid="{BF3F9A5E-CCAD-4FA1-854F-D72B509FB30D}"/>
  <tableColumns count="22">
    <tableColumn id="1" xr3:uid="{3279D611-9F01-4619-90B4-F8FCEAD68823}" name="Sample_name" dataDxfId="21"/>
    <tableColumn id="2" xr3:uid="{401BBBDB-581F-4978-A3C8-161A3298BC61}" name="Concentration ng/uL" dataDxfId="20"/>
    <tableColumn id="3" xr3:uid="{770AD78D-FE90-425C-90B8-4BD43CE5ACAC}" name="Factor" dataDxfId="19"/>
    <tableColumn id="4" xr3:uid="{47CB8E41-5C86-4766-B373-5268D3898421}" name="A260" dataDxfId="18"/>
    <tableColumn id="5" xr3:uid="{E1C6E495-1D80-482E-80B5-874C5844DC01}" name="mm" dataDxfId="17"/>
    <tableColumn id="6" xr3:uid="{FF703631-608F-42AD-A773-338C33DB053B}" name="260/280" dataDxfId="16"/>
    <tableColumn id="7" xr3:uid="{D6AFF42B-339D-4948-8253-8FBDFFA7C8F7}" name="260/230" dataDxfId="15"/>
    <tableColumn id="8" xr3:uid="{A368D33C-47E6-484C-A425-3FC6D0D51204}" name="Type" dataDxfId="14"/>
    <tableColumn id="9" xr3:uid="{8FB88F5C-CBAF-4F4E-B538-F0DC8CE02A2A}" name="Animal" dataDxfId="13"/>
    <tableColumn id="12" xr3:uid="{A237B360-8327-407F-B4CB-C54D770C34A7}" name="Cell_type" dataDxfId="12"/>
    <tableColumn id="13" xr3:uid="{0533F9CF-4DAC-4E7E-99DF-C145CD88C2C2}" name="Cell_number" dataDxfId="11"/>
    <tableColumn id="10" xr3:uid="{76853AFA-AB6E-437C-BDF0-E63A46AC969D}" name="Method" dataDxfId="10"/>
    <tableColumn id="11" xr3:uid="{6EA8A86A-8C18-407C-939F-550A50880FB5}" name="Date" dataDxfId="9"/>
    <tableColumn id="14" xr3:uid="{2783A935-115D-4467-8DC6-65CCB78939C8}" name="Storage" dataDxfId="8"/>
    <tableColumn id="15" xr3:uid="{E63435DE-1F39-4F25-AA14-C76B87D7BC84}" name="Vol_ml" dataDxfId="0">
      <calculatedColumnFormula>2000/Table13[[#This Row],[Concentration ng/uL]]</calculatedColumnFormula>
    </tableColumn>
    <tableColumn id="18" xr3:uid="{7A2B2E3B-4AFB-4EAF-8C4E-13DCFE210E1E}" name="Column3" dataDxfId="7">
      <calculatedColumnFormula>1000/Table13[[#This Row],[Concentration ng/uL]]</calculatedColumnFormula>
    </tableColumn>
    <tableColumn id="20" xr3:uid="{4E781BB2-17B9-4C3C-A7F6-762641601E55}" name="Column4" dataDxfId="6">
      <calculatedColumnFormula>1000/25</calculatedColumnFormula>
    </tableColumn>
    <tableColumn id="21" xr3:uid="{85359F7A-94B3-4C3C-A3F2-5AAEB22C5FCD}" name="Column5" dataDxfId="5">
      <calculatedColumnFormula>100/Table13[[#This Row],[Column4]]</calculatedColumnFormula>
    </tableColumn>
    <tableColumn id="22" xr3:uid="{5C0DEB73-4861-4BA6-AA0C-193D6638BFB0}" name="Column6" dataDxfId="4">
      <calculatedColumnFormula>1000/25</calculatedColumnFormula>
    </tableColumn>
    <tableColumn id="23" xr3:uid="{EF0F281A-F9A2-4A25-9B91-45CF30A55B42}" name="Column7" dataDxfId="3">
      <calculatedColumnFormula>100/Table13[[#This Row],[Concentration ng/uL]]</calculatedColumnFormula>
    </tableColumn>
    <tableColumn id="24" xr3:uid="{C84106C2-1EE9-46FE-9941-F0057A0A72BA}" name="Column8" dataDxfId="2">
      <calculatedColumnFormula>20-6.4-Table13[[#This Row],[Column7]]</calculatedColumnFormula>
    </tableColumn>
    <tableColumn id="16" xr3:uid="{FA3A5297-7C06-44BA-B398-3189EDDB2C21}" name="Column9" dataDxfId="1">
      <calculatedColumnFormula>20-6.4-2.5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0738-37AC-4BB0-892C-53906E6A40C5}">
  <dimension ref="A1:E11"/>
  <sheetViews>
    <sheetView workbookViewId="0">
      <selection activeCell="E17" sqref="E17"/>
    </sheetView>
  </sheetViews>
  <sheetFormatPr defaultRowHeight="14.25" x14ac:dyDescent="0.2"/>
  <cols>
    <col min="1" max="1" width="12.5" customWidth="1"/>
    <col min="2" max="2" width="9.5" bestFit="1" customWidth="1"/>
    <col min="3" max="3" width="13" bestFit="1" customWidth="1"/>
  </cols>
  <sheetData>
    <row r="1" spans="1:5" x14ac:dyDescent="0.2">
      <c r="A1" t="s">
        <v>1</v>
      </c>
    </row>
    <row r="3" spans="1:5" ht="15.75" x14ac:dyDescent="0.25">
      <c r="A3" s="5" t="s">
        <v>6</v>
      </c>
    </row>
    <row r="4" spans="1:5" ht="15" x14ac:dyDescent="0.25">
      <c r="A4" s="4" t="s">
        <v>0</v>
      </c>
      <c r="B4" s="1"/>
      <c r="C4" s="1"/>
      <c r="D4" s="1"/>
    </row>
    <row r="5" spans="1:5" x14ac:dyDescent="0.2">
      <c r="A5" s="1" t="s">
        <v>5</v>
      </c>
      <c r="B5" s="1" t="s">
        <v>4</v>
      </c>
      <c r="C5" s="1" t="s">
        <v>3</v>
      </c>
      <c r="D5" s="1" t="s">
        <v>2</v>
      </c>
    </row>
    <row r="6" spans="1:5" x14ac:dyDescent="0.2">
      <c r="A6" s="2">
        <v>14000000</v>
      </c>
      <c r="B6" s="1">
        <v>95</v>
      </c>
      <c r="C6" s="2">
        <v>1000000</v>
      </c>
      <c r="D6" s="3">
        <f>1000*C6/A6</f>
        <v>71.428571428571431</v>
      </c>
    </row>
    <row r="8" spans="1:5" ht="15.75" x14ac:dyDescent="0.25">
      <c r="A8" s="5" t="s">
        <v>7</v>
      </c>
    </row>
    <row r="9" spans="1:5" ht="15" x14ac:dyDescent="0.25">
      <c r="A9" s="4" t="s">
        <v>0</v>
      </c>
      <c r="B9" s="1"/>
      <c r="C9" s="1"/>
      <c r="D9" s="1"/>
      <c r="E9" s="1"/>
    </row>
    <row r="10" spans="1:5" x14ac:dyDescent="0.2">
      <c r="A10" s="1" t="s">
        <v>5</v>
      </c>
      <c r="B10" s="1" t="s">
        <v>4</v>
      </c>
      <c r="C10" s="1" t="s">
        <v>8</v>
      </c>
      <c r="D10" s="1" t="s">
        <v>2</v>
      </c>
      <c r="E10" s="6" t="s">
        <v>9</v>
      </c>
    </row>
    <row r="11" spans="1:5" x14ac:dyDescent="0.2">
      <c r="A11" s="2">
        <v>21800000</v>
      </c>
      <c r="B11" s="1">
        <v>96</v>
      </c>
      <c r="C11" s="2">
        <v>20000000</v>
      </c>
      <c r="D11" s="3">
        <v>800</v>
      </c>
      <c r="E11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8F82-1FA7-4809-A3C5-F61648B06914}">
  <dimension ref="A1:D15"/>
  <sheetViews>
    <sheetView workbookViewId="0">
      <selection activeCell="B20" sqref="B20"/>
    </sheetView>
  </sheetViews>
  <sheetFormatPr defaultRowHeight="14.25" x14ac:dyDescent="0.2"/>
  <cols>
    <col min="1" max="1" width="28.125" bestFit="1" customWidth="1"/>
    <col min="2" max="2" width="9.5" bestFit="1" customWidth="1"/>
    <col min="3" max="3" width="12.25" bestFit="1" customWidth="1"/>
  </cols>
  <sheetData>
    <row r="1" spans="1:4" ht="15.75" x14ac:dyDescent="0.25">
      <c r="A1" s="5" t="s">
        <v>7</v>
      </c>
    </row>
    <row r="2" spans="1:4" ht="15" x14ac:dyDescent="0.25">
      <c r="A2" s="4" t="s">
        <v>0</v>
      </c>
      <c r="B2" s="1"/>
      <c r="C2" s="1"/>
      <c r="D2" s="1"/>
    </row>
    <row r="3" spans="1:4" x14ac:dyDescent="0.2">
      <c r="A3" s="1" t="s">
        <v>5</v>
      </c>
      <c r="B3" s="1" t="s">
        <v>4</v>
      </c>
      <c r="C3" s="1" t="s">
        <v>8</v>
      </c>
      <c r="D3" s="1" t="s">
        <v>10</v>
      </c>
    </row>
    <row r="4" spans="1:4" x14ac:dyDescent="0.2">
      <c r="A4" s="2">
        <v>4320000</v>
      </c>
      <c r="B4" s="1">
        <v>55</v>
      </c>
      <c r="C4" s="2">
        <v>1000000</v>
      </c>
      <c r="D4" s="3">
        <f>C4/A4</f>
        <v>0.23148148148148148</v>
      </c>
    </row>
    <row r="5" spans="1:4" ht="15" thickBot="1" x14ac:dyDescent="0.25"/>
    <row r="6" spans="1:4" ht="94.5" thickBot="1" x14ac:dyDescent="0.25">
      <c r="A6" s="7" t="s">
        <v>11</v>
      </c>
      <c r="B6" s="8" t="s">
        <v>12</v>
      </c>
      <c r="C6" s="9" t="s">
        <v>13</v>
      </c>
    </row>
    <row r="7" spans="1:4" ht="15.75" thickBot="1" x14ac:dyDescent="0.25">
      <c r="A7" s="10" t="s">
        <v>14</v>
      </c>
      <c r="B7" s="11">
        <v>97.5</v>
      </c>
      <c r="C7" s="12">
        <f>B7*4</f>
        <v>390</v>
      </c>
    </row>
    <row r="8" spans="1:4" ht="15.75" thickBot="1" x14ac:dyDescent="0.25">
      <c r="A8" s="10" t="s">
        <v>15</v>
      </c>
      <c r="B8" s="11">
        <v>1</v>
      </c>
      <c r="C8" s="12">
        <f>B8*4</f>
        <v>4</v>
      </c>
    </row>
    <row r="9" spans="1:4" ht="15.75" thickBot="1" x14ac:dyDescent="0.25">
      <c r="A9" s="10" t="s">
        <v>16</v>
      </c>
      <c r="B9" s="11">
        <v>0.5</v>
      </c>
      <c r="C9" s="12">
        <f>B9*4</f>
        <v>2</v>
      </c>
    </row>
    <row r="10" spans="1:4" ht="15.75" thickBot="1" x14ac:dyDescent="0.25">
      <c r="A10" s="10" t="s">
        <v>17</v>
      </c>
      <c r="B10" s="11">
        <v>2</v>
      </c>
      <c r="C10" s="12">
        <f>B10*4</f>
        <v>8</v>
      </c>
    </row>
    <row r="12" spans="1:4" ht="15" thickBot="1" x14ac:dyDescent="0.25"/>
    <row r="13" spans="1:4" ht="94.5" thickBot="1" x14ac:dyDescent="0.25">
      <c r="A13" s="7" t="s">
        <v>11</v>
      </c>
      <c r="B13" s="8" t="s">
        <v>12</v>
      </c>
      <c r="C13" s="9" t="s">
        <v>13</v>
      </c>
    </row>
    <row r="14" spans="1:4" ht="15.75" thickBot="1" x14ac:dyDescent="0.25">
      <c r="A14" s="10" t="s">
        <v>14</v>
      </c>
      <c r="B14" s="11">
        <f>100-B15</f>
        <v>99.5</v>
      </c>
      <c r="C14" s="12">
        <f>B14*5</f>
        <v>497.5</v>
      </c>
    </row>
    <row r="15" spans="1:4" ht="15.75" thickBot="1" x14ac:dyDescent="0.25">
      <c r="A15" s="10" t="s">
        <v>18</v>
      </c>
      <c r="B15" s="11">
        <v>0.5</v>
      </c>
      <c r="C15" s="12">
        <f>B15*4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4AC5-957E-4A15-BE3D-6C0295D41060}">
  <dimension ref="A1:F7"/>
  <sheetViews>
    <sheetView workbookViewId="0">
      <selection activeCell="C34" sqref="C34"/>
    </sheetView>
  </sheetViews>
  <sheetFormatPr defaultRowHeight="14.25" x14ac:dyDescent="0.2"/>
  <cols>
    <col min="4" max="4" width="13" bestFit="1" customWidth="1"/>
  </cols>
  <sheetData>
    <row r="1" spans="1:6" x14ac:dyDescent="0.2">
      <c r="B1" t="s">
        <v>1</v>
      </c>
    </row>
    <row r="3" spans="1:6" ht="15.75" x14ac:dyDescent="0.25">
      <c r="B3" s="5" t="s">
        <v>7</v>
      </c>
    </row>
    <row r="4" spans="1:6" ht="15" x14ac:dyDescent="0.25">
      <c r="B4" s="4" t="s">
        <v>0</v>
      </c>
      <c r="C4" s="1"/>
      <c r="D4" s="1"/>
      <c r="E4" s="1"/>
      <c r="F4" s="1"/>
    </row>
    <row r="5" spans="1:6" x14ac:dyDescent="0.2">
      <c r="A5" t="s">
        <v>19</v>
      </c>
      <c r="B5" s="1" t="s">
        <v>5</v>
      </c>
      <c r="C5" s="1" t="s">
        <v>4</v>
      </c>
      <c r="D5" s="1" t="s">
        <v>8</v>
      </c>
      <c r="E5" s="1" t="s">
        <v>2</v>
      </c>
      <c r="F5" s="6"/>
    </row>
    <row r="6" spans="1:6" x14ac:dyDescent="0.2">
      <c r="A6">
        <v>2052</v>
      </c>
      <c r="B6" s="2">
        <v>424000000</v>
      </c>
      <c r="C6" s="1">
        <v>95.3</v>
      </c>
      <c r="D6" s="2">
        <v>30000000</v>
      </c>
      <c r="E6" s="13">
        <f>B6/D6</f>
        <v>14.133333333333333</v>
      </c>
      <c r="F6" s="2"/>
    </row>
    <row r="7" spans="1:6" x14ac:dyDescent="0.2">
      <c r="A7">
        <v>2055</v>
      </c>
      <c r="B7" s="2">
        <v>343000000</v>
      </c>
      <c r="C7">
        <v>93.3</v>
      </c>
      <c r="D7" s="2">
        <v>30000000</v>
      </c>
      <c r="E7" s="13">
        <f>B7/D7</f>
        <v>11.433333333333334</v>
      </c>
      <c r="F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7564-4B0A-41C0-9036-92965B541509}">
  <dimension ref="A1:U15"/>
  <sheetViews>
    <sheetView workbookViewId="0">
      <selection sqref="A1:XFD1048576"/>
    </sheetView>
  </sheetViews>
  <sheetFormatPr defaultRowHeight="12.75" x14ac:dyDescent="0.2"/>
  <cols>
    <col min="1" max="1" width="14.25" style="21" customWidth="1"/>
    <col min="2" max="2" width="21.25" style="21" bestFit="1" customWidth="1"/>
    <col min="3" max="3" width="8.5" style="21" bestFit="1" customWidth="1"/>
    <col min="4" max="4" width="7" style="21" bestFit="1" customWidth="1"/>
    <col min="5" max="5" width="6" style="21" customWidth="1"/>
    <col min="6" max="6" width="9.25" style="21" customWidth="1"/>
    <col min="7" max="7" width="9.375" style="21" bestFit="1" customWidth="1"/>
    <col min="8" max="8" width="7.25" style="21" bestFit="1" customWidth="1"/>
    <col min="9" max="9" width="8.625" style="21" bestFit="1" customWidth="1"/>
    <col min="10" max="10" width="17.375" style="21" bestFit="1" customWidth="1"/>
    <col min="11" max="11" width="14.125" style="21" bestFit="1" customWidth="1"/>
    <col min="12" max="12" width="16.25" style="21" bestFit="1" customWidth="1"/>
    <col min="13" max="13" width="7" style="21" bestFit="1" customWidth="1"/>
    <col min="14" max="14" width="9.875" style="21" bestFit="1" customWidth="1"/>
    <col min="15" max="15" width="8.625" style="27" bestFit="1" customWidth="1"/>
    <col min="16" max="16384" width="9" style="21"/>
  </cols>
  <sheetData>
    <row r="1" spans="1:21" x14ac:dyDescent="0.2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29</v>
      </c>
      <c r="J1" s="18" t="s">
        <v>37</v>
      </c>
      <c r="K1" s="18" t="s">
        <v>42</v>
      </c>
      <c r="L1" s="18" t="s">
        <v>41</v>
      </c>
      <c r="M1" s="19" t="s">
        <v>30</v>
      </c>
      <c r="N1" s="18" t="s">
        <v>45</v>
      </c>
      <c r="O1" s="20" t="s">
        <v>46</v>
      </c>
      <c r="P1" s="18" t="s">
        <v>47</v>
      </c>
      <c r="Q1" s="18" t="s">
        <v>48</v>
      </c>
      <c r="R1" s="18" t="s">
        <v>50</v>
      </c>
      <c r="S1" s="18" t="s">
        <v>51</v>
      </c>
      <c r="T1" s="18" t="s">
        <v>52</v>
      </c>
      <c r="U1" s="18" t="s">
        <v>53</v>
      </c>
    </row>
    <row r="2" spans="1:21" x14ac:dyDescent="0.2">
      <c r="A2" s="22">
        <v>2.1</v>
      </c>
      <c r="B2" s="23">
        <v>49.741999999999997</v>
      </c>
      <c r="C2" s="23">
        <v>40</v>
      </c>
      <c r="D2" s="23">
        <v>1.2435</v>
      </c>
      <c r="E2" s="23">
        <v>10</v>
      </c>
      <c r="F2" s="23">
        <v>1.96</v>
      </c>
      <c r="G2" s="23">
        <v>0.8</v>
      </c>
      <c r="H2" s="23" t="s">
        <v>28</v>
      </c>
      <c r="I2" s="23">
        <v>2052</v>
      </c>
      <c r="J2" s="23" t="s">
        <v>38</v>
      </c>
      <c r="K2" s="24">
        <v>2000000</v>
      </c>
      <c r="L2" s="23" t="s">
        <v>43</v>
      </c>
      <c r="M2" s="25">
        <v>240716</v>
      </c>
      <c r="O2" s="26">
        <f>500/Table1[[#This Row],[Concentration ng/uL]]</f>
        <v>10.051867637006957</v>
      </c>
      <c r="P2" s="27">
        <f>1000/Table1[[#This Row],[Concentration ng/uL]]</f>
        <v>20.103735274013914</v>
      </c>
      <c r="Q2" s="27">
        <f t="shared" ref="Q2:Q15" si="0">1*25</f>
        <v>25</v>
      </c>
      <c r="R2" s="21">
        <f t="shared" ref="R2:R15" si="1">250/1000</f>
        <v>0.25</v>
      </c>
      <c r="S2" s="21">
        <f t="shared" ref="S2:S15" si="2">1000/25</f>
        <v>40</v>
      </c>
      <c r="T2" s="21">
        <f>100/Table1[[#This Row],[Concentration ng/uL]]</f>
        <v>2.0103735274013914</v>
      </c>
      <c r="U2" s="28">
        <f>20-6.4-Table1[[#This Row],[Column7]]</f>
        <v>11.589626472598608</v>
      </c>
    </row>
    <row r="3" spans="1:21" x14ac:dyDescent="0.2">
      <c r="A3" s="22">
        <v>2.2000000000000002</v>
      </c>
      <c r="B3" s="23">
        <v>194.13300000000001</v>
      </c>
      <c r="C3" s="23">
        <v>40</v>
      </c>
      <c r="D3" s="23">
        <v>4.8532999999999999</v>
      </c>
      <c r="E3" s="23">
        <v>10</v>
      </c>
      <c r="F3" s="23">
        <v>2.0699999999999998</v>
      </c>
      <c r="G3" s="23">
        <v>2.04</v>
      </c>
      <c r="H3" s="23" t="s">
        <v>28</v>
      </c>
      <c r="I3" s="23">
        <v>2052</v>
      </c>
      <c r="J3" s="23" t="s">
        <v>38</v>
      </c>
      <c r="K3" s="24">
        <v>10000000</v>
      </c>
      <c r="L3" s="23" t="s">
        <v>43</v>
      </c>
      <c r="M3" s="25">
        <v>240716</v>
      </c>
      <c r="O3" s="26">
        <f>500/Table1[[#This Row],[Concentration ng/uL]]</f>
        <v>2.5755538728603584</v>
      </c>
      <c r="P3" s="27">
        <f>1000/Table1[[#This Row],[Concentration ng/uL]]</f>
        <v>5.1511077457207168</v>
      </c>
      <c r="Q3" s="27">
        <f t="shared" si="0"/>
        <v>25</v>
      </c>
      <c r="R3" s="21">
        <f t="shared" si="1"/>
        <v>0.25</v>
      </c>
      <c r="S3" s="21">
        <f t="shared" si="2"/>
        <v>40</v>
      </c>
      <c r="T3" s="21">
        <f>100/Table1[[#This Row],[Concentration ng/uL]]</f>
        <v>0.51511077457207166</v>
      </c>
      <c r="U3" s="28">
        <f>20-6.4-Table1[[#This Row],[Column7]]</f>
        <v>13.084889225427927</v>
      </c>
    </row>
    <row r="4" spans="1:21" x14ac:dyDescent="0.2">
      <c r="A4" s="22">
        <v>5.0999999999999996</v>
      </c>
      <c r="B4" s="23">
        <v>47.085999999999999</v>
      </c>
      <c r="C4" s="23">
        <v>40</v>
      </c>
      <c r="D4" s="23">
        <v>1.1771</v>
      </c>
      <c r="E4" s="23">
        <v>10</v>
      </c>
      <c r="F4" s="23">
        <v>2.02</v>
      </c>
      <c r="G4" s="23">
        <v>1.58</v>
      </c>
      <c r="H4" s="23" t="s">
        <v>28</v>
      </c>
      <c r="I4" s="23">
        <v>2055</v>
      </c>
      <c r="J4" s="23" t="s">
        <v>38</v>
      </c>
      <c r="K4" s="24">
        <v>2000000</v>
      </c>
      <c r="L4" s="23" t="s">
        <v>43</v>
      </c>
      <c r="M4" s="25">
        <v>240716</v>
      </c>
      <c r="O4" s="26">
        <f>500/Table1[[#This Row],[Concentration ng/uL]]</f>
        <v>10.618867603958714</v>
      </c>
      <c r="P4" s="27">
        <f>1000/Table1[[#This Row],[Concentration ng/uL]]</f>
        <v>21.237735207917428</v>
      </c>
      <c r="Q4" s="27">
        <f t="shared" si="0"/>
        <v>25</v>
      </c>
      <c r="R4" s="21">
        <f t="shared" si="1"/>
        <v>0.25</v>
      </c>
      <c r="S4" s="21">
        <f t="shared" si="2"/>
        <v>40</v>
      </c>
      <c r="T4" s="21">
        <f>100/Table1[[#This Row],[Concentration ng/uL]]</f>
        <v>2.123773520791743</v>
      </c>
      <c r="U4" s="28">
        <f>20-6.4-Table1[[#This Row],[Column7]]</f>
        <v>11.476226479208258</v>
      </c>
    </row>
    <row r="5" spans="1:21" x14ac:dyDescent="0.2">
      <c r="A5" s="29">
        <v>5.2</v>
      </c>
      <c r="B5" s="30">
        <v>153.49199999999999</v>
      </c>
      <c r="C5" s="30">
        <v>40</v>
      </c>
      <c r="D5" s="30">
        <v>3.8372999999999999</v>
      </c>
      <c r="E5" s="30">
        <v>10</v>
      </c>
      <c r="F5" s="30">
        <v>2.04</v>
      </c>
      <c r="G5" s="30">
        <v>0.97</v>
      </c>
      <c r="H5" s="30" t="s">
        <v>28</v>
      </c>
      <c r="I5" s="30">
        <v>2055</v>
      </c>
      <c r="J5" s="23" t="s">
        <v>38</v>
      </c>
      <c r="K5" s="24">
        <v>10000000</v>
      </c>
      <c r="L5" s="23" t="s">
        <v>43</v>
      </c>
      <c r="M5" s="31">
        <v>240716</v>
      </c>
      <c r="O5" s="26">
        <f>500/Table1[[#This Row],[Concentration ng/uL]]</f>
        <v>3.2574987621504707</v>
      </c>
      <c r="P5" s="27">
        <f>1000/Table1[[#This Row],[Concentration ng/uL]]</f>
        <v>6.5149975243009415</v>
      </c>
      <c r="Q5" s="27">
        <f t="shared" si="0"/>
        <v>25</v>
      </c>
      <c r="R5" s="21">
        <f t="shared" si="1"/>
        <v>0.25</v>
      </c>
      <c r="S5" s="21">
        <f t="shared" si="2"/>
        <v>40</v>
      </c>
      <c r="T5" s="21">
        <f>100/Table1[[#This Row],[Concentration ng/uL]]</f>
        <v>0.65149975243009417</v>
      </c>
      <c r="U5" s="28">
        <f>20-6.4-Table1[[#This Row],[Column7]]</f>
        <v>12.948500247569905</v>
      </c>
    </row>
    <row r="6" spans="1:21" x14ac:dyDescent="0.2">
      <c r="A6" s="29" t="s">
        <v>31</v>
      </c>
      <c r="B6" s="30">
        <v>15.811</v>
      </c>
      <c r="C6" s="23">
        <v>40</v>
      </c>
      <c r="D6" s="23">
        <v>0.39529999999999998</v>
      </c>
      <c r="E6" s="23">
        <v>10</v>
      </c>
      <c r="F6" s="30">
        <v>1.8</v>
      </c>
      <c r="G6" s="30">
        <v>0.78</v>
      </c>
      <c r="H6" s="23" t="s">
        <v>28</v>
      </c>
      <c r="I6" s="30">
        <v>2130</v>
      </c>
      <c r="J6" s="30" t="s">
        <v>39</v>
      </c>
      <c r="K6" s="32">
        <v>1600000</v>
      </c>
      <c r="L6" s="30" t="s">
        <v>44</v>
      </c>
      <c r="M6" s="31">
        <v>240715</v>
      </c>
      <c r="O6" s="26">
        <f>500/Table1[[#This Row],[Concentration ng/uL]]</f>
        <v>31.623553222440073</v>
      </c>
      <c r="P6" s="27">
        <f>1000/Table1[[#This Row],[Concentration ng/uL]]</f>
        <v>63.247106444880146</v>
      </c>
      <c r="Q6" s="27">
        <f t="shared" si="0"/>
        <v>25</v>
      </c>
      <c r="R6" s="21">
        <f t="shared" si="1"/>
        <v>0.25</v>
      </c>
      <c r="S6" s="21">
        <f t="shared" si="2"/>
        <v>40</v>
      </c>
      <c r="T6" s="21">
        <f>100/Table1[[#This Row],[Concentration ng/uL]]</f>
        <v>6.3247106444880146</v>
      </c>
      <c r="U6" s="28">
        <f>20-6.4-Table1[[#This Row],[Column7]]</f>
        <v>7.2752893555119851</v>
      </c>
    </row>
    <row r="7" spans="1:21" x14ac:dyDescent="0.2">
      <c r="A7" s="29" t="s">
        <v>32</v>
      </c>
      <c r="B7" s="30">
        <v>18.515999999999998</v>
      </c>
      <c r="C7" s="23">
        <v>40</v>
      </c>
      <c r="D7" s="23">
        <v>0.46289999999999998</v>
      </c>
      <c r="E7" s="23">
        <v>10</v>
      </c>
      <c r="F7" s="30">
        <v>1.57</v>
      </c>
      <c r="G7" s="30">
        <v>0.62</v>
      </c>
      <c r="H7" s="23" t="s">
        <v>28</v>
      </c>
      <c r="I7" s="30">
        <v>2130</v>
      </c>
      <c r="J7" s="30" t="s">
        <v>40</v>
      </c>
      <c r="K7" s="32">
        <v>4100000</v>
      </c>
      <c r="L7" s="30" t="s">
        <v>44</v>
      </c>
      <c r="M7" s="31">
        <v>240715</v>
      </c>
      <c r="O7" s="26">
        <f>500/Table1[[#This Row],[Concentration ng/uL]]</f>
        <v>27.003672499459928</v>
      </c>
      <c r="P7" s="27">
        <f>1000/Table1[[#This Row],[Concentration ng/uL]]</f>
        <v>54.007344998919855</v>
      </c>
      <c r="Q7" s="27">
        <f t="shared" si="0"/>
        <v>25</v>
      </c>
      <c r="R7" s="21">
        <f t="shared" si="1"/>
        <v>0.25</v>
      </c>
      <c r="S7" s="21">
        <f t="shared" si="2"/>
        <v>40</v>
      </c>
      <c r="T7" s="21">
        <f>100/Table1[[#This Row],[Concentration ng/uL]]</f>
        <v>5.4007344998919855</v>
      </c>
      <c r="U7" s="28">
        <f>20-6.4-Table1[[#This Row],[Column7]]</f>
        <v>8.1992655001080141</v>
      </c>
    </row>
    <row r="8" spans="1:21" x14ac:dyDescent="0.2">
      <c r="A8" s="29" t="s">
        <v>33</v>
      </c>
      <c r="B8" s="30">
        <v>29.824000000000002</v>
      </c>
      <c r="C8" s="23">
        <v>40</v>
      </c>
      <c r="D8" s="23">
        <v>0.74560000000000004</v>
      </c>
      <c r="E8" s="23">
        <v>10</v>
      </c>
      <c r="F8" s="30">
        <v>1.81</v>
      </c>
      <c r="G8" s="30">
        <v>0.78</v>
      </c>
      <c r="H8" s="23" t="s">
        <v>28</v>
      </c>
      <c r="I8" s="23">
        <v>2052</v>
      </c>
      <c r="J8" s="23" t="s">
        <v>38</v>
      </c>
      <c r="K8" s="24">
        <v>2000000</v>
      </c>
      <c r="L8" s="30" t="s">
        <v>44</v>
      </c>
      <c r="M8" s="25">
        <v>240716</v>
      </c>
      <c r="O8" s="26">
        <f>500/Table1[[#This Row],[Concentration ng/uL]]</f>
        <v>16.765021459227466</v>
      </c>
      <c r="P8" s="27">
        <f>1000/Table1[[#This Row],[Concentration ng/uL]]</f>
        <v>33.530042918454932</v>
      </c>
      <c r="Q8" s="27">
        <f t="shared" si="0"/>
        <v>25</v>
      </c>
      <c r="R8" s="21">
        <f t="shared" si="1"/>
        <v>0.25</v>
      </c>
      <c r="S8" s="21">
        <f t="shared" si="2"/>
        <v>40</v>
      </c>
      <c r="T8" s="21">
        <f>100/Table1[[#This Row],[Concentration ng/uL]]</f>
        <v>3.3530042918454934</v>
      </c>
      <c r="U8" s="28">
        <f>20-6.4-Table1[[#This Row],[Column7]]</f>
        <v>10.246995708154506</v>
      </c>
    </row>
    <row r="9" spans="1:21" x14ac:dyDescent="0.2">
      <c r="A9" s="29" t="s">
        <v>34</v>
      </c>
      <c r="B9" s="30">
        <v>113.279</v>
      </c>
      <c r="C9" s="30">
        <v>40</v>
      </c>
      <c r="D9" s="23">
        <v>2.8319999999999999</v>
      </c>
      <c r="E9" s="30">
        <v>10</v>
      </c>
      <c r="F9" s="30">
        <v>2.0499999999999998</v>
      </c>
      <c r="G9" s="30">
        <v>1.78</v>
      </c>
      <c r="H9" s="30" t="s">
        <v>28</v>
      </c>
      <c r="I9" s="23">
        <v>2052</v>
      </c>
      <c r="J9" s="23" t="s">
        <v>38</v>
      </c>
      <c r="K9" s="24">
        <v>10000000</v>
      </c>
      <c r="L9" s="30" t="s">
        <v>44</v>
      </c>
      <c r="M9" s="25">
        <v>240716</v>
      </c>
      <c r="O9" s="26">
        <f>500/Table1[[#This Row],[Concentration ng/uL]]</f>
        <v>4.4138807722525799</v>
      </c>
      <c r="P9" s="27">
        <f>1000/Table1[[#This Row],[Concentration ng/uL]]</f>
        <v>8.8277615445051598</v>
      </c>
      <c r="Q9" s="27">
        <f t="shared" si="0"/>
        <v>25</v>
      </c>
      <c r="R9" s="21">
        <f t="shared" si="1"/>
        <v>0.25</v>
      </c>
      <c r="S9" s="21">
        <f t="shared" si="2"/>
        <v>40</v>
      </c>
      <c r="T9" s="21">
        <f>100/Table1[[#This Row],[Concentration ng/uL]]</f>
        <v>0.88277615445051605</v>
      </c>
      <c r="U9" s="28">
        <f>20-6.4-Table1[[#This Row],[Column7]]</f>
        <v>12.717223845549483</v>
      </c>
    </row>
    <row r="10" spans="1:21" x14ac:dyDescent="0.2">
      <c r="A10" s="29" t="s">
        <v>35</v>
      </c>
      <c r="B10" s="30">
        <v>22.998000000000001</v>
      </c>
      <c r="C10" s="23">
        <v>40</v>
      </c>
      <c r="D10" s="30">
        <v>0.57499999999999996</v>
      </c>
      <c r="E10" s="23">
        <v>10</v>
      </c>
      <c r="F10" s="30">
        <v>1.79</v>
      </c>
      <c r="G10" s="30">
        <v>1.64</v>
      </c>
      <c r="H10" s="23" t="s">
        <v>28</v>
      </c>
      <c r="I10" s="23">
        <v>2055</v>
      </c>
      <c r="J10" s="23" t="s">
        <v>38</v>
      </c>
      <c r="K10" s="24">
        <v>2000000</v>
      </c>
      <c r="L10" s="30" t="s">
        <v>44</v>
      </c>
      <c r="M10" s="25">
        <v>240716</v>
      </c>
      <c r="O10" s="26">
        <f>500/Table1[[#This Row],[Concentration ng/uL]]</f>
        <v>21.741020958344201</v>
      </c>
      <c r="P10" s="27">
        <f>1000/Table1[[#This Row],[Concentration ng/uL]]</f>
        <v>43.482041916688402</v>
      </c>
      <c r="Q10" s="27">
        <f t="shared" si="0"/>
        <v>25</v>
      </c>
      <c r="R10" s="21">
        <f t="shared" si="1"/>
        <v>0.25</v>
      </c>
      <c r="S10" s="21">
        <f t="shared" si="2"/>
        <v>40</v>
      </c>
      <c r="T10" s="21">
        <f>100/Table1[[#This Row],[Concentration ng/uL]]</f>
        <v>4.3482041916688408</v>
      </c>
      <c r="U10" s="28">
        <f>20-6.4-Table1[[#This Row],[Column7]]</f>
        <v>9.2517958083311598</v>
      </c>
    </row>
    <row r="11" spans="1:21" x14ac:dyDescent="0.2">
      <c r="A11" s="29" t="s">
        <v>36</v>
      </c>
      <c r="B11" s="30">
        <v>89.747</v>
      </c>
      <c r="C11" s="23">
        <v>40</v>
      </c>
      <c r="D11" s="30">
        <v>2.2437</v>
      </c>
      <c r="E11" s="23">
        <v>10</v>
      </c>
      <c r="F11" s="30">
        <v>1.99</v>
      </c>
      <c r="G11" s="30">
        <v>2.02</v>
      </c>
      <c r="H11" s="23" t="s">
        <v>28</v>
      </c>
      <c r="I11" s="30">
        <v>2055</v>
      </c>
      <c r="J11" s="23" t="s">
        <v>38</v>
      </c>
      <c r="K11" s="24">
        <v>10000000</v>
      </c>
      <c r="L11" s="30" t="s">
        <v>44</v>
      </c>
      <c r="M11" s="31">
        <v>240716</v>
      </c>
      <c r="O11" s="26">
        <f>500/Table1[[#This Row],[Concentration ng/uL]]</f>
        <v>5.5712168651876945</v>
      </c>
      <c r="P11" s="27">
        <f>1000/Table1[[#This Row],[Concentration ng/uL]]</f>
        <v>11.142433730375389</v>
      </c>
      <c r="Q11" s="27">
        <f t="shared" si="0"/>
        <v>25</v>
      </c>
      <c r="R11" s="21">
        <f t="shared" si="1"/>
        <v>0.25</v>
      </c>
      <c r="S11" s="21">
        <f t="shared" si="2"/>
        <v>40</v>
      </c>
      <c r="T11" s="21">
        <f>100/Table1[[#This Row],[Concentration ng/uL]]</f>
        <v>1.114243373037539</v>
      </c>
      <c r="U11" s="28">
        <f>20-6.4-Table1[[#This Row],[Column7]]</f>
        <v>12.485756626962461</v>
      </c>
    </row>
    <row r="12" spans="1:21" x14ac:dyDescent="0.2">
      <c r="A12" s="29"/>
      <c r="B12" s="30">
        <v>83.537999999999997</v>
      </c>
      <c r="C12" s="23">
        <v>40</v>
      </c>
      <c r="D12" s="30">
        <v>2.1013000000000002</v>
      </c>
      <c r="E12" s="23">
        <v>10</v>
      </c>
      <c r="F12" s="30">
        <v>1.7470000000000001</v>
      </c>
      <c r="G12" s="30">
        <v>2.052</v>
      </c>
      <c r="H12" s="23" t="s">
        <v>28</v>
      </c>
      <c r="I12" s="30">
        <v>2052</v>
      </c>
      <c r="J12" s="30" t="s">
        <v>49</v>
      </c>
      <c r="K12" s="24">
        <v>7500000</v>
      </c>
      <c r="L12" s="23" t="s">
        <v>43</v>
      </c>
      <c r="M12" s="31">
        <v>240730</v>
      </c>
      <c r="N12" s="33"/>
      <c r="O12" s="34">
        <f>500/Table1[[#This Row],[Concentration ng/uL]]</f>
        <v>5.9853001029471624</v>
      </c>
      <c r="P12" s="27">
        <f>1000/Table1[[#This Row],[Concentration ng/uL]]</f>
        <v>11.970600205894325</v>
      </c>
      <c r="Q12" s="27">
        <f t="shared" si="0"/>
        <v>25</v>
      </c>
      <c r="R12" s="21">
        <f t="shared" si="1"/>
        <v>0.25</v>
      </c>
      <c r="S12" s="21">
        <f t="shared" si="2"/>
        <v>40</v>
      </c>
      <c r="T12" s="21">
        <f>100/Table1[[#This Row],[Concentration ng/uL]]</f>
        <v>1.1970600205894324</v>
      </c>
      <c r="U12" s="28">
        <f>20-6.4-Table1[[#This Row],[Column7]]</f>
        <v>12.402939979410567</v>
      </c>
    </row>
    <row r="13" spans="1:21" x14ac:dyDescent="0.2">
      <c r="A13" s="22"/>
      <c r="B13" s="23">
        <v>94.313999999999993</v>
      </c>
      <c r="C13" s="23">
        <v>40</v>
      </c>
      <c r="D13" s="23">
        <v>2.3578000000000001</v>
      </c>
      <c r="E13" s="23">
        <v>10</v>
      </c>
      <c r="F13" s="23">
        <v>2.0499999999999998</v>
      </c>
      <c r="G13" s="23">
        <v>1.99</v>
      </c>
      <c r="H13" s="23" t="s">
        <v>28</v>
      </c>
      <c r="I13" s="23">
        <v>2055</v>
      </c>
      <c r="J13" s="30" t="s">
        <v>49</v>
      </c>
      <c r="K13" s="24">
        <v>7500000</v>
      </c>
      <c r="L13" s="23" t="s">
        <v>43</v>
      </c>
      <c r="M13" s="25">
        <v>240730</v>
      </c>
      <c r="O13" s="26">
        <f>500/Table1[[#This Row],[Concentration ng/uL]]</f>
        <v>5.3014398710689825</v>
      </c>
      <c r="P13" s="27">
        <f>1000/Table1[[#This Row],[Concentration ng/uL]]</f>
        <v>10.602879742137965</v>
      </c>
      <c r="Q13" s="27">
        <f t="shared" si="0"/>
        <v>25</v>
      </c>
      <c r="R13" s="21">
        <f t="shared" si="1"/>
        <v>0.25</v>
      </c>
      <c r="S13" s="21">
        <f t="shared" si="2"/>
        <v>40</v>
      </c>
      <c r="T13" s="21">
        <f>100/Table1[[#This Row],[Concentration ng/uL]]</f>
        <v>1.0602879742137965</v>
      </c>
      <c r="U13" s="28">
        <f>20-6.4-Table1[[#This Row],[Column7]]</f>
        <v>12.539712025786203</v>
      </c>
    </row>
    <row r="14" spans="1:21" x14ac:dyDescent="0.2">
      <c r="A14" s="22"/>
      <c r="B14" s="23">
        <v>114.00700000000001</v>
      </c>
      <c r="C14" s="23">
        <v>40</v>
      </c>
      <c r="D14" s="23">
        <v>2.2896000000000001</v>
      </c>
      <c r="E14" s="23">
        <v>10</v>
      </c>
      <c r="F14" s="23">
        <v>2.0099999999999998</v>
      </c>
      <c r="G14" s="23">
        <v>2.27</v>
      </c>
      <c r="H14" s="23" t="s">
        <v>28</v>
      </c>
      <c r="I14" s="30">
        <v>2052</v>
      </c>
      <c r="J14" s="30" t="s">
        <v>49</v>
      </c>
      <c r="K14" s="24">
        <v>7500000</v>
      </c>
      <c r="L14" s="30" t="s">
        <v>44</v>
      </c>
      <c r="M14" s="25">
        <v>240731</v>
      </c>
      <c r="O14" s="26">
        <f>500/Table1[[#This Row],[Concentration ng/uL]]</f>
        <v>4.3856956151815236</v>
      </c>
      <c r="P14" s="27">
        <f>1000/Table1[[#This Row],[Concentration ng/uL]]</f>
        <v>8.7713912303630472</v>
      </c>
      <c r="Q14" s="27">
        <f t="shared" si="0"/>
        <v>25</v>
      </c>
      <c r="R14" s="21">
        <f t="shared" si="1"/>
        <v>0.25</v>
      </c>
      <c r="S14" s="21">
        <f t="shared" si="2"/>
        <v>40</v>
      </c>
      <c r="T14" s="21">
        <f>100/Table1[[#This Row],[Concentration ng/uL]]</f>
        <v>0.8771391230363047</v>
      </c>
      <c r="U14" s="28">
        <f>20-6.4-Table1[[#This Row],[Column7]]</f>
        <v>12.722860876963695</v>
      </c>
    </row>
    <row r="15" spans="1:21" x14ac:dyDescent="0.2">
      <c r="A15" s="22"/>
      <c r="B15" s="23">
        <v>90.078400000000002</v>
      </c>
      <c r="C15" s="23">
        <v>40</v>
      </c>
      <c r="D15" s="23">
        <v>2.8502000000000001</v>
      </c>
      <c r="E15" s="23">
        <v>10</v>
      </c>
      <c r="F15" s="23">
        <v>2.06</v>
      </c>
      <c r="G15" s="23">
        <v>2.0499999999999998</v>
      </c>
      <c r="H15" s="23" t="s">
        <v>28</v>
      </c>
      <c r="I15" s="23">
        <v>2055</v>
      </c>
      <c r="J15" s="30" t="s">
        <v>49</v>
      </c>
      <c r="K15" s="24">
        <v>7500000</v>
      </c>
      <c r="L15" s="30" t="s">
        <v>44</v>
      </c>
      <c r="M15" s="25">
        <v>240731</v>
      </c>
      <c r="O15" s="26">
        <f>500/Table1[[#This Row],[Concentration ng/uL]]</f>
        <v>5.5507202614611275</v>
      </c>
      <c r="P15" s="27">
        <f>1000/Table1[[#This Row],[Concentration ng/uL]]</f>
        <v>11.101440522922255</v>
      </c>
      <c r="Q15" s="27">
        <f t="shared" si="0"/>
        <v>25</v>
      </c>
      <c r="R15" s="21">
        <f t="shared" si="1"/>
        <v>0.25</v>
      </c>
      <c r="S15" s="21">
        <f t="shared" si="2"/>
        <v>40</v>
      </c>
      <c r="T15" s="21">
        <f>100/Table1[[#This Row],[Concentration ng/uL]]</f>
        <v>1.1101440522922255</v>
      </c>
      <c r="U15" s="28">
        <f>20-6.4-Table1[[#This Row],[Column7]]</f>
        <v>12.489855947707774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77E1-E3B9-407F-91E5-554E7CD1357E}">
  <dimension ref="A1:V31"/>
  <sheetViews>
    <sheetView workbookViewId="0">
      <selection activeCell="A18" sqref="A18:XFD31"/>
    </sheetView>
  </sheetViews>
  <sheetFormatPr defaultRowHeight="12.75" x14ac:dyDescent="0.2"/>
  <cols>
    <col min="1" max="1" width="14.25" style="21" customWidth="1"/>
    <col min="2" max="2" width="19.25" style="21" bestFit="1" customWidth="1"/>
    <col min="3" max="3" width="7.875" style="21" bestFit="1" customWidth="1"/>
    <col min="4" max="4" width="6.625" style="21" bestFit="1" customWidth="1"/>
    <col min="5" max="5" width="5.875" style="21" bestFit="1" customWidth="1"/>
    <col min="6" max="7" width="8.625" style="21" bestFit="1" customWidth="1"/>
    <col min="8" max="8" width="6.75" style="21" bestFit="1" customWidth="1"/>
    <col min="9" max="9" width="8.5" style="21" bestFit="1" customWidth="1"/>
    <col min="10" max="10" width="15.25" style="21" bestFit="1" customWidth="1"/>
    <col min="11" max="11" width="13" style="21" bestFit="1" customWidth="1"/>
    <col min="12" max="12" width="14.125" style="21" bestFit="1" customWidth="1"/>
    <col min="13" max="13" width="6.5" style="21" bestFit="1" customWidth="1"/>
    <col min="14" max="14" width="9.125" style="21" bestFit="1" customWidth="1"/>
    <col min="15" max="15" width="8.625" style="27" bestFit="1" customWidth="1"/>
    <col min="16" max="19" width="9" style="21"/>
    <col min="20" max="21" width="9" style="27"/>
    <col min="22" max="16384" width="9" style="21"/>
  </cols>
  <sheetData>
    <row r="1" spans="1:22" x14ac:dyDescent="0.2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29</v>
      </c>
      <c r="J1" s="18" t="s">
        <v>37</v>
      </c>
      <c r="K1" s="18" t="s">
        <v>42</v>
      </c>
      <c r="L1" s="18" t="s">
        <v>41</v>
      </c>
      <c r="M1" s="19" t="s">
        <v>30</v>
      </c>
      <c r="N1" s="18" t="s">
        <v>45</v>
      </c>
      <c r="O1" s="20" t="s">
        <v>46</v>
      </c>
      <c r="P1" s="18" t="s">
        <v>47</v>
      </c>
      <c r="Q1" s="18" t="s">
        <v>48</v>
      </c>
      <c r="R1" s="18" t="s">
        <v>50</v>
      </c>
      <c r="S1" s="18" t="s">
        <v>51</v>
      </c>
      <c r="T1" s="20" t="s">
        <v>52</v>
      </c>
      <c r="U1" s="20" t="s">
        <v>53</v>
      </c>
      <c r="V1" s="18" t="s">
        <v>69</v>
      </c>
    </row>
    <row r="2" spans="1:22" x14ac:dyDescent="0.2">
      <c r="A2" s="35">
        <v>2.1</v>
      </c>
      <c r="B2" s="23">
        <v>49.741999999999997</v>
      </c>
      <c r="C2" s="23">
        <v>40</v>
      </c>
      <c r="D2" s="23">
        <v>1.2435</v>
      </c>
      <c r="E2" s="23">
        <v>10</v>
      </c>
      <c r="F2" s="23">
        <v>1.96</v>
      </c>
      <c r="G2" s="23">
        <v>0.8</v>
      </c>
      <c r="H2" s="23" t="s">
        <v>28</v>
      </c>
      <c r="I2" s="23">
        <v>2052</v>
      </c>
      <c r="J2" s="23" t="s">
        <v>38</v>
      </c>
      <c r="K2" s="24">
        <v>2000000</v>
      </c>
      <c r="L2" s="23" t="s">
        <v>43</v>
      </c>
      <c r="M2" s="23">
        <v>240716</v>
      </c>
      <c r="N2" s="23" t="s">
        <v>60</v>
      </c>
      <c r="O2" s="37">
        <f>2000/Table13[[#This Row],[Concentration ng/uL]]</f>
        <v>40.207470548027828</v>
      </c>
      <c r="P2" s="38">
        <f>1000/Table13[[#This Row],[Concentration ng/uL]]</f>
        <v>20.103735274013914</v>
      </c>
      <c r="Q2" s="38">
        <f t="shared" ref="Q2:Q21" si="0">1000/25</f>
        <v>40</v>
      </c>
      <c r="R2" s="23">
        <f>100/Table13[[#This Row],[Column4]]</f>
        <v>2.5</v>
      </c>
      <c r="S2" s="23">
        <f t="shared" ref="S2:S15" si="1">1000/25</f>
        <v>40</v>
      </c>
      <c r="T2" s="38">
        <f>100/Table13[[#This Row],[Concentration ng/uL]]</f>
        <v>2.0103735274013914</v>
      </c>
      <c r="U2" s="38">
        <f>20-6.4-Table13[[#This Row],[Column7]]</f>
        <v>11.589626472598608</v>
      </c>
      <c r="V2" s="38">
        <f t="shared" ref="V2:V21" si="2">20-6.4-2.5</f>
        <v>11.1</v>
      </c>
    </row>
    <row r="3" spans="1:22" x14ac:dyDescent="0.2">
      <c r="A3" s="35">
        <v>2.2000000000000002</v>
      </c>
      <c r="B3" s="23">
        <v>194.13300000000001</v>
      </c>
      <c r="C3" s="23">
        <v>40</v>
      </c>
      <c r="D3" s="23">
        <v>4.8532999999999999</v>
      </c>
      <c r="E3" s="23">
        <v>10</v>
      </c>
      <c r="F3" s="23">
        <v>2.0699999999999998</v>
      </c>
      <c r="G3" s="23">
        <v>2.04</v>
      </c>
      <c r="H3" s="23" t="s">
        <v>28</v>
      </c>
      <c r="I3" s="23">
        <v>2052</v>
      </c>
      <c r="J3" s="23" t="s">
        <v>38</v>
      </c>
      <c r="K3" s="24">
        <v>10000000</v>
      </c>
      <c r="L3" s="23" t="s">
        <v>43</v>
      </c>
      <c r="M3" s="23">
        <v>240716</v>
      </c>
      <c r="N3" s="23" t="s">
        <v>60</v>
      </c>
      <c r="O3" s="37">
        <f>2000/Table13[[#This Row],[Concentration ng/uL]]</f>
        <v>10.302215491441434</v>
      </c>
      <c r="P3" s="38">
        <f>1000/Table13[[#This Row],[Concentration ng/uL]]</f>
        <v>5.1511077457207168</v>
      </c>
      <c r="Q3" s="38">
        <f t="shared" si="0"/>
        <v>40</v>
      </c>
      <c r="R3" s="23">
        <f>100/Table13[[#This Row],[Column4]]</f>
        <v>2.5</v>
      </c>
      <c r="S3" s="23">
        <f t="shared" si="1"/>
        <v>40</v>
      </c>
      <c r="T3" s="38">
        <f>100/Table13[[#This Row],[Concentration ng/uL]]</f>
        <v>0.51511077457207166</v>
      </c>
      <c r="U3" s="38">
        <f>20-6.4-Table13[[#This Row],[Column7]]</f>
        <v>13.084889225427927</v>
      </c>
      <c r="V3" s="38">
        <f t="shared" si="2"/>
        <v>11.1</v>
      </c>
    </row>
    <row r="4" spans="1:22" x14ac:dyDescent="0.2">
      <c r="A4" s="35">
        <v>5.0999999999999996</v>
      </c>
      <c r="B4" s="23">
        <v>47.085999999999999</v>
      </c>
      <c r="C4" s="23">
        <v>40</v>
      </c>
      <c r="D4" s="23">
        <v>1.1771</v>
      </c>
      <c r="E4" s="23">
        <v>10</v>
      </c>
      <c r="F4" s="23">
        <v>2.02</v>
      </c>
      <c r="G4" s="23">
        <v>1.58</v>
      </c>
      <c r="H4" s="23" t="s">
        <v>28</v>
      </c>
      <c r="I4" s="23">
        <v>2055</v>
      </c>
      <c r="J4" s="23" t="s">
        <v>38</v>
      </c>
      <c r="K4" s="24">
        <v>2000000</v>
      </c>
      <c r="L4" s="23" t="s">
        <v>43</v>
      </c>
      <c r="M4" s="23">
        <v>240716</v>
      </c>
      <c r="N4" s="23">
        <v>-80</v>
      </c>
      <c r="O4" s="37">
        <f>2000/Table13[[#This Row],[Concentration ng/uL]]</f>
        <v>42.475470415834856</v>
      </c>
      <c r="P4" s="38">
        <f>1000/Table13[[#This Row],[Concentration ng/uL]]</f>
        <v>21.237735207917428</v>
      </c>
      <c r="Q4" s="38">
        <f t="shared" si="0"/>
        <v>40</v>
      </c>
      <c r="R4" s="23">
        <f>100/Table13[[#This Row],[Column4]]</f>
        <v>2.5</v>
      </c>
      <c r="S4" s="23">
        <f t="shared" si="1"/>
        <v>40</v>
      </c>
      <c r="T4" s="38">
        <f>100/Table13[[#This Row],[Concentration ng/uL]]</f>
        <v>2.123773520791743</v>
      </c>
      <c r="U4" s="38">
        <f>20-6.4-Table13[[#This Row],[Column7]]</f>
        <v>11.476226479208258</v>
      </c>
      <c r="V4" s="38">
        <f t="shared" si="2"/>
        <v>11.1</v>
      </c>
    </row>
    <row r="5" spans="1:22" x14ac:dyDescent="0.2">
      <c r="A5" s="35">
        <v>5.2</v>
      </c>
      <c r="B5" s="23">
        <v>153.49199999999999</v>
      </c>
      <c r="C5" s="23">
        <v>40</v>
      </c>
      <c r="D5" s="23">
        <v>3.8372999999999999</v>
      </c>
      <c r="E5" s="23">
        <v>10</v>
      </c>
      <c r="F5" s="23">
        <v>2.04</v>
      </c>
      <c r="G5" s="23">
        <v>0.97</v>
      </c>
      <c r="H5" s="23" t="s">
        <v>28</v>
      </c>
      <c r="I5" s="23">
        <v>2055</v>
      </c>
      <c r="J5" s="23" t="s">
        <v>38</v>
      </c>
      <c r="K5" s="24">
        <v>10000000</v>
      </c>
      <c r="L5" s="23" t="s">
        <v>43</v>
      </c>
      <c r="M5" s="23">
        <v>240716</v>
      </c>
      <c r="N5" s="23">
        <v>-80</v>
      </c>
      <c r="O5" s="37">
        <f>2000/Table13[[#This Row],[Concentration ng/uL]]</f>
        <v>13.029995048601883</v>
      </c>
      <c r="P5" s="38">
        <f>1000/Table13[[#This Row],[Concentration ng/uL]]</f>
        <v>6.5149975243009415</v>
      </c>
      <c r="Q5" s="38">
        <f t="shared" si="0"/>
        <v>40</v>
      </c>
      <c r="R5" s="23">
        <f>100/Table13[[#This Row],[Column4]]</f>
        <v>2.5</v>
      </c>
      <c r="S5" s="23">
        <f t="shared" si="1"/>
        <v>40</v>
      </c>
      <c r="T5" s="38">
        <f>100/Table13[[#This Row],[Concentration ng/uL]]</f>
        <v>0.65149975243009417</v>
      </c>
      <c r="U5" s="38">
        <f>20-6.4-Table13[[#This Row],[Column7]]</f>
        <v>12.948500247569905</v>
      </c>
      <c r="V5" s="38">
        <f t="shared" si="2"/>
        <v>11.1</v>
      </c>
    </row>
    <row r="6" spans="1:22" x14ac:dyDescent="0.2">
      <c r="A6" s="35" t="s">
        <v>31</v>
      </c>
      <c r="B6" s="23">
        <v>15.811</v>
      </c>
      <c r="C6" s="23">
        <v>40</v>
      </c>
      <c r="D6" s="23">
        <v>0.39529999999999998</v>
      </c>
      <c r="E6" s="23">
        <v>10</v>
      </c>
      <c r="F6" s="23">
        <v>1.8</v>
      </c>
      <c r="G6" s="23">
        <v>0.78</v>
      </c>
      <c r="H6" s="23" t="s">
        <v>28</v>
      </c>
      <c r="I6" s="23">
        <v>2130</v>
      </c>
      <c r="J6" s="23" t="s">
        <v>39</v>
      </c>
      <c r="K6" s="24">
        <v>1600000</v>
      </c>
      <c r="L6" s="23" t="s">
        <v>44</v>
      </c>
      <c r="M6" s="23">
        <v>240715</v>
      </c>
      <c r="N6" s="23">
        <v>-80</v>
      </c>
      <c r="O6" s="37">
        <f>2000/Table13[[#This Row],[Concentration ng/uL]]</f>
        <v>126.49421288976029</v>
      </c>
      <c r="P6" s="38">
        <f>1000/Table13[[#This Row],[Concentration ng/uL]]</f>
        <v>63.247106444880146</v>
      </c>
      <c r="Q6" s="38">
        <f t="shared" si="0"/>
        <v>40</v>
      </c>
      <c r="R6" s="23">
        <f>100/Table13[[#This Row],[Column4]]</f>
        <v>2.5</v>
      </c>
      <c r="S6" s="23">
        <f t="shared" si="1"/>
        <v>40</v>
      </c>
      <c r="T6" s="38">
        <f>100/Table13[[#This Row],[Concentration ng/uL]]</f>
        <v>6.3247106444880146</v>
      </c>
      <c r="U6" s="38">
        <f>20-6.4-Table13[[#This Row],[Column7]]</f>
        <v>7.2752893555119851</v>
      </c>
      <c r="V6" s="38">
        <f t="shared" si="2"/>
        <v>11.1</v>
      </c>
    </row>
    <row r="7" spans="1:22" x14ac:dyDescent="0.2">
      <c r="A7" s="35" t="s">
        <v>32</v>
      </c>
      <c r="B7" s="23">
        <v>18.515999999999998</v>
      </c>
      <c r="C7" s="23">
        <v>40</v>
      </c>
      <c r="D7" s="23">
        <v>0.46289999999999998</v>
      </c>
      <c r="E7" s="23">
        <v>10</v>
      </c>
      <c r="F7" s="23">
        <v>1.57</v>
      </c>
      <c r="G7" s="23">
        <v>0.62</v>
      </c>
      <c r="H7" s="23" t="s">
        <v>28</v>
      </c>
      <c r="I7" s="23">
        <v>2130</v>
      </c>
      <c r="J7" s="23" t="s">
        <v>40</v>
      </c>
      <c r="K7" s="24">
        <v>4100000</v>
      </c>
      <c r="L7" s="23" t="s">
        <v>44</v>
      </c>
      <c r="M7" s="23">
        <v>240715</v>
      </c>
      <c r="N7" s="23" t="s">
        <v>60</v>
      </c>
      <c r="O7" s="37">
        <f>2000/Table13[[#This Row],[Concentration ng/uL]]</f>
        <v>108.01468999783971</v>
      </c>
      <c r="P7" s="38">
        <f>1000/Table13[[#This Row],[Concentration ng/uL]]</f>
        <v>54.007344998919855</v>
      </c>
      <c r="Q7" s="38">
        <f t="shared" si="0"/>
        <v>40</v>
      </c>
      <c r="R7" s="23">
        <f>100/Table13[[#This Row],[Column4]]</f>
        <v>2.5</v>
      </c>
      <c r="S7" s="23">
        <f t="shared" si="1"/>
        <v>40</v>
      </c>
      <c r="T7" s="38">
        <f>100/Table13[[#This Row],[Concentration ng/uL]]</f>
        <v>5.4007344998919855</v>
      </c>
      <c r="U7" s="38">
        <f>20-6.4-Table13[[#This Row],[Column7]]</f>
        <v>8.1992655001080141</v>
      </c>
      <c r="V7" s="38">
        <f t="shared" si="2"/>
        <v>11.1</v>
      </c>
    </row>
    <row r="8" spans="1:22" x14ac:dyDescent="0.2">
      <c r="A8" s="35" t="s">
        <v>33</v>
      </c>
      <c r="B8" s="23">
        <v>29.824000000000002</v>
      </c>
      <c r="C8" s="23">
        <v>40</v>
      </c>
      <c r="D8" s="23">
        <v>0.74560000000000004</v>
      </c>
      <c r="E8" s="23">
        <v>10</v>
      </c>
      <c r="F8" s="23">
        <v>1.81</v>
      </c>
      <c r="G8" s="23">
        <v>0.78</v>
      </c>
      <c r="H8" s="23" t="s">
        <v>28</v>
      </c>
      <c r="I8" s="23">
        <v>2052</v>
      </c>
      <c r="J8" s="23" t="s">
        <v>38</v>
      </c>
      <c r="K8" s="24">
        <v>2000000</v>
      </c>
      <c r="L8" s="23" t="s">
        <v>44</v>
      </c>
      <c r="M8" s="23">
        <v>240716</v>
      </c>
      <c r="N8" s="23" t="s">
        <v>60</v>
      </c>
      <c r="O8" s="37">
        <f>2000/Table13[[#This Row],[Concentration ng/uL]]</f>
        <v>67.060085836909863</v>
      </c>
      <c r="P8" s="38">
        <f>1000/Table13[[#This Row],[Concentration ng/uL]]</f>
        <v>33.530042918454932</v>
      </c>
      <c r="Q8" s="38">
        <f t="shared" si="0"/>
        <v>40</v>
      </c>
      <c r="R8" s="23">
        <f>100/Table13[[#This Row],[Column4]]</f>
        <v>2.5</v>
      </c>
      <c r="S8" s="23">
        <f t="shared" si="1"/>
        <v>40</v>
      </c>
      <c r="T8" s="38">
        <f>100/Table13[[#This Row],[Concentration ng/uL]]</f>
        <v>3.3530042918454934</v>
      </c>
      <c r="U8" s="38">
        <f>20-6.4-Table13[[#This Row],[Column7]]</f>
        <v>10.246995708154506</v>
      </c>
      <c r="V8" s="38">
        <f t="shared" si="2"/>
        <v>11.1</v>
      </c>
    </row>
    <row r="9" spans="1:22" x14ac:dyDescent="0.2">
      <c r="A9" s="35" t="s">
        <v>34</v>
      </c>
      <c r="B9" s="23">
        <v>113.279</v>
      </c>
      <c r="C9" s="23">
        <v>40</v>
      </c>
      <c r="D9" s="23">
        <v>2.8319999999999999</v>
      </c>
      <c r="E9" s="23">
        <v>10</v>
      </c>
      <c r="F9" s="23">
        <v>2.0499999999999998</v>
      </c>
      <c r="G9" s="23">
        <v>1.78</v>
      </c>
      <c r="H9" s="23" t="s">
        <v>28</v>
      </c>
      <c r="I9" s="23">
        <v>2052</v>
      </c>
      <c r="J9" s="23" t="s">
        <v>38</v>
      </c>
      <c r="K9" s="24">
        <v>10000000</v>
      </c>
      <c r="L9" s="23" t="s">
        <v>44</v>
      </c>
      <c r="M9" s="23">
        <v>240716</v>
      </c>
      <c r="N9" s="23" t="s">
        <v>60</v>
      </c>
      <c r="O9" s="37">
        <f>2000/Table13[[#This Row],[Concentration ng/uL]]</f>
        <v>17.65552308901032</v>
      </c>
      <c r="P9" s="38">
        <f>1000/Table13[[#This Row],[Concentration ng/uL]]</f>
        <v>8.8277615445051598</v>
      </c>
      <c r="Q9" s="38">
        <f t="shared" si="0"/>
        <v>40</v>
      </c>
      <c r="R9" s="23">
        <f>100/Table13[[#This Row],[Column4]]</f>
        <v>2.5</v>
      </c>
      <c r="S9" s="23">
        <f t="shared" si="1"/>
        <v>40</v>
      </c>
      <c r="T9" s="38">
        <f>100/Table13[[#This Row],[Concentration ng/uL]]</f>
        <v>0.88277615445051605</v>
      </c>
      <c r="U9" s="38">
        <f>20-6.4-Table13[[#This Row],[Column7]]</f>
        <v>12.717223845549483</v>
      </c>
      <c r="V9" s="38">
        <f t="shared" si="2"/>
        <v>11.1</v>
      </c>
    </row>
    <row r="10" spans="1:22" x14ac:dyDescent="0.2">
      <c r="A10" s="35" t="s">
        <v>35</v>
      </c>
      <c r="B10" s="23">
        <v>22.998000000000001</v>
      </c>
      <c r="C10" s="23">
        <v>40</v>
      </c>
      <c r="D10" s="23">
        <v>0.57499999999999996</v>
      </c>
      <c r="E10" s="23">
        <v>10</v>
      </c>
      <c r="F10" s="23">
        <v>1.79</v>
      </c>
      <c r="G10" s="23">
        <v>1.64</v>
      </c>
      <c r="H10" s="23" t="s">
        <v>28</v>
      </c>
      <c r="I10" s="23">
        <v>2055</v>
      </c>
      <c r="J10" s="23" t="s">
        <v>38</v>
      </c>
      <c r="K10" s="24">
        <v>2000000</v>
      </c>
      <c r="L10" s="23" t="s">
        <v>44</v>
      </c>
      <c r="M10" s="23">
        <v>240716</v>
      </c>
      <c r="N10" s="23">
        <v>-80</v>
      </c>
      <c r="O10" s="37">
        <f>2000/Table13[[#This Row],[Concentration ng/uL]]</f>
        <v>86.964083833376804</v>
      </c>
      <c r="P10" s="38">
        <f>1000/Table13[[#This Row],[Concentration ng/uL]]</f>
        <v>43.482041916688402</v>
      </c>
      <c r="Q10" s="38">
        <f t="shared" si="0"/>
        <v>40</v>
      </c>
      <c r="R10" s="23">
        <f>100/Table13[[#This Row],[Column4]]</f>
        <v>2.5</v>
      </c>
      <c r="S10" s="23">
        <f t="shared" si="1"/>
        <v>40</v>
      </c>
      <c r="T10" s="38">
        <f>100/Table13[[#This Row],[Concentration ng/uL]]</f>
        <v>4.3482041916688408</v>
      </c>
      <c r="U10" s="38">
        <f>20-6.4-Table13[[#This Row],[Column7]]</f>
        <v>9.2517958083311598</v>
      </c>
      <c r="V10" s="38">
        <f t="shared" si="2"/>
        <v>11.1</v>
      </c>
    </row>
    <row r="11" spans="1:22" x14ac:dyDescent="0.2">
      <c r="A11" s="35" t="s">
        <v>36</v>
      </c>
      <c r="B11" s="23">
        <v>89.747</v>
      </c>
      <c r="C11" s="23">
        <v>40</v>
      </c>
      <c r="D11" s="23">
        <v>2.2437</v>
      </c>
      <c r="E11" s="23">
        <v>10</v>
      </c>
      <c r="F11" s="23">
        <v>1.99</v>
      </c>
      <c r="G11" s="23">
        <v>2.02</v>
      </c>
      <c r="H11" s="23" t="s">
        <v>28</v>
      </c>
      <c r="I11" s="23">
        <v>2055</v>
      </c>
      <c r="J11" s="23" t="s">
        <v>38</v>
      </c>
      <c r="K11" s="24">
        <v>10000000</v>
      </c>
      <c r="L11" s="23" t="s">
        <v>44</v>
      </c>
      <c r="M11" s="23">
        <v>240716</v>
      </c>
      <c r="N11" s="23" t="s">
        <v>60</v>
      </c>
      <c r="O11" s="37">
        <f>2000/Table13[[#This Row],[Concentration ng/uL]]</f>
        <v>22.284867460750778</v>
      </c>
      <c r="P11" s="38">
        <f>1000/Table13[[#This Row],[Concentration ng/uL]]</f>
        <v>11.142433730375389</v>
      </c>
      <c r="Q11" s="38">
        <f t="shared" si="0"/>
        <v>40</v>
      </c>
      <c r="R11" s="23">
        <f>100/Table13[[#This Row],[Column4]]</f>
        <v>2.5</v>
      </c>
      <c r="S11" s="23">
        <f t="shared" si="1"/>
        <v>40</v>
      </c>
      <c r="T11" s="38">
        <f>100/Table13[[#This Row],[Concentration ng/uL]]</f>
        <v>1.114243373037539</v>
      </c>
      <c r="U11" s="38">
        <f>20-6.4-Table13[[#This Row],[Column7]]</f>
        <v>12.485756626962461</v>
      </c>
      <c r="V11" s="38">
        <f t="shared" si="2"/>
        <v>11.1</v>
      </c>
    </row>
    <row r="12" spans="1:22" x14ac:dyDescent="0.2">
      <c r="A12" s="35" t="s">
        <v>54</v>
      </c>
      <c r="B12" s="23">
        <v>83.537999999999997</v>
      </c>
      <c r="C12" s="23">
        <v>40</v>
      </c>
      <c r="D12" s="23">
        <v>2.1013000000000002</v>
      </c>
      <c r="E12" s="23">
        <v>10</v>
      </c>
      <c r="F12" s="23">
        <v>1.7470000000000001</v>
      </c>
      <c r="G12" s="23">
        <v>2.052</v>
      </c>
      <c r="H12" s="23" t="s">
        <v>28</v>
      </c>
      <c r="I12" s="23">
        <v>2052</v>
      </c>
      <c r="J12" s="23" t="s">
        <v>49</v>
      </c>
      <c r="K12" s="24">
        <v>7500000</v>
      </c>
      <c r="L12" s="23" t="s">
        <v>43</v>
      </c>
      <c r="M12" s="23">
        <v>240730</v>
      </c>
      <c r="N12" s="23">
        <v>-80</v>
      </c>
      <c r="O12" s="37">
        <f>2000/Table13[[#This Row],[Concentration ng/uL]]</f>
        <v>23.94120041178865</v>
      </c>
      <c r="P12" s="38">
        <f>1000/Table13[[#This Row],[Concentration ng/uL]]</f>
        <v>11.970600205894325</v>
      </c>
      <c r="Q12" s="38">
        <f t="shared" si="0"/>
        <v>40</v>
      </c>
      <c r="R12" s="23">
        <f>100/Table13[[#This Row],[Column4]]</f>
        <v>2.5</v>
      </c>
      <c r="S12" s="23">
        <f t="shared" si="1"/>
        <v>40</v>
      </c>
      <c r="T12" s="38">
        <f>100/Table13[[#This Row],[Concentration ng/uL]]</f>
        <v>1.1970600205894324</v>
      </c>
      <c r="U12" s="38">
        <f>20-6.4-Table13[[#This Row],[Column7]]</f>
        <v>12.402939979410567</v>
      </c>
      <c r="V12" s="38">
        <f t="shared" si="2"/>
        <v>11.1</v>
      </c>
    </row>
    <row r="13" spans="1:22" s="16" customFormat="1" x14ac:dyDescent="0.2">
      <c r="A13" s="40" t="s">
        <v>55</v>
      </c>
      <c r="B13" s="14">
        <v>94.313999999999993</v>
      </c>
      <c r="C13" s="14">
        <v>40</v>
      </c>
      <c r="D13" s="14">
        <v>2.3578000000000001</v>
      </c>
      <c r="E13" s="14">
        <v>10</v>
      </c>
      <c r="F13" s="14">
        <v>2.0499999999999998</v>
      </c>
      <c r="G13" s="14">
        <v>1.99</v>
      </c>
      <c r="H13" s="14" t="s">
        <v>28</v>
      </c>
      <c r="I13" s="14">
        <v>2055</v>
      </c>
      <c r="J13" s="14" t="s">
        <v>49</v>
      </c>
      <c r="K13" s="15">
        <v>7500000</v>
      </c>
      <c r="L13" s="14" t="s">
        <v>43</v>
      </c>
      <c r="M13" s="14">
        <v>240730</v>
      </c>
      <c r="N13" s="14" t="s">
        <v>60</v>
      </c>
      <c r="O13" s="41">
        <f>2000/Table13[[#This Row],[Concentration ng/uL]]</f>
        <v>21.20575948427593</v>
      </c>
      <c r="P13" s="42">
        <f>1000/Table13[[#This Row],[Concentration ng/uL]]</f>
        <v>10.602879742137965</v>
      </c>
      <c r="Q13" s="42">
        <f t="shared" si="0"/>
        <v>40</v>
      </c>
      <c r="R13" s="14">
        <f>100/Table13[[#This Row],[Column4]]</f>
        <v>2.5</v>
      </c>
      <c r="S13" s="14">
        <f t="shared" si="1"/>
        <v>40</v>
      </c>
      <c r="T13" s="42">
        <f>100/Table13[[#This Row],[Concentration ng/uL]]</f>
        <v>1.0602879742137965</v>
      </c>
      <c r="U13" s="42">
        <f>20-6.4-Table13[[#This Row],[Column7]]</f>
        <v>12.539712025786203</v>
      </c>
      <c r="V13" s="38">
        <f t="shared" si="2"/>
        <v>11.1</v>
      </c>
    </row>
    <row r="14" spans="1:22" x14ac:dyDescent="0.2">
      <c r="A14" s="35" t="s">
        <v>56</v>
      </c>
      <c r="B14" s="23">
        <v>114.00700000000001</v>
      </c>
      <c r="C14" s="23">
        <v>40</v>
      </c>
      <c r="D14" s="23">
        <v>2.2896000000000001</v>
      </c>
      <c r="E14" s="23">
        <v>10</v>
      </c>
      <c r="F14" s="23">
        <v>2.0099999999999998</v>
      </c>
      <c r="G14" s="23">
        <v>2.27</v>
      </c>
      <c r="H14" s="23" t="s">
        <v>28</v>
      </c>
      <c r="I14" s="23">
        <v>2052</v>
      </c>
      <c r="J14" s="23" t="s">
        <v>49</v>
      </c>
      <c r="K14" s="24">
        <v>7500000</v>
      </c>
      <c r="L14" s="23" t="s">
        <v>44</v>
      </c>
      <c r="M14" s="23">
        <v>240731</v>
      </c>
      <c r="N14" s="23">
        <v>-80</v>
      </c>
      <c r="O14" s="37">
        <f>2000/Table13[[#This Row],[Concentration ng/uL]]</f>
        <v>17.542782460726094</v>
      </c>
      <c r="P14" s="38">
        <f>500/Table13[[#This Row],[Concentration ng/uL]]</f>
        <v>4.3856956151815236</v>
      </c>
      <c r="Q14" s="38">
        <f t="shared" si="0"/>
        <v>40</v>
      </c>
      <c r="R14" s="23">
        <f>100/Table13[[#This Row],[Column4]]</f>
        <v>2.5</v>
      </c>
      <c r="S14" s="23">
        <f t="shared" si="1"/>
        <v>40</v>
      </c>
      <c r="T14" s="38">
        <f>100/Table13[[#This Row],[Concentration ng/uL]]</f>
        <v>0.8771391230363047</v>
      </c>
      <c r="U14" s="38">
        <f>20-6.4-Table13[[#This Row],[Column7]]</f>
        <v>12.722860876963695</v>
      </c>
      <c r="V14" s="38">
        <f t="shared" si="2"/>
        <v>11.1</v>
      </c>
    </row>
    <row r="15" spans="1:22" x14ac:dyDescent="0.2">
      <c r="A15" s="35" t="s">
        <v>57</v>
      </c>
      <c r="B15" s="23">
        <v>90.078400000000002</v>
      </c>
      <c r="C15" s="23">
        <v>40</v>
      </c>
      <c r="D15" s="23">
        <v>2.8502000000000001</v>
      </c>
      <c r="E15" s="23">
        <v>10</v>
      </c>
      <c r="F15" s="23">
        <v>2.06</v>
      </c>
      <c r="G15" s="23">
        <v>2.0499999999999998</v>
      </c>
      <c r="H15" s="23" t="s">
        <v>28</v>
      </c>
      <c r="I15" s="23">
        <v>2055</v>
      </c>
      <c r="J15" s="23" t="s">
        <v>49</v>
      </c>
      <c r="K15" s="24">
        <v>7500000</v>
      </c>
      <c r="L15" s="23" t="s">
        <v>44</v>
      </c>
      <c r="M15" s="23">
        <v>240731</v>
      </c>
      <c r="N15" s="23">
        <v>-80</v>
      </c>
      <c r="O15" s="37">
        <f>2000/Table13[[#This Row],[Concentration ng/uL]]</f>
        <v>22.20288104584451</v>
      </c>
      <c r="P15" s="38">
        <f>1000/Table13[[#This Row],[Concentration ng/uL]]</f>
        <v>11.101440522922255</v>
      </c>
      <c r="Q15" s="38">
        <f t="shared" si="0"/>
        <v>40</v>
      </c>
      <c r="R15" s="23">
        <f>100/Table13[[#This Row],[Column4]]</f>
        <v>2.5</v>
      </c>
      <c r="S15" s="23">
        <f t="shared" si="1"/>
        <v>40</v>
      </c>
      <c r="T15" s="38">
        <f>100/Table13[[#This Row],[Concentration ng/uL]]</f>
        <v>1.1101440522922255</v>
      </c>
      <c r="U15" s="38">
        <f>20-6.4-Table13[[#This Row],[Column7]]</f>
        <v>12.489855947707774</v>
      </c>
      <c r="V15" s="38">
        <f t="shared" si="2"/>
        <v>11.1</v>
      </c>
    </row>
    <row r="16" spans="1:22" x14ac:dyDescent="0.2">
      <c r="A16" s="35" t="s">
        <v>58</v>
      </c>
      <c r="B16" s="23">
        <v>379.755</v>
      </c>
      <c r="C16" s="23">
        <v>40</v>
      </c>
      <c r="D16" s="23">
        <v>9.4939</v>
      </c>
      <c r="E16" s="23">
        <v>10</v>
      </c>
      <c r="F16" s="23">
        <v>1.78</v>
      </c>
      <c r="G16" s="23">
        <v>0.33</v>
      </c>
      <c r="H16" s="23" t="s">
        <v>28</v>
      </c>
      <c r="I16" s="23">
        <v>2052</v>
      </c>
      <c r="J16" s="23" t="s">
        <v>49</v>
      </c>
      <c r="K16" s="24">
        <v>7500000</v>
      </c>
      <c r="L16" s="23" t="s">
        <v>61</v>
      </c>
      <c r="M16" s="23">
        <v>240731</v>
      </c>
      <c r="N16" s="23">
        <v>-80</v>
      </c>
      <c r="O16" s="37">
        <f>2000/Table13[[#This Row],[Concentration ng/uL]]</f>
        <v>5.2665534357677979</v>
      </c>
      <c r="P16" s="38">
        <f>1000/Table13[[#This Row],[Concentration ng/uL]]</f>
        <v>2.6332767178838989</v>
      </c>
      <c r="Q16" s="38">
        <f t="shared" si="0"/>
        <v>40</v>
      </c>
      <c r="R16" s="39">
        <f>100/Table13[[#This Row],[Column4]]</f>
        <v>2.5</v>
      </c>
      <c r="S16" s="39">
        <f t="shared" ref="S16:S17" si="3">1000/25</f>
        <v>40</v>
      </c>
      <c r="T16" s="38">
        <f>100/Table13[[#This Row],[Concentration ng/uL]]</f>
        <v>0.26332767178838989</v>
      </c>
      <c r="U16" s="38">
        <f>20-6.4-Table13[[#This Row],[Column7]]</f>
        <v>13.336672328211609</v>
      </c>
      <c r="V16" s="38">
        <f t="shared" si="2"/>
        <v>11.1</v>
      </c>
    </row>
    <row r="17" spans="1:22" x14ac:dyDescent="0.2">
      <c r="A17" s="35" t="s">
        <v>59</v>
      </c>
      <c r="B17" s="23">
        <v>88.343000000000004</v>
      </c>
      <c r="C17" s="23">
        <v>40</v>
      </c>
      <c r="D17" s="23">
        <v>2.2086000000000001</v>
      </c>
      <c r="E17" s="23">
        <v>10</v>
      </c>
      <c r="F17" s="23">
        <v>1.58</v>
      </c>
      <c r="G17" s="23">
        <v>2.7E-2</v>
      </c>
      <c r="H17" s="23" t="s">
        <v>28</v>
      </c>
      <c r="I17" s="23">
        <v>2055</v>
      </c>
      <c r="J17" s="23" t="s">
        <v>49</v>
      </c>
      <c r="K17" s="24">
        <v>7500000</v>
      </c>
      <c r="L17" s="23" t="s">
        <v>61</v>
      </c>
      <c r="M17" s="23">
        <v>240731</v>
      </c>
      <c r="N17" s="23">
        <v>-80</v>
      </c>
      <c r="O17" s="37">
        <f>2000/Table13[[#This Row],[Concentration ng/uL]]</f>
        <v>22.639031954993605</v>
      </c>
      <c r="P17" s="38">
        <f>1000/Table13[[#This Row],[Concentration ng/uL]]</f>
        <v>11.319515977496803</v>
      </c>
      <c r="Q17" s="38">
        <f t="shared" si="0"/>
        <v>40</v>
      </c>
      <c r="R17" s="39">
        <f>100/Table13[[#This Row],[Column4]]</f>
        <v>2.5</v>
      </c>
      <c r="S17" s="39">
        <f t="shared" si="3"/>
        <v>40</v>
      </c>
      <c r="T17" s="38">
        <f>100/Table13[[#This Row],[Concentration ng/uL]]</f>
        <v>1.1319515977496801</v>
      </c>
      <c r="U17" s="38">
        <f>20-6.4-Table13[[#This Row],[Column7]]</f>
        <v>12.46804840225032</v>
      </c>
      <c r="V17" s="38">
        <f t="shared" si="2"/>
        <v>11.1</v>
      </c>
    </row>
    <row r="18" spans="1:22" x14ac:dyDescent="0.2">
      <c r="A18" s="35" t="s">
        <v>62</v>
      </c>
      <c r="B18" s="36">
        <v>103.416</v>
      </c>
      <c r="C18" s="23">
        <v>40</v>
      </c>
      <c r="D18" s="36">
        <v>2.5853999999999999</v>
      </c>
      <c r="E18" s="23">
        <v>10</v>
      </c>
      <c r="F18" s="36">
        <v>1.98</v>
      </c>
      <c r="G18" s="36">
        <v>0.64</v>
      </c>
      <c r="H18" s="23" t="s">
        <v>28</v>
      </c>
      <c r="I18" s="23">
        <v>2052</v>
      </c>
      <c r="J18" s="23" t="s">
        <v>49</v>
      </c>
      <c r="K18" s="24">
        <v>7500000</v>
      </c>
      <c r="L18" s="23" t="s">
        <v>43</v>
      </c>
      <c r="M18" s="23">
        <v>240812</v>
      </c>
      <c r="N18" s="23"/>
      <c r="O18" s="37">
        <f>2000/Table13[[#This Row],[Concentration ng/uL]]</f>
        <v>19.339367215904698</v>
      </c>
      <c r="P18" s="38">
        <f>14.5-2-Table13[[#This Row],[Vol_ml]]</f>
        <v>-6.8393672159046979</v>
      </c>
      <c r="Q18" s="38">
        <f>1000/25</f>
        <v>40</v>
      </c>
      <c r="R18" s="39">
        <f>100/Table13[[#This Row],[Column4]]</f>
        <v>2.5</v>
      </c>
      <c r="S18" s="39">
        <f>1000/25</f>
        <v>40</v>
      </c>
      <c r="T18" s="38">
        <f>100/Table13[[#This Row],[Concentration ng/uL]]</f>
        <v>0.96696836079523485</v>
      </c>
      <c r="U18" s="38">
        <f>20-6.4-Table13[[#This Row],[Column7]]</f>
        <v>12.633031639204765</v>
      </c>
      <c r="V18" s="38">
        <f t="shared" si="2"/>
        <v>11.1</v>
      </c>
    </row>
    <row r="19" spans="1:22" x14ac:dyDescent="0.2">
      <c r="A19" s="35" t="s">
        <v>63</v>
      </c>
      <c r="B19" s="36">
        <v>80.177999999999997</v>
      </c>
      <c r="C19" s="23">
        <v>40</v>
      </c>
      <c r="D19" s="36">
        <v>2.0045000000000002</v>
      </c>
      <c r="E19" s="23">
        <v>10</v>
      </c>
      <c r="F19" s="36">
        <v>1.89</v>
      </c>
      <c r="G19" s="36">
        <v>1.85</v>
      </c>
      <c r="H19" s="23" t="s">
        <v>28</v>
      </c>
      <c r="I19" s="23">
        <v>2052</v>
      </c>
      <c r="J19" s="23" t="s">
        <v>49</v>
      </c>
      <c r="K19" s="24">
        <v>7500000</v>
      </c>
      <c r="L19" s="23" t="s">
        <v>66</v>
      </c>
      <c r="M19" s="23">
        <v>240812</v>
      </c>
      <c r="N19" s="23"/>
      <c r="O19" s="37">
        <f>2000/Table13[[#This Row],[Concentration ng/uL]]</f>
        <v>24.944498490857843</v>
      </c>
      <c r="P19" s="38">
        <f>14.5-2-Table13[[#This Row],[Vol_ml]]</f>
        <v>-12.444498490857843</v>
      </c>
      <c r="Q19" s="38">
        <f t="shared" si="0"/>
        <v>40</v>
      </c>
      <c r="R19" s="39">
        <f>100/Table13[[#This Row],[Column4]]</f>
        <v>2.5</v>
      </c>
      <c r="S19" s="39">
        <f t="shared" ref="S19:S21" si="4">1000/25</f>
        <v>40</v>
      </c>
      <c r="T19" s="38">
        <f>100/Table13[[#This Row],[Concentration ng/uL]]</f>
        <v>1.2472249245428921</v>
      </c>
      <c r="U19" s="38">
        <f>20-6.4-Table13[[#This Row],[Column7]]</f>
        <v>12.352775075457107</v>
      </c>
      <c r="V19" s="38">
        <f t="shared" si="2"/>
        <v>11.1</v>
      </c>
    </row>
    <row r="20" spans="1:22" x14ac:dyDescent="0.2">
      <c r="A20" s="35" t="s">
        <v>64</v>
      </c>
      <c r="B20" s="36">
        <v>195.98500000000001</v>
      </c>
      <c r="C20" s="23">
        <v>40</v>
      </c>
      <c r="D20" s="36">
        <v>4.8996000000000004</v>
      </c>
      <c r="E20" s="23">
        <v>10</v>
      </c>
      <c r="F20" s="36">
        <v>1.96</v>
      </c>
      <c r="G20" s="36">
        <v>1.91</v>
      </c>
      <c r="H20" s="23" t="s">
        <v>28</v>
      </c>
      <c r="I20" s="23">
        <v>2052</v>
      </c>
      <c r="J20" s="23" t="s">
        <v>49</v>
      </c>
      <c r="K20" s="24">
        <v>7500000</v>
      </c>
      <c r="L20" s="23" t="s">
        <v>67</v>
      </c>
      <c r="M20" s="23">
        <v>240812</v>
      </c>
      <c r="N20" s="23"/>
      <c r="O20" s="37">
        <f>2000/Table13[[#This Row],[Concentration ng/uL]]</f>
        <v>10.204862617037017</v>
      </c>
      <c r="P20" s="38">
        <f>14.5-2-Table13[[#This Row],[Vol_ml]]</f>
        <v>2.2951373829629826</v>
      </c>
      <c r="Q20" s="38">
        <f t="shared" si="0"/>
        <v>40</v>
      </c>
      <c r="R20" s="39">
        <f>100/Table13[[#This Row],[Column4]]</f>
        <v>2.5</v>
      </c>
      <c r="S20" s="39">
        <f t="shared" si="4"/>
        <v>40</v>
      </c>
      <c r="T20" s="38">
        <f>100/Table13[[#This Row],[Concentration ng/uL]]</f>
        <v>0.51024313085185091</v>
      </c>
      <c r="U20" s="38">
        <f>20-6.4-Table13[[#This Row],[Column7]]</f>
        <v>13.089756869148149</v>
      </c>
      <c r="V20" s="38">
        <f t="shared" si="2"/>
        <v>11.1</v>
      </c>
    </row>
    <row r="21" spans="1:22" x14ac:dyDescent="0.2">
      <c r="A21" s="35" t="s">
        <v>65</v>
      </c>
      <c r="B21" s="36">
        <v>216.37899999999999</v>
      </c>
      <c r="C21" s="23">
        <v>40</v>
      </c>
      <c r="D21" s="36">
        <v>5.4095000000000004</v>
      </c>
      <c r="E21" s="23">
        <v>10</v>
      </c>
      <c r="F21" s="36">
        <v>1.83</v>
      </c>
      <c r="G21" s="36">
        <v>1.29</v>
      </c>
      <c r="H21" s="23" t="s">
        <v>28</v>
      </c>
      <c r="I21" s="23">
        <v>2052</v>
      </c>
      <c r="J21" s="23" t="s">
        <v>49</v>
      </c>
      <c r="K21" s="24">
        <v>7500000</v>
      </c>
      <c r="L21" s="23" t="s">
        <v>68</v>
      </c>
      <c r="M21" s="23">
        <v>240812</v>
      </c>
      <c r="N21" s="23"/>
      <c r="O21" s="37">
        <f>2000/Table13[[#This Row],[Concentration ng/uL]]</f>
        <v>9.24304114539766</v>
      </c>
      <c r="P21" s="38">
        <f>14.5-2-Table13[[#This Row],[Vol_ml]]</f>
        <v>3.25695885460234</v>
      </c>
      <c r="Q21" s="38">
        <f t="shared" si="0"/>
        <v>40</v>
      </c>
      <c r="R21" s="39">
        <f>100/Table13[[#This Row],[Column4]]</f>
        <v>2.5</v>
      </c>
      <c r="S21" s="39">
        <f t="shared" si="4"/>
        <v>40</v>
      </c>
      <c r="T21" s="38">
        <f>100/Table13[[#This Row],[Concentration ng/uL]]</f>
        <v>0.46215205726988295</v>
      </c>
      <c r="U21" s="38">
        <f>20-6.4-Table13[[#This Row],[Column7]]</f>
        <v>13.137847942730117</v>
      </c>
      <c r="V21" s="38">
        <f t="shared" si="2"/>
        <v>11.1</v>
      </c>
    </row>
    <row r="22" spans="1:22" x14ac:dyDescent="0.2">
      <c r="A22" s="35" t="s">
        <v>70</v>
      </c>
      <c r="B22" s="36">
        <v>102.322</v>
      </c>
      <c r="C22" s="23">
        <v>40</v>
      </c>
      <c r="D22" s="36">
        <v>2.5579999999999998</v>
      </c>
      <c r="E22" s="23">
        <v>10</v>
      </c>
      <c r="F22" s="36">
        <v>2.1800000000000002</v>
      </c>
      <c r="G22" s="36">
        <v>0.21</v>
      </c>
      <c r="H22" s="23" t="s">
        <v>28</v>
      </c>
      <c r="I22" s="23">
        <v>2052</v>
      </c>
      <c r="J22" s="23" t="s">
        <v>49</v>
      </c>
      <c r="K22" s="24">
        <v>7500000</v>
      </c>
      <c r="L22" s="23" t="s">
        <v>43</v>
      </c>
      <c r="M22" s="23">
        <v>240813</v>
      </c>
      <c r="N22" s="23"/>
      <c r="O22" s="37">
        <f>2000/Table13[[#This Row],[Concentration ng/uL]]</f>
        <v>19.546138660307655</v>
      </c>
      <c r="P22" s="38">
        <f>1000/Table13[[#This Row],[Concentration ng/uL]]</f>
        <v>9.7730693301538274</v>
      </c>
      <c r="Q22" s="38">
        <f t="shared" ref="Q22:Q25" si="5">1000/25</f>
        <v>40</v>
      </c>
      <c r="R22" s="39">
        <f>100/Table13[[#This Row],[Column4]]</f>
        <v>2.5</v>
      </c>
      <c r="S22" s="39">
        <f t="shared" ref="S22:S25" si="6">1000/25</f>
        <v>40</v>
      </c>
      <c r="T22" s="38">
        <f>100/Table13[[#This Row],[Concentration ng/uL]]</f>
        <v>0.97730693301538274</v>
      </c>
      <c r="U22" s="38">
        <f>20-6.4-Table13[[#This Row],[Column7]]</f>
        <v>12.622693066984617</v>
      </c>
      <c r="V22" s="38">
        <f t="shared" ref="V22:V25" si="7">20-6.4-2.5</f>
        <v>11.1</v>
      </c>
    </row>
    <row r="23" spans="1:22" x14ac:dyDescent="0.2">
      <c r="A23" s="35" t="s">
        <v>71</v>
      </c>
      <c r="B23" s="36">
        <v>76.736999999999995</v>
      </c>
      <c r="C23" s="23">
        <v>40</v>
      </c>
      <c r="D23" s="36">
        <v>1.9184000000000001</v>
      </c>
      <c r="E23" s="23">
        <v>10</v>
      </c>
      <c r="F23" s="36">
        <v>1.94</v>
      </c>
      <c r="G23" s="36">
        <v>0.2</v>
      </c>
      <c r="H23" s="23" t="s">
        <v>28</v>
      </c>
      <c r="I23" s="23">
        <v>2052</v>
      </c>
      <c r="J23" s="23" t="s">
        <v>49</v>
      </c>
      <c r="K23" s="24">
        <v>7500000</v>
      </c>
      <c r="L23" s="23" t="s">
        <v>66</v>
      </c>
      <c r="M23" s="23">
        <v>240813</v>
      </c>
      <c r="N23" s="23"/>
      <c r="O23" s="37">
        <f>2000/Table13[[#This Row],[Concentration ng/uL]]</f>
        <v>26.063046509506499</v>
      </c>
      <c r="P23" s="38">
        <f>1000/Table13[[#This Row],[Concentration ng/uL]]</f>
        <v>13.03152325475325</v>
      </c>
      <c r="Q23" s="38">
        <f t="shared" si="5"/>
        <v>40</v>
      </c>
      <c r="R23" s="39">
        <f>100/Table13[[#This Row],[Column4]]</f>
        <v>2.5</v>
      </c>
      <c r="S23" s="39">
        <f t="shared" si="6"/>
        <v>40</v>
      </c>
      <c r="T23" s="38">
        <f>100/Table13[[#This Row],[Concentration ng/uL]]</f>
        <v>1.303152325475325</v>
      </c>
      <c r="U23" s="38">
        <f>20-6.4-Table13[[#This Row],[Column7]]</f>
        <v>12.296847674524674</v>
      </c>
      <c r="V23" s="38">
        <f t="shared" si="7"/>
        <v>11.1</v>
      </c>
    </row>
    <row r="24" spans="1:22" x14ac:dyDescent="0.2">
      <c r="A24" s="35" t="s">
        <v>72</v>
      </c>
      <c r="B24" s="36">
        <v>225.55500000000001</v>
      </c>
      <c r="C24" s="23">
        <v>40</v>
      </c>
      <c r="D24" s="36">
        <v>5.6388999999999996</v>
      </c>
      <c r="E24" s="23">
        <v>10</v>
      </c>
      <c r="F24" s="36">
        <v>2.06</v>
      </c>
      <c r="G24" s="36">
        <v>2.11</v>
      </c>
      <c r="H24" s="23" t="s">
        <v>28</v>
      </c>
      <c r="I24" s="23">
        <v>2052</v>
      </c>
      <c r="J24" s="23" t="s">
        <v>49</v>
      </c>
      <c r="K24" s="24">
        <v>7500000</v>
      </c>
      <c r="L24" s="23" t="s">
        <v>67</v>
      </c>
      <c r="M24" s="23">
        <v>240813</v>
      </c>
      <c r="N24" s="23"/>
      <c r="O24" s="37">
        <f>2000/Table13[[#This Row],[Concentration ng/uL]]</f>
        <v>8.8670169138347621</v>
      </c>
      <c r="P24" s="38">
        <f>1000/Table13[[#This Row],[Concentration ng/uL]]</f>
        <v>4.433508456917381</v>
      </c>
      <c r="Q24" s="38">
        <f t="shared" si="5"/>
        <v>40</v>
      </c>
      <c r="R24" s="39">
        <f>100/Table13[[#This Row],[Column4]]</f>
        <v>2.5</v>
      </c>
      <c r="S24" s="39">
        <f t="shared" si="6"/>
        <v>40</v>
      </c>
      <c r="T24" s="38">
        <f>100/Table13[[#This Row],[Concentration ng/uL]]</f>
        <v>0.44335084569173816</v>
      </c>
      <c r="U24" s="38">
        <f>20-6.4-Table13[[#This Row],[Column7]]</f>
        <v>13.156649154308262</v>
      </c>
      <c r="V24" s="38">
        <f t="shared" si="7"/>
        <v>11.1</v>
      </c>
    </row>
    <row r="25" spans="1:22" x14ac:dyDescent="0.2">
      <c r="A25" s="35" t="s">
        <v>73</v>
      </c>
      <c r="B25" s="36">
        <v>64.143000000000001</v>
      </c>
      <c r="C25" s="23">
        <v>40</v>
      </c>
      <c r="D25" s="36">
        <v>1.6035999999999999</v>
      </c>
      <c r="E25" s="23">
        <v>10</v>
      </c>
      <c r="F25" s="36">
        <v>1.64</v>
      </c>
      <c r="G25" s="36">
        <v>0.49</v>
      </c>
      <c r="H25" s="23" t="s">
        <v>28</v>
      </c>
      <c r="I25" s="23">
        <v>2052</v>
      </c>
      <c r="J25" s="23" t="s">
        <v>49</v>
      </c>
      <c r="K25" s="24">
        <v>7500000</v>
      </c>
      <c r="L25" s="23" t="s">
        <v>68</v>
      </c>
      <c r="M25" s="23">
        <v>240813</v>
      </c>
      <c r="N25" s="23"/>
      <c r="O25" s="37">
        <f>2000/Table13[[#This Row],[Concentration ng/uL]]</f>
        <v>31.18033144692328</v>
      </c>
      <c r="P25" s="38">
        <f>1000/Table13[[#This Row],[Concentration ng/uL]]</f>
        <v>15.59016572346164</v>
      </c>
      <c r="Q25" s="38">
        <f t="shared" si="5"/>
        <v>40</v>
      </c>
      <c r="R25" s="39">
        <f>100/Table13[[#This Row],[Column4]]</f>
        <v>2.5</v>
      </c>
      <c r="S25" s="39">
        <f t="shared" si="6"/>
        <v>40</v>
      </c>
      <c r="T25" s="38">
        <f>100/Table13[[#This Row],[Concentration ng/uL]]</f>
        <v>1.559016572346164</v>
      </c>
      <c r="U25" s="38">
        <f>20-6.4-Table13[[#This Row],[Column7]]</f>
        <v>12.040983427653835</v>
      </c>
      <c r="V25" s="38">
        <f t="shared" si="7"/>
        <v>11.1</v>
      </c>
    </row>
    <row r="26" spans="1:22" x14ac:dyDescent="0.2">
      <c r="A26" s="43" t="s">
        <v>54</v>
      </c>
      <c r="B26" s="30">
        <v>240.167</v>
      </c>
      <c r="C26" s="23">
        <v>40</v>
      </c>
      <c r="D26" s="30">
        <v>6.0042</v>
      </c>
      <c r="E26" s="23">
        <v>10</v>
      </c>
      <c r="F26" s="30">
        <v>2.02</v>
      </c>
      <c r="G26" s="30">
        <v>1.85</v>
      </c>
      <c r="H26" s="23" t="s">
        <v>28</v>
      </c>
      <c r="I26" s="23">
        <v>2052</v>
      </c>
      <c r="J26" s="23" t="s">
        <v>49</v>
      </c>
      <c r="K26" s="24">
        <v>7500000</v>
      </c>
      <c r="L26" s="23" t="s">
        <v>67</v>
      </c>
      <c r="M26" s="30">
        <v>240818</v>
      </c>
      <c r="N26" s="30"/>
      <c r="O26" s="44">
        <f>2000/Table13[[#This Row],[Concentration ng/uL]]</f>
        <v>8.3275387542834771</v>
      </c>
      <c r="P26" s="45">
        <f>1000/Table13[[#This Row],[Concentration ng/uL]]</f>
        <v>4.1637693771417386</v>
      </c>
      <c r="Q26" s="45">
        <f>1000/25</f>
        <v>40</v>
      </c>
      <c r="R26" s="46">
        <f>100/Table13[[#This Row],[Column4]]</f>
        <v>2.5</v>
      </c>
      <c r="S26" s="46">
        <f>1000/25</f>
        <v>40</v>
      </c>
      <c r="T26" s="45">
        <f>100/Table13[[#This Row],[Concentration ng/uL]]</f>
        <v>0.41637693771417389</v>
      </c>
      <c r="U26" s="45">
        <f>20-6.4-Table13[[#This Row],[Column7]]</f>
        <v>13.183623062285825</v>
      </c>
      <c r="V26" s="45">
        <f>20-6.4-2.5</f>
        <v>11.1</v>
      </c>
    </row>
    <row r="27" spans="1:22" x14ac:dyDescent="0.2">
      <c r="A27" s="43" t="s">
        <v>55</v>
      </c>
      <c r="B27" s="30">
        <v>162.18799999999999</v>
      </c>
      <c r="C27" s="23">
        <v>40</v>
      </c>
      <c r="D27" s="30">
        <f>Table13[[#This Row],[Concentration ng/uL]]/40</f>
        <v>4.0546999999999995</v>
      </c>
      <c r="E27" s="23">
        <v>10</v>
      </c>
      <c r="F27" s="30">
        <v>2.02</v>
      </c>
      <c r="G27" s="30">
        <v>1.71</v>
      </c>
      <c r="H27" s="23" t="s">
        <v>28</v>
      </c>
      <c r="I27" s="23">
        <v>2052</v>
      </c>
      <c r="J27" s="23" t="s">
        <v>49</v>
      </c>
      <c r="K27" s="24">
        <v>7500000</v>
      </c>
      <c r="L27" s="23" t="s">
        <v>67</v>
      </c>
      <c r="M27" s="30">
        <v>240818</v>
      </c>
      <c r="N27" s="30"/>
      <c r="O27" s="44">
        <f>2000/Table13[[#This Row],[Concentration ng/uL]]</f>
        <v>12.331368535280046</v>
      </c>
      <c r="P27" s="45">
        <f>1000/Table13[[#This Row],[Concentration ng/uL]]</f>
        <v>6.1656842676400228</v>
      </c>
      <c r="Q27" s="45">
        <f>1000/25</f>
        <v>40</v>
      </c>
      <c r="R27" s="46">
        <f>100/Table13[[#This Row],[Column4]]</f>
        <v>2.5</v>
      </c>
      <c r="S27" s="46">
        <f>1000/25</f>
        <v>40</v>
      </c>
      <c r="T27" s="45">
        <f>100/Table13[[#This Row],[Concentration ng/uL]]</f>
        <v>0.61656842676400236</v>
      </c>
      <c r="U27" s="45">
        <f>20-6.4-Table13[[#This Row],[Column7]]</f>
        <v>12.983431573235997</v>
      </c>
      <c r="V27" s="45">
        <f>20-6.4-2.5</f>
        <v>11.1</v>
      </c>
    </row>
    <row r="28" spans="1:22" x14ac:dyDescent="0.2">
      <c r="A28" s="43" t="s">
        <v>56</v>
      </c>
      <c r="B28" s="30">
        <v>144.572</v>
      </c>
      <c r="C28" s="23">
        <v>40</v>
      </c>
      <c r="D28" s="30">
        <f>Table13[[#This Row],[Concentration ng/uL]]/40</f>
        <v>3.6143000000000001</v>
      </c>
      <c r="E28" s="23">
        <v>10</v>
      </c>
      <c r="F28" s="30">
        <v>2.0699999999999998</v>
      </c>
      <c r="G28" s="30">
        <v>2.04</v>
      </c>
      <c r="H28" s="23" t="s">
        <v>28</v>
      </c>
      <c r="I28" s="23">
        <v>2052</v>
      </c>
      <c r="J28" s="23" t="s">
        <v>49</v>
      </c>
      <c r="K28" s="24">
        <v>7500000</v>
      </c>
      <c r="L28" s="23" t="s">
        <v>67</v>
      </c>
      <c r="M28" s="30">
        <v>240818</v>
      </c>
      <c r="N28" s="30"/>
      <c r="O28" s="44">
        <f>2000/Table13[[#This Row],[Concentration ng/uL]]</f>
        <v>13.833937415267133</v>
      </c>
      <c r="P28" s="45">
        <f>1000/Table13[[#This Row],[Concentration ng/uL]]</f>
        <v>6.9169687076335666</v>
      </c>
      <c r="Q28" s="45">
        <f>1000/25</f>
        <v>40</v>
      </c>
      <c r="R28" s="46">
        <f>100/Table13[[#This Row],[Column4]]</f>
        <v>2.5</v>
      </c>
      <c r="S28" s="46">
        <f>1000/25</f>
        <v>40</v>
      </c>
      <c r="T28" s="45">
        <f>100/Table13[[#This Row],[Concentration ng/uL]]</f>
        <v>0.69169687076335662</v>
      </c>
      <c r="U28" s="45">
        <f>20-6.4-Table13[[#This Row],[Column7]]</f>
        <v>12.908303129236643</v>
      </c>
      <c r="V28" s="45">
        <f>20-6.4-2.5</f>
        <v>11.1</v>
      </c>
    </row>
    <row r="29" spans="1:22" x14ac:dyDescent="0.2">
      <c r="A29" s="43" t="s">
        <v>57</v>
      </c>
      <c r="B29" s="30">
        <v>182.96299999999999</v>
      </c>
      <c r="C29" s="23">
        <v>40</v>
      </c>
      <c r="D29" s="30">
        <f>Table13[[#This Row],[Concentration ng/uL]]/40</f>
        <v>4.5740749999999997</v>
      </c>
      <c r="E29" s="23">
        <v>10</v>
      </c>
      <c r="F29" s="30">
        <v>2.06</v>
      </c>
      <c r="G29" s="30">
        <v>2.15</v>
      </c>
      <c r="H29" s="23" t="s">
        <v>28</v>
      </c>
      <c r="I29" s="23">
        <v>2052</v>
      </c>
      <c r="J29" s="23" t="s">
        <v>49</v>
      </c>
      <c r="K29" s="24">
        <v>7500000</v>
      </c>
      <c r="L29" s="23" t="s">
        <v>67</v>
      </c>
      <c r="M29" s="30">
        <v>240818</v>
      </c>
      <c r="N29" s="30"/>
      <c r="O29" s="44">
        <f>2000/Table13[[#This Row],[Concentration ng/uL]]</f>
        <v>10.931171876280997</v>
      </c>
      <c r="P29" s="45">
        <f>1000/Table13[[#This Row],[Concentration ng/uL]]</f>
        <v>5.4655859381404985</v>
      </c>
      <c r="Q29" s="45">
        <f>1000/25</f>
        <v>40</v>
      </c>
      <c r="R29" s="46">
        <f>100/Table13[[#This Row],[Column4]]</f>
        <v>2.5</v>
      </c>
      <c r="S29" s="46">
        <f>1000/25</f>
        <v>40</v>
      </c>
      <c r="T29" s="45">
        <f>100/Table13[[#This Row],[Concentration ng/uL]]</f>
        <v>0.54655859381404981</v>
      </c>
      <c r="U29" s="45">
        <f>20-6.4-Table13[[#This Row],[Column7]]</f>
        <v>13.05344140618595</v>
      </c>
      <c r="V29" s="45">
        <f>20-6.4-2.5</f>
        <v>11.1</v>
      </c>
    </row>
    <row r="30" spans="1:22" x14ac:dyDescent="0.2">
      <c r="A30" s="43" t="s">
        <v>58</v>
      </c>
      <c r="B30" s="30">
        <v>172.166</v>
      </c>
      <c r="C30" s="23">
        <v>40</v>
      </c>
      <c r="D30" s="30">
        <f>Table13[[#This Row],[Concentration ng/uL]]/40</f>
        <v>4.3041499999999999</v>
      </c>
      <c r="E30" s="23">
        <v>10</v>
      </c>
      <c r="F30" s="30">
        <v>2.06</v>
      </c>
      <c r="G30" s="30">
        <v>1.37</v>
      </c>
      <c r="H30" s="23" t="s">
        <v>28</v>
      </c>
      <c r="I30" s="23">
        <v>2052</v>
      </c>
      <c r="J30" s="23" t="s">
        <v>49</v>
      </c>
      <c r="K30" s="24">
        <v>7500000</v>
      </c>
      <c r="L30" s="23" t="s">
        <v>67</v>
      </c>
      <c r="M30" s="30">
        <v>240818</v>
      </c>
      <c r="N30" s="30"/>
      <c r="O30" s="44">
        <f>2000/Table13[[#This Row],[Concentration ng/uL]]</f>
        <v>11.616695514793863</v>
      </c>
      <c r="P30" s="45">
        <f>1000/Table13[[#This Row],[Concentration ng/uL]]</f>
        <v>5.8083477573969313</v>
      </c>
      <c r="Q30" s="45">
        <f>1000/25</f>
        <v>40</v>
      </c>
      <c r="R30" s="46">
        <f>100/Table13[[#This Row],[Column4]]</f>
        <v>2.5</v>
      </c>
      <c r="S30" s="46">
        <f>1000/25</f>
        <v>40</v>
      </c>
      <c r="T30" s="45">
        <f>100/Table13[[#This Row],[Concentration ng/uL]]</f>
        <v>0.58083477573969311</v>
      </c>
      <c r="U30" s="45">
        <f>20-6.4-Table13[[#This Row],[Column7]]</f>
        <v>13.019165224260307</v>
      </c>
      <c r="V30" s="45">
        <f>20-6.4-2.5</f>
        <v>11.1</v>
      </c>
    </row>
    <row r="31" spans="1:22" x14ac:dyDescent="0.2">
      <c r="A31" s="43" t="s">
        <v>59</v>
      </c>
      <c r="B31" s="30">
        <v>170.74199999999999</v>
      </c>
      <c r="C31" s="23">
        <v>40</v>
      </c>
      <c r="D31" s="30">
        <f>Table13[[#This Row],[Concentration ng/uL]]/40</f>
        <v>4.2685499999999994</v>
      </c>
      <c r="E31" s="23">
        <v>10</v>
      </c>
      <c r="F31" s="30">
        <v>2.0699999999999998</v>
      </c>
      <c r="G31" s="30">
        <v>1.98</v>
      </c>
      <c r="H31" s="23" t="s">
        <v>28</v>
      </c>
      <c r="I31" s="23">
        <v>2053</v>
      </c>
      <c r="J31" s="23" t="s">
        <v>49</v>
      </c>
      <c r="K31" s="24">
        <v>7500001</v>
      </c>
      <c r="L31" s="23" t="s">
        <v>67</v>
      </c>
      <c r="M31" s="30">
        <v>240818</v>
      </c>
      <c r="N31" s="30"/>
      <c r="O31" s="44">
        <f>2000/Table13[[#This Row],[Concentration ng/uL]]</f>
        <v>11.713579552775533</v>
      </c>
      <c r="P31" s="45">
        <f>1000/Table13[[#This Row],[Concentration ng/uL]]</f>
        <v>5.8567897763877665</v>
      </c>
      <c r="Q31" s="45">
        <f>1000/25</f>
        <v>40</v>
      </c>
      <c r="R31" s="46">
        <f>100/Table13[[#This Row],[Column4]]</f>
        <v>2.5</v>
      </c>
      <c r="S31" s="46">
        <f>1000/25</f>
        <v>40</v>
      </c>
      <c r="T31" s="45">
        <f>100/Table13[[#This Row],[Concentration ng/uL]]</f>
        <v>0.58567897763877663</v>
      </c>
      <c r="U31" s="45">
        <f>20-6.4-Table13[[#This Row],[Column7]]</f>
        <v>13.014321022361223</v>
      </c>
      <c r="V31" s="45">
        <f>20-6.4-2.5</f>
        <v>11.1</v>
      </c>
    </row>
  </sheetData>
  <phoneticPr fontId="5" type="noConversion"/>
  <conditionalFormatting sqref="F1:F21 F26:F104857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21 G26:G1048576 F22:F2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G21 F26:G1048576 F22:F2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6C94-EB78-472E-82F3-9B75D884EF25}">
  <dimension ref="A1:V31"/>
  <sheetViews>
    <sheetView tabSelected="1" workbookViewId="0">
      <selection activeCell="G23" sqref="G23"/>
    </sheetView>
  </sheetViews>
  <sheetFormatPr defaultRowHeight="14.25" x14ac:dyDescent="0.2"/>
  <sheetData>
    <row r="1" spans="1:22" s="21" customFormat="1" ht="12.75" x14ac:dyDescent="0.2">
      <c r="A1" s="35" t="s">
        <v>62</v>
      </c>
      <c r="B1" s="36">
        <v>103.416</v>
      </c>
      <c r="C1" s="23">
        <v>40</v>
      </c>
      <c r="D1" s="36">
        <v>2.5853999999999999</v>
      </c>
      <c r="E1" s="23">
        <v>10</v>
      </c>
      <c r="F1" s="36">
        <v>1.98</v>
      </c>
      <c r="G1" s="36">
        <v>0.64</v>
      </c>
      <c r="H1" s="23" t="s">
        <v>28</v>
      </c>
      <c r="I1" s="23">
        <v>2052</v>
      </c>
      <c r="J1" s="23" t="s">
        <v>49</v>
      </c>
      <c r="K1" s="24">
        <v>7500000</v>
      </c>
      <c r="L1" s="23" t="s">
        <v>43</v>
      </c>
      <c r="M1" s="23">
        <v>240812</v>
      </c>
      <c r="N1" s="23"/>
      <c r="O1" s="37" t="e">
        <f>2000/Table13[[#This Row],[Concentration ng/uL]]</f>
        <v>#VALUE!</v>
      </c>
      <c r="P1" s="38" t="e">
        <f>14.5-2-Table13[[#This Row],[Vol_ml]]</f>
        <v>#VALUE!</v>
      </c>
      <c r="Q1" s="38">
        <f>1000/25</f>
        <v>40</v>
      </c>
      <c r="R1" s="39" t="e">
        <f>100/Table13[[#This Row],[Column4]]</f>
        <v>#VALUE!</v>
      </c>
      <c r="S1" s="39">
        <f>1000/25</f>
        <v>40</v>
      </c>
      <c r="T1" s="38" t="e">
        <f>100/Table13[[#This Row],[Concentration ng/uL]]</f>
        <v>#VALUE!</v>
      </c>
      <c r="U1" s="38" t="e">
        <f>20-6.4-Table13[[#This Row],[Column7]]</f>
        <v>#VALUE!</v>
      </c>
      <c r="V1" s="38">
        <f t="shared" ref="V1:V14" si="0">20-6.4-2.5</f>
        <v>11.1</v>
      </c>
    </row>
    <row r="2" spans="1:22" s="21" customFormat="1" ht="12.75" x14ac:dyDescent="0.2">
      <c r="A2" s="35" t="s">
        <v>63</v>
      </c>
      <c r="B2" s="36">
        <v>80.177999999999997</v>
      </c>
      <c r="C2" s="23">
        <v>40</v>
      </c>
      <c r="D2" s="36">
        <v>2.0045000000000002</v>
      </c>
      <c r="E2" s="23">
        <v>10</v>
      </c>
      <c r="F2" s="36">
        <v>1.89</v>
      </c>
      <c r="G2" s="36">
        <v>1.85</v>
      </c>
      <c r="H2" s="23" t="s">
        <v>28</v>
      </c>
      <c r="I2" s="23">
        <v>2052</v>
      </c>
      <c r="J2" s="23" t="s">
        <v>49</v>
      </c>
      <c r="K2" s="24">
        <v>7500000</v>
      </c>
      <c r="L2" s="23" t="s">
        <v>66</v>
      </c>
      <c r="M2" s="23">
        <v>240812</v>
      </c>
      <c r="N2" s="23"/>
      <c r="O2" s="37">
        <f>2000/Table13[[#This Row],[Concentration ng/uL]]</f>
        <v>40.207470548027828</v>
      </c>
      <c r="P2" s="38">
        <f>14.5-2-Table13[[#This Row],[Vol_ml]]</f>
        <v>-27.707470548027828</v>
      </c>
      <c r="Q2" s="38">
        <f t="shared" ref="Q2:Q14" si="1">1000/25</f>
        <v>40</v>
      </c>
      <c r="R2" s="39">
        <f>100/Table13[[#This Row],[Column4]]</f>
        <v>2.5</v>
      </c>
      <c r="S2" s="39">
        <f t="shared" ref="S2:S8" si="2">1000/25</f>
        <v>40</v>
      </c>
      <c r="T2" s="38">
        <f>100/Table13[[#This Row],[Concentration ng/uL]]</f>
        <v>2.0103735274013914</v>
      </c>
      <c r="U2" s="38">
        <f>20-6.4-Table13[[#This Row],[Column7]]</f>
        <v>11.589626472598608</v>
      </c>
      <c r="V2" s="38">
        <f t="shared" si="0"/>
        <v>11.1</v>
      </c>
    </row>
    <row r="3" spans="1:22" s="21" customFormat="1" ht="12.75" x14ac:dyDescent="0.2">
      <c r="A3" s="35" t="s">
        <v>64</v>
      </c>
      <c r="B3" s="36">
        <v>195.98500000000001</v>
      </c>
      <c r="C3" s="23">
        <v>40</v>
      </c>
      <c r="D3" s="36">
        <v>4.8996000000000004</v>
      </c>
      <c r="E3" s="23">
        <v>10</v>
      </c>
      <c r="F3" s="36">
        <v>1.96</v>
      </c>
      <c r="G3" s="36">
        <v>1.91</v>
      </c>
      <c r="H3" s="23" t="s">
        <v>28</v>
      </c>
      <c r="I3" s="23">
        <v>2052</v>
      </c>
      <c r="J3" s="23" t="s">
        <v>49</v>
      </c>
      <c r="K3" s="24">
        <v>7500000</v>
      </c>
      <c r="L3" s="23" t="s">
        <v>67</v>
      </c>
      <c r="M3" s="23">
        <v>240812</v>
      </c>
      <c r="N3" s="23"/>
      <c r="O3" s="37">
        <f>2000/Table13[[#This Row],[Concentration ng/uL]]</f>
        <v>10.302215491441434</v>
      </c>
      <c r="P3" s="38">
        <f>14.5-2-Table13[[#This Row],[Vol_ml]]</f>
        <v>2.1977845085585663</v>
      </c>
      <c r="Q3" s="38">
        <f t="shared" si="1"/>
        <v>40</v>
      </c>
      <c r="R3" s="39">
        <f>100/Table13[[#This Row],[Column4]]</f>
        <v>2.5</v>
      </c>
      <c r="S3" s="39">
        <f t="shared" si="2"/>
        <v>40</v>
      </c>
      <c r="T3" s="38">
        <f>100/Table13[[#This Row],[Concentration ng/uL]]</f>
        <v>0.51511077457207166</v>
      </c>
      <c r="U3" s="38">
        <f>20-6.4-Table13[[#This Row],[Column7]]</f>
        <v>13.084889225427927</v>
      </c>
      <c r="V3" s="38">
        <f t="shared" si="0"/>
        <v>11.1</v>
      </c>
    </row>
    <row r="4" spans="1:22" s="21" customFormat="1" ht="12.75" x14ac:dyDescent="0.2">
      <c r="A4" s="35" t="s">
        <v>65</v>
      </c>
      <c r="B4" s="36">
        <v>216.37899999999999</v>
      </c>
      <c r="C4" s="23">
        <v>40</v>
      </c>
      <c r="D4" s="36">
        <v>5.4095000000000004</v>
      </c>
      <c r="E4" s="23">
        <v>10</v>
      </c>
      <c r="F4" s="36">
        <v>1.83</v>
      </c>
      <c r="G4" s="36">
        <v>1.29</v>
      </c>
      <c r="H4" s="23" t="s">
        <v>28</v>
      </c>
      <c r="I4" s="23">
        <v>2052</v>
      </c>
      <c r="J4" s="23" t="s">
        <v>49</v>
      </c>
      <c r="K4" s="24">
        <v>7500000</v>
      </c>
      <c r="L4" s="23" t="s">
        <v>68</v>
      </c>
      <c r="M4" s="23">
        <v>240812</v>
      </c>
      <c r="N4" s="23"/>
      <c r="O4" s="37">
        <f>2000/Table13[[#This Row],[Concentration ng/uL]]</f>
        <v>42.475470415834856</v>
      </c>
      <c r="P4" s="38">
        <f>14.5-2-Table13[[#This Row],[Vol_ml]]</f>
        <v>-29.975470415834856</v>
      </c>
      <c r="Q4" s="38">
        <f t="shared" si="1"/>
        <v>40</v>
      </c>
      <c r="R4" s="39">
        <f>100/Table13[[#This Row],[Column4]]</f>
        <v>2.5</v>
      </c>
      <c r="S4" s="39">
        <f t="shared" si="2"/>
        <v>40</v>
      </c>
      <c r="T4" s="38">
        <f>100/Table13[[#This Row],[Concentration ng/uL]]</f>
        <v>2.123773520791743</v>
      </c>
      <c r="U4" s="38">
        <f>20-6.4-Table13[[#This Row],[Column7]]</f>
        <v>11.476226479208258</v>
      </c>
      <c r="V4" s="38">
        <f t="shared" si="0"/>
        <v>11.1</v>
      </c>
    </row>
    <row r="5" spans="1:22" s="21" customFormat="1" ht="12.75" x14ac:dyDescent="0.2">
      <c r="A5" s="35" t="s">
        <v>70</v>
      </c>
      <c r="B5" s="36">
        <v>102.322</v>
      </c>
      <c r="C5" s="23">
        <v>40</v>
      </c>
      <c r="D5" s="36">
        <v>2.5579999999999998</v>
      </c>
      <c r="E5" s="23">
        <v>10</v>
      </c>
      <c r="F5" s="36">
        <v>2.1800000000000002</v>
      </c>
      <c r="G5" s="36">
        <v>0.21</v>
      </c>
      <c r="H5" s="23" t="s">
        <v>28</v>
      </c>
      <c r="I5" s="23">
        <v>2052</v>
      </c>
      <c r="J5" s="23" t="s">
        <v>49</v>
      </c>
      <c r="K5" s="24">
        <v>7500000</v>
      </c>
      <c r="L5" s="23" t="s">
        <v>43</v>
      </c>
      <c r="M5" s="23">
        <v>240813</v>
      </c>
      <c r="N5" s="23"/>
      <c r="O5" s="37">
        <f>2000/Table13[[#This Row],[Concentration ng/uL]]</f>
        <v>13.029995048601883</v>
      </c>
      <c r="P5" s="38">
        <f>1000/Table13[[#This Row],[Concentration ng/uL]]</f>
        <v>6.5149975243009415</v>
      </c>
      <c r="Q5" s="38">
        <f t="shared" si="1"/>
        <v>40</v>
      </c>
      <c r="R5" s="39">
        <f>100/Table13[[#This Row],[Column4]]</f>
        <v>2.5</v>
      </c>
      <c r="S5" s="39">
        <f t="shared" si="2"/>
        <v>40</v>
      </c>
      <c r="T5" s="38">
        <f>100/Table13[[#This Row],[Concentration ng/uL]]</f>
        <v>0.65149975243009417</v>
      </c>
      <c r="U5" s="38">
        <f>20-6.4-Table13[[#This Row],[Column7]]</f>
        <v>12.948500247569905</v>
      </c>
      <c r="V5" s="38">
        <f t="shared" si="0"/>
        <v>11.1</v>
      </c>
    </row>
    <row r="6" spans="1:22" s="21" customFormat="1" ht="12.75" x14ac:dyDescent="0.2">
      <c r="A6" s="35" t="s">
        <v>71</v>
      </c>
      <c r="B6" s="36">
        <v>76.736999999999995</v>
      </c>
      <c r="C6" s="23">
        <v>40</v>
      </c>
      <c r="D6" s="36">
        <v>1.9184000000000001</v>
      </c>
      <c r="E6" s="23">
        <v>10</v>
      </c>
      <c r="F6" s="36">
        <v>1.94</v>
      </c>
      <c r="G6" s="36">
        <v>0.2</v>
      </c>
      <c r="H6" s="23" t="s">
        <v>28</v>
      </c>
      <c r="I6" s="23">
        <v>2052</v>
      </c>
      <c r="J6" s="23" t="s">
        <v>49</v>
      </c>
      <c r="K6" s="24">
        <v>7500000</v>
      </c>
      <c r="L6" s="23" t="s">
        <v>66</v>
      </c>
      <c r="M6" s="23">
        <v>240813</v>
      </c>
      <c r="N6" s="23"/>
      <c r="O6" s="37">
        <f>2000/Table13[[#This Row],[Concentration ng/uL]]</f>
        <v>126.49421288976029</v>
      </c>
      <c r="P6" s="38">
        <f>1000/Table13[[#This Row],[Concentration ng/uL]]</f>
        <v>63.247106444880146</v>
      </c>
      <c r="Q6" s="38">
        <f t="shared" si="1"/>
        <v>40</v>
      </c>
      <c r="R6" s="39">
        <f>100/Table13[[#This Row],[Column4]]</f>
        <v>2.5</v>
      </c>
      <c r="S6" s="39">
        <f t="shared" si="2"/>
        <v>40</v>
      </c>
      <c r="T6" s="38">
        <f>100/Table13[[#This Row],[Concentration ng/uL]]</f>
        <v>6.3247106444880146</v>
      </c>
      <c r="U6" s="38">
        <f>20-6.4-Table13[[#This Row],[Column7]]</f>
        <v>7.2752893555119851</v>
      </c>
      <c r="V6" s="38">
        <f t="shared" si="0"/>
        <v>11.1</v>
      </c>
    </row>
    <row r="7" spans="1:22" s="21" customFormat="1" ht="12.75" x14ac:dyDescent="0.2">
      <c r="A7" s="35" t="s">
        <v>72</v>
      </c>
      <c r="B7" s="36">
        <v>225.55500000000001</v>
      </c>
      <c r="C7" s="23">
        <v>40</v>
      </c>
      <c r="D7" s="36">
        <v>5.6388999999999996</v>
      </c>
      <c r="E7" s="23">
        <v>10</v>
      </c>
      <c r="F7" s="36">
        <v>2.06</v>
      </c>
      <c r="G7" s="36">
        <v>2.11</v>
      </c>
      <c r="H7" s="23" t="s">
        <v>28</v>
      </c>
      <c r="I7" s="23">
        <v>2052</v>
      </c>
      <c r="J7" s="23" t="s">
        <v>49</v>
      </c>
      <c r="K7" s="24">
        <v>7500000</v>
      </c>
      <c r="L7" s="23" t="s">
        <v>67</v>
      </c>
      <c r="M7" s="23">
        <v>240813</v>
      </c>
      <c r="N7" s="23"/>
      <c r="O7" s="37">
        <f>2000/Table13[[#This Row],[Concentration ng/uL]]</f>
        <v>108.01468999783971</v>
      </c>
      <c r="P7" s="38">
        <f>1000/Table13[[#This Row],[Concentration ng/uL]]</f>
        <v>54.007344998919855</v>
      </c>
      <c r="Q7" s="38">
        <f t="shared" si="1"/>
        <v>40</v>
      </c>
      <c r="R7" s="39">
        <f>100/Table13[[#This Row],[Column4]]</f>
        <v>2.5</v>
      </c>
      <c r="S7" s="39">
        <f t="shared" si="2"/>
        <v>40</v>
      </c>
      <c r="T7" s="38">
        <f>100/Table13[[#This Row],[Concentration ng/uL]]</f>
        <v>5.4007344998919855</v>
      </c>
      <c r="U7" s="38">
        <f>20-6.4-Table13[[#This Row],[Column7]]</f>
        <v>8.1992655001080141</v>
      </c>
      <c r="V7" s="38">
        <f t="shared" si="0"/>
        <v>11.1</v>
      </c>
    </row>
    <row r="8" spans="1:22" s="21" customFormat="1" ht="12.75" x14ac:dyDescent="0.2">
      <c r="A8" s="35" t="s">
        <v>73</v>
      </c>
      <c r="B8" s="36">
        <v>64.143000000000001</v>
      </c>
      <c r="C8" s="23">
        <v>40</v>
      </c>
      <c r="D8" s="36">
        <v>1.6035999999999999</v>
      </c>
      <c r="E8" s="23">
        <v>10</v>
      </c>
      <c r="F8" s="36">
        <v>1.64</v>
      </c>
      <c r="G8" s="36">
        <v>0.49</v>
      </c>
      <c r="H8" s="23" t="s">
        <v>28</v>
      </c>
      <c r="I8" s="23">
        <v>2052</v>
      </c>
      <c r="J8" s="23" t="s">
        <v>49</v>
      </c>
      <c r="K8" s="24">
        <v>7500000</v>
      </c>
      <c r="L8" s="23" t="s">
        <v>68</v>
      </c>
      <c r="M8" s="23">
        <v>240813</v>
      </c>
      <c r="N8" s="23"/>
      <c r="O8" s="37">
        <f>2000/Table13[[#This Row],[Concentration ng/uL]]</f>
        <v>67.060085836909863</v>
      </c>
      <c r="P8" s="38">
        <f>1000/Table13[[#This Row],[Concentration ng/uL]]</f>
        <v>33.530042918454932</v>
      </c>
      <c r="Q8" s="38">
        <f t="shared" si="1"/>
        <v>40</v>
      </c>
      <c r="R8" s="39">
        <f>100/Table13[[#This Row],[Column4]]</f>
        <v>2.5</v>
      </c>
      <c r="S8" s="39">
        <f t="shared" si="2"/>
        <v>40</v>
      </c>
      <c r="T8" s="38">
        <f>100/Table13[[#This Row],[Concentration ng/uL]]</f>
        <v>3.3530042918454934</v>
      </c>
      <c r="U8" s="38">
        <f>20-6.4-Table13[[#This Row],[Column7]]</f>
        <v>10.246995708154506</v>
      </c>
      <c r="V8" s="38">
        <f t="shared" si="0"/>
        <v>11.1</v>
      </c>
    </row>
    <row r="9" spans="1:22" s="21" customFormat="1" ht="12.75" x14ac:dyDescent="0.2">
      <c r="A9" s="43" t="s">
        <v>54</v>
      </c>
      <c r="B9" s="30">
        <v>240.167</v>
      </c>
      <c r="C9" s="23">
        <v>40</v>
      </c>
      <c r="D9" s="30">
        <v>6.0042</v>
      </c>
      <c r="E9" s="23">
        <v>10</v>
      </c>
      <c r="F9" s="30">
        <v>2.02</v>
      </c>
      <c r="G9" s="30">
        <v>1.85</v>
      </c>
      <c r="H9" s="23" t="s">
        <v>28</v>
      </c>
      <c r="I9" s="23">
        <v>2052</v>
      </c>
      <c r="J9" s="23" t="s">
        <v>49</v>
      </c>
      <c r="K9" s="24">
        <v>7500000</v>
      </c>
      <c r="L9" s="23" t="s">
        <v>67</v>
      </c>
      <c r="M9" s="30">
        <v>240818</v>
      </c>
      <c r="N9" s="30"/>
      <c r="O9" s="44">
        <f>2000/Table13[[#This Row],[Concentration ng/uL]]</f>
        <v>17.65552308901032</v>
      </c>
      <c r="P9" s="45">
        <f>1000/Table13[[#This Row],[Concentration ng/uL]]</f>
        <v>8.8277615445051598</v>
      </c>
      <c r="Q9" s="45">
        <f>1000/25</f>
        <v>40</v>
      </c>
      <c r="R9" s="46">
        <f>100/Table13[[#This Row],[Column4]]</f>
        <v>2.5</v>
      </c>
      <c r="S9" s="46">
        <f>1000/25</f>
        <v>40</v>
      </c>
      <c r="T9" s="45">
        <f>100/Table13[[#This Row],[Concentration ng/uL]]</f>
        <v>0.88277615445051605</v>
      </c>
      <c r="U9" s="45">
        <f>20-6.4-Table13[[#This Row],[Column7]]</f>
        <v>12.717223845549483</v>
      </c>
      <c r="V9" s="45">
        <f>20-6.4-2.5</f>
        <v>11.1</v>
      </c>
    </row>
    <row r="10" spans="1:22" s="21" customFormat="1" ht="12.75" x14ac:dyDescent="0.2">
      <c r="A10" s="43" t="s">
        <v>55</v>
      </c>
      <c r="B10" s="30">
        <v>162.18799999999999</v>
      </c>
      <c r="C10" s="23">
        <v>40</v>
      </c>
      <c r="D10" s="30">
        <f>Table13[[#This Row],[Concentration ng/uL]]/40</f>
        <v>0.57495000000000007</v>
      </c>
      <c r="E10" s="23">
        <v>10</v>
      </c>
      <c r="F10" s="30">
        <v>2.02</v>
      </c>
      <c r="G10" s="30">
        <v>1.71</v>
      </c>
      <c r="H10" s="23" t="s">
        <v>28</v>
      </c>
      <c r="I10" s="23">
        <v>2052</v>
      </c>
      <c r="J10" s="23" t="s">
        <v>49</v>
      </c>
      <c r="K10" s="24">
        <v>7500000</v>
      </c>
      <c r="L10" s="23" t="s">
        <v>67</v>
      </c>
      <c r="M10" s="30">
        <v>240818</v>
      </c>
      <c r="N10" s="30"/>
      <c r="O10" s="44">
        <f>2000/Table13[[#This Row],[Concentration ng/uL]]</f>
        <v>86.964083833376804</v>
      </c>
      <c r="P10" s="45">
        <f>1000/Table13[[#This Row],[Concentration ng/uL]]</f>
        <v>43.482041916688402</v>
      </c>
      <c r="Q10" s="45">
        <f>1000/25</f>
        <v>40</v>
      </c>
      <c r="R10" s="46">
        <f>100/Table13[[#This Row],[Column4]]</f>
        <v>2.5</v>
      </c>
      <c r="S10" s="46">
        <f>1000/25</f>
        <v>40</v>
      </c>
      <c r="T10" s="45">
        <f>100/Table13[[#This Row],[Concentration ng/uL]]</f>
        <v>4.3482041916688408</v>
      </c>
      <c r="U10" s="45">
        <f>20-6.4-Table13[[#This Row],[Column7]]</f>
        <v>9.2517958083311598</v>
      </c>
      <c r="V10" s="45">
        <f>20-6.4-2.5</f>
        <v>11.1</v>
      </c>
    </row>
    <row r="11" spans="1:22" s="21" customFormat="1" ht="12.75" x14ac:dyDescent="0.2">
      <c r="A11" s="43" t="s">
        <v>56</v>
      </c>
      <c r="B11" s="30">
        <v>144.572</v>
      </c>
      <c r="C11" s="23">
        <v>40</v>
      </c>
      <c r="D11" s="30">
        <f>Table13[[#This Row],[Concentration ng/uL]]/40</f>
        <v>2.2436750000000001</v>
      </c>
      <c r="E11" s="23">
        <v>10</v>
      </c>
      <c r="F11" s="30">
        <v>2.0699999999999998</v>
      </c>
      <c r="G11" s="30">
        <v>2.04</v>
      </c>
      <c r="H11" s="23" t="s">
        <v>28</v>
      </c>
      <c r="I11" s="23">
        <v>2052</v>
      </c>
      <c r="J11" s="23" t="s">
        <v>49</v>
      </c>
      <c r="K11" s="24">
        <v>7500000</v>
      </c>
      <c r="L11" s="23" t="s">
        <v>67</v>
      </c>
      <c r="M11" s="30">
        <v>240818</v>
      </c>
      <c r="N11" s="30"/>
      <c r="O11" s="44">
        <f>2000/Table13[[#This Row],[Concentration ng/uL]]</f>
        <v>22.284867460750778</v>
      </c>
      <c r="P11" s="45">
        <f>1000/Table13[[#This Row],[Concentration ng/uL]]</f>
        <v>11.142433730375389</v>
      </c>
      <c r="Q11" s="45">
        <f>1000/25</f>
        <v>40</v>
      </c>
      <c r="R11" s="46">
        <f>100/Table13[[#This Row],[Column4]]</f>
        <v>2.5</v>
      </c>
      <c r="S11" s="46">
        <f>1000/25</f>
        <v>40</v>
      </c>
      <c r="T11" s="45">
        <f>100/Table13[[#This Row],[Concentration ng/uL]]</f>
        <v>1.114243373037539</v>
      </c>
      <c r="U11" s="45">
        <f>20-6.4-Table13[[#This Row],[Column7]]</f>
        <v>12.485756626962461</v>
      </c>
      <c r="V11" s="45">
        <f>20-6.4-2.5</f>
        <v>11.1</v>
      </c>
    </row>
    <row r="12" spans="1:22" s="21" customFormat="1" ht="12.75" x14ac:dyDescent="0.2">
      <c r="A12" s="43" t="s">
        <v>57</v>
      </c>
      <c r="B12" s="30">
        <v>182.96299999999999</v>
      </c>
      <c r="C12" s="23">
        <v>40</v>
      </c>
      <c r="D12" s="30">
        <f>Table13[[#This Row],[Concentration ng/uL]]/40</f>
        <v>2.0884499999999999</v>
      </c>
      <c r="E12" s="23">
        <v>10</v>
      </c>
      <c r="F12" s="30">
        <v>2.06</v>
      </c>
      <c r="G12" s="30">
        <v>2.15</v>
      </c>
      <c r="H12" s="23" t="s">
        <v>28</v>
      </c>
      <c r="I12" s="23">
        <v>2052</v>
      </c>
      <c r="J12" s="23" t="s">
        <v>49</v>
      </c>
      <c r="K12" s="24">
        <v>7500000</v>
      </c>
      <c r="L12" s="23" t="s">
        <v>67</v>
      </c>
      <c r="M12" s="30">
        <v>240818</v>
      </c>
      <c r="N12" s="30"/>
      <c r="O12" s="44">
        <f>2000/Table13[[#This Row],[Concentration ng/uL]]</f>
        <v>23.94120041178865</v>
      </c>
      <c r="P12" s="45">
        <f>1000/Table13[[#This Row],[Concentration ng/uL]]</f>
        <v>11.970600205894325</v>
      </c>
      <c r="Q12" s="45">
        <f>1000/25</f>
        <v>40</v>
      </c>
      <c r="R12" s="46">
        <f>100/Table13[[#This Row],[Column4]]</f>
        <v>2.5</v>
      </c>
      <c r="S12" s="46">
        <f>1000/25</f>
        <v>40</v>
      </c>
      <c r="T12" s="45">
        <f>100/Table13[[#This Row],[Concentration ng/uL]]</f>
        <v>1.1970600205894324</v>
      </c>
      <c r="U12" s="45">
        <f>20-6.4-Table13[[#This Row],[Column7]]</f>
        <v>12.402939979410567</v>
      </c>
      <c r="V12" s="45">
        <f>20-6.4-2.5</f>
        <v>11.1</v>
      </c>
    </row>
    <row r="13" spans="1:22" s="21" customFormat="1" ht="12.75" x14ac:dyDescent="0.2">
      <c r="A13" s="43" t="s">
        <v>58</v>
      </c>
      <c r="B13" s="30">
        <v>172.166</v>
      </c>
      <c r="C13" s="23">
        <v>40</v>
      </c>
      <c r="D13" s="30">
        <f>Table13[[#This Row],[Concentration ng/uL]]/40</f>
        <v>2.35785</v>
      </c>
      <c r="E13" s="23">
        <v>10</v>
      </c>
      <c r="F13" s="30">
        <v>2.06</v>
      </c>
      <c r="G13" s="30">
        <v>1.37</v>
      </c>
      <c r="H13" s="23" t="s">
        <v>28</v>
      </c>
      <c r="I13" s="23">
        <v>2052</v>
      </c>
      <c r="J13" s="23" t="s">
        <v>49</v>
      </c>
      <c r="K13" s="24">
        <v>7500000</v>
      </c>
      <c r="L13" s="23" t="s">
        <v>67</v>
      </c>
      <c r="M13" s="30">
        <v>240818</v>
      </c>
      <c r="N13" s="30"/>
      <c r="O13" s="44">
        <f>2000/Table13[[#This Row],[Concentration ng/uL]]</f>
        <v>21.20575948427593</v>
      </c>
      <c r="P13" s="45">
        <f>1000/Table13[[#This Row],[Concentration ng/uL]]</f>
        <v>10.602879742137965</v>
      </c>
      <c r="Q13" s="45">
        <f>1000/25</f>
        <v>40</v>
      </c>
      <c r="R13" s="46">
        <f>100/Table13[[#This Row],[Column4]]</f>
        <v>2.5</v>
      </c>
      <c r="S13" s="46">
        <f>1000/25</f>
        <v>40</v>
      </c>
      <c r="T13" s="45">
        <f>100/Table13[[#This Row],[Concentration ng/uL]]</f>
        <v>1.0602879742137965</v>
      </c>
      <c r="U13" s="45">
        <f>20-6.4-Table13[[#This Row],[Column7]]</f>
        <v>12.539712025786203</v>
      </c>
      <c r="V13" s="45">
        <f>20-6.4-2.5</f>
        <v>11.1</v>
      </c>
    </row>
    <row r="14" spans="1:22" s="21" customFormat="1" ht="12.75" x14ac:dyDescent="0.2">
      <c r="A14" s="43" t="s">
        <v>59</v>
      </c>
      <c r="B14" s="30">
        <v>170.74199999999999</v>
      </c>
      <c r="C14" s="23">
        <v>40</v>
      </c>
      <c r="D14" s="30">
        <f>Table13[[#This Row],[Concentration ng/uL]]/40</f>
        <v>2.8501750000000001</v>
      </c>
      <c r="E14" s="23">
        <v>10</v>
      </c>
      <c r="F14" s="30">
        <v>2.0699999999999998</v>
      </c>
      <c r="G14" s="30">
        <v>1.98</v>
      </c>
      <c r="H14" s="23" t="s">
        <v>28</v>
      </c>
      <c r="I14" s="23">
        <v>2053</v>
      </c>
      <c r="J14" s="23" t="s">
        <v>49</v>
      </c>
      <c r="K14" s="24">
        <v>7500001</v>
      </c>
      <c r="L14" s="23" t="s">
        <v>67</v>
      </c>
      <c r="M14" s="30">
        <v>240818</v>
      </c>
      <c r="N14" s="30"/>
      <c r="O14" s="44">
        <f>2000/Table13[[#This Row],[Concentration ng/uL]]</f>
        <v>17.542782460726094</v>
      </c>
      <c r="P14" s="45">
        <f>1000/Table13[[#This Row],[Concentration ng/uL]]</f>
        <v>8.7713912303630472</v>
      </c>
      <c r="Q14" s="45">
        <f>1000/25</f>
        <v>40</v>
      </c>
      <c r="R14" s="46">
        <f>100/Table13[[#This Row],[Column4]]</f>
        <v>2.5</v>
      </c>
      <c r="S14" s="46">
        <f>1000/25</f>
        <v>40</v>
      </c>
      <c r="T14" s="45">
        <f>100/Table13[[#This Row],[Concentration ng/uL]]</f>
        <v>0.8771391230363047</v>
      </c>
      <c r="U14" s="45">
        <f>20-6.4-Table13[[#This Row],[Column7]]</f>
        <v>12.722860876963695</v>
      </c>
      <c r="V14" s="45">
        <f>20-6.4-2.5</f>
        <v>11.1</v>
      </c>
    </row>
    <row r="18" spans="1:1" x14ac:dyDescent="0.2">
      <c r="A18" s="23" t="s">
        <v>43</v>
      </c>
    </row>
    <row r="19" spans="1:1" x14ac:dyDescent="0.2">
      <c r="A19" s="23" t="s">
        <v>66</v>
      </c>
    </row>
    <row r="20" spans="1:1" x14ac:dyDescent="0.2">
      <c r="A20" s="23" t="s">
        <v>67</v>
      </c>
    </row>
    <row r="21" spans="1:1" x14ac:dyDescent="0.2">
      <c r="A21" s="23" t="s">
        <v>68</v>
      </c>
    </row>
    <row r="22" spans="1:1" x14ac:dyDescent="0.2">
      <c r="A22" s="23" t="s">
        <v>43</v>
      </c>
    </row>
    <row r="23" spans="1:1" x14ac:dyDescent="0.2">
      <c r="A23" s="23" t="s">
        <v>66</v>
      </c>
    </row>
    <row r="24" spans="1:1" x14ac:dyDescent="0.2">
      <c r="A24" s="23" t="s">
        <v>67</v>
      </c>
    </row>
    <row r="25" spans="1:1" x14ac:dyDescent="0.2">
      <c r="A25" s="23" t="s">
        <v>68</v>
      </c>
    </row>
    <row r="26" spans="1:1" x14ac:dyDescent="0.2">
      <c r="A26" s="23" t="s">
        <v>67</v>
      </c>
    </row>
    <row r="27" spans="1:1" x14ac:dyDescent="0.2">
      <c r="A27" s="23" t="s">
        <v>67</v>
      </c>
    </row>
    <row r="28" spans="1:1" x14ac:dyDescent="0.2">
      <c r="A28" s="23" t="s">
        <v>67</v>
      </c>
    </row>
    <row r="29" spans="1:1" x14ac:dyDescent="0.2">
      <c r="A29" s="23" t="s">
        <v>67</v>
      </c>
    </row>
    <row r="30" spans="1:1" x14ac:dyDescent="0.2">
      <c r="A30" s="23" t="s">
        <v>67</v>
      </c>
    </row>
    <row r="31" spans="1:1" x14ac:dyDescent="0.2">
      <c r="A31" s="23" t="s">
        <v>67</v>
      </c>
    </row>
  </sheetData>
  <conditionalFormatting sqref="F1:F4 F9:F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4 G9:G14 F5:F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G4 F9:G14 F5:F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9956-B240-4F57-BF82-E1DD2855CB44}">
  <dimension ref="A1"/>
  <sheetViews>
    <sheetView workbookViewId="0">
      <selection activeCell="F38" sqref="F38:F40"/>
    </sheetView>
  </sheetViews>
  <sheetFormatPr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3662-22A0-4D89-B7A7-49E6B4FD5F56}">
  <dimension ref="A1"/>
  <sheetViews>
    <sheetView workbookViewId="0">
      <selection activeCell="G27" sqref="G27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240527</vt:lpstr>
      <vt:lpstr>240702</vt:lpstr>
      <vt:lpstr>240716</vt:lpstr>
      <vt:lpstr>240717_RNA</vt:lpstr>
      <vt:lpstr>RNA_samples</vt:lpstr>
      <vt:lpstr>Sheet1</vt:lpstr>
      <vt:lpstr>Trizol_samples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Petrova Ekaterina IVI</dc:creator>
  <cp:lastModifiedBy>Petrova Ekaterina IVI</cp:lastModifiedBy>
  <dcterms:created xsi:type="dcterms:W3CDTF">2024-06-27T12:54:28Z</dcterms:created>
  <dcterms:modified xsi:type="dcterms:W3CDTF">2024-08-19T12:46:34Z</dcterms:modified>
</cp:coreProperties>
</file>