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ate1904="1" updateLinks="always" codeName="현재_통합_문서"/>
  <mc:AlternateContent xmlns:mc="http://schemas.openxmlformats.org/markup-compatibility/2006">
    <mc:Choice Requires="x15">
      <x15ac:absPath xmlns:x15ac="http://schemas.microsoft.com/office/spreadsheetml/2010/11/ac" url="https://imdecon.sharepoint.com/sites/PROJECT/Shared Documents/10.정비PJ 송파문정 28번지일대/송파구 문정동 28-1번지 일원/"/>
    </mc:Choice>
  </mc:AlternateContent>
  <xr:revisionPtr revIDLastSave="1528" documentId="13_ncr:1_{1BEEABEC-CA81-4A48-A058-311D2D9D21C7}" xr6:coauthVersionLast="47" xr6:coauthVersionMax="47" xr10:uidLastSave="{D9EC52CE-9098-440B-949F-97912DAE2D45}"/>
  <bookViews>
    <workbookView xWindow="57480" yWindow="-4065" windowWidth="21840" windowHeight="37920" firstSheet="1" activeTab="1" xr2:uid="{5B713889-F321-4B42-9C80-0747FA5EE247}"/>
  </bookViews>
  <sheets>
    <sheet name="요약" sheetId="21" r:id="rId1"/>
    <sheet name="통합" sheetId="8" r:id="rId2"/>
    <sheet name="A.토지 건축물에 관한사항" sheetId="13" state="hidden" r:id="rId3"/>
    <sheet name="B.소유권에 관한 사항" sheetId="14" state="hidden" r:id="rId4"/>
    <sheet name="C.동의에 관한 사항" sheetId="15" state="hidden" r:id="rId5"/>
    <sheet name="D.자산평가에 관한 사항" sheetId="16" state="hidden" r:id="rId6"/>
    <sheet name="설명회 참석자 명부" sheetId="30" r:id="rId7"/>
    <sheet name="준비위원명부" sheetId="33" r:id="rId8"/>
    <sheet name="우편물" sheetId="34" r:id="rId9"/>
    <sheet name="공적장부_부동산원" sheetId="23" r:id="rId10"/>
    <sheet name="비교" sheetId="28" r:id="rId11"/>
    <sheet name="건축물정보_부동산원" sheetId="27" r:id="rId12"/>
    <sheet name="이용순서" sheetId="29" r:id="rId13"/>
  </sheets>
  <definedNames>
    <definedName name="_xlnm.Print_Titles" localSheetId="1">통합!$2:$4</definedName>
    <definedName name="공동주택동의수">요약!#REF!</definedName>
    <definedName name="공동주택토지등소유자">요약!#REF!</definedName>
    <definedName name="기타동의수">요약!#REF!</definedName>
    <definedName name="기타토지등소유자">요약!#REF!</definedName>
    <definedName name="단독_다가구동의수">요약!#REF!</definedName>
    <definedName name="단독_다가구토지등소유자">요약!#REF!</definedName>
    <definedName name="도로보정배율">통합!$CM$3</definedName>
    <definedName name="배당환산금">통합!$BQ$3</definedName>
    <definedName name="집합건축물보정배율" localSheetId="2">#REF!</definedName>
    <definedName name="집합건축물보정배율">통합!$CK$3</definedName>
    <definedName name="토지등소유자">요약!#REF!</definedName>
    <definedName name="토지보정배율" localSheetId="2">#REF!</definedName>
    <definedName name="토지보정배율">통합!$CJ$3</definedName>
    <definedName name="토지평당환산액">통합!$BQ$3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5" i="8" l="1"/>
  <c r="CD6" i="8"/>
  <c r="CD7" i="8"/>
  <c r="CD8" i="8"/>
  <c r="CD9" i="8"/>
  <c r="CD10" i="8"/>
  <c r="CD11" i="8"/>
  <c r="CD12" i="8"/>
  <c r="CD13" i="8"/>
  <c r="CD14" i="8"/>
  <c r="CD15" i="8"/>
  <c r="CD16" i="8"/>
  <c r="CD17" i="8"/>
  <c r="CD18" i="8"/>
  <c r="CD19" i="8"/>
  <c r="CD20" i="8"/>
  <c r="CD21" i="8"/>
  <c r="CD22" i="8"/>
  <c r="CD23" i="8"/>
  <c r="CD24" i="8"/>
  <c r="CD25" i="8"/>
  <c r="CD26" i="8"/>
  <c r="CD27" i="8"/>
  <c r="CD28" i="8"/>
  <c r="CD29" i="8"/>
  <c r="CD30" i="8"/>
  <c r="CD31" i="8"/>
  <c r="CD32" i="8"/>
  <c r="CD33" i="8"/>
  <c r="CD34" i="8"/>
  <c r="CD35" i="8"/>
  <c r="CD36" i="8"/>
  <c r="CD37" i="8"/>
  <c r="CD38" i="8"/>
  <c r="CD39" i="8"/>
  <c r="CD40" i="8"/>
  <c r="CD41" i="8"/>
  <c r="CD42" i="8"/>
  <c r="CD43" i="8"/>
  <c r="CD44" i="8"/>
  <c r="CD45" i="8"/>
  <c r="CD46" i="8"/>
  <c r="CD47" i="8"/>
  <c r="CD48" i="8"/>
  <c r="CD49" i="8"/>
  <c r="CD50" i="8"/>
  <c r="CD51" i="8"/>
  <c r="CD52" i="8"/>
  <c r="CD53" i="8"/>
  <c r="CD54" i="8"/>
  <c r="CD55" i="8"/>
  <c r="CD56" i="8"/>
  <c r="CD57" i="8"/>
  <c r="CD58" i="8"/>
  <c r="CD59" i="8"/>
  <c r="CD60" i="8"/>
  <c r="CD61" i="8"/>
  <c r="CD62" i="8"/>
  <c r="CD63" i="8"/>
  <c r="CD64" i="8"/>
  <c r="CD65" i="8"/>
  <c r="CD66" i="8"/>
  <c r="CD67" i="8"/>
  <c r="CD68" i="8"/>
  <c r="CD69" i="8"/>
  <c r="CD70" i="8"/>
  <c r="CD71" i="8"/>
  <c r="CD72" i="8"/>
  <c r="CD73" i="8"/>
  <c r="CD74" i="8"/>
  <c r="CD75" i="8"/>
  <c r="CD76" i="8"/>
  <c r="CD77" i="8"/>
  <c r="CD78" i="8"/>
  <c r="CD79" i="8"/>
  <c r="CD80" i="8"/>
  <c r="CD81" i="8"/>
  <c r="CD82" i="8"/>
  <c r="CD83" i="8"/>
  <c r="CD84" i="8"/>
  <c r="CD85" i="8"/>
  <c r="CD86" i="8"/>
  <c r="CD87" i="8"/>
  <c r="CD88" i="8"/>
  <c r="CD89" i="8"/>
  <c r="CD90" i="8"/>
  <c r="CD91" i="8"/>
  <c r="CD92" i="8"/>
  <c r="CD93" i="8"/>
  <c r="CD94" i="8"/>
  <c r="CD95" i="8"/>
  <c r="CD96" i="8"/>
  <c r="CD97" i="8"/>
  <c r="CD98" i="8"/>
  <c r="CD99" i="8"/>
  <c r="CD100" i="8"/>
  <c r="CD101" i="8"/>
  <c r="CD102" i="8"/>
  <c r="CD103" i="8"/>
  <c r="CD104" i="8"/>
  <c r="CD105" i="8"/>
  <c r="CD106" i="8"/>
  <c r="CD107" i="8"/>
  <c r="CD108" i="8"/>
  <c r="CD109" i="8"/>
  <c r="CD110" i="8"/>
  <c r="CD111" i="8"/>
  <c r="CD112" i="8"/>
  <c r="CD113" i="8"/>
  <c r="CD114" i="8"/>
  <c r="CD115" i="8"/>
  <c r="CD116" i="8"/>
  <c r="CD117" i="8"/>
  <c r="CD118" i="8"/>
  <c r="CD119" i="8"/>
  <c r="CD120" i="8"/>
  <c r="CD121" i="8"/>
  <c r="CD122" i="8"/>
  <c r="CD123" i="8"/>
  <c r="CD124" i="8"/>
  <c r="CD125" i="8"/>
  <c r="CD126" i="8"/>
  <c r="CD127" i="8"/>
  <c r="CD128" i="8"/>
  <c r="CD129" i="8"/>
  <c r="CD130" i="8"/>
  <c r="CD131" i="8"/>
  <c r="CD132" i="8"/>
  <c r="CD133" i="8"/>
  <c r="CD134" i="8"/>
  <c r="CD135" i="8"/>
  <c r="CD136" i="8"/>
  <c r="CD137" i="8"/>
  <c r="CD138" i="8"/>
  <c r="CD139" i="8"/>
  <c r="CD140" i="8"/>
  <c r="CD141" i="8"/>
  <c r="CD142" i="8"/>
  <c r="CD143" i="8"/>
  <c r="CD144" i="8"/>
  <c r="CD145" i="8"/>
  <c r="CD146" i="8"/>
  <c r="CD147" i="8"/>
  <c r="CD148" i="8"/>
  <c r="CD149" i="8"/>
  <c r="CD150" i="8"/>
  <c r="CD151" i="8"/>
  <c r="CD152" i="8"/>
  <c r="CD153" i="8"/>
  <c r="CD154" i="8"/>
  <c r="CD155" i="8"/>
  <c r="CD156" i="8"/>
  <c r="CD157" i="8"/>
  <c r="CD158" i="8"/>
  <c r="CD159" i="8"/>
  <c r="CD160" i="8"/>
  <c r="CD161" i="8"/>
  <c r="CD162" i="8"/>
  <c r="CD163" i="8"/>
  <c r="CD164" i="8"/>
  <c r="CD165" i="8"/>
  <c r="CD166" i="8"/>
  <c r="A186" i="34"/>
  <c r="A185" i="34"/>
  <c r="A184" i="34"/>
  <c r="A183" i="34"/>
  <c r="A182" i="34"/>
  <c r="A181" i="34"/>
  <c r="A180" i="34"/>
  <c r="A179" i="34"/>
  <c r="A178" i="34"/>
  <c r="A177" i="34"/>
  <c r="A176" i="34"/>
  <c r="AM170" i="8"/>
  <c r="I34" i="21"/>
  <c r="F35" i="21" a="1"/>
  <c r="F35" i="21" s="1"/>
  <c r="F34" i="21" a="1"/>
  <c r="F34" i="21" s="1"/>
  <c r="E35" i="21" a="1"/>
  <c r="E35" i="21" s="1"/>
  <c r="O14" i="21" a="1"/>
  <c r="O14" i="21" s="1"/>
  <c r="E3" i="21" a="1"/>
  <c r="E3" i="21" s="1"/>
  <c r="B3" i="21" a="1"/>
  <c r="B3" i="21" s="1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54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5" i="8"/>
  <c r="T156" i="8"/>
  <c r="T157" i="8"/>
  <c r="T162" i="8"/>
  <c r="T163" i="8"/>
  <c r="T158" i="8"/>
  <c r="T159" i="8"/>
  <c r="T160" i="8"/>
  <c r="T161" i="8"/>
  <c r="T164" i="8"/>
  <c r="T165" i="8"/>
  <c r="T166" i="8"/>
  <c r="W177" i="8"/>
  <c r="AL170" i="8"/>
  <c r="AX5" i="8"/>
  <c r="AX6" i="8"/>
  <c r="AX7" i="8"/>
  <c r="AX8" i="8"/>
  <c r="AX9" i="8"/>
  <c r="AX10" i="8"/>
  <c r="AX11" i="8"/>
  <c r="AX12" i="8"/>
  <c r="AX15" i="8"/>
  <c r="AX16" i="8"/>
  <c r="AX17" i="8"/>
  <c r="AX18" i="8"/>
  <c r="AX19" i="8"/>
  <c r="AX20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X70" i="8"/>
  <c r="AX71" i="8"/>
  <c r="AX72" i="8"/>
  <c r="AX73" i="8"/>
  <c r="AX74" i="8"/>
  <c r="AX75" i="8"/>
  <c r="AX76" i="8"/>
  <c r="AX77" i="8"/>
  <c r="AX78" i="8"/>
  <c r="AX79" i="8"/>
  <c r="AX80" i="8"/>
  <c r="AX81" i="8"/>
  <c r="AX82" i="8"/>
  <c r="AX83" i="8"/>
  <c r="AX84" i="8"/>
  <c r="AX85" i="8"/>
  <c r="AX86" i="8"/>
  <c r="AX87" i="8"/>
  <c r="AX88" i="8"/>
  <c r="AX89" i="8"/>
  <c r="AX90" i="8"/>
  <c r="AX91" i="8"/>
  <c r="AX92" i="8"/>
  <c r="AX93" i="8"/>
  <c r="AX94" i="8"/>
  <c r="AX95" i="8"/>
  <c r="AX96" i="8"/>
  <c r="AX97" i="8"/>
  <c r="AX98" i="8"/>
  <c r="AX99" i="8"/>
  <c r="AX100" i="8"/>
  <c r="AX101" i="8"/>
  <c r="AX102" i="8"/>
  <c r="AX103" i="8"/>
  <c r="AX104" i="8"/>
  <c r="AX105" i="8"/>
  <c r="AX106" i="8"/>
  <c r="AX107" i="8"/>
  <c r="AX108" i="8"/>
  <c r="AX109" i="8"/>
  <c r="AX110" i="8"/>
  <c r="AX111" i="8"/>
  <c r="AX112" i="8"/>
  <c r="AX113" i="8"/>
  <c r="AX114" i="8"/>
  <c r="AX115" i="8"/>
  <c r="AX116" i="8"/>
  <c r="AX117" i="8"/>
  <c r="AX118" i="8"/>
  <c r="AX119" i="8"/>
  <c r="AX120" i="8"/>
  <c r="AX121" i="8"/>
  <c r="AX122" i="8"/>
  <c r="AX123" i="8"/>
  <c r="AX124" i="8"/>
  <c r="AX125" i="8"/>
  <c r="AX126" i="8"/>
  <c r="AX127" i="8"/>
  <c r="AX128" i="8"/>
  <c r="AX129" i="8"/>
  <c r="AX130" i="8"/>
  <c r="AX131" i="8"/>
  <c r="AX132" i="8"/>
  <c r="AX133" i="8"/>
  <c r="AX134" i="8"/>
  <c r="AX135" i="8"/>
  <c r="AX136" i="8"/>
  <c r="AX137" i="8"/>
  <c r="AX138" i="8"/>
  <c r="AX139" i="8"/>
  <c r="AX140" i="8"/>
  <c r="AX154" i="8"/>
  <c r="AX141" i="8"/>
  <c r="AX142" i="8"/>
  <c r="AX143" i="8"/>
  <c r="AX144" i="8"/>
  <c r="AX145" i="8"/>
  <c r="AX146" i="8"/>
  <c r="AX147" i="8"/>
  <c r="AX148" i="8"/>
  <c r="AX149" i="8"/>
  <c r="AX150" i="8"/>
  <c r="AX151" i="8"/>
  <c r="AX152" i="8"/>
  <c r="AX153" i="8"/>
  <c r="AX155" i="8"/>
  <c r="AX156" i="8"/>
  <c r="AX157" i="8"/>
  <c r="AX162" i="8"/>
  <c r="AX163" i="8"/>
  <c r="AX158" i="8"/>
  <c r="AX159" i="8"/>
  <c r="AX161" i="8"/>
  <c r="AX164" i="8"/>
  <c r="AX165" i="8"/>
  <c r="AX166" i="8"/>
  <c r="AW5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AW70" i="8"/>
  <c r="AW71" i="8"/>
  <c r="AW72" i="8"/>
  <c r="AW73" i="8"/>
  <c r="AW74" i="8"/>
  <c r="AW75" i="8"/>
  <c r="AW76" i="8"/>
  <c r="AW77" i="8"/>
  <c r="AW78" i="8"/>
  <c r="AW79" i="8"/>
  <c r="AW80" i="8"/>
  <c r="AW81" i="8"/>
  <c r="AW82" i="8"/>
  <c r="AW83" i="8"/>
  <c r="AW84" i="8"/>
  <c r="AW85" i="8"/>
  <c r="AW86" i="8"/>
  <c r="AW87" i="8"/>
  <c r="AW88" i="8"/>
  <c r="AW89" i="8"/>
  <c r="AW90" i="8"/>
  <c r="AW91" i="8"/>
  <c r="AW92" i="8"/>
  <c r="AW93" i="8"/>
  <c r="AW94" i="8"/>
  <c r="AW95" i="8"/>
  <c r="AW96" i="8"/>
  <c r="AW97" i="8"/>
  <c r="AW98" i="8"/>
  <c r="AW99" i="8"/>
  <c r="AW100" i="8"/>
  <c r="AW101" i="8"/>
  <c r="AW102" i="8"/>
  <c r="AW103" i="8"/>
  <c r="AW104" i="8"/>
  <c r="AW105" i="8"/>
  <c r="AW106" i="8"/>
  <c r="AW107" i="8"/>
  <c r="AW108" i="8"/>
  <c r="AW109" i="8"/>
  <c r="AW110" i="8"/>
  <c r="AW111" i="8"/>
  <c r="AW112" i="8"/>
  <c r="AW113" i="8"/>
  <c r="AW114" i="8"/>
  <c r="AW115" i="8"/>
  <c r="AW116" i="8"/>
  <c r="AW117" i="8"/>
  <c r="AW118" i="8"/>
  <c r="AW119" i="8"/>
  <c r="AW120" i="8"/>
  <c r="AW121" i="8"/>
  <c r="AW122" i="8"/>
  <c r="AW123" i="8"/>
  <c r="AW124" i="8"/>
  <c r="AW125" i="8"/>
  <c r="AW126" i="8"/>
  <c r="AW127" i="8"/>
  <c r="AW128" i="8"/>
  <c r="AW129" i="8"/>
  <c r="AW130" i="8"/>
  <c r="AW131" i="8"/>
  <c r="AW132" i="8"/>
  <c r="AW133" i="8"/>
  <c r="AW134" i="8"/>
  <c r="AW135" i="8"/>
  <c r="AW136" i="8"/>
  <c r="AW137" i="8"/>
  <c r="AW138" i="8"/>
  <c r="AW139" i="8"/>
  <c r="AW140" i="8"/>
  <c r="AW154" i="8"/>
  <c r="AW141" i="8"/>
  <c r="AW142" i="8"/>
  <c r="AW143" i="8"/>
  <c r="AW144" i="8"/>
  <c r="AW145" i="8"/>
  <c r="AW146" i="8"/>
  <c r="AW147" i="8"/>
  <c r="AW148" i="8"/>
  <c r="AW149" i="8"/>
  <c r="AW150" i="8"/>
  <c r="AW151" i="8"/>
  <c r="AW152" i="8"/>
  <c r="AW153" i="8"/>
  <c r="AW155" i="8"/>
  <c r="AW156" i="8"/>
  <c r="AW157" i="8"/>
  <c r="AW162" i="8"/>
  <c r="AW163" i="8"/>
  <c r="AW158" i="8"/>
  <c r="AW159" i="8"/>
  <c r="AW160" i="8"/>
  <c r="AW161" i="8"/>
  <c r="AW164" i="8"/>
  <c r="AW165" i="8"/>
  <c r="AW166" i="8"/>
  <c r="BM5" i="8"/>
  <c r="BM6" i="8"/>
  <c r="BM7" i="8"/>
  <c r="BM8" i="8"/>
  <c r="BM9" i="8"/>
  <c r="BM10" i="8"/>
  <c r="BM11" i="8"/>
  <c r="BM12" i="8"/>
  <c r="BM13" i="8"/>
  <c r="BM14" i="8"/>
  <c r="BM15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34" i="8"/>
  <c r="BM35" i="8"/>
  <c r="BM36" i="8"/>
  <c r="BM37" i="8"/>
  <c r="BM38" i="8"/>
  <c r="BM39" i="8"/>
  <c r="BM40" i="8"/>
  <c r="BM41" i="8"/>
  <c r="BM42" i="8"/>
  <c r="BM43" i="8"/>
  <c r="BM44" i="8"/>
  <c r="BM45" i="8"/>
  <c r="BM46" i="8"/>
  <c r="BM47" i="8"/>
  <c r="BM48" i="8"/>
  <c r="BM49" i="8"/>
  <c r="BM50" i="8"/>
  <c r="BM51" i="8"/>
  <c r="BM52" i="8"/>
  <c r="BM53" i="8"/>
  <c r="BM54" i="8"/>
  <c r="BM55" i="8"/>
  <c r="BM56" i="8"/>
  <c r="BM57" i="8"/>
  <c r="BM58" i="8"/>
  <c r="BM59" i="8"/>
  <c r="BM60" i="8"/>
  <c r="BM61" i="8"/>
  <c r="BM62" i="8"/>
  <c r="BM63" i="8"/>
  <c r="BM64" i="8"/>
  <c r="BM65" i="8"/>
  <c r="BM66" i="8"/>
  <c r="BM67" i="8"/>
  <c r="BM68" i="8"/>
  <c r="BM69" i="8"/>
  <c r="BM70" i="8"/>
  <c r="BM71" i="8"/>
  <c r="BM72" i="8"/>
  <c r="BM73" i="8"/>
  <c r="BM74" i="8"/>
  <c r="BM75" i="8"/>
  <c r="BM76" i="8"/>
  <c r="BM77" i="8"/>
  <c r="BM78" i="8"/>
  <c r="BM79" i="8"/>
  <c r="BM80" i="8"/>
  <c r="BM81" i="8"/>
  <c r="BM82" i="8"/>
  <c r="BM83" i="8"/>
  <c r="BM84" i="8"/>
  <c r="BM85" i="8"/>
  <c r="BM86" i="8"/>
  <c r="BM87" i="8"/>
  <c r="BM88" i="8"/>
  <c r="BM89" i="8"/>
  <c r="BM90" i="8"/>
  <c r="BM91" i="8"/>
  <c r="BM92" i="8"/>
  <c r="BM93" i="8"/>
  <c r="BM94" i="8"/>
  <c r="BM95" i="8"/>
  <c r="BM96" i="8"/>
  <c r="BM97" i="8"/>
  <c r="BM98" i="8"/>
  <c r="BM99" i="8"/>
  <c r="BM100" i="8"/>
  <c r="BM101" i="8"/>
  <c r="BM102" i="8"/>
  <c r="BM103" i="8"/>
  <c r="BM104" i="8"/>
  <c r="BM105" i="8"/>
  <c r="BM106" i="8"/>
  <c r="BM107" i="8"/>
  <c r="BM108" i="8"/>
  <c r="BM109" i="8"/>
  <c r="BM110" i="8"/>
  <c r="BM111" i="8"/>
  <c r="BM112" i="8"/>
  <c r="BM113" i="8"/>
  <c r="BM114" i="8"/>
  <c r="BM115" i="8"/>
  <c r="BM116" i="8"/>
  <c r="BM117" i="8"/>
  <c r="BM118" i="8"/>
  <c r="BM119" i="8"/>
  <c r="BM120" i="8"/>
  <c r="BM121" i="8"/>
  <c r="BM122" i="8"/>
  <c r="BM123" i="8"/>
  <c r="BM124" i="8"/>
  <c r="BM125" i="8"/>
  <c r="BM126" i="8"/>
  <c r="BM127" i="8"/>
  <c r="BM128" i="8"/>
  <c r="BM129" i="8"/>
  <c r="BM130" i="8"/>
  <c r="BM131" i="8"/>
  <c r="BM132" i="8"/>
  <c r="BM133" i="8"/>
  <c r="BM134" i="8"/>
  <c r="BM135" i="8"/>
  <c r="BM136" i="8"/>
  <c r="BM137" i="8"/>
  <c r="BM138" i="8"/>
  <c r="BM139" i="8"/>
  <c r="BM140" i="8"/>
  <c r="BM154" i="8"/>
  <c r="BM141" i="8"/>
  <c r="BM142" i="8"/>
  <c r="BM143" i="8"/>
  <c r="BM144" i="8"/>
  <c r="BM145" i="8"/>
  <c r="BM146" i="8"/>
  <c r="BM147" i="8"/>
  <c r="BM148" i="8"/>
  <c r="BM149" i="8"/>
  <c r="BM150" i="8"/>
  <c r="BM151" i="8"/>
  <c r="BM152" i="8"/>
  <c r="BM153" i="8"/>
  <c r="BM155" i="8"/>
  <c r="BM156" i="8"/>
  <c r="BM157" i="8"/>
  <c r="BM162" i="8"/>
  <c r="BM163" i="8"/>
  <c r="BM158" i="8"/>
  <c r="BM159" i="8"/>
  <c r="BM160" i="8"/>
  <c r="BM161" i="8"/>
  <c r="BM164" i="8"/>
  <c r="BM165" i="8"/>
  <c r="BM166" i="8"/>
  <c r="BL5" i="8"/>
  <c r="BL6" i="8"/>
  <c r="BL7" i="8"/>
  <c r="BL8" i="8"/>
  <c r="BL9" i="8"/>
  <c r="BL10" i="8"/>
  <c r="BL11" i="8"/>
  <c r="BL12" i="8"/>
  <c r="BL13" i="8"/>
  <c r="BL14" i="8"/>
  <c r="BL15" i="8"/>
  <c r="BL16" i="8"/>
  <c r="BL17" i="8"/>
  <c r="BL18" i="8"/>
  <c r="BL19" i="8"/>
  <c r="BL20" i="8"/>
  <c r="BL21" i="8"/>
  <c r="BL22" i="8"/>
  <c r="BL23" i="8"/>
  <c r="BL24" i="8"/>
  <c r="BL25" i="8"/>
  <c r="BL26" i="8"/>
  <c r="BL27" i="8"/>
  <c r="BL28" i="8"/>
  <c r="BL29" i="8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49" i="8"/>
  <c r="BL50" i="8"/>
  <c r="BL51" i="8"/>
  <c r="BL52" i="8"/>
  <c r="BL53" i="8"/>
  <c r="BL54" i="8"/>
  <c r="BL55" i="8"/>
  <c r="BL56" i="8"/>
  <c r="BL57" i="8"/>
  <c r="BL58" i="8"/>
  <c r="BL59" i="8"/>
  <c r="BL60" i="8"/>
  <c r="BL61" i="8"/>
  <c r="BL62" i="8"/>
  <c r="BL63" i="8"/>
  <c r="BL64" i="8"/>
  <c r="BL65" i="8"/>
  <c r="BL66" i="8"/>
  <c r="BL67" i="8"/>
  <c r="BL68" i="8"/>
  <c r="BL69" i="8"/>
  <c r="BL70" i="8"/>
  <c r="BL71" i="8"/>
  <c r="BL72" i="8"/>
  <c r="BL73" i="8"/>
  <c r="BL74" i="8"/>
  <c r="BL75" i="8"/>
  <c r="BL76" i="8"/>
  <c r="BL77" i="8"/>
  <c r="BL78" i="8"/>
  <c r="BL79" i="8"/>
  <c r="BL80" i="8"/>
  <c r="BL81" i="8"/>
  <c r="BL82" i="8"/>
  <c r="BL83" i="8"/>
  <c r="BL84" i="8"/>
  <c r="BL85" i="8"/>
  <c r="BL86" i="8"/>
  <c r="BL87" i="8"/>
  <c r="BL88" i="8"/>
  <c r="BL89" i="8"/>
  <c r="BL90" i="8"/>
  <c r="BL91" i="8"/>
  <c r="BL92" i="8"/>
  <c r="BL93" i="8"/>
  <c r="BL94" i="8"/>
  <c r="BL95" i="8"/>
  <c r="BL96" i="8"/>
  <c r="BL97" i="8"/>
  <c r="BL98" i="8"/>
  <c r="BL99" i="8"/>
  <c r="BL100" i="8"/>
  <c r="BL101" i="8"/>
  <c r="BL102" i="8"/>
  <c r="BL103" i="8"/>
  <c r="BL104" i="8"/>
  <c r="BL105" i="8"/>
  <c r="BL106" i="8"/>
  <c r="BL107" i="8"/>
  <c r="BL108" i="8"/>
  <c r="BL109" i="8"/>
  <c r="BL110" i="8"/>
  <c r="BL111" i="8"/>
  <c r="BL112" i="8"/>
  <c r="BL113" i="8"/>
  <c r="BL114" i="8"/>
  <c r="BL115" i="8"/>
  <c r="BL116" i="8"/>
  <c r="BL117" i="8"/>
  <c r="BL118" i="8"/>
  <c r="BL119" i="8"/>
  <c r="BL120" i="8"/>
  <c r="BL121" i="8"/>
  <c r="BL122" i="8"/>
  <c r="BL123" i="8"/>
  <c r="BL124" i="8"/>
  <c r="BL125" i="8"/>
  <c r="BL126" i="8"/>
  <c r="BL127" i="8"/>
  <c r="BL128" i="8"/>
  <c r="BL129" i="8"/>
  <c r="BL130" i="8"/>
  <c r="BL131" i="8"/>
  <c r="BL132" i="8"/>
  <c r="BL133" i="8"/>
  <c r="BL134" i="8"/>
  <c r="BL135" i="8"/>
  <c r="BL136" i="8"/>
  <c r="BL137" i="8"/>
  <c r="BL138" i="8"/>
  <c r="BL139" i="8"/>
  <c r="BL140" i="8"/>
  <c r="BL154" i="8"/>
  <c r="BL141" i="8"/>
  <c r="BL142" i="8"/>
  <c r="BL143" i="8"/>
  <c r="BL144" i="8"/>
  <c r="BL145" i="8"/>
  <c r="BL146" i="8"/>
  <c r="BL147" i="8"/>
  <c r="BL148" i="8"/>
  <c r="BL149" i="8"/>
  <c r="BL150" i="8"/>
  <c r="BL151" i="8"/>
  <c r="BL152" i="8"/>
  <c r="BL153" i="8"/>
  <c r="BL155" i="8"/>
  <c r="BL156" i="8"/>
  <c r="BL157" i="8"/>
  <c r="BL162" i="8"/>
  <c r="BL163" i="8"/>
  <c r="BL158" i="8"/>
  <c r="BL159" i="8"/>
  <c r="BL160" i="8"/>
  <c r="BL161" i="8"/>
  <c r="BL164" i="8"/>
  <c r="BL165" i="8"/>
  <c r="BL166" i="8"/>
  <c r="BK5" i="8"/>
  <c r="BK6" i="8"/>
  <c r="BK7" i="8"/>
  <c r="BK8" i="8"/>
  <c r="BK9" i="8"/>
  <c r="BK10" i="8"/>
  <c r="BK11" i="8"/>
  <c r="BK12" i="8"/>
  <c r="BK13" i="8"/>
  <c r="BK14" i="8"/>
  <c r="BK15" i="8"/>
  <c r="BK16" i="8"/>
  <c r="BK17" i="8"/>
  <c r="BK18" i="8"/>
  <c r="BK19" i="8"/>
  <c r="BK20" i="8"/>
  <c r="BK21" i="8"/>
  <c r="BK22" i="8"/>
  <c r="BK23" i="8"/>
  <c r="BK24" i="8"/>
  <c r="BK25" i="8"/>
  <c r="BK26" i="8"/>
  <c r="BK27" i="8"/>
  <c r="BK28" i="8"/>
  <c r="BK29" i="8"/>
  <c r="BK30" i="8"/>
  <c r="BK31" i="8"/>
  <c r="BK32" i="8"/>
  <c r="BK33" i="8"/>
  <c r="BK34" i="8"/>
  <c r="BK35" i="8"/>
  <c r="BK36" i="8"/>
  <c r="BK37" i="8"/>
  <c r="BK38" i="8"/>
  <c r="BK39" i="8"/>
  <c r="BK40" i="8"/>
  <c r="BK41" i="8"/>
  <c r="BK42" i="8"/>
  <c r="BK43" i="8"/>
  <c r="BK44" i="8"/>
  <c r="BK45" i="8"/>
  <c r="BK46" i="8"/>
  <c r="BK47" i="8"/>
  <c r="BK48" i="8"/>
  <c r="BK49" i="8"/>
  <c r="BK50" i="8"/>
  <c r="BK51" i="8"/>
  <c r="BK52" i="8"/>
  <c r="BK53" i="8"/>
  <c r="BK54" i="8"/>
  <c r="BK55" i="8"/>
  <c r="BK56" i="8"/>
  <c r="BK57" i="8"/>
  <c r="BK58" i="8"/>
  <c r="BK59" i="8"/>
  <c r="BK60" i="8"/>
  <c r="BK61" i="8"/>
  <c r="BK62" i="8"/>
  <c r="BK63" i="8"/>
  <c r="BK64" i="8"/>
  <c r="BK65" i="8"/>
  <c r="BK66" i="8"/>
  <c r="BK67" i="8"/>
  <c r="BK68" i="8"/>
  <c r="BK69" i="8"/>
  <c r="BK70" i="8"/>
  <c r="BK71" i="8"/>
  <c r="BK72" i="8"/>
  <c r="BK73" i="8"/>
  <c r="BK74" i="8"/>
  <c r="BK75" i="8"/>
  <c r="BK76" i="8"/>
  <c r="BK77" i="8"/>
  <c r="BK78" i="8"/>
  <c r="BK79" i="8"/>
  <c r="BK80" i="8"/>
  <c r="BK81" i="8"/>
  <c r="BK82" i="8"/>
  <c r="BK83" i="8"/>
  <c r="BK84" i="8"/>
  <c r="BK85" i="8"/>
  <c r="BK86" i="8"/>
  <c r="BK87" i="8"/>
  <c r="BK88" i="8"/>
  <c r="BK89" i="8"/>
  <c r="BK90" i="8"/>
  <c r="BK91" i="8"/>
  <c r="BK92" i="8"/>
  <c r="BK93" i="8"/>
  <c r="BK94" i="8"/>
  <c r="BK95" i="8"/>
  <c r="BK96" i="8"/>
  <c r="BK97" i="8"/>
  <c r="BK98" i="8"/>
  <c r="BK99" i="8"/>
  <c r="BK100" i="8"/>
  <c r="BK101" i="8"/>
  <c r="BK102" i="8"/>
  <c r="BK103" i="8"/>
  <c r="BK104" i="8"/>
  <c r="BK105" i="8"/>
  <c r="BK106" i="8"/>
  <c r="BK107" i="8"/>
  <c r="BK108" i="8"/>
  <c r="BK109" i="8"/>
  <c r="BK110" i="8"/>
  <c r="BK111" i="8"/>
  <c r="BK112" i="8"/>
  <c r="BK113" i="8"/>
  <c r="BK114" i="8"/>
  <c r="BK115" i="8"/>
  <c r="BK116" i="8"/>
  <c r="BK117" i="8"/>
  <c r="BK118" i="8"/>
  <c r="BK119" i="8"/>
  <c r="BK120" i="8"/>
  <c r="BK121" i="8"/>
  <c r="BK122" i="8"/>
  <c r="BK123" i="8"/>
  <c r="BK124" i="8"/>
  <c r="BK125" i="8"/>
  <c r="BK126" i="8"/>
  <c r="BK127" i="8"/>
  <c r="BK128" i="8"/>
  <c r="BK129" i="8"/>
  <c r="BK130" i="8"/>
  <c r="BK131" i="8"/>
  <c r="BK132" i="8"/>
  <c r="BK133" i="8"/>
  <c r="BK134" i="8"/>
  <c r="BK135" i="8"/>
  <c r="BK136" i="8"/>
  <c r="BK137" i="8"/>
  <c r="BK138" i="8"/>
  <c r="BK139" i="8"/>
  <c r="BK140" i="8"/>
  <c r="BK154" i="8"/>
  <c r="BK141" i="8"/>
  <c r="BK142" i="8"/>
  <c r="BK143" i="8"/>
  <c r="BK144" i="8"/>
  <c r="BK145" i="8"/>
  <c r="BK146" i="8"/>
  <c r="BK147" i="8"/>
  <c r="BK148" i="8"/>
  <c r="BK149" i="8"/>
  <c r="BK150" i="8"/>
  <c r="BK151" i="8"/>
  <c r="BK152" i="8"/>
  <c r="BK153" i="8"/>
  <c r="BK155" i="8"/>
  <c r="BK156" i="8"/>
  <c r="BK157" i="8"/>
  <c r="BK162" i="8"/>
  <c r="BK163" i="8"/>
  <c r="BK158" i="8"/>
  <c r="BK159" i="8"/>
  <c r="BK160" i="8"/>
  <c r="BK161" i="8"/>
  <c r="BK164" i="8"/>
  <c r="BK165" i="8"/>
  <c r="BK166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86" i="8"/>
  <c r="AS87" i="8"/>
  <c r="AS88" i="8"/>
  <c r="AS89" i="8"/>
  <c r="AS90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54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5" i="8"/>
  <c r="AS156" i="8"/>
  <c r="AS157" i="8"/>
  <c r="AS162" i="8"/>
  <c r="AS163" i="8"/>
  <c r="AS158" i="8"/>
  <c r="AS159" i="8"/>
  <c r="AS160" i="8"/>
  <c r="AS161" i="8"/>
  <c r="AS164" i="8"/>
  <c r="AS165" i="8"/>
  <c r="AS166" i="8"/>
  <c r="AE5" i="8" a="1"/>
  <c r="AE5" i="8" s="1"/>
  <c r="AE6" i="8" a="1"/>
  <c r="AE6" i="8" s="1"/>
  <c r="AE7" i="8" a="1"/>
  <c r="AE7" i="8" s="1"/>
  <c r="AE8" i="8" a="1"/>
  <c r="AE8" i="8" s="1"/>
  <c r="AE9" i="8" a="1"/>
  <c r="AE9" i="8"/>
  <c r="AE10" i="8" a="1"/>
  <c r="AE10" i="8" s="1"/>
  <c r="AE11" i="8" a="1"/>
  <c r="AE11" i="8" s="1"/>
  <c r="AE12" i="8" a="1"/>
  <c r="AE12" i="8"/>
  <c r="AE13" i="8" a="1"/>
  <c r="AE13" i="8" s="1"/>
  <c r="AE14" i="8" a="1"/>
  <c r="AE14" i="8"/>
  <c r="AE15" i="8" a="1"/>
  <c r="AE15" i="8" s="1"/>
  <c r="AE16" i="8" a="1"/>
  <c r="AE16" i="8" s="1"/>
  <c r="AE17" i="8" a="1"/>
  <c r="AE17" i="8" s="1"/>
  <c r="AE18" i="8" a="1"/>
  <c r="AE18" i="8" s="1"/>
  <c r="AE19" i="8" a="1"/>
  <c r="AE19" i="8"/>
  <c r="AE20" i="8" a="1"/>
  <c r="AE20" i="8"/>
  <c r="AE21" i="8" a="1"/>
  <c r="AE21" i="8"/>
  <c r="AE22" i="8" a="1"/>
  <c r="AE22" i="8" s="1"/>
  <c r="AE23" i="8" a="1"/>
  <c r="AE23" i="8"/>
  <c r="AE24" i="8" a="1"/>
  <c r="AE24" i="8" s="1"/>
  <c r="AE25" i="8" a="1"/>
  <c r="AE25" i="8" s="1"/>
  <c r="AE26" i="8" a="1"/>
  <c r="AE26" i="8" s="1"/>
  <c r="AE27" i="8" a="1"/>
  <c r="AE27" i="8" s="1"/>
  <c r="AE28" i="8" a="1"/>
  <c r="AE28" i="8" s="1"/>
  <c r="AE29" i="8" a="1"/>
  <c r="AE29" i="8" s="1"/>
  <c r="AE30" i="8" a="1"/>
  <c r="AE30" i="8"/>
  <c r="AE31" i="8" a="1"/>
  <c r="AE31" i="8"/>
  <c r="AE32" i="8" a="1"/>
  <c r="AE32" i="8" s="1"/>
  <c r="AE33" i="8" a="1"/>
  <c r="AE33" i="8" s="1"/>
  <c r="AE34" i="8" a="1"/>
  <c r="AE34" i="8" s="1"/>
  <c r="AE35" i="8" a="1"/>
  <c r="AE35" i="8"/>
  <c r="AE36" i="8" a="1"/>
  <c r="AE36" i="8"/>
  <c r="AE37" i="8" a="1"/>
  <c r="AE37" i="8" s="1"/>
  <c r="AE38" i="8" a="1"/>
  <c r="AE38" i="8" s="1"/>
  <c r="AE39" i="8" a="1"/>
  <c r="AE39" i="8"/>
  <c r="AE40" i="8" a="1"/>
  <c r="AE40" i="8" s="1"/>
  <c r="AE41" i="8" a="1"/>
  <c r="AE41" i="8" s="1"/>
  <c r="AE42" i="8" a="1"/>
  <c r="AE42" i="8" s="1"/>
  <c r="AE43" i="8" a="1"/>
  <c r="AE43" i="8" s="1"/>
  <c r="AE44" i="8" a="1"/>
  <c r="AE44" i="8"/>
  <c r="AE45" i="8" a="1"/>
  <c r="AE45" i="8" s="1"/>
  <c r="AE46" i="8" a="1"/>
  <c r="AE46" i="8" s="1"/>
  <c r="AE47" i="8" a="1"/>
  <c r="AE47" i="8" s="1"/>
  <c r="AE48" i="8" a="1"/>
  <c r="AE48" i="8" s="1"/>
  <c r="AE49" i="8" a="1"/>
  <c r="AE49" i="8" s="1"/>
  <c r="AE50" i="8" a="1"/>
  <c r="AE50" i="8" s="1"/>
  <c r="AE51" i="8" a="1"/>
  <c r="AE51" i="8" s="1"/>
  <c r="AE52" i="8" a="1"/>
  <c r="AE52" i="8"/>
  <c r="AE53" i="8" a="1"/>
  <c r="AE53" i="8" s="1"/>
  <c r="AE54" i="8" a="1"/>
  <c r="AE54" i="8"/>
  <c r="AE55" i="8" a="1"/>
  <c r="AE55" i="8" s="1"/>
  <c r="AE56" i="8" a="1"/>
  <c r="AE56" i="8"/>
  <c r="AE57" i="8" a="1"/>
  <c r="AE57" i="8" s="1"/>
  <c r="AE58" i="8" a="1"/>
  <c r="AE58" i="8" s="1"/>
  <c r="AE59" i="8" a="1"/>
  <c r="AE59" i="8"/>
  <c r="AE60" i="8" a="1"/>
  <c r="AE60" i="8" s="1"/>
  <c r="AE61" i="8" a="1"/>
  <c r="AE61" i="8"/>
  <c r="AE62" i="8" a="1"/>
  <c r="AE62" i="8" s="1"/>
  <c r="AE63" i="8" a="1"/>
  <c r="AE63" i="8"/>
  <c r="AE64" i="8" a="1"/>
  <c r="AE64" i="8" s="1"/>
  <c r="AE65" i="8" a="1"/>
  <c r="AE65" i="8" s="1"/>
  <c r="AE66" i="8" a="1"/>
  <c r="AE66" i="8" s="1"/>
  <c r="AE67" i="8" a="1"/>
  <c r="AE67" i="8"/>
  <c r="AE68" i="8" a="1"/>
  <c r="AE68" i="8" s="1"/>
  <c r="AE69" i="8" a="1"/>
  <c r="AE69" i="8" s="1"/>
  <c r="AE70" i="8" a="1"/>
  <c r="AE70" i="8" s="1"/>
  <c r="AE71" i="8" a="1"/>
  <c r="AE71" i="8"/>
  <c r="AE72" i="8" a="1"/>
  <c r="AE72" i="8" s="1"/>
  <c r="AE73" i="8" a="1"/>
  <c r="AE73" i="8" s="1"/>
  <c r="AE74" i="8" a="1"/>
  <c r="AE74" i="8" s="1"/>
  <c r="AE75" i="8" a="1"/>
  <c r="AE75" i="8" s="1"/>
  <c r="AE76" i="8" a="1"/>
  <c r="AE76" i="8" s="1"/>
  <c r="AE77" i="8" a="1"/>
  <c r="AE77" i="8"/>
  <c r="AE78" i="8" a="1"/>
  <c r="AE78" i="8"/>
  <c r="AE79" i="8" a="1"/>
  <c r="AE79" i="8"/>
  <c r="AE80" i="8" a="1"/>
  <c r="AE80" i="8" s="1"/>
  <c r="AE81" i="8" a="1"/>
  <c r="AE81" i="8" s="1"/>
  <c r="AE82" i="8" a="1"/>
  <c r="AE82" i="8" s="1"/>
  <c r="AE83" i="8" a="1"/>
  <c r="AE83" i="8"/>
  <c r="AE84" i="8" a="1"/>
  <c r="AE84" i="8" s="1"/>
  <c r="AE85" i="8" a="1"/>
  <c r="AE85" i="8" s="1"/>
  <c r="AE86" i="8" a="1"/>
  <c r="AE86" i="8" s="1"/>
  <c r="AE87" i="8" a="1"/>
  <c r="AE87" i="8" s="1"/>
  <c r="AE88" i="8" a="1"/>
  <c r="AE88" i="8" s="1"/>
  <c r="AE89" i="8" a="1"/>
  <c r="AE89" i="8" s="1"/>
  <c r="AE90" i="8" a="1"/>
  <c r="AE90" i="8" s="1"/>
  <c r="AE91" i="8" a="1"/>
  <c r="AE91" i="8" s="1"/>
  <c r="AE92" i="8" a="1"/>
  <c r="AE92" i="8"/>
  <c r="AE93" i="8" a="1"/>
  <c r="AE93" i="8" s="1"/>
  <c r="AE103" i="8" a="1"/>
  <c r="AE103" i="8"/>
  <c r="AE104" i="8" a="1"/>
  <c r="AE104" i="8" s="1"/>
  <c r="AE105" i="8" a="1"/>
  <c r="AE105" i="8" s="1"/>
  <c r="AE106" i="8" a="1"/>
  <c r="AE106" i="8" s="1"/>
  <c r="AE119" i="8" a="1"/>
  <c r="AE119" i="8" s="1"/>
  <c r="AE120" i="8" a="1"/>
  <c r="AE120" i="8" s="1"/>
  <c r="AE121" i="8" a="1"/>
  <c r="AE121" i="8" s="1"/>
  <c r="AE129" i="8" a="1"/>
  <c r="AE129" i="8" s="1"/>
  <c r="AE140" i="8" a="1"/>
  <c r="AE140" i="8" s="1"/>
  <c r="AE155" i="8" a="1"/>
  <c r="AE155" i="8"/>
  <c r="AE156" i="8" a="1"/>
  <c r="AE156" i="8"/>
  <c r="AE157" i="8" a="1"/>
  <c r="AE157" i="8" s="1"/>
  <c r="AE164" i="8" a="1"/>
  <c r="AE164" i="8" s="1"/>
  <c r="AE165" i="8" a="1"/>
  <c r="AE165" i="8" s="1"/>
  <c r="AE166" i="8" a="1"/>
  <c r="AE166" i="8" s="1"/>
  <c r="B6" i="21" a="1"/>
  <c r="B6" i="21" s="1"/>
  <c r="B5" i="21" a="1"/>
  <c r="B5" i="21" s="1"/>
  <c r="AU170" i="8"/>
  <c r="F6" i="21"/>
  <c r="I6" i="21" s="1" a="1"/>
  <c r="I6" i="21" s="1"/>
  <c r="F5" i="21"/>
  <c r="I5" i="21" s="1" a="1"/>
  <c r="I5" i="21" s="1"/>
  <c r="N5" i="21"/>
  <c r="N3" i="21"/>
  <c r="F3" i="21"/>
  <c r="I3" i="21" a="1"/>
  <c r="I3" i="21" s="1"/>
  <c r="I7" i="21" a="1"/>
  <c r="I7" i="21" s="1"/>
  <c r="AK170" i="8"/>
  <c r="AI169" i="8"/>
  <c r="AI171" i="8"/>
  <c r="AI170" i="8"/>
  <c r="AI173" i="8"/>
  <c r="AI172" i="8"/>
  <c r="AN170" i="8"/>
  <c r="AA170" i="8"/>
  <c r="B170" i="8"/>
  <c r="Z6" i="21"/>
  <c r="Z5" i="21"/>
  <c r="Z3" i="21"/>
  <c r="N6" i="21"/>
  <c r="K6" i="21"/>
  <c r="K5" i="21"/>
  <c r="K3" i="21"/>
  <c r="AO182" i="8"/>
  <c r="AO185" i="8"/>
  <c r="AO188" i="8"/>
  <c r="AO187" i="8"/>
  <c r="AO186" i="8"/>
  <c r="AO184" i="8"/>
  <c r="AO189" i="8"/>
  <c r="AO183" i="8"/>
  <c r="AO181" i="8"/>
  <c r="AO180" i="8"/>
  <c r="AO179" i="8"/>
  <c r="Q171" i="8"/>
  <c r="Q169" i="8"/>
  <c r="Q168" i="8"/>
  <c r="Q170" i="8"/>
  <c r="Q167" i="8"/>
  <c r="Q172" i="8"/>
  <c r="Z168" i="8"/>
  <c r="J7" i="21"/>
  <c r="W168" i="8"/>
  <c r="X168" i="8"/>
  <c r="U170" i="8"/>
  <c r="Y168" i="8"/>
  <c r="AD172" i="8"/>
  <c r="AD171" i="8"/>
  <c r="AD170" i="8"/>
  <c r="AD169" i="8"/>
  <c r="F7" i="21" l="1"/>
  <c r="G6" i="21" s="1"/>
  <c r="Z7" i="21"/>
  <c r="G35" i="21"/>
  <c r="K7" i="21"/>
  <c r="L5" i="21"/>
  <c r="N7" i="21"/>
  <c r="P5" i="21" a="1"/>
  <c r="P5" i="21" s="1"/>
  <c r="Q5" i="21" s="1"/>
  <c r="AD168" i="8"/>
  <c r="AA173" i="8"/>
  <c r="AA3" i="21"/>
  <c r="Q173" i="8"/>
  <c r="U172" i="8" s="1"/>
  <c r="B7" i="21"/>
  <c r="M5" i="21" s="1"/>
  <c r="C3" i="21"/>
  <c r="O3" i="21"/>
  <c r="AA6" i="21"/>
  <c r="AC3" i="21"/>
  <c r="H3" i="21" a="1"/>
  <c r="H3" i="21" s="1"/>
  <c r="H5" i="21" a="1"/>
  <c r="H5" i="21" s="1"/>
  <c r="G3" i="21"/>
  <c r="H6" i="21" a="1"/>
  <c r="H6" i="21" s="1"/>
  <c r="G5" i="21"/>
  <c r="AJ169" i="8"/>
  <c r="AI174" i="8" s="1"/>
  <c r="W170" i="8"/>
  <c r="AA5" i="21"/>
  <c r="O5" i="21"/>
  <c r="E5" i="21" a="1"/>
  <c r="E5" i="21" s="1"/>
  <c r="C5" i="21"/>
  <c r="M3" i="21"/>
  <c r="O7" i="21"/>
  <c r="Z170" i="8"/>
  <c r="Z173" i="8" s="1"/>
  <c r="L6" i="21"/>
  <c r="O6" i="21"/>
  <c r="E6" i="21" a="1"/>
  <c r="E6" i="21" s="1"/>
  <c r="L3" i="21"/>
  <c r="X170" i="8"/>
  <c r="R6" i="21" a="1"/>
  <c r="R6" i="21" s="1"/>
  <c r="S6" i="21" s="1"/>
  <c r="R5" i="21" a="1"/>
  <c r="R5" i="21" s="1"/>
  <c r="S5" i="21" s="1"/>
  <c r="R3" i="21" a="1"/>
  <c r="R3" i="21" s="1"/>
  <c r="S3" i="21" s="1"/>
  <c r="P3" i="21" a="1"/>
  <c r="P3" i="21" s="1"/>
  <c r="Q3" i="21" s="1"/>
  <c r="P6" i="21" a="1"/>
  <c r="P6" i="21" s="1"/>
  <c r="Q6" i="21" s="1"/>
  <c r="X5" i="21" a="1"/>
  <c r="X5" i="21" s="1"/>
  <c r="T5" i="21" a="1"/>
  <c r="T5" i="21" s="1"/>
  <c r="T6" i="21" a="1"/>
  <c r="T6" i="21" s="1"/>
  <c r="Y3" i="21" a="1"/>
  <c r="Y3" i="21" s="1"/>
  <c r="V5" i="21" a="1"/>
  <c r="V5" i="21" s="1"/>
  <c r="X6" i="21" a="1"/>
  <c r="X6" i="21" s="1"/>
  <c r="X3" i="21" a="1"/>
  <c r="X3" i="21" s="1"/>
  <c r="W5" i="21" a="1"/>
  <c r="W5" i="21" s="1"/>
  <c r="W6" i="21" a="1"/>
  <c r="W6" i="21" s="1"/>
  <c r="V6" i="21" a="1"/>
  <c r="V6" i="21" s="1"/>
  <c r="U6" i="21" a="1"/>
  <c r="U6" i="21" s="1"/>
  <c r="Y5" i="21" a="1"/>
  <c r="Y5" i="21" s="1"/>
  <c r="U5" i="21" a="1"/>
  <c r="U5" i="21" s="1"/>
  <c r="U3" i="21" a="1"/>
  <c r="U3" i="21" s="1"/>
  <c r="T3" i="21" a="1"/>
  <c r="T3" i="21" s="1"/>
  <c r="W3" i="21" a="1"/>
  <c r="W3" i="21" s="1"/>
  <c r="V3" i="21" a="1"/>
  <c r="V3" i="21" s="1"/>
  <c r="Y6" i="21" a="1"/>
  <c r="Y6" i="21" s="1"/>
  <c r="C6" i="21" l="1"/>
  <c r="AA7" i="21"/>
  <c r="AB3" i="21" s="1"/>
  <c r="Y170" i="8"/>
  <c r="G7" i="21"/>
  <c r="C7" i="21"/>
  <c r="H7" i="21"/>
  <c r="D6" i="21" a="1"/>
  <c r="D6" i="21" s="1"/>
  <c r="M7" i="21"/>
  <c r="AD3" i="21"/>
  <c r="D3" i="21" a="1"/>
  <c r="D3" i="21" s="1"/>
  <c r="D5" i="21" a="1"/>
  <c r="D5" i="21" s="1"/>
  <c r="M6" i="21"/>
  <c r="R7" i="21"/>
  <c r="S7" i="21" s="1"/>
  <c r="P7" i="21"/>
  <c r="Q7" i="21" s="1"/>
  <c r="D7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tc={BB6738D0-5A01-484A-BAE7-E7AFA8BD844D}</author>
  </authors>
  <commentList>
    <comment ref="B7" authorId="0" shapeId="0" xr:uid="{BB6738D0-5A01-484A-BAE7-E7AFA8BD84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공동주택,단독,기타등 중복으로 소유하고있는 사람때문에 수가 정확히 나오지 않음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harmo</author>
  </authors>
  <commentList>
    <comment ref="CR4" authorId="0" shapeId="0" xr:uid="{E45C00EF-92E1-4D5E-9497-1A7DF35534A2}">
      <text>
        <r>
          <rPr>
            <b/>
            <sz val="9"/>
            <color indexed="81"/>
            <rFont val="돋움"/>
            <family val="3"/>
            <charset val="129"/>
          </rPr>
          <t>종전자산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평가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토지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공시지가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 xml:space="preserve">토지보정배율
</t>
        </r>
        <r>
          <rPr>
            <b/>
            <sz val="9"/>
            <color indexed="81"/>
            <rFont val="Tahoma"/>
            <family val="2"/>
          </rPr>
          <t>1-2</t>
        </r>
        <r>
          <rPr>
            <b/>
            <sz val="9"/>
            <color indexed="81"/>
            <rFont val="돋움"/>
            <family val="3"/>
            <charset val="129"/>
          </rPr>
          <t>도로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공시지가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 xml:space="preserve">도로보정배율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공동주택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공시가격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집합건축물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보정배율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단독주택</t>
        </r>
        <r>
          <rPr>
            <b/>
            <sz val="9"/>
            <color indexed="81"/>
            <rFont val="Tahoma"/>
            <family val="2"/>
          </rPr>
          <t xml:space="preserve"> = (</t>
        </r>
        <r>
          <rPr>
            <b/>
            <sz val="9"/>
            <color indexed="81"/>
            <rFont val="돋움"/>
            <family val="3"/>
            <charset val="129"/>
          </rPr>
          <t>공시지가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토지보정배율</t>
        </r>
        <r>
          <rPr>
            <b/>
            <sz val="9"/>
            <color indexed="81"/>
            <rFont val="Tahoma"/>
            <family val="2"/>
          </rPr>
          <t>)+(</t>
        </r>
        <r>
          <rPr>
            <b/>
            <sz val="9"/>
            <color indexed="81"/>
            <rFont val="돋움"/>
            <family val="3"/>
            <charset val="129"/>
          </rPr>
          <t>건물단가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평</t>
        </r>
        <r>
          <rPr>
            <b/>
            <sz val="9"/>
            <color indexed="81"/>
            <rFont val="Tahoma"/>
            <family val="2"/>
          </rPr>
          <t>)*</t>
        </r>
        <r>
          <rPr>
            <b/>
            <sz val="9"/>
            <color indexed="81"/>
            <rFont val="돋움"/>
            <family val="3"/>
            <charset val="129"/>
          </rPr>
          <t>연면적</t>
        </r>
        <r>
          <rPr>
            <b/>
            <sz val="9"/>
            <color indexed="81"/>
            <rFont val="Tahoma"/>
            <family val="2"/>
          </rPr>
          <t>/3.3058)
                           [</t>
        </r>
        <r>
          <rPr>
            <b/>
            <sz val="9"/>
            <color indexed="81"/>
            <rFont val="돋움"/>
            <family val="3"/>
            <charset val="129"/>
          </rPr>
          <t>토</t>
        </r>
        <r>
          <rPr>
            <b/>
            <sz val="9"/>
            <color indexed="81"/>
            <rFont val="Tahoma"/>
            <family val="2"/>
          </rPr>
          <t xml:space="preserve">                          </t>
        </r>
        <r>
          <rPr>
            <b/>
            <sz val="9"/>
            <color indexed="81"/>
            <rFont val="돋움"/>
            <family val="3"/>
            <charset val="129"/>
          </rPr>
          <t>지</t>
        </r>
        <r>
          <rPr>
            <b/>
            <sz val="9"/>
            <color indexed="81"/>
            <rFont val="Tahoma"/>
            <family val="2"/>
          </rPr>
          <t xml:space="preserve">]    + [ 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               </t>
        </r>
        <r>
          <rPr>
            <b/>
            <sz val="9"/>
            <color indexed="81"/>
            <rFont val="돋움"/>
            <family val="3"/>
            <charset val="129"/>
          </rPr>
          <t>축</t>
        </r>
        <r>
          <rPr>
            <b/>
            <sz val="9"/>
            <color indexed="81"/>
            <rFont val="Tahoma"/>
            <family val="2"/>
          </rPr>
          <t xml:space="preserve">                    </t>
        </r>
        <r>
          <rPr>
            <b/>
            <sz val="9"/>
            <color indexed="81"/>
            <rFont val="돋움"/>
            <family val="3"/>
            <charset val="129"/>
          </rPr>
          <t>물</t>
        </r>
        <r>
          <rPr>
            <b/>
            <sz val="9"/>
            <color indexed="81"/>
            <rFont val="Tahoma"/>
            <family val="2"/>
          </rPr>
          <t xml:space="preserve"> 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harmo</author>
  </authors>
  <commentList>
    <comment ref="U4" authorId="0" shapeId="0" xr:uid="{54E8655B-256B-4929-AEF8-C19BF430FEE8}">
      <text>
        <r>
          <rPr>
            <b/>
            <sz val="9"/>
            <color indexed="81"/>
            <rFont val="돋움"/>
            <family val="3"/>
            <charset val="129"/>
          </rPr>
          <t>종전자산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평가
</t>
        </r>
        <r>
          <rPr>
            <b/>
            <sz val="9"/>
            <color indexed="81"/>
            <rFont val="Tahoma"/>
            <family val="2"/>
          </rPr>
          <t>1.</t>
        </r>
        <r>
          <rPr>
            <b/>
            <sz val="9"/>
            <color indexed="81"/>
            <rFont val="돋움"/>
            <family val="3"/>
            <charset val="129"/>
          </rPr>
          <t>토지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공시지가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 xml:space="preserve">토지보정배율
</t>
        </r>
        <r>
          <rPr>
            <b/>
            <sz val="9"/>
            <color indexed="81"/>
            <rFont val="Tahoma"/>
            <family val="2"/>
          </rPr>
          <t>1-2</t>
        </r>
        <r>
          <rPr>
            <b/>
            <sz val="9"/>
            <color indexed="81"/>
            <rFont val="돋움"/>
            <family val="3"/>
            <charset val="129"/>
          </rPr>
          <t>도로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공시지가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 xml:space="preserve">도로보정배율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공동주택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공시가격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집합건축물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보정배율
</t>
        </r>
        <r>
          <rPr>
            <b/>
            <sz val="9"/>
            <color indexed="81"/>
            <rFont val="Tahoma"/>
            <family val="2"/>
          </rPr>
          <t>3.</t>
        </r>
        <r>
          <rPr>
            <b/>
            <sz val="9"/>
            <color indexed="81"/>
            <rFont val="돋움"/>
            <family val="3"/>
            <charset val="129"/>
          </rPr>
          <t>단독주택</t>
        </r>
        <r>
          <rPr>
            <b/>
            <sz val="9"/>
            <color indexed="81"/>
            <rFont val="Tahoma"/>
            <family val="2"/>
          </rPr>
          <t xml:space="preserve"> = (</t>
        </r>
        <r>
          <rPr>
            <b/>
            <sz val="9"/>
            <color indexed="81"/>
            <rFont val="돋움"/>
            <family val="3"/>
            <charset val="129"/>
          </rPr>
          <t>공시지가</t>
        </r>
        <r>
          <rPr>
            <b/>
            <sz val="9"/>
            <color indexed="81"/>
            <rFont val="Tahoma"/>
            <family val="2"/>
          </rPr>
          <t>*</t>
        </r>
        <r>
          <rPr>
            <b/>
            <sz val="9"/>
            <color indexed="81"/>
            <rFont val="돋움"/>
            <family val="3"/>
            <charset val="129"/>
          </rPr>
          <t>토지보정배율</t>
        </r>
        <r>
          <rPr>
            <b/>
            <sz val="9"/>
            <color indexed="81"/>
            <rFont val="Tahoma"/>
            <family val="2"/>
          </rPr>
          <t>)+(</t>
        </r>
        <r>
          <rPr>
            <b/>
            <sz val="9"/>
            <color indexed="81"/>
            <rFont val="돋움"/>
            <family val="3"/>
            <charset val="129"/>
          </rPr>
          <t>건물단가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평</t>
        </r>
        <r>
          <rPr>
            <b/>
            <sz val="9"/>
            <color indexed="81"/>
            <rFont val="Tahoma"/>
            <family val="2"/>
          </rPr>
          <t>)*</t>
        </r>
        <r>
          <rPr>
            <b/>
            <sz val="9"/>
            <color indexed="81"/>
            <rFont val="돋움"/>
            <family val="3"/>
            <charset val="129"/>
          </rPr>
          <t>연면적</t>
        </r>
        <r>
          <rPr>
            <b/>
            <sz val="9"/>
            <color indexed="81"/>
            <rFont val="Tahoma"/>
            <family val="2"/>
          </rPr>
          <t>/3.3058)
                           [</t>
        </r>
        <r>
          <rPr>
            <b/>
            <sz val="9"/>
            <color indexed="81"/>
            <rFont val="돋움"/>
            <family val="3"/>
            <charset val="129"/>
          </rPr>
          <t>토</t>
        </r>
        <r>
          <rPr>
            <b/>
            <sz val="9"/>
            <color indexed="81"/>
            <rFont val="Tahoma"/>
            <family val="2"/>
          </rPr>
          <t xml:space="preserve">                          </t>
        </r>
        <r>
          <rPr>
            <b/>
            <sz val="9"/>
            <color indexed="81"/>
            <rFont val="돋움"/>
            <family val="3"/>
            <charset val="129"/>
          </rPr>
          <t>지</t>
        </r>
        <r>
          <rPr>
            <b/>
            <sz val="9"/>
            <color indexed="81"/>
            <rFont val="Tahoma"/>
            <family val="2"/>
          </rPr>
          <t xml:space="preserve">]    + [ </t>
        </r>
        <r>
          <rPr>
            <b/>
            <sz val="9"/>
            <color indexed="81"/>
            <rFont val="돋움"/>
            <family val="3"/>
            <charset val="129"/>
          </rPr>
          <t>건</t>
        </r>
        <r>
          <rPr>
            <b/>
            <sz val="9"/>
            <color indexed="81"/>
            <rFont val="Tahoma"/>
            <family val="2"/>
          </rPr>
          <t xml:space="preserve">               </t>
        </r>
        <r>
          <rPr>
            <b/>
            <sz val="9"/>
            <color indexed="81"/>
            <rFont val="돋움"/>
            <family val="3"/>
            <charset val="129"/>
          </rPr>
          <t>축</t>
        </r>
        <r>
          <rPr>
            <b/>
            <sz val="9"/>
            <color indexed="81"/>
            <rFont val="Tahoma"/>
            <family val="2"/>
          </rPr>
          <t xml:space="preserve">                    </t>
        </r>
        <r>
          <rPr>
            <b/>
            <sz val="9"/>
            <color indexed="81"/>
            <rFont val="돋움"/>
            <family val="3"/>
            <charset val="129"/>
          </rPr>
          <t>물</t>
        </r>
        <r>
          <rPr>
            <b/>
            <sz val="9"/>
            <color indexed="81"/>
            <rFont val="Tahoma"/>
            <family val="2"/>
          </rPr>
          <t xml:space="preserve"> ]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<sst xmlns="http://schemas.openxmlformats.org/spreadsheetml/2006/main" count="4155" uniqueCount="880">
  <si>
    <t>구분소유자</t>
    <phoneticPr fontId="1" type="noConversion"/>
  </si>
  <si>
    <t>토지면적</t>
    <phoneticPr fontId="1" type="noConversion"/>
  </si>
  <si>
    <t>구분</t>
    <phoneticPr fontId="1" type="noConversion"/>
  </si>
  <si>
    <t>참석수/소유자(전체소유자)</t>
    <phoneticPr fontId="1" type="noConversion"/>
  </si>
  <si>
    <t>참석수/소유자(유형별 )</t>
    <phoneticPr fontId="1" type="noConversion"/>
  </si>
  <si>
    <t>참석자 면적/전체소유자(토지)</t>
    <phoneticPr fontId="1" type="noConversion"/>
  </si>
  <si>
    <t>참석자 면적/유형별소유자(토지)</t>
    <phoneticPr fontId="1" type="noConversion"/>
  </si>
  <si>
    <t>공부상면적</t>
    <phoneticPr fontId="1" type="noConversion"/>
  </si>
  <si>
    <t>동의수</t>
  </si>
  <si>
    <t>용도별
동의율</t>
    <phoneticPr fontId="1" type="noConversion"/>
  </si>
  <si>
    <t>전체
동의중
용도별 
동의율</t>
    <phoneticPr fontId="1" type="noConversion"/>
  </si>
  <si>
    <t>소유자 거주비율</t>
    <phoneticPr fontId="1" type="noConversion"/>
  </si>
  <si>
    <t>인근지역
거주비율</t>
    <phoneticPr fontId="1" type="noConversion"/>
  </si>
  <si>
    <t>외지인
비율</t>
    <phoneticPr fontId="1" type="noConversion"/>
  </si>
  <si>
    <t>40대
미만</t>
  </si>
  <si>
    <t>40대</t>
  </si>
  <si>
    <t>50대</t>
  </si>
  <si>
    <t>60대</t>
  </si>
  <si>
    <t>70대</t>
  </si>
  <si>
    <t>80대
이상</t>
  </si>
  <si>
    <t>용도별
건축물</t>
    <phoneticPr fontId="1" type="noConversion"/>
  </si>
  <si>
    <t>용도별
노후
건축물</t>
    <phoneticPr fontId="1" type="noConversion"/>
  </si>
  <si>
    <t>노후도</t>
    <phoneticPr fontId="1" type="noConversion"/>
  </si>
  <si>
    <t>전체토지면적
동의율</t>
    <phoneticPr fontId="1" type="noConversion"/>
  </si>
  <si>
    <t>노후건축물
소유자
동의율</t>
    <phoneticPr fontId="1" type="noConversion"/>
  </si>
  <si>
    <t>공동주택 외 토지면적 동의율</t>
    <phoneticPr fontId="1" type="noConversion"/>
  </si>
  <si>
    <t>공동주택
동별 과반 동의율</t>
    <phoneticPr fontId="1" type="noConversion"/>
  </si>
  <si>
    <t>공동주택</t>
    <phoneticPr fontId="1" type="noConversion"/>
  </si>
  <si>
    <t>-</t>
    <phoneticPr fontId="1" type="noConversion"/>
  </si>
  <si>
    <t>(1219.80㎡)
공동주택중
1인소유 면적 합</t>
    <phoneticPr fontId="1" type="noConversion"/>
  </si>
  <si>
    <t>(15.24%)</t>
    <phoneticPr fontId="1" type="noConversion"/>
  </si>
  <si>
    <t>단독/다가구</t>
  </si>
  <si>
    <t>상가/기타</t>
  </si>
  <si>
    <t>합계</t>
    <phoneticPr fontId="1" type="noConversion"/>
  </si>
  <si>
    <t>전체 토지등소유자의 75% 요건</t>
    <phoneticPr fontId="1" type="noConversion"/>
  </si>
  <si>
    <t xml:space="preserve">                          전체 토지 2/3(67%)요건</t>
    <phoneticPr fontId="1" type="noConversion"/>
  </si>
  <si>
    <t>공동주택 외 건축물 면적 50%요건</t>
    <phoneticPr fontId="1" type="noConversion"/>
  </si>
  <si>
    <t>□  송파구 문정동 28번지일대 가로주택정비사업 토지 건물 조서</t>
    <phoneticPr fontId="1" type="noConversion"/>
  </si>
  <si>
    <t>부사장님 한글 수지분석 자료(1105자료)</t>
    <phoneticPr fontId="1" type="noConversion"/>
  </si>
  <si>
    <t>기본키</t>
    <phoneticPr fontId="1" type="noConversion"/>
  </si>
  <si>
    <t>동의</t>
    <phoneticPr fontId="1" type="noConversion"/>
  </si>
  <si>
    <t>토  지</t>
    <phoneticPr fontId="1" type="noConversion"/>
  </si>
  <si>
    <t>건  축  물</t>
    <phoneticPr fontId="1" type="noConversion"/>
  </si>
  <si>
    <t>소유권</t>
    <phoneticPr fontId="1" type="noConversion"/>
  </si>
  <si>
    <t>토지평당환산액</t>
    <phoneticPr fontId="1" type="noConversion"/>
  </si>
  <si>
    <t>토지보정배율</t>
    <phoneticPr fontId="1" type="noConversion"/>
  </si>
  <si>
    <t>집합건축물 보정배율</t>
    <phoneticPr fontId="1" type="noConversion"/>
  </si>
  <si>
    <t>도로보정배율</t>
    <phoneticPr fontId="1" type="noConversion"/>
  </si>
  <si>
    <t>자산평가</t>
    <phoneticPr fontId="1" type="noConversion"/>
  </si>
  <si>
    <t>허가유무</t>
    <phoneticPr fontId="1" type="noConversion"/>
  </si>
  <si>
    <t>구  조</t>
    <phoneticPr fontId="1" type="noConversion"/>
  </si>
  <si>
    <t>용       도</t>
    <phoneticPr fontId="1" type="noConversion"/>
  </si>
  <si>
    <t>세대수</t>
    <phoneticPr fontId="1" type="noConversion"/>
  </si>
  <si>
    <r>
      <t xml:space="preserve">층   수
</t>
    </r>
    <r>
      <rPr>
        <b/>
        <sz val="7"/>
        <color theme="1"/>
        <rFont val="Pretendard SemiBold"/>
        <family val="3"/>
        <charset val="129"/>
      </rPr>
      <t>(지상/지하)</t>
    </r>
    <phoneticPr fontId="1" type="noConversion"/>
  </si>
  <si>
    <t>소    유    자</t>
    <phoneticPr fontId="1" type="noConversion"/>
  </si>
  <si>
    <t>거주주유·무</t>
  </si>
  <si>
    <t>하자내역</t>
    <phoneticPr fontId="1" type="noConversion"/>
  </si>
  <si>
    <t>지역분포도</t>
    <phoneticPr fontId="1" type="noConversion"/>
  </si>
  <si>
    <t>건물</t>
    <phoneticPr fontId="1" type="noConversion"/>
  </si>
  <si>
    <t>집합건물</t>
    <phoneticPr fontId="1" type="noConversion"/>
  </si>
  <si>
    <t>종전자산평가금액</t>
    <phoneticPr fontId="1" type="noConversion"/>
  </si>
  <si>
    <t>분양청산</t>
    <phoneticPr fontId="1" type="noConversion"/>
  </si>
  <si>
    <t>이주비내역</t>
    <phoneticPr fontId="1" type="noConversion"/>
  </si>
  <si>
    <t>정산잔금</t>
    <phoneticPr fontId="1" type="noConversion"/>
  </si>
  <si>
    <t>공동주택
표시</t>
    <phoneticPr fontId="1" type="noConversion"/>
  </si>
  <si>
    <t>연번</t>
    <phoneticPr fontId="1" type="noConversion"/>
  </si>
  <si>
    <t>본 번</t>
  </si>
  <si>
    <t>부 번</t>
  </si>
  <si>
    <t>건물명</t>
  </si>
  <si>
    <t>호수</t>
  </si>
  <si>
    <t>징구일자</t>
  </si>
  <si>
    <t>징구현황</t>
  </si>
  <si>
    <t>성향</t>
  </si>
  <si>
    <t>대표자동의서</t>
  </si>
  <si>
    <t>조합설립동의서</t>
    <phoneticPr fontId="1" type="noConversion"/>
  </si>
  <si>
    <t>개인정보</t>
  </si>
  <si>
    <t>신분증</t>
  </si>
  <si>
    <t>접촉현황</t>
  </si>
  <si>
    <t>접촉일자</t>
  </si>
  <si>
    <t>상담내용</t>
  </si>
  <si>
    <t>지목</t>
  </si>
  <si>
    <t>공부면적</t>
    <phoneticPr fontId="1" type="noConversion"/>
  </si>
  <si>
    <t>편입면적</t>
    <phoneticPr fontId="1" type="noConversion"/>
  </si>
  <si>
    <t>대지지분비율</t>
    <phoneticPr fontId="1" type="noConversion"/>
  </si>
  <si>
    <t>과소
필지</t>
    <phoneticPr fontId="1" type="noConversion"/>
  </si>
  <si>
    <t>공유여부</t>
    <phoneticPr fontId="1" type="noConversion"/>
  </si>
  <si>
    <t>전유면적</t>
    <phoneticPr fontId="1" type="noConversion"/>
  </si>
  <si>
    <t>지하</t>
    <phoneticPr fontId="1" type="noConversion"/>
  </si>
  <si>
    <t>지상,지하 계</t>
    <phoneticPr fontId="1" type="noConversion"/>
  </si>
  <si>
    <t>연면적</t>
    <phoneticPr fontId="1" type="noConversion"/>
  </si>
  <si>
    <t>지하층용도</t>
    <phoneticPr fontId="1" type="noConversion"/>
  </si>
  <si>
    <t>공유여부2</t>
    <phoneticPr fontId="1" type="noConversion"/>
  </si>
  <si>
    <t>사용승인일자</t>
    <phoneticPr fontId="1" type="noConversion"/>
  </si>
  <si>
    <t>건물연령</t>
    <phoneticPr fontId="1" type="noConversion"/>
  </si>
  <si>
    <t>노후판정</t>
    <phoneticPr fontId="1" type="noConversion"/>
  </si>
  <si>
    <t>허가</t>
  </si>
  <si>
    <t>주구조</t>
  </si>
  <si>
    <t>보조구조</t>
    <phoneticPr fontId="1" type="noConversion"/>
  </si>
  <si>
    <t>주용도</t>
  </si>
  <si>
    <t>세부용도</t>
    <phoneticPr fontId="1" type="noConversion"/>
  </si>
  <si>
    <t>가구수</t>
    <phoneticPr fontId="1" type="noConversion"/>
  </si>
  <si>
    <t>지상2</t>
  </si>
  <si>
    <t>지하3</t>
  </si>
  <si>
    <t>성  명</t>
    <phoneticPr fontId="1" type="noConversion"/>
  </si>
  <si>
    <t>연락처</t>
  </si>
  <si>
    <t>비고</t>
    <phoneticPr fontId="1" type="noConversion"/>
  </si>
  <si>
    <t>생년월일</t>
  </si>
  <si>
    <t>연령</t>
    <phoneticPr fontId="1" type="noConversion"/>
  </si>
  <si>
    <t>주소</t>
    <phoneticPr fontId="1" type="noConversion"/>
  </si>
  <si>
    <t>거주중</t>
    <phoneticPr fontId="1" type="noConversion"/>
  </si>
  <si>
    <t>준비위원</t>
    <phoneticPr fontId="1" type="noConversion"/>
  </si>
  <si>
    <t>1차 우편 반송자</t>
    <phoneticPr fontId="1" type="noConversion"/>
  </si>
  <si>
    <t>1차우편 반송사유</t>
    <phoneticPr fontId="1" type="noConversion"/>
  </si>
  <si>
    <t>2차우편 반송사유</t>
  </si>
  <si>
    <t>3차우편 반송자</t>
    <phoneticPr fontId="1" type="noConversion"/>
  </si>
  <si>
    <t>1차설명회 참석자</t>
    <phoneticPr fontId="1" type="noConversion"/>
  </si>
  <si>
    <t>2차설명회 참석자</t>
    <phoneticPr fontId="1" type="noConversion"/>
  </si>
  <si>
    <t>열3</t>
  </si>
  <si>
    <t>열2</t>
  </si>
  <si>
    <t>열1</t>
  </si>
  <si>
    <t>일자</t>
  </si>
  <si>
    <t>등기원인</t>
  </si>
  <si>
    <t>내역</t>
  </si>
  <si>
    <t>금액</t>
  </si>
  <si>
    <t>추정실채권액</t>
  </si>
  <si>
    <t>분류1</t>
  </si>
  <si>
    <t>분류2</t>
  </si>
  <si>
    <t>분류3</t>
  </si>
  <si>
    <t>도로명</t>
  </si>
  <si>
    <t>내부
확인</t>
  </si>
  <si>
    <t>내부
확인2</t>
  </si>
  <si>
    <t>동+건물명</t>
  </si>
  <si>
    <t>동명</t>
  </si>
  <si>
    <t>편입면적3</t>
  </si>
  <si>
    <t>토지단가</t>
    <phoneticPr fontId="1" type="noConversion"/>
  </si>
  <si>
    <t>토지가액</t>
    <phoneticPr fontId="1" type="noConversion"/>
  </si>
  <si>
    <t>주용도4</t>
  </si>
  <si>
    <t>연면적5</t>
  </si>
  <si>
    <t>건물가액</t>
    <phoneticPr fontId="1" type="noConversion"/>
  </si>
  <si>
    <t>주용도6</t>
  </si>
  <si>
    <t>전유면적2</t>
    <phoneticPr fontId="1" type="noConversion"/>
  </si>
  <si>
    <t>대지권면적</t>
    <phoneticPr fontId="1" type="noConversion"/>
  </si>
  <si>
    <t>집합가액</t>
    <phoneticPr fontId="1" type="noConversion"/>
  </si>
  <si>
    <t>종전추정가액</t>
    <phoneticPr fontId="1" type="noConversion"/>
  </si>
  <si>
    <t>권리가액</t>
    <phoneticPr fontId="1" type="noConversion"/>
  </si>
  <si>
    <t>토지*배당환산금</t>
    <phoneticPr fontId="1" type="noConversion"/>
  </si>
  <si>
    <t>건물
보정</t>
    <phoneticPr fontId="1" type="noConversion"/>
  </si>
  <si>
    <t>위치
보정</t>
    <phoneticPr fontId="1" type="noConversion"/>
  </si>
  <si>
    <t>소형주택
보정</t>
    <phoneticPr fontId="1" type="noConversion"/>
  </si>
  <si>
    <t>건물구조
보정</t>
    <phoneticPr fontId="1" type="noConversion"/>
  </si>
  <si>
    <t>경과년수
보정</t>
    <phoneticPr fontId="1" type="noConversion"/>
  </si>
  <si>
    <t>평가금액</t>
    <phoneticPr fontId="1" type="noConversion"/>
  </si>
  <si>
    <t>공시지가</t>
    <phoneticPr fontId="1" type="noConversion"/>
  </si>
  <si>
    <t>공시가격</t>
    <phoneticPr fontId="1" type="noConversion"/>
  </si>
  <si>
    <t>토지단가
(평)</t>
  </si>
  <si>
    <t>건물단가
(평)</t>
  </si>
  <si>
    <t xml:space="preserve">토지가격
</t>
    <phoneticPr fontId="1" type="noConversion"/>
  </si>
  <si>
    <t xml:space="preserve">건물가격
</t>
    <phoneticPr fontId="1" type="noConversion"/>
  </si>
  <si>
    <t xml:space="preserve">종전자산
</t>
    <phoneticPr fontId="1" type="noConversion"/>
  </si>
  <si>
    <t>평가액-f팀</t>
    <phoneticPr fontId="1" type="noConversion"/>
  </si>
  <si>
    <t>층</t>
    <phoneticPr fontId="1" type="noConversion"/>
  </si>
  <si>
    <t>호수2</t>
  </si>
  <si>
    <t>전용면적</t>
    <phoneticPr fontId="1" type="noConversion"/>
  </si>
  <si>
    <t>계약면적</t>
    <phoneticPr fontId="1" type="noConversion"/>
  </si>
  <si>
    <t>평가금액
(분양액)</t>
    <phoneticPr fontId="1" type="noConversion"/>
  </si>
  <si>
    <t>입주물건가액</t>
    <phoneticPr fontId="1" type="noConversion"/>
  </si>
  <si>
    <t>비고2</t>
    <phoneticPr fontId="1" type="noConversion"/>
  </si>
  <si>
    <t>기지급
이주비</t>
    <phoneticPr fontId="1" type="noConversion"/>
  </si>
  <si>
    <t>미지급
이주비</t>
    <phoneticPr fontId="1" type="noConversion"/>
  </si>
  <si>
    <t>비고3</t>
  </si>
  <si>
    <t>분양자잔금</t>
    <phoneticPr fontId="1" type="noConversion"/>
  </si>
  <si>
    <t>대출이자</t>
    <phoneticPr fontId="1" type="noConversion"/>
  </si>
  <si>
    <t>청산자잔금</t>
    <phoneticPr fontId="1" type="noConversion"/>
  </si>
  <si>
    <t>대</t>
  </si>
  <si>
    <t>O</t>
  </si>
  <si>
    <t>1989.10.19</t>
  </si>
  <si>
    <t>철근콘크리트구조</t>
  </si>
  <si>
    <t>제2종근린생활시설</t>
  </si>
  <si>
    <t>광주이씨광천군파문정총회</t>
    <phoneticPr fontId="1" type="noConversion"/>
  </si>
  <si>
    <t/>
  </si>
  <si>
    <t>서울특별시 송파구 가락동 120-1</t>
    <phoneticPr fontId="1" type="noConversion"/>
  </si>
  <si>
    <t>청송하이츠빌B</t>
    <phoneticPr fontId="1" type="noConversion"/>
  </si>
  <si>
    <t>2002.09.05</t>
  </si>
  <si>
    <t>공동주택</t>
  </si>
  <si>
    <t>청송하이츠빌B</t>
  </si>
  <si>
    <t>이종학</t>
    <phoneticPr fontId="1" type="noConversion"/>
  </si>
  <si>
    <t>서울 송파구 문정동 4-3</t>
  </si>
  <si>
    <t>근린생활시설</t>
  </si>
  <si>
    <t>송점아</t>
    <phoneticPr fontId="1" type="noConversion"/>
  </si>
  <si>
    <t>서울특별시 송파구 동남로8길 10, 201호(문정동,청송하이츠빌라)</t>
    <phoneticPr fontId="1" type="noConversion"/>
  </si>
  <si>
    <t>O</t>
    <phoneticPr fontId="1" type="noConversion"/>
  </si>
  <si>
    <t>다세대</t>
  </si>
  <si>
    <t>배홍숙</t>
    <phoneticPr fontId="1" type="noConversion"/>
  </si>
  <si>
    <t>서울특별시 송파구 가락동 103-10 302호</t>
  </si>
  <si>
    <t>[2026.04.13 17:18] 이민후 팀장: 4-13 준비위 간담회 참석</t>
  </si>
  <si>
    <t>양명숙</t>
    <phoneticPr fontId="1" type="noConversion"/>
  </si>
  <si>
    <t>010-2520-6793
010-3710-6773
010-4188-6793</t>
    <phoneticPr fontId="1" type="noConversion"/>
  </si>
  <si>
    <t>소유주 아들 전화번호</t>
    <phoneticPr fontId="1" type="noConversion"/>
  </si>
  <si>
    <t>서울특별시 송파구 문정동28-1 301호</t>
    <phoneticPr fontId="1" type="noConversion"/>
  </si>
  <si>
    <t>오우진</t>
    <phoneticPr fontId="1" type="noConversion"/>
  </si>
  <si>
    <t>서울특별시 송파구 백제고분로27길 16-12, 202호 (삼전동)</t>
    <phoneticPr fontId="1" type="noConversion"/>
  </si>
  <si>
    <t>이숙현</t>
    <phoneticPr fontId="1" type="noConversion"/>
  </si>
  <si>
    <t xml:space="preserve">010-6266-4936
010-4747-6757
</t>
    <phoneticPr fontId="1" type="noConversion"/>
  </si>
  <si>
    <t>남편 김창섭 준비위원</t>
    <phoneticPr fontId="1" type="noConversion"/>
  </si>
  <si>
    <t>서울특별시 송파구 동남로8길 10,401호(문정동,청송빌라)</t>
    <phoneticPr fontId="1" type="noConversion"/>
  </si>
  <si>
    <t>김병기</t>
    <phoneticPr fontId="1" type="noConversion"/>
  </si>
  <si>
    <t>서울특별시 송파구 문정동28-1 402호</t>
    <phoneticPr fontId="1" type="noConversion"/>
  </si>
  <si>
    <t>정행택</t>
    <phoneticPr fontId="1" type="noConversion"/>
  </si>
  <si>
    <t>윤민숙 전화번호</t>
    <phoneticPr fontId="1" type="noConversion"/>
  </si>
  <si>
    <t>서울특별시 송파구 동남로8길 6 A동501호</t>
    <phoneticPr fontId="1" type="noConversion"/>
  </si>
  <si>
    <t>민경희</t>
    <phoneticPr fontId="1" type="noConversion"/>
  </si>
  <si>
    <t>서울특별시 송파구 동남로8길 10, 502호(문정동, 청송하이츠빌라)</t>
    <phoneticPr fontId="1" type="noConversion"/>
  </si>
  <si>
    <t>청송하이츠빌</t>
    <phoneticPr fontId="1" type="noConversion"/>
  </si>
  <si>
    <t>2002.08.05</t>
  </si>
  <si>
    <t>청송하이츠빌</t>
  </si>
  <si>
    <t>[2026.04.13 17:04] 이민후 팀장: 금일 준비위원 회의시 동의서 제출
[2026.04.13 17:20] 이민후 팀장: 4-13 간담회 참석</t>
  </si>
  <si>
    <t>김제각외1</t>
  </si>
  <si>
    <t>경기도 용인시 수지구 용구대로2771번길68, 108동 701호 (죽전동,벽산타운1단지)</t>
    <phoneticPr fontId="1" type="noConversion"/>
  </si>
  <si>
    <t>소매점</t>
  </si>
  <si>
    <t>이지은</t>
    <phoneticPr fontId="1" type="noConversion"/>
  </si>
  <si>
    <t>서울 송파구 문정동 28-2 청송하이츠빌 201호</t>
    <phoneticPr fontId="1" type="noConversion"/>
  </si>
  <si>
    <t>강재형</t>
    <phoneticPr fontId="1" type="noConversion"/>
  </si>
  <si>
    <t>서울 송파구 문정동 28-2 청송빌라 202호</t>
    <phoneticPr fontId="1" type="noConversion"/>
  </si>
  <si>
    <t>[2026.04.14 13:33] 최광식 부사장: 4/14 문주영님 어머님 방문. 딸은 직장인이라 방문이 어려움.</t>
  </si>
  <si>
    <t>문주영외1</t>
    <phoneticPr fontId="1" type="noConversion"/>
  </si>
  <si>
    <t>문정로55 102동702호</t>
    <phoneticPr fontId="1" type="noConversion"/>
  </si>
  <si>
    <t xml:space="preserve">[2026.04.13 09:49] 이민후 팀장: 3차설명회 당일 동의
[2026.04.13 17:19] 이민후 팀장: 4-13 간담회 참석
</t>
  </si>
  <si>
    <t>서용숙</t>
    <phoneticPr fontId="1" type="noConversion"/>
  </si>
  <si>
    <t>010-5232-2332
010-9183-6367</t>
    <phoneticPr fontId="1" type="noConversion"/>
  </si>
  <si>
    <t>준비위원 남편 최영훈</t>
    <phoneticPr fontId="1" type="noConversion"/>
  </si>
  <si>
    <t>서울특별시 송파구 문정동 28-2 청송빌라 에이-302</t>
    <phoneticPr fontId="1" type="noConversion"/>
  </si>
  <si>
    <t>[2026.04.13 09:49] 이민후 팀장: 3차설명회 당일 동의</t>
  </si>
  <si>
    <t>변철종</t>
    <phoneticPr fontId="1" type="noConversion"/>
  </si>
  <si>
    <t>서울특별시 송파구 동남로8길 6  ,401호(문정동)</t>
  </si>
  <si>
    <t>김인순</t>
    <phoneticPr fontId="1" type="noConversion"/>
  </si>
  <si>
    <t>010-5859-6947
010-6225-6947</t>
    <phoneticPr fontId="1" type="noConversion"/>
  </si>
  <si>
    <t>경기도 남양주시 다산순환로 111 3003-1002</t>
    <phoneticPr fontId="1" type="noConversion"/>
  </si>
  <si>
    <t>공성동외1</t>
    <phoneticPr fontId="1" type="noConversion"/>
  </si>
  <si>
    <t>서울특별시 송파구 오금로42길10,502호(가락동,공간아트빌라)</t>
    <phoneticPr fontId="1" type="noConversion"/>
  </si>
  <si>
    <t>정금자</t>
    <phoneticPr fontId="1" type="noConversion"/>
  </si>
  <si>
    <t>준비위원 참여가능</t>
    <phoneticPr fontId="1" type="noConversion"/>
  </si>
  <si>
    <t>서울특별시 송파구 동남로8길6, 에이동 502호(문정동,청송하이츠빌라)</t>
    <phoneticPr fontId="1" type="noConversion"/>
  </si>
  <si>
    <t>양지빌라</t>
    <phoneticPr fontId="1" type="noConversion"/>
  </si>
  <si>
    <t>2004.09.22</t>
  </si>
  <si>
    <t>양지빌라</t>
  </si>
  <si>
    <t>민경애</t>
    <phoneticPr fontId="1" type="noConversion"/>
  </si>
  <si>
    <t>알바로 시간잉 없다고 함</t>
  </si>
  <si>
    <t>서울특별시 송파구 동남로6길 3-22, 201호 (문정동, 양지빌라)</t>
    <phoneticPr fontId="1" type="noConversion"/>
  </si>
  <si>
    <t>배진선</t>
    <phoneticPr fontId="1" type="noConversion"/>
  </si>
  <si>
    <t>서울특별시 송파구 새말로12길 9, 지층2호(문정동)</t>
    <phoneticPr fontId="1" type="noConversion"/>
  </si>
  <si>
    <t>김강수</t>
    <phoneticPr fontId="1" type="noConversion"/>
  </si>
  <si>
    <t>서울특별시 송파구 송이로31길 12-6, 401호(문정동,엘리시아)</t>
    <phoneticPr fontId="1" type="noConversion"/>
  </si>
  <si>
    <t>임명숙</t>
    <phoneticPr fontId="1" type="noConversion"/>
  </si>
  <si>
    <t>서울특별시 송파구 새말로17길 16-15, 비02호 (문정동)</t>
    <phoneticPr fontId="1" type="noConversion"/>
  </si>
  <si>
    <t>김은곤</t>
    <phoneticPr fontId="1" type="noConversion"/>
  </si>
  <si>
    <t>서울특별시 송파구 동남로11길 26-13, 402호(가락동)</t>
    <phoneticPr fontId="1" type="noConversion"/>
  </si>
  <si>
    <t>류지연</t>
    <phoneticPr fontId="1" type="noConversion"/>
  </si>
  <si>
    <t>서울특별시 송파구 동남로8길 21, 나동 지하1층 지하1호 (문정동,동남빌라나동)</t>
    <phoneticPr fontId="1" type="noConversion"/>
  </si>
  <si>
    <t>이기선</t>
    <phoneticPr fontId="1" type="noConversion"/>
  </si>
  <si>
    <t>서울특별시 송파구 동남로6길 3-22, 501호(문정동, 양지빌라)</t>
    <phoneticPr fontId="1" type="noConversion"/>
  </si>
  <si>
    <t>민문홍</t>
    <phoneticPr fontId="1" type="noConversion"/>
  </si>
  <si>
    <t>준비위원 추천자 같은
빌라 총무 민경애를 추천함</t>
    <phoneticPr fontId="1" type="noConversion"/>
  </si>
  <si>
    <t>서울특별시 관악구 대학14길 84(신림동)</t>
    <phoneticPr fontId="1" type="noConversion"/>
  </si>
  <si>
    <t>프로방스빌</t>
    <phoneticPr fontId="1" type="noConversion"/>
  </si>
  <si>
    <t>2005.07.14</t>
  </si>
  <si>
    <t>프로방스빌</t>
  </si>
  <si>
    <t>전홍기</t>
    <phoneticPr fontId="1" type="noConversion"/>
  </si>
  <si>
    <t>부인 김영옥 준비위원</t>
    <phoneticPr fontId="1" type="noConversion"/>
  </si>
  <si>
    <t>문정동28-4 501호</t>
    <phoneticPr fontId="1" type="noConversion"/>
  </si>
  <si>
    <t>문정동28-4 501호</t>
  </si>
  <si>
    <t>파보르빌</t>
    <phoneticPr fontId="1" type="noConversion"/>
  </si>
  <si>
    <t>2002.09.25</t>
  </si>
  <si>
    <t>파보르빌</t>
  </si>
  <si>
    <t>이상운</t>
    <phoneticPr fontId="1" type="noConversion"/>
  </si>
  <si>
    <t>서울특별시송파구 송이로23길 30-14, 201호(가락동, 다솜빌라)</t>
    <phoneticPr fontId="1" type="noConversion"/>
  </si>
  <si>
    <t>[2026.04.13 17:20] 이민후 팀장: 4-13 간담회 참석
[2026.04.15 13:01] 최광식 부사장: 4/15 동의서 제출(신분증 사진찍음_최광식). 조합장 의지 많으심.</t>
  </si>
  <si>
    <t>신영남</t>
    <phoneticPr fontId="1" type="noConversion"/>
  </si>
  <si>
    <t>구 통장</t>
  </si>
  <si>
    <t>서울특별시 송파구 문정동 28-5 202호</t>
    <phoneticPr fontId="1" type="noConversion"/>
  </si>
  <si>
    <t>박행주</t>
    <phoneticPr fontId="1" type="noConversion"/>
  </si>
  <si>
    <t>서울 송파구 문정동 7-7 경동빌라 102호</t>
  </si>
  <si>
    <t>김순례</t>
    <phoneticPr fontId="1" type="noConversion"/>
  </si>
  <si>
    <t>서울특별시 송파구 동남로6길 3-16, 302호 (문정동)</t>
    <phoneticPr fontId="1" type="noConversion"/>
  </si>
  <si>
    <t>김정숙</t>
    <phoneticPr fontId="1" type="noConversion"/>
  </si>
  <si>
    <t>서울특별시 송파구 동남로6길 3-16,401호(문정동)</t>
    <phoneticPr fontId="1" type="noConversion"/>
  </si>
  <si>
    <t>한만현</t>
    <phoneticPr fontId="1" type="noConversion"/>
  </si>
  <si>
    <t>서울특별시 송파구 동남로 8길3-8, 402호(문정동,뉴로데오빌라)</t>
    <phoneticPr fontId="1" type="noConversion"/>
  </si>
  <si>
    <t>조한미</t>
    <phoneticPr fontId="1" type="noConversion"/>
  </si>
  <si>
    <t>서울특별시 송파구 동남로6길 3-16, 501호(문정동)</t>
    <phoneticPr fontId="1" type="noConversion"/>
  </si>
  <si>
    <t>김재식</t>
    <phoneticPr fontId="1" type="noConversion"/>
  </si>
  <si>
    <t>서울특별시 송파구 동남로6길 3-16, 502호(문정동)</t>
    <phoneticPr fontId="1" type="noConversion"/>
  </si>
  <si>
    <t>다세대1</t>
    <phoneticPr fontId="1" type="noConversion"/>
  </si>
  <si>
    <t>2002.10.14</t>
  </si>
  <si>
    <t>다세대1</t>
  </si>
  <si>
    <t>황재곤</t>
    <phoneticPr fontId="1" type="noConversion"/>
  </si>
  <si>
    <t>서울특별시 송파구 동남로 160, 13동 401호(문정동,현대아파트)</t>
    <phoneticPr fontId="1" type="noConversion"/>
  </si>
  <si>
    <t>근생주택</t>
  </si>
  <si>
    <t>김인숙</t>
    <phoneticPr fontId="1" type="noConversion"/>
  </si>
  <si>
    <t>서울특별시 송파구 송이로28길 4-11, 101호(문정동)</t>
    <phoneticPr fontId="1" type="noConversion"/>
  </si>
  <si>
    <t>이호연</t>
    <phoneticPr fontId="1" type="noConversion"/>
  </si>
  <si>
    <t>010-6360-7471
010-8599-7471</t>
    <phoneticPr fontId="1" type="noConversion"/>
  </si>
  <si>
    <t>서울특별시 송파구 문정로 83, 113동102호(문정동, 문정래미안아파트)</t>
    <phoneticPr fontId="1" type="noConversion"/>
  </si>
  <si>
    <t>안남희</t>
    <phoneticPr fontId="1" type="noConversion"/>
  </si>
  <si>
    <t>서울특별시 송파구 동남로6길 3-14, 501호 (문정동)</t>
    <phoneticPr fontId="1" type="noConversion"/>
  </si>
  <si>
    <t>허서준</t>
    <phoneticPr fontId="1" type="noConversion"/>
  </si>
  <si>
    <t>서울특별시 송파구 마천로43길42,301호(마천동,플랫티늄빌)</t>
    <phoneticPr fontId="1" type="noConversion"/>
  </si>
  <si>
    <t>안소정</t>
    <phoneticPr fontId="1" type="noConversion"/>
  </si>
  <si>
    <t>서울특별시 강동구 양재대로 1560, 102동 1101호 (길동, 강동디앤써밋)</t>
    <phoneticPr fontId="1" type="noConversion"/>
  </si>
  <si>
    <t>최에스터혜옥</t>
    <phoneticPr fontId="1" type="noConversion"/>
  </si>
  <si>
    <t>미합중국 펜실베니아주 19438 콘티넨탈 드라이브 할리스빌 105</t>
    <phoneticPr fontId="1" type="noConversion"/>
  </si>
  <si>
    <t>강민희</t>
    <phoneticPr fontId="1" type="noConversion"/>
  </si>
  <si>
    <t>서울특별시 송파구 동남로8길 30-28, 202호(문정동)</t>
    <phoneticPr fontId="1" type="noConversion"/>
  </si>
  <si>
    <t>김미영</t>
    <phoneticPr fontId="1" type="noConversion"/>
  </si>
  <si>
    <t>서울특별시 송파구 송이로 240, 102동 202호 (문정동,드림팰리스)</t>
    <phoneticPr fontId="1" type="noConversion"/>
  </si>
  <si>
    <t>김법균</t>
    <phoneticPr fontId="1" type="noConversion"/>
  </si>
  <si>
    <t>서울특별시 송파구 동남로2길 10, 1층동102호(문정동)</t>
    <phoneticPr fontId="1" type="noConversion"/>
  </si>
  <si>
    <t>허광삼</t>
    <phoneticPr fontId="1" type="noConversion"/>
  </si>
  <si>
    <t>대구광역시 북구 복현로 173,104동1901호(복현동,복현화성타운)</t>
    <phoneticPr fontId="1" type="noConversion"/>
  </si>
  <si>
    <t>리뉴힐</t>
    <phoneticPr fontId="1" type="noConversion"/>
  </si>
  <si>
    <t>2011.10.21</t>
  </si>
  <si>
    <t>리뉴힐</t>
  </si>
  <si>
    <t>임정애</t>
    <phoneticPr fontId="1" type="noConversion"/>
  </si>
  <si>
    <t>서울특별시 송파구 동남로6길 3-10(문정동)</t>
    <phoneticPr fontId="1" type="noConversion"/>
  </si>
  <si>
    <t>음식점</t>
  </si>
  <si>
    <t>1989.07.10</t>
  </si>
  <si>
    <t>벽돌구조</t>
  </si>
  <si>
    <t>단독주택</t>
  </si>
  <si>
    <t>이분례</t>
    <phoneticPr fontId="1" type="noConversion"/>
  </si>
  <si>
    <t>서울 송파구 문정동 28-8</t>
  </si>
  <si>
    <t>1991.11.09</t>
  </si>
  <si>
    <t>제1종근린생활시설</t>
  </si>
  <si>
    <t>조현길</t>
    <phoneticPr fontId="1" type="noConversion"/>
  </si>
  <si>
    <t>서울특별시 강남구 학동로97길 31, 102동 1102호 (청담동,청담동양파라곤)</t>
    <phoneticPr fontId="1" type="noConversion"/>
  </si>
  <si>
    <t>그린파크빌라</t>
    <phoneticPr fontId="1" type="noConversion"/>
  </si>
  <si>
    <t>1991.01.11</t>
  </si>
  <si>
    <t>그린파크빌라</t>
  </si>
  <si>
    <t>김윤지</t>
    <phoneticPr fontId="1" type="noConversion"/>
  </si>
  <si>
    <t>서울특별시 송파구 동남로6길 7-5, 101호(문정동)</t>
    <phoneticPr fontId="1" type="noConversion"/>
  </si>
  <si>
    <t>송상이</t>
    <phoneticPr fontId="1" type="noConversion"/>
  </si>
  <si>
    <t>부천시 소사구 송내동 593-20</t>
    <phoneticPr fontId="1" type="noConversion"/>
  </si>
  <si>
    <t>조정이</t>
    <phoneticPr fontId="1" type="noConversion"/>
  </si>
  <si>
    <t>울산시 서부동 248-24 성원쌍떼빌 105-1801</t>
    <phoneticPr fontId="1" type="noConversion"/>
  </si>
  <si>
    <t>홍득선</t>
    <phoneticPr fontId="1" type="noConversion"/>
  </si>
  <si>
    <t>010-5381-4560
010-7494-4560</t>
    <phoneticPr fontId="1" type="noConversion"/>
  </si>
  <si>
    <t>딸 홍혜주 준비위원 참여했다
임신으로 활동 불가</t>
    <phoneticPr fontId="1" type="noConversion"/>
  </si>
  <si>
    <t>서울특별시 송파구 동남로 193 가락쌍용 202동 302호</t>
    <phoneticPr fontId="1" type="noConversion"/>
  </si>
  <si>
    <t>남철우</t>
    <phoneticPr fontId="1" type="noConversion"/>
  </si>
  <si>
    <t>01054951181
01091807448</t>
    <phoneticPr fontId="1" type="noConversion"/>
  </si>
  <si>
    <t>준비위원 참여 의사</t>
    <phoneticPr fontId="1" type="noConversion"/>
  </si>
  <si>
    <t>서울특별시 송파구 동남로6길 7-5, 301호(문정동,그린파크빌라)</t>
    <phoneticPr fontId="1" type="noConversion"/>
  </si>
  <si>
    <t>황준우</t>
    <phoneticPr fontId="1" type="noConversion"/>
  </si>
  <si>
    <t>서울특별시 송파구 동남로6길 7-5, 302호(문정동, 그린파크빌라)</t>
    <phoneticPr fontId="1" type="noConversion"/>
  </si>
  <si>
    <t>안현규</t>
    <phoneticPr fontId="1" type="noConversion"/>
  </si>
  <si>
    <t>서울 송파구 문정동 28-11 그린파크 401호</t>
    <phoneticPr fontId="1" type="noConversion"/>
  </si>
  <si>
    <t>이지현</t>
    <phoneticPr fontId="1" type="noConversion"/>
  </si>
  <si>
    <t>서울특별시 성동구 무학로6길 10, 303호(도선동,청기와빌라)</t>
    <phoneticPr fontId="1" type="noConversion"/>
  </si>
  <si>
    <t>1989.02.10</t>
  </si>
  <si>
    <t>박영숙</t>
    <phoneticPr fontId="1" type="noConversion"/>
  </si>
  <si>
    <t>서울특별시 강동구 고덕로 131, 135동 2302호(암사동,강동롯데캐슬퍼스트아파트)</t>
    <phoneticPr fontId="1" type="noConversion"/>
  </si>
  <si>
    <t>1994.10.17</t>
  </si>
  <si>
    <t>박복순</t>
    <phoneticPr fontId="1" type="noConversion"/>
  </si>
  <si>
    <t>서울특별시 송파구 동남로6길 7-11(문정동)</t>
    <phoneticPr fontId="1" type="noConversion"/>
  </si>
  <si>
    <t>1994.07.20</t>
  </si>
  <si>
    <t>김지현</t>
    <phoneticPr fontId="1" type="noConversion"/>
  </si>
  <si>
    <t>서울 송파구 오금동 165 상아아파트 6-209</t>
    <phoneticPr fontId="1" type="noConversion"/>
  </si>
  <si>
    <t>청구아트빌라</t>
    <phoneticPr fontId="1" type="noConversion"/>
  </si>
  <si>
    <t>1988.12.31</t>
  </si>
  <si>
    <t>청구아트빌라</t>
  </si>
  <si>
    <t>장혜경</t>
    <phoneticPr fontId="1" type="noConversion"/>
  </si>
  <si>
    <t>서울특별시 송파구 동남로6길 7-19, 101호(문정동,청구아트빌라)</t>
    <phoneticPr fontId="1" type="noConversion"/>
  </si>
  <si>
    <t>연립주택</t>
  </si>
  <si>
    <t>손호인</t>
    <phoneticPr fontId="1" type="noConversion"/>
  </si>
  <si>
    <t>서울특별시 송파구 동남로6길 7-19, 102호(문정동,청구아트빌라)</t>
    <phoneticPr fontId="1" type="noConversion"/>
  </si>
  <si>
    <t>신승오</t>
    <phoneticPr fontId="1" type="noConversion"/>
  </si>
  <si>
    <t>서울특별시 송파구 동남로3길 4, 4층(가락동)</t>
    <phoneticPr fontId="1" type="noConversion"/>
  </si>
  <si>
    <t>정점숙</t>
    <phoneticPr fontId="1" type="noConversion"/>
  </si>
  <si>
    <t>서울특별시 송파구 동남로6길 7-19, 201호(문정동,청구아트빌라)</t>
    <phoneticPr fontId="1" type="noConversion"/>
  </si>
  <si>
    <t>문수원</t>
    <phoneticPr fontId="1" type="noConversion"/>
  </si>
  <si>
    <t>서울 송파구 석촌동 251-3 장미아트빌라 102호</t>
    <phoneticPr fontId="1" type="noConversion"/>
  </si>
  <si>
    <t>양윤숙</t>
    <phoneticPr fontId="1" type="noConversion"/>
  </si>
  <si>
    <t>김창채 연락처</t>
    <phoneticPr fontId="1" type="noConversion"/>
  </si>
  <si>
    <t>서울 송파구 문정동 28-15 청구아트빌라 203호</t>
    <phoneticPr fontId="1" type="noConversion"/>
  </si>
  <si>
    <t>장영훈</t>
    <phoneticPr fontId="1" type="noConversion"/>
  </si>
  <si>
    <t>서울특별시 송파구 백제고분로32길 40-36, 202호 (삼전동)</t>
    <phoneticPr fontId="1" type="noConversion"/>
  </si>
  <si>
    <t>송용암</t>
    <phoneticPr fontId="1" type="noConversion"/>
  </si>
  <si>
    <t>서울특별시 송파구 송이로12길 11, 102동 306호(송파동,성지아파트)</t>
    <phoneticPr fontId="1" type="noConversion"/>
  </si>
  <si>
    <t>김형준</t>
    <phoneticPr fontId="1" type="noConversion"/>
  </si>
  <si>
    <t>서울특별시 송파구 문정동 28-15 303호</t>
    <phoneticPr fontId="1" type="noConversion"/>
  </si>
  <si>
    <t>[2026.04.14 13:44] 최광식 부사장: 콧수염사장님(김창섭님)이 알려준바, 토지와 건물의 소유가 다름. 토지는 신씨일가가 가지고 있고, 건물은 윤명희님 소유임.</t>
  </si>
  <si>
    <t>2003.07.16</t>
  </si>
  <si>
    <t>윤명희</t>
    <phoneticPr fontId="1" type="noConversion"/>
  </si>
  <si>
    <t>서울특별시 송파구 문정동 28-17</t>
    <phoneticPr fontId="1" type="noConversion"/>
  </si>
  <si>
    <t>1994.06.07</t>
  </si>
  <si>
    <t>정래균</t>
    <phoneticPr fontId="1" type="noConversion"/>
  </si>
  <si>
    <t>서울특별시 송파구 동남로6길 7-18(문정동)</t>
    <phoneticPr fontId="1" type="noConversion"/>
  </si>
  <si>
    <t>1995.09.19</t>
  </si>
  <si>
    <t>이재범외1</t>
    <phoneticPr fontId="1" type="noConversion"/>
  </si>
  <si>
    <t>서울특별시 송파구 문정동 28-19 301호</t>
    <phoneticPr fontId="1" type="noConversion"/>
  </si>
  <si>
    <t>청기와아트빌라</t>
    <phoneticPr fontId="1" type="noConversion"/>
  </si>
  <si>
    <t>1989.12.29</t>
  </si>
  <si>
    <t>청기와아트빌라</t>
  </si>
  <si>
    <t>김태훈</t>
    <phoneticPr fontId="1" type="noConversion"/>
  </si>
  <si>
    <t>송파구 문정동28-21  101호</t>
    <phoneticPr fontId="1" type="noConversion"/>
  </si>
  <si>
    <t>선순남</t>
    <phoneticPr fontId="1" type="noConversion"/>
  </si>
  <si>
    <t>박주철(청기와 건설업자)</t>
    <phoneticPr fontId="1" type="noConversion"/>
  </si>
  <si>
    <t>전북특별자치도 정읍시 영원면 발립길 36</t>
    <phoneticPr fontId="1" type="noConversion"/>
  </si>
  <si>
    <t>정정미</t>
    <phoneticPr fontId="1" type="noConversion"/>
  </si>
  <si>
    <t>서울특별시 강동구 성내동 404-17, -102</t>
    <phoneticPr fontId="1" type="noConversion"/>
  </si>
  <si>
    <t>전수기</t>
    <phoneticPr fontId="1" type="noConversion"/>
  </si>
  <si>
    <t>서울특별시 송파구 동남로6길 7-8, 105호(문정동,청기와아트빌라)</t>
    <phoneticPr fontId="1" type="noConversion"/>
  </si>
  <si>
    <t>김경화</t>
    <phoneticPr fontId="1" type="noConversion"/>
  </si>
  <si>
    <t>서울특별시 송파구 송이로 242, 602호(문정동,센트럴인)</t>
    <phoneticPr fontId="1" type="noConversion"/>
  </si>
  <si>
    <t>[2026.04.13 09:48] 이민후 팀장: 3차 설명회 당일 동의</t>
  </si>
  <si>
    <t>이귀록</t>
    <phoneticPr fontId="1" type="noConversion"/>
  </si>
  <si>
    <t>경기도 광주시 곤지암읍 곤지암로 120 쌍용아파트 101동 505호</t>
    <phoneticPr fontId="1" type="noConversion"/>
  </si>
  <si>
    <t>김창배</t>
    <phoneticPr fontId="1" type="noConversion"/>
  </si>
  <si>
    <t>010-8709-6397
010-4661-6213</t>
    <phoneticPr fontId="1" type="noConversion"/>
  </si>
  <si>
    <t>서울 송파구 문정동 28-21 청기와아트빌라 203호</t>
    <phoneticPr fontId="1" type="noConversion"/>
  </si>
  <si>
    <t>[2026.04.14 13:47] 최광식 부사장: 준비위원회 대표자</t>
  </si>
  <si>
    <t>이영숙</t>
    <phoneticPr fontId="1" type="noConversion"/>
  </si>
  <si>
    <t>010-9069-6760</t>
  </si>
  <si>
    <t>준비위원 대표자</t>
    <phoneticPr fontId="1" type="noConversion"/>
  </si>
  <si>
    <t>서울특별시 송파구 백제고분로45길 27,503호 (송파동,호수아파트)</t>
    <phoneticPr fontId="1" type="noConversion"/>
  </si>
  <si>
    <t>장병수외1</t>
    <phoneticPr fontId="1" type="noConversion"/>
  </si>
  <si>
    <t>부인 김경란 준비위원</t>
    <phoneticPr fontId="1" type="noConversion"/>
  </si>
  <si>
    <t>서울특별시 송파구 문정동28-21 301호</t>
    <phoneticPr fontId="1" type="noConversion"/>
  </si>
  <si>
    <t>황혜순</t>
    <phoneticPr fontId="1" type="noConversion"/>
  </si>
  <si>
    <t>남편 이재호 준비위원</t>
    <phoneticPr fontId="1" type="noConversion"/>
  </si>
  <si>
    <t>경기도 광주시 경충대로 1284번길 40, 105동903호</t>
    <phoneticPr fontId="1" type="noConversion"/>
  </si>
  <si>
    <t>최일동</t>
    <phoneticPr fontId="1" type="noConversion"/>
  </si>
  <si>
    <t>서울특별시 송파구 동남로6길 7-8, 303호(문정동)</t>
    <phoneticPr fontId="1" type="noConversion"/>
  </si>
  <si>
    <t>주효경</t>
    <phoneticPr fontId="1" type="noConversion"/>
  </si>
  <si>
    <t>서울특별시 마포구 양화로1길 52, 202호(합정동, 한성그린빌라)</t>
    <phoneticPr fontId="1" type="noConversion"/>
  </si>
  <si>
    <t>1988.12.12</t>
  </si>
  <si>
    <t>신수현</t>
    <phoneticPr fontId="1" type="noConversion"/>
  </si>
  <si>
    <t>서울 강동구 둔촌동 180-1 주공아파트 408-602</t>
    <phoneticPr fontId="1" type="noConversion"/>
  </si>
  <si>
    <t>대</t>
    <phoneticPr fontId="1" type="noConversion"/>
  </si>
  <si>
    <t>1988.09.30</t>
  </si>
  <si>
    <t>근린생활시설</t>
    <phoneticPr fontId="1" type="noConversion"/>
  </si>
  <si>
    <t>장희진</t>
    <phoneticPr fontId="1" type="noConversion"/>
  </si>
  <si>
    <t>경기도 광주시 곤지암읍 광여로 446</t>
    <phoneticPr fontId="1" type="noConversion"/>
  </si>
  <si>
    <t>다세대2</t>
    <phoneticPr fontId="1" type="noConversion"/>
  </si>
  <si>
    <t>2016.02.04</t>
  </si>
  <si>
    <t>다세대2</t>
  </si>
  <si>
    <t>김재상</t>
    <phoneticPr fontId="1" type="noConversion"/>
  </si>
  <si>
    <t>서울특별시 송파구 동남로2길 24(문정동)</t>
    <phoneticPr fontId="1" type="noConversion"/>
  </si>
  <si>
    <t>다세대3</t>
    <phoneticPr fontId="1" type="noConversion"/>
  </si>
  <si>
    <t>2015.06.03</t>
  </si>
  <si>
    <t>다세대3</t>
  </si>
  <si>
    <t>황정자외1</t>
    <phoneticPr fontId="1" type="noConversion"/>
  </si>
  <si>
    <t>서울특별시 송파구 송이로28길 24-1, 501호(문정동)</t>
    <phoneticPr fontId="1" type="noConversion"/>
  </si>
  <si>
    <t>함께꿈꾸는마을</t>
    <phoneticPr fontId="1" type="noConversion"/>
  </si>
  <si>
    <t>2011.10.18</t>
  </si>
  <si>
    <t>함께꿈꾸는마을</t>
  </si>
  <si>
    <t>조성천</t>
    <phoneticPr fontId="1" type="noConversion"/>
  </si>
  <si>
    <t>서울특별시 송파구 문정동28-28 501호</t>
    <phoneticPr fontId="1" type="noConversion"/>
  </si>
  <si>
    <t>서울특별시 송파구 문정동28-28 501호</t>
  </si>
  <si>
    <t>b01</t>
    <phoneticPr fontId="1" type="noConversion"/>
  </si>
  <si>
    <t>010-5224-3222
010-8873-5676</t>
    <phoneticPr fontId="1" type="noConversion"/>
  </si>
  <si>
    <t>도로</t>
  </si>
  <si>
    <t>송파구</t>
    <phoneticPr fontId="1" type="noConversion"/>
  </si>
  <si>
    <t>1989.12.14</t>
  </si>
  <si>
    <t>강인순외6</t>
    <phoneticPr fontId="1" type="noConversion"/>
  </si>
  <si>
    <t>010-3761-1290
010-5419-3878(유동원)</t>
    <phoneticPr fontId="1" type="noConversion"/>
  </si>
  <si>
    <t>꽃집 옆집
전화번호는 사위</t>
    <phoneticPr fontId="1" type="noConversion"/>
  </si>
  <si>
    <t>서울특별시 송파구 동남로6길 3-6(문정동,2층)</t>
    <phoneticPr fontId="1" type="noConversion"/>
  </si>
  <si>
    <t>청기와빌라</t>
    <phoneticPr fontId="1" type="noConversion"/>
  </si>
  <si>
    <t>1989.12.15</t>
  </si>
  <si>
    <t>청기와빌라</t>
  </si>
  <si>
    <t>정우옥</t>
    <phoneticPr fontId="1" type="noConversion"/>
  </si>
  <si>
    <t>서울특별시 송파구 동남로6길 7-12, 101호(문정동,청기와빌라)</t>
    <phoneticPr fontId="1" type="noConversion"/>
  </si>
  <si>
    <t>허선열</t>
    <phoneticPr fontId="1" type="noConversion"/>
  </si>
  <si>
    <t>서울특별시 송파구 문정동 28-32, 102호</t>
    <phoneticPr fontId="1" type="noConversion"/>
  </si>
  <si>
    <t>박소윤외1</t>
    <phoneticPr fontId="1" type="noConversion"/>
  </si>
  <si>
    <t>서울특별시 송파구 동남로6길 7-12, 201호 (문정동)</t>
    <phoneticPr fontId="1" type="noConversion"/>
  </si>
  <si>
    <t>이옥순</t>
    <phoneticPr fontId="1" type="noConversion"/>
  </si>
  <si>
    <t>서울특별시 송파구 새말로15길 20-12, 지층동 101호 (문정동,창훈빌라)</t>
    <phoneticPr fontId="1" type="noConversion"/>
  </si>
  <si>
    <t>문순예</t>
    <phoneticPr fontId="1" type="noConversion"/>
  </si>
  <si>
    <t>서울특별시 송파구 동남로8길 21 나동 지층2호(문정동)</t>
    <phoneticPr fontId="1" type="noConversion"/>
  </si>
  <si>
    <t>b02</t>
    <phoneticPr fontId="1" type="noConversion"/>
  </si>
  <si>
    <t>송재순</t>
    <phoneticPr fontId="1" type="noConversion"/>
  </si>
  <si>
    <t>서울특별시 송파구 송이로38길 8-1, 나동101호(문정동,양지빌라)</t>
    <phoneticPr fontId="1" type="noConversion"/>
  </si>
  <si>
    <t>1995.01.10</t>
  </si>
  <si>
    <t>경량철골구조</t>
  </si>
  <si>
    <t>서울 송파구 문정동 6-3</t>
  </si>
  <si>
    <t>정재운외5</t>
    <phoneticPr fontId="1" type="noConversion"/>
  </si>
  <si>
    <t>서울특별시 송파구 문정동 28-35</t>
  </si>
  <si>
    <t>1996.01.26</t>
  </si>
  <si>
    <t>박활성외2</t>
    <phoneticPr fontId="1" type="noConversion"/>
  </si>
  <si>
    <t>다가구 상속자 장미자</t>
    <phoneticPr fontId="1" type="noConversion"/>
  </si>
  <si>
    <t>서울특별시 강동구 올림픽로112길 17(암사동)</t>
    <phoneticPr fontId="1" type="noConversion"/>
  </si>
  <si>
    <t>조합원</t>
    <phoneticPr fontId="1" type="noConversion"/>
  </si>
  <si>
    <t>지상계</t>
    <phoneticPr fontId="1" type="noConversion"/>
  </si>
  <si>
    <t>지하계</t>
    <phoneticPr fontId="1" type="noConversion"/>
  </si>
  <si>
    <t>(지상,지하) 계</t>
    <phoneticPr fontId="1" type="noConversion"/>
  </si>
  <si>
    <t>연면적 계</t>
    <phoneticPr fontId="1" type="noConversion"/>
  </si>
  <si>
    <t>지하용도
주택</t>
    <phoneticPr fontId="1" type="noConversion"/>
  </si>
  <si>
    <t>연령별</t>
    <phoneticPr fontId="1" type="noConversion"/>
  </si>
  <si>
    <t>노후 판정 기준</t>
    <phoneticPr fontId="1" type="noConversion"/>
  </si>
  <si>
    <t>총 세대수</t>
    <phoneticPr fontId="1" type="noConversion"/>
  </si>
  <si>
    <t>총 주택수</t>
    <phoneticPr fontId="1" type="noConversion"/>
  </si>
  <si>
    <t>전체
건축물수</t>
    <phoneticPr fontId="1" type="noConversion"/>
  </si>
  <si>
    <t>지하층
건축물</t>
    <phoneticPr fontId="1" type="noConversion"/>
  </si>
  <si>
    <t>도로</t>
    <phoneticPr fontId="1" type="noConversion"/>
  </si>
  <si>
    <t>건축물수</t>
    <phoneticPr fontId="1" type="noConversion"/>
  </si>
  <si>
    <t>용도</t>
    <phoneticPr fontId="1" type="noConversion"/>
  </si>
  <si>
    <t>노후불량건축물 기준</t>
    <phoneticPr fontId="1" type="noConversion"/>
  </si>
  <si>
    <t>노후불량 건축물 수</t>
    <phoneticPr fontId="1" type="noConversion"/>
  </si>
  <si>
    <t>답</t>
    <phoneticPr fontId="1" type="noConversion"/>
  </si>
  <si>
    <t>노후지상계</t>
    <phoneticPr fontId="1" type="noConversion"/>
  </si>
  <si>
    <t>노후지하계</t>
    <phoneticPr fontId="1" type="noConversion"/>
  </si>
  <si>
    <t>노후(지상,지하) 계</t>
    <phoneticPr fontId="1" type="noConversion"/>
  </si>
  <si>
    <t>노후연면적 계</t>
    <phoneticPr fontId="1" type="noConversion"/>
  </si>
  <si>
    <t>0~10년</t>
    <phoneticPr fontId="1" type="noConversion"/>
  </si>
  <si>
    <t>1.공동주택</t>
    <phoneticPr fontId="1" type="noConversion"/>
  </si>
  <si>
    <t>가</t>
    <phoneticPr fontId="1" type="noConversion"/>
  </si>
  <si>
    <t>철콘/30년</t>
    <phoneticPr fontId="1" type="noConversion"/>
  </si>
  <si>
    <t>전</t>
    <phoneticPr fontId="1" type="noConversion"/>
  </si>
  <si>
    <t>10~20년</t>
    <phoneticPr fontId="1" type="noConversion"/>
  </si>
  <si>
    <t>나</t>
    <phoneticPr fontId="1" type="noConversion"/>
  </si>
  <si>
    <t>철콘외/20년</t>
    <phoneticPr fontId="1" type="noConversion"/>
  </si>
  <si>
    <t>주차장</t>
    <phoneticPr fontId="1" type="noConversion"/>
  </si>
  <si>
    <t>노후 연면적</t>
    <phoneticPr fontId="1" type="noConversion"/>
  </si>
  <si>
    <t>반지하 비율</t>
    <phoneticPr fontId="1" type="noConversion"/>
  </si>
  <si>
    <t>20~30년</t>
    <phoneticPr fontId="1" type="noConversion"/>
  </si>
  <si>
    <t>2.공동외</t>
    <phoneticPr fontId="1" type="noConversion"/>
  </si>
  <si>
    <t>철콘/단독외/30년</t>
    <phoneticPr fontId="1" type="noConversion"/>
  </si>
  <si>
    <t>임야</t>
    <phoneticPr fontId="1" type="noConversion"/>
  </si>
  <si>
    <t>30년초과</t>
    <phoneticPr fontId="1" type="noConversion"/>
  </si>
  <si>
    <t>철콘외/나머지/20년</t>
    <phoneticPr fontId="1" type="noConversion"/>
  </si>
  <si>
    <t>총 필지수</t>
    <phoneticPr fontId="1" type="noConversion"/>
  </si>
  <si>
    <t>주택/20년</t>
    <phoneticPr fontId="1" type="noConversion"/>
  </si>
  <si>
    <t>공동주택/철콘
현황</t>
    <phoneticPr fontId="1" type="noConversion"/>
  </si>
  <si>
    <t>□  도봉구 쌍문동 정비사업 토지조서</t>
    <phoneticPr fontId="1" type="noConversion"/>
  </si>
  <si>
    <t>토지/건축물</t>
    <phoneticPr fontId="1" type="noConversion"/>
  </si>
  <si>
    <t>토지</t>
    <phoneticPr fontId="1" type="noConversion"/>
  </si>
  <si>
    <t>건축면적</t>
    <phoneticPr fontId="1" type="noConversion"/>
  </si>
  <si>
    <r>
      <t xml:space="preserve">층   수
</t>
    </r>
    <r>
      <rPr>
        <b/>
        <sz val="7"/>
        <color theme="1"/>
        <rFont val="굴림"/>
        <family val="3"/>
        <charset val="129"/>
      </rPr>
      <t>(지상/지하)</t>
    </r>
    <phoneticPr fontId="1" type="noConversion"/>
  </si>
  <si>
    <t>구역</t>
    <phoneticPr fontId="1" type="noConversion"/>
  </si>
  <si>
    <t>순번</t>
    <phoneticPr fontId="1" type="noConversion"/>
  </si>
  <si>
    <t>건물동</t>
  </si>
  <si>
    <t>소유면적</t>
    <phoneticPr fontId="1" type="noConversion"/>
  </si>
  <si>
    <t>지역/지구</t>
  </si>
  <si>
    <t>지상</t>
    <phoneticPr fontId="1" type="noConversion"/>
  </si>
  <si>
    <t>계</t>
    <phoneticPr fontId="1" type="noConversion"/>
  </si>
  <si>
    <t>연령</t>
  </si>
  <si>
    <t>동의  여부</t>
    <phoneticPr fontId="1" type="noConversion"/>
  </si>
  <si>
    <t>성  명</t>
  </si>
  <si>
    <t>주      소</t>
  </si>
  <si>
    <t>거주주</t>
  </si>
  <si>
    <t>연번</t>
  </si>
  <si>
    <t>동의</t>
  </si>
  <si>
    <t>신분증2</t>
  </si>
  <si>
    <t>주민등록
등본</t>
  </si>
  <si>
    <t>구분</t>
  </si>
  <si>
    <t>조합설립
동의서</t>
    <phoneticPr fontId="1" type="noConversion"/>
  </si>
  <si>
    <t>공동시행자
지정 동의서</t>
    <phoneticPr fontId="1" type="noConversion"/>
  </si>
  <si>
    <t>□ 문정동28번지일대 1차 주민설명회 참석자 명부</t>
    <phoneticPr fontId="1" type="noConversion"/>
  </si>
  <si>
    <t>□ 문정동28번지일대 2차 주민설명회 참석자 명부</t>
    <phoneticPr fontId="1" type="noConversion"/>
  </si>
  <si>
    <t>□ 문정동28번지일대 3차 주민설명회 참석자 명부</t>
    <phoneticPr fontId="1" type="noConversion"/>
  </si>
  <si>
    <t>1차설명회우편물 반송</t>
    <phoneticPr fontId="1" type="noConversion"/>
  </si>
  <si>
    <t>안내문우편물 반송</t>
    <phoneticPr fontId="1" type="noConversion"/>
  </si>
  <si>
    <t>2차설명회우편물 반송</t>
    <phoneticPr fontId="1" type="noConversion"/>
  </si>
  <si>
    <t>토지등소유자 주소</t>
    <phoneticPr fontId="1" type="noConversion"/>
  </si>
  <si>
    <t>실 거주지  주  소</t>
    <phoneticPr fontId="1" type="noConversion"/>
  </si>
  <si>
    <t>연락처</t>
    <phoneticPr fontId="1" type="noConversion"/>
  </si>
  <si>
    <t>비  고</t>
    <phoneticPr fontId="1" type="noConversion"/>
  </si>
  <si>
    <t>성명</t>
    <phoneticPr fontId="1" type="noConversion"/>
  </si>
  <si>
    <t>전화번호</t>
    <phoneticPr fontId="1" type="noConversion"/>
  </si>
  <si>
    <t>실 거주지 주소</t>
    <phoneticPr fontId="1" type="noConversion"/>
  </si>
  <si>
    <t>반송사유</t>
    <phoneticPr fontId="1" type="noConversion"/>
  </si>
  <si>
    <t>문정동28-21 201호</t>
    <phoneticPr fontId="1" type="noConversion"/>
  </si>
  <si>
    <t>서울송파구 백제고분로45길29 503호</t>
    <phoneticPr fontId="1" type="noConversion"/>
  </si>
  <si>
    <t>문정동28-6 501호</t>
    <phoneticPr fontId="1" type="noConversion"/>
  </si>
  <si>
    <t>서울특별시 송파구 동남로6길 3-14, 501호 (문정동)</t>
  </si>
  <si>
    <t>재건축</t>
    <phoneticPr fontId="1" type="noConversion"/>
  </si>
  <si>
    <t>홍득선</t>
  </si>
  <si>
    <t>반송</t>
  </si>
  <si>
    <t>주소불명</t>
    <phoneticPr fontId="1" type="noConversion"/>
  </si>
  <si>
    <t>문정동28-5 502호</t>
  </si>
  <si>
    <t>최에스터혜옥</t>
  </si>
  <si>
    <t>주소불명</t>
  </si>
  <si>
    <t>반송</t>
    <phoneticPr fontId="1" type="noConversion"/>
  </si>
  <si>
    <t>김창성(이숙현)</t>
    <phoneticPr fontId="1" type="noConversion"/>
  </si>
  <si>
    <t>문정동28-1 청송b401호</t>
    <phoneticPr fontId="1" type="noConversion"/>
  </si>
  <si>
    <t>부</t>
    <phoneticPr fontId="1" type="noConversion"/>
  </si>
  <si>
    <t>문정동 28-8</t>
  </si>
  <si>
    <r>
      <t xml:space="preserve">010-3761-1290
</t>
    </r>
    <r>
      <rPr>
        <sz val="9"/>
        <color rgb="FFFF0000"/>
        <rFont val="Pretendard"/>
        <family val="3"/>
        <charset val="129"/>
      </rPr>
      <t>010-5419-3878(유동원)</t>
    </r>
    <phoneticPr fontId="1" type="noConversion"/>
  </si>
  <si>
    <t>허광삼</t>
  </si>
  <si>
    <t>문정동28-1 청송b동 502호</t>
  </si>
  <si>
    <t>문정동28-15 청구빌라203호</t>
    <phoneticPr fontId="1" type="noConversion"/>
  </si>
  <si>
    <t>문정동28-15 303호</t>
    <phoneticPr fontId="1" type="noConversion"/>
  </si>
  <si>
    <t>문정동28-1 청송b동 502호</t>
    <phoneticPr fontId="1" type="noConversion"/>
  </si>
  <si>
    <t>문정동28-3 양지201호</t>
    <phoneticPr fontId="1" type="noConversion"/>
  </si>
  <si>
    <t>문정동28-3 501호</t>
    <phoneticPr fontId="1" type="noConversion"/>
  </si>
  <si>
    <t>김소정(김병기)</t>
    <phoneticPr fontId="1" type="noConversion"/>
  </si>
  <si>
    <t>문정동28-1 402호</t>
    <phoneticPr fontId="1" type="noConversion"/>
  </si>
  <si>
    <t>동남로8길10, 402호</t>
    <phoneticPr fontId="1" type="noConversion"/>
  </si>
  <si>
    <t>문주영</t>
    <phoneticPr fontId="1" type="noConversion"/>
  </si>
  <si>
    <t>문정동28-2 301호</t>
    <phoneticPr fontId="1" type="noConversion"/>
  </si>
  <si>
    <t>박소윤</t>
    <phoneticPr fontId="1" type="noConversion"/>
  </si>
  <si>
    <t>동남로6길7-12, 201호 (문정동 28-32 청기와)</t>
  </si>
  <si>
    <t>동남로6길7-12, 201호</t>
    <phoneticPr fontId="1" type="noConversion"/>
  </si>
  <si>
    <t>수취인불명</t>
    <phoneticPr fontId="1" type="noConversion"/>
  </si>
  <si>
    <t>동남로8길 6 202호 (문정동 28-2)</t>
  </si>
  <si>
    <t>동남로8길 6 202호</t>
    <phoneticPr fontId="1" type="noConversion"/>
  </si>
  <si>
    <t>김창석</t>
  </si>
  <si>
    <t>소유자 양윤숙</t>
    <phoneticPr fontId="1" type="noConversion"/>
  </si>
  <si>
    <t>해외</t>
    <phoneticPr fontId="1" type="noConversion"/>
  </si>
  <si>
    <t>김유진(이제범외1)</t>
    <phoneticPr fontId="1" type="noConversion"/>
  </si>
  <si>
    <t>동남로6길 7-14 301호</t>
    <phoneticPr fontId="1" type="noConversion"/>
  </si>
  <si>
    <t>윤민숙</t>
    <phoneticPr fontId="1" type="noConversion"/>
  </si>
  <si>
    <t>문정동 28-1 501호</t>
    <phoneticPr fontId="1" type="noConversion"/>
  </si>
  <si>
    <t>소유자 정행택</t>
    <phoneticPr fontId="1" type="noConversion"/>
  </si>
  <si>
    <t>010-6266-4936
010-4747-6757</t>
    <phoneticPr fontId="1" type="noConversion"/>
  </si>
  <si>
    <t>동남로8길 10 201호 (문정동 28-1)</t>
  </si>
  <si>
    <t>동남로8길 10 201호</t>
    <phoneticPr fontId="1" type="noConversion"/>
  </si>
  <si>
    <t>최영훈</t>
    <phoneticPr fontId="1" type="noConversion"/>
  </si>
  <si>
    <t>문정동28-2 청송a 302</t>
  </si>
  <si>
    <t>서울특별시 송파구 문정동 28-2 청송빌라 에이-302</t>
  </si>
  <si>
    <t>소유자 서용숙</t>
    <phoneticPr fontId="1" type="noConversion"/>
  </si>
  <si>
    <t>지금순(장희진)</t>
    <phoneticPr fontId="1" type="noConversion"/>
  </si>
  <si>
    <t>문정동28-24(교회)</t>
    <phoneticPr fontId="1" type="noConversion"/>
  </si>
  <si>
    <t>문정동28-32 102호</t>
    <phoneticPr fontId="1" type="noConversion"/>
  </si>
  <si>
    <t>김정순</t>
    <phoneticPr fontId="1" type="noConversion"/>
  </si>
  <si>
    <t>문정동28-11 401호</t>
    <phoneticPr fontId="1" type="noConversion"/>
  </si>
  <si>
    <t>동남로6길7-9 1층 (문정동 28-12)</t>
  </si>
  <si>
    <t>동남로6길7-9 1층</t>
    <phoneticPr fontId="1" type="noConversion"/>
  </si>
  <si>
    <t>김영옥</t>
  </si>
  <si>
    <t>문정동28-4</t>
  </si>
  <si>
    <t>소유자 남편 전홍기</t>
  </si>
  <si>
    <t>동남로6길 7-19 1층 (문정동 28-15 청구아트)</t>
  </si>
  <si>
    <t>동남로6길 7-19 1층</t>
    <phoneticPr fontId="1" type="noConversion"/>
  </si>
  <si>
    <t>문정동28-28 지층1호</t>
    <phoneticPr fontId="1" type="noConversion"/>
  </si>
  <si>
    <t>28-28 다세대 건물 소유자</t>
    <phoneticPr fontId="1" type="noConversion"/>
  </si>
  <si>
    <t>문정동28-11 202호</t>
    <phoneticPr fontId="1" type="noConversion"/>
  </si>
  <si>
    <t>송파구 쌍용 apt 202동 302호</t>
    <phoneticPr fontId="1" type="noConversion"/>
  </si>
  <si>
    <t>문정동28-2 401호</t>
    <phoneticPr fontId="1" type="noConversion"/>
  </si>
  <si>
    <t>홍혜주</t>
    <phoneticPr fontId="1" type="noConversion"/>
  </si>
  <si>
    <t>김재각</t>
  </si>
  <si>
    <t>문정동28-2 101</t>
  </si>
  <si>
    <t>경기도 용인시 수지구 용구대로2771번길68, 108동 701호 (죽전동,벽산타운1단지)</t>
  </si>
  <si>
    <t>문정동28-2 a동502호</t>
    <phoneticPr fontId="1" type="noConversion"/>
  </si>
  <si>
    <t>문정동28-2 a동201호</t>
    <phoneticPr fontId="1" type="noConversion"/>
  </si>
  <si>
    <t>박소윤</t>
  </si>
  <si>
    <t>문정동28-32 201호</t>
    <phoneticPr fontId="1" type="noConversion"/>
  </si>
  <si>
    <t>문정동 28-8</t>
    <phoneticPr fontId="1" type="noConversion"/>
  </si>
  <si>
    <t>이현진</t>
    <phoneticPr fontId="1" type="noConversion"/>
  </si>
  <si>
    <t>문정동 28-2 402호</t>
    <phoneticPr fontId="1" type="noConversion"/>
  </si>
  <si>
    <t>경기도 남양주시, 다산순환로111 3203동1002호</t>
    <phoneticPr fontId="1" type="noConversion"/>
  </si>
  <si>
    <t>소유자 김인순</t>
    <phoneticPr fontId="1" type="noConversion"/>
  </si>
  <si>
    <t>문정동28-5 502호</t>
    <phoneticPr fontId="1" type="noConversion"/>
  </si>
  <si>
    <t>문정동28-15 103호</t>
    <phoneticPr fontId="1" type="noConversion"/>
  </si>
  <si>
    <t>문정동28-21 102호</t>
    <phoneticPr fontId="1" type="noConversion"/>
  </si>
  <si>
    <t>전북특별자치도 정읍시 영원면 발립길 36</t>
  </si>
  <si>
    <t>문정동28-10</t>
    <phoneticPr fontId="1" type="noConversion"/>
  </si>
  <si>
    <t>서울특별시 강남구 학동로97길 31, 102동 1102호 (청담동,청담동양파라곤)</t>
  </si>
  <si>
    <t>미재공</t>
    <phoneticPr fontId="1" type="noConversion"/>
  </si>
  <si>
    <t>상가 건물 소유자</t>
    <phoneticPr fontId="1" type="noConversion"/>
  </si>
  <si>
    <t>모</t>
    <phoneticPr fontId="1" type="noConversion"/>
  </si>
  <si>
    <t>신영남</t>
  </si>
  <si>
    <t>문정동28-5 202호</t>
  </si>
  <si>
    <t>서울 송파구 문정동 48-11</t>
  </si>
  <si>
    <t>자</t>
    <phoneticPr fontId="1" type="noConversion"/>
  </si>
  <si>
    <t>김유진</t>
    <phoneticPr fontId="1" type="noConversion"/>
  </si>
  <si>
    <t>문정동28-14 301호</t>
    <phoneticPr fontId="1" type="noConversion"/>
  </si>
  <si>
    <t>28-14는 단독주택임 주소 잘못됨</t>
    <phoneticPr fontId="1" type="noConversion"/>
  </si>
  <si>
    <t>문정동28-5 202호</t>
    <phoneticPr fontId="1" type="noConversion"/>
  </si>
  <si>
    <t>김경란</t>
    <phoneticPr fontId="1" type="noConversion"/>
  </si>
  <si>
    <t>28-21 청기와아트빌라 301</t>
    <phoneticPr fontId="1" type="noConversion"/>
  </si>
  <si>
    <t>참석자 조창희</t>
    <phoneticPr fontId="1" type="noConversion"/>
  </si>
  <si>
    <t>문정동28-6 302호</t>
    <phoneticPr fontId="1" type="noConversion"/>
  </si>
  <si>
    <t>문정동28-21 302호</t>
    <phoneticPr fontId="1" type="noConversion"/>
  </si>
  <si>
    <t>광주시 초월읍 경충대로 1284번길40, 105동903호</t>
    <phoneticPr fontId="1" type="noConversion"/>
  </si>
  <si>
    <t>010-3903-7645
010-4641-7645</t>
    <phoneticPr fontId="1" type="noConversion"/>
  </si>
  <si>
    <t>이강일</t>
    <phoneticPr fontId="1" type="noConversion"/>
  </si>
  <si>
    <t>문정동28-1 청송b 301</t>
    <phoneticPr fontId="1" type="noConversion"/>
  </si>
  <si>
    <t>서울특별시 송파구 동남로8길10, 301호(문정동)</t>
  </si>
  <si>
    <t>이강일</t>
  </si>
  <si>
    <t>문정동28-1 청송b 301</t>
  </si>
  <si>
    <t>초광산단서로16번길26 1층(재영포장)</t>
    <phoneticPr fontId="1" type="noConversion"/>
  </si>
  <si>
    <t>참석자 김소정</t>
    <phoneticPr fontId="1" type="noConversion"/>
  </si>
  <si>
    <t>문정동28-3 양지빌라 502</t>
    <phoneticPr fontId="1" type="noConversion"/>
  </si>
  <si>
    <t>서울특별시 관악구 대학14길 84(신림동)</t>
  </si>
  <si>
    <t>장혜경</t>
  </si>
  <si>
    <t>문정동28-15 101호</t>
    <phoneticPr fontId="1" type="noConversion"/>
  </si>
  <si>
    <t>참석자 이재오</t>
    <phoneticPr fontId="1" type="noConversion"/>
  </si>
  <si>
    <t>문정동28-11 그린빌라 301</t>
    <phoneticPr fontId="1" type="noConversion"/>
  </si>
  <si>
    <t>서울특별시 송파구 동남로6길 7-5, 301호(문정동,그린파크빌라)</t>
  </si>
  <si>
    <t>문정동28-10 401</t>
  </si>
  <si>
    <t>서울 송파구 문정동 28-11 그린파크 401호</t>
  </si>
  <si>
    <t>소유자 안현규</t>
    <phoneticPr fontId="1" type="noConversion"/>
  </si>
  <si>
    <t>박활성외2</t>
  </si>
  <si>
    <t>문정동28-36</t>
  </si>
  <si>
    <t>서울특별시 강동구 올림픽로112길 17(암사동)</t>
  </si>
  <si>
    <t>다가구 상속자 장미자</t>
  </si>
  <si>
    <t>강재형</t>
  </si>
  <si>
    <t>문정동28-2 202호</t>
    <phoneticPr fontId="1" type="noConversion"/>
  </si>
  <si>
    <t>참석자 김정순</t>
    <phoneticPr fontId="1" type="noConversion"/>
  </si>
  <si>
    <t>김제각</t>
  </si>
  <si>
    <t>문정동28-2 101</t>
    <phoneticPr fontId="1" type="noConversion"/>
  </si>
  <si>
    <t>김태훈</t>
  </si>
  <si>
    <t>28-21  101호</t>
    <phoneticPr fontId="1" type="noConversion"/>
  </si>
  <si>
    <t>28-21  101호</t>
  </si>
  <si>
    <t>참석자 박충현</t>
    <phoneticPr fontId="1" type="noConversion"/>
  </si>
  <si>
    <t>김정복</t>
    <phoneticPr fontId="1" type="noConversion"/>
  </si>
  <si>
    <t>문정동28-2 102</t>
    <phoneticPr fontId="1" type="noConversion"/>
  </si>
  <si>
    <t>김인순</t>
  </si>
  <si>
    <t>문정동28-2 402호</t>
  </si>
  <si>
    <t>서울 송파구 문정동 6-5 지층 01호</t>
  </si>
  <si>
    <t>문정동28-2 402호</t>
    <phoneticPr fontId="1" type="noConversion"/>
  </si>
  <si>
    <t>문정동28-11 202호</t>
  </si>
  <si>
    <t>서울시 송파구 동남로193 가락쌍용apt 202동 302호</t>
    <phoneticPr fontId="1" type="noConversion"/>
  </si>
  <si>
    <t>소유자 홍득선</t>
    <phoneticPr fontId="1" type="noConversion"/>
  </si>
  <si>
    <t>김윤지</t>
  </si>
  <si>
    <t>문정동28-10 101</t>
    <phoneticPr fontId="1" type="noConversion"/>
  </si>
  <si>
    <t>서울특별시 송파구 동남로6길 7-5, 101호(문정동)</t>
  </si>
  <si>
    <t>참석자 황현진</t>
    <phoneticPr fontId="1" type="noConversion"/>
  </si>
  <si>
    <t>송상이</t>
  </si>
  <si>
    <t>문정동28-10 102</t>
    <phoneticPr fontId="1" type="noConversion"/>
  </si>
  <si>
    <t>부천시 소사구 송내동 593-20</t>
  </si>
  <si>
    <t>조정이</t>
  </si>
  <si>
    <t>문정동28-10 201</t>
    <phoneticPr fontId="1" type="noConversion"/>
  </si>
  <si>
    <t>울산시 서부동 248-24 성원쌍떼빌 105-1801</t>
  </si>
  <si>
    <t>황준우</t>
  </si>
  <si>
    <t>문정동28-10 302</t>
    <phoneticPr fontId="1" type="noConversion"/>
  </si>
  <si>
    <t>서울특별시 송파구 동남로6길 7-5, 302호(문정동, 그린파크빌라)</t>
  </si>
  <si>
    <t>문자메시지 번호오류 메시지</t>
  </si>
  <si>
    <t>참석자 이현진</t>
    <phoneticPr fontId="1" type="noConversion"/>
  </si>
  <si>
    <t>안현규</t>
  </si>
  <si>
    <t>문정동28-10 401</t>
    <phoneticPr fontId="1" type="noConversion"/>
  </si>
  <si>
    <t>이지현</t>
  </si>
  <si>
    <t>문정동28-10 402</t>
    <phoneticPr fontId="1" type="noConversion"/>
  </si>
  <si>
    <t>서울특별시 성동구 무학로6길 10, 303호(도선동,청기와빌라)</t>
  </si>
  <si>
    <t>이재호</t>
    <phoneticPr fontId="1" type="noConversion"/>
  </si>
  <si>
    <t>서울특별시 송파구 동남로6길 7-8, 302호(문정동, 청기와아트빌라)</t>
  </si>
  <si>
    <t>소유자 황혜순</t>
    <phoneticPr fontId="1" type="noConversion"/>
  </si>
  <si>
    <t>김여옥</t>
  </si>
  <si>
    <t>문정동28-4</t>
    <phoneticPr fontId="1" type="noConversion"/>
  </si>
  <si>
    <t>서울특별시 송파구 동남로6길3-20(문정동)</t>
  </si>
  <si>
    <t>소유자 남편 전홍기</t>
    <phoneticPr fontId="1" type="noConversion"/>
  </si>
  <si>
    <t>전화번호가 2개?</t>
    <phoneticPr fontId="1" type="noConversion"/>
  </si>
  <si>
    <t>문정동28-2 청송a 302</t>
    <phoneticPr fontId="1" type="noConversion"/>
  </si>
  <si>
    <t>몇호인지 확인 불가 소유주 아님&gt;통화해서 확인
소유자 서용숙</t>
    <phoneticPr fontId="1" type="noConversion"/>
  </si>
  <si>
    <t>황재곤</t>
  </si>
  <si>
    <t>문정동28-6 201</t>
    <phoneticPr fontId="1" type="noConversion"/>
  </si>
  <si>
    <t>서울특별시 송파구 동남로 160, 13동 401호(문정동,현대아파트)</t>
  </si>
  <si>
    <t>이호연</t>
  </si>
  <si>
    <t>문정동28-6 203,4</t>
    <phoneticPr fontId="1" type="noConversion"/>
  </si>
  <si>
    <t>서울특별시 송파구 문정로 83, 113동102호(문정동, 문정래미안아파트)</t>
  </si>
  <si>
    <t>28-21 청기와아트빌라 101</t>
    <phoneticPr fontId="1" type="noConversion"/>
  </si>
  <si>
    <t>서울특별시 송파구 새말로17길 12-8, 301호(문정동)</t>
  </si>
  <si>
    <t>권리주소</t>
    <phoneticPr fontId="1" type="noConversion"/>
  </si>
  <si>
    <t>28-3 502호</t>
    <phoneticPr fontId="1" type="noConversion"/>
  </si>
  <si>
    <t>01077362221</t>
    <phoneticPr fontId="1" type="noConversion"/>
  </si>
  <si>
    <t>28-3 201호</t>
    <phoneticPr fontId="1" type="noConversion"/>
  </si>
  <si>
    <t>01083435510</t>
    <phoneticPr fontId="1" type="noConversion"/>
  </si>
  <si>
    <t>28-2 502호</t>
    <phoneticPr fontId="1" type="noConversion"/>
  </si>
  <si>
    <t>01062694936</t>
    <phoneticPr fontId="1" type="noConversion"/>
  </si>
  <si>
    <t>김제각</t>
    <phoneticPr fontId="1" type="noConversion"/>
  </si>
  <si>
    <t>28-2 101/102호(근린생활시설)</t>
    <phoneticPr fontId="1" type="noConversion"/>
  </si>
  <si>
    <t>01094840777</t>
    <phoneticPr fontId="1" type="noConversion"/>
  </si>
  <si>
    <t>28-11 202호</t>
    <phoneticPr fontId="1" type="noConversion"/>
  </si>
  <si>
    <t>01074944560</t>
    <phoneticPr fontId="1" type="noConversion"/>
  </si>
  <si>
    <t>28-2 302호</t>
    <phoneticPr fontId="1" type="noConversion"/>
  </si>
  <si>
    <t>01052322332</t>
    <phoneticPr fontId="1" type="noConversion"/>
  </si>
  <si>
    <t>28-5 202</t>
    <phoneticPr fontId="1" type="noConversion"/>
  </si>
  <si>
    <t>01022802127</t>
    <phoneticPr fontId="1" type="noConversion"/>
  </si>
  <si>
    <t>김창섭</t>
    <phoneticPr fontId="1" type="noConversion"/>
  </si>
  <si>
    <t>28-1 401호</t>
    <phoneticPr fontId="1" type="noConversion"/>
  </si>
  <si>
    <t>01047476757</t>
    <phoneticPr fontId="1" type="noConversion"/>
  </si>
  <si>
    <t>소유자 이숙현</t>
    <phoneticPr fontId="1" type="noConversion"/>
  </si>
  <si>
    <t>28-1 301호</t>
    <phoneticPr fontId="1" type="noConversion"/>
  </si>
  <si>
    <t>01037106773</t>
    <phoneticPr fontId="1" type="noConversion"/>
  </si>
  <si>
    <t>김여옥</t>
    <phoneticPr fontId="1" type="noConversion"/>
  </si>
  <si>
    <t>28-4</t>
    <phoneticPr fontId="1" type="noConversion"/>
  </si>
  <si>
    <t>01053390764</t>
    <phoneticPr fontId="1" type="noConversion"/>
  </si>
  <si>
    <t>소유자 전홍기</t>
    <phoneticPr fontId="1" type="noConversion"/>
  </si>
  <si>
    <t>28-21 205호</t>
    <phoneticPr fontId="1" type="noConversion"/>
  </si>
  <si>
    <t>01090696760</t>
    <phoneticPr fontId="1" type="noConversion"/>
  </si>
  <si>
    <t>대표자</t>
    <phoneticPr fontId="1" type="noConversion"/>
  </si>
  <si>
    <t>28-21 302호</t>
    <phoneticPr fontId="1" type="noConversion"/>
  </si>
  <si>
    <t>01046417645</t>
    <phoneticPr fontId="1" type="noConversion"/>
  </si>
  <si>
    <t>28-21 101호</t>
    <phoneticPr fontId="1" type="noConversion"/>
  </si>
  <si>
    <t>01072265756</t>
    <phoneticPr fontId="1" type="noConversion"/>
  </si>
  <si>
    <t>28-21 301호</t>
    <phoneticPr fontId="1" type="noConversion"/>
  </si>
  <si>
    <t>01091560958</t>
    <phoneticPr fontId="1" type="noConversion"/>
  </si>
  <si>
    <t>소유자 
장병수,김경란</t>
    <phoneticPr fontId="1" type="noConversion"/>
  </si>
  <si>
    <t>28-21 102호</t>
    <phoneticPr fontId="1" type="noConversion"/>
  </si>
  <si>
    <t>01033112358</t>
    <phoneticPr fontId="1" type="noConversion"/>
  </si>
  <si>
    <t>초광산단서로16번길26 1층(재영포장)</t>
  </si>
  <si>
    <t>서울특별시 송파구 동남로8길 10, 501호(문정동,청송하이츠빌)</t>
    <phoneticPr fontId="1" type="noConversion"/>
  </si>
  <si>
    <t>서울특별시 송파구 동남로8길 19-12 ,101호(문정동)</t>
    <phoneticPr fontId="1" type="noConversion"/>
  </si>
  <si>
    <t>서울 송파구 문정동 6-5 지층 01호</t>
    <phoneticPr fontId="1" type="noConversion"/>
  </si>
  <si>
    <t>서울특별시 송파구 동남로 193, 303동11층1104호(가락동,가락쌍용아파트)</t>
    <phoneticPr fontId="1" type="noConversion"/>
  </si>
  <si>
    <t>서울특별시 송파구 동남로8길 10, 502호(문정동,청송하이츠빌라)</t>
    <phoneticPr fontId="1" type="noConversion"/>
  </si>
  <si>
    <t>서울특별시 송파구 문정로 125, 5동 1002호(가락동,가락프라자아파트)</t>
    <phoneticPr fontId="1" type="noConversion"/>
  </si>
  <si>
    <t>서울송파구 문정동 28-21 청기와빌라 202호</t>
    <phoneticPr fontId="1" type="noConversion"/>
  </si>
  <si>
    <t>서울특별시 송파구 송이로28길 24, 비01호(문정동)</t>
    <phoneticPr fontId="1" type="noConversion"/>
  </si>
  <si>
    <t>서울특별시 송파구 올림픽로 326 (신천동) 재무과 재산관리팀</t>
    <phoneticPr fontId="1" type="noConversion"/>
  </si>
  <si>
    <t>소재지</t>
  </si>
  <si>
    <t>본번</t>
    <phoneticPr fontId="1" type="noConversion"/>
  </si>
  <si>
    <t>부번</t>
    <phoneticPr fontId="1" type="noConversion"/>
  </si>
  <si>
    <t>공부면적</t>
    <phoneticPr fontId="7" type="noConversion"/>
  </si>
  <si>
    <t>편입면적</t>
    <phoneticPr fontId="7" type="noConversion"/>
  </si>
  <si>
    <t>용도지역</t>
  </si>
  <si>
    <t>용도지역2</t>
  </si>
  <si>
    <t>서울특별시 송파구 문정동</t>
  </si>
  <si>
    <t>제2종일반주거지역</t>
  </si>
  <si>
    <t>지번</t>
  </si>
  <si>
    <t>본번</t>
    <phoneticPr fontId="7" type="noConversion"/>
  </si>
  <si>
    <t>부번</t>
    <phoneticPr fontId="7" type="noConversion"/>
  </si>
  <si>
    <t>연면적(㎡)</t>
  </si>
  <si>
    <t>용도지역</t>
    <phoneticPr fontId="7" type="noConversion"/>
  </si>
  <si>
    <t>주건물구조</t>
  </si>
  <si>
    <t>건물용도</t>
  </si>
  <si>
    <t>사용승인연도</t>
  </si>
  <si>
    <t>28</t>
  </si>
  <si>
    <t>1989</t>
  </si>
  <si>
    <t>1</t>
  </si>
  <si>
    <t>2002</t>
  </si>
  <si>
    <t>2</t>
  </si>
  <si>
    <t>3</t>
  </si>
  <si>
    <t>2004</t>
  </si>
  <si>
    <t>4</t>
  </si>
  <si>
    <t>2005</t>
  </si>
  <si>
    <t>5</t>
  </si>
  <si>
    <t>6</t>
  </si>
  <si>
    <t>7</t>
  </si>
  <si>
    <t>2011</t>
  </si>
  <si>
    <t>8</t>
  </si>
  <si>
    <t>10</t>
  </si>
  <si>
    <t>1991</t>
  </si>
  <si>
    <t>11</t>
  </si>
  <si>
    <t>12</t>
  </si>
  <si>
    <t>13</t>
  </si>
  <si>
    <t>1994</t>
  </si>
  <si>
    <t>14</t>
  </si>
  <si>
    <t>15</t>
  </si>
  <si>
    <t>1988</t>
  </si>
  <si>
    <t>17</t>
  </si>
  <si>
    <t>2003</t>
  </si>
  <si>
    <t>18</t>
  </si>
  <si>
    <t>19</t>
  </si>
  <si>
    <t>1995</t>
  </si>
  <si>
    <t>21</t>
  </si>
  <si>
    <t>23</t>
  </si>
  <si>
    <t>24</t>
  </si>
  <si>
    <t>26</t>
  </si>
  <si>
    <t>2016</t>
  </si>
  <si>
    <t>27</t>
  </si>
  <si>
    <t>2015</t>
  </si>
  <si>
    <t>31</t>
  </si>
  <si>
    <t>32</t>
  </si>
  <si>
    <t>34</t>
  </si>
  <si>
    <t>35</t>
  </si>
  <si>
    <t>36</t>
  </si>
  <si>
    <t>1996</t>
  </si>
  <si>
    <t>한국부동산원 규모검토</t>
  </si>
  <si>
    <t>토지,건축 자료 다운</t>
  </si>
  <si>
    <t>닥터빌드 규모검토</t>
  </si>
  <si>
    <t>토지,건축 자료 다운</t>
    <phoneticPr fontId="1" type="noConversion"/>
  </si>
  <si>
    <t>각 시트별로 폼에 맞게 가공</t>
    <phoneticPr fontId="1" type="noConversion"/>
  </si>
  <si>
    <t>부동산원,닥터빌드 데이터 비교</t>
  </si>
  <si>
    <t>통합시트 작성된 (xlookup) 수식으로 가지고 올 수 있는 데이터 
자동으로 완성</t>
    <phoneticPr fontId="1" type="noConversion"/>
  </si>
  <si>
    <t>완성된 데이터 (ctrl+shift+v)값만 붙여넣기로 시트 전체 copy
(xlookup수식 데이터 많이 잡아먹음)</t>
    <phoneticPr fontId="1" type="noConversion"/>
  </si>
  <si>
    <t>나머지 자료 일사편리</t>
  </si>
  <si>
    <t>[2026.04.13 17:20] 이민후 팀장: 4-13 간담회 참석
[2026.04.15 15:59] 이민후 팀장: 신분증 사본 요청 필요</t>
  </si>
  <si>
    <t>[2026.04.13 09:48] 이민후 팀장: 3차설명회 당일 동의
[2026.04.13 10:44] 최광식 부사장: test
[2026.04.16 11:05] 최광식 부사장: 키 크신 여사님. 준비위원 저녁(4/13)에 참석함. 활동적이심. 김창섭(콧수염사장님)씨의 형수님.</t>
  </si>
  <si>
    <t>[2026.04.15 17:32] 최광식 부사장: 4/15 민경애/이완규 공동명의. 두분 다 오셔서 대표자(이완규)선임하심. 동의서 작성완료.</t>
  </si>
  <si>
    <t>[2026.04.17 16:09] 최광식 부사장: 4-17 공동주택 총무님. 동의서 제출. 책자분출.</t>
  </si>
  <si>
    <t>[2026.04.13 17:32] 이민후 팀장: 4-13 주민간담회 참석(부인 김영옥)
[2026.04.17 11:34] 최광식 부사장: 4-17 김영옥님 오전 방문. 오후 28-27번지 소유주아들(강동연 010-9798-7696)과 같이 방문예정.</t>
  </si>
  <si>
    <t>[2026.04.16 17:57] 최광식 부사장: 4/16 동의서 제출 완료(로데오 공인) + 꽃집(이분례사장)이 같이 참석함.</t>
  </si>
  <si>
    <t>[2026.04.17 16:11] 최광식 부사장: 4-17 남편분과 같이 방문. 남편분은 동의서제출하려고 하나 사모님이 한번더 검토하겠다고 함.
[2026.04.17 16:52] 최광식 부사장: 4-17 동의서 제출. 집 리모델링한지 4년되어서 그 부분 반영되길 바람.</t>
  </si>
  <si>
    <t>[2026.04.15 16:17] 최광식 부사장: 4/15 본인 방문. 남편과 같이 와서 동의서 작성하겠다.
[2026.04.16 13:23] 최광식 부사장: 4/16 동의서 작성 및 제출완료
[2026.04.16 13:29] 최광식 부사장: 큰 애완견키움. 1층 선호함.</t>
  </si>
  <si>
    <t>[2026.04.16 18:18] 최광식 부사장: 4/16 동의서제출 완료(로데오공인) 소개</t>
  </si>
  <si>
    <t>[2026.04.17 09:58] 최광식 부사장: 4/16 동의서 징구 완료. 저녁 7시 30분</t>
  </si>
  <si>
    <t>[2026.04.14 11:40] 최광식 부사장: 아들 방문. 지속적인 월세를 보존하는 방법.
[2026.04.14 12:00] 최광식 부사장: 아들(강동연 010-9798-7696)방문 상담. 모친은 포항거주. 아들만 월세수입으로 유지하는것으로 보임. 아들은 긍정적인 반응임. 28-4번지(10세대 동일하게 가지신 준비위원 김영옥님)과 상의하도록 유도함.
[2026.04.17 11:34] 최광식 부사장: 4-17 김영옥님(28-4)과 같이 3시30분 방문예정</t>
  </si>
  <si>
    <t xml:space="preserve">[2026.04.13 17:08] 이민후 팀장: 3차 설명회 당일 동의
[2026.04.15 15:58] 이민후 팀장: 대표소유자 선임동의서 필요, 신분증 사본 재요청 필요
</t>
  </si>
  <si>
    <t>[2026.04.14 11:40] 최광식 부사장: 아들 방문. 지속적인 월세를 보존하는 방법.
[2026.04.14 12:00] 최광식 부사장: 아들(강동연 010-9798-7696)방문 상담. 모친은 포항거주. 아들만 월세수입으로 유지하는것으로 보임. 아들은 긍정적인 반응임. 28-4번지(10세대 동일하게 가지신 준비위원 김영옥님)과 상의하도록 유도함.
[2026.04.17 11:34] 최광식 부사장: 4-17 김영옥님(28-4)과 같이 3시30분 방문예정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</si>
</sst>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,##0.00_ "/>
    <numFmt numFmtId="177" formatCode="#,##0_ "/>
    <numFmt numFmtId="178" formatCode="yyyy&quot;년&quot;\ m&quot;월&quot;;@"/>
    <numFmt numFmtId="179" formatCode="#,##0.00_ &quot;㎡&quot;"/>
    <numFmt numFmtId="180" formatCode="#,##0.0_ "/>
    <numFmt numFmtId="181" formatCode="@\ &quot;㎡&quot;"/>
    <numFmt numFmtId="182" formatCode="#.00&quot;㎡&quot;"/>
    <numFmt numFmtId="183" formatCode="#,##0.0"/>
    <numFmt numFmtId="184" formatCode="m&quot;월&quot;\ d&quot;일&quot;;@"/>
    <numFmt numFmtId="185" formatCode="0.00_);[Red]\(0.00\)"/>
    <numFmt numFmtId="186" formatCode="####\-##\-##"/>
    <numFmt numFmtId="187" formatCode="000\-0000\-0000"/>
    <numFmt numFmtId="188" formatCode="#\ &quot;인&quot;"/>
    <numFmt numFmtId="189" formatCode="mm&quot;월&quot;\ dd&quot;일&quot;"/>
    <numFmt numFmtId="190" formatCode=";;;"/>
  </numFmts>
  <fonts count="7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굴림"/>
      <family val="3"/>
      <charset val="129"/>
    </font>
    <font>
      <b/>
      <sz val="16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name val="굴림"/>
      <family val="3"/>
      <charset val="129"/>
    </font>
    <font>
      <b/>
      <sz val="8"/>
      <name val="굴림"/>
      <family val="3"/>
      <charset val="129"/>
    </font>
    <font>
      <b/>
      <sz val="7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7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rgb="FF000000"/>
      <name val="굴림체"/>
      <family val="3"/>
      <charset val="129"/>
    </font>
    <font>
      <sz val="10"/>
      <color rgb="FF555555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555555"/>
      <name val="맑은 고딕"/>
      <family val="3"/>
      <charset val="129"/>
      <scheme val="minor"/>
    </font>
    <font>
      <b/>
      <sz val="11"/>
      <color rgb="FF494949"/>
      <name val="맑은 고딕"/>
      <family val="3"/>
      <charset val="129"/>
      <scheme val="minor"/>
    </font>
    <font>
      <sz val="8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8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777777"/>
      <name val="Inherit"/>
      <family val="2"/>
    </font>
    <font>
      <sz val="9"/>
      <color rgb="FF000000"/>
      <name val="Segoe UI"/>
      <family val="2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Calibri"/>
      <family val="2"/>
    </font>
    <font>
      <sz val="28"/>
      <color theme="1"/>
      <name val="맑은 고딕"/>
      <family val="3"/>
      <charset val="129"/>
      <scheme val="minor"/>
    </font>
    <font>
      <u/>
      <sz val="28"/>
      <color theme="10"/>
      <name val="맑은 고딕"/>
      <family val="3"/>
      <charset val="129"/>
      <scheme val="minor"/>
    </font>
    <font>
      <u/>
      <sz val="28"/>
      <color theme="10"/>
      <name val="맑은 고딕"/>
      <family val="2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10"/>
      <color theme="1"/>
      <name val="Pretendard Black"/>
      <family val="3"/>
      <charset val="129"/>
    </font>
    <font>
      <sz val="10"/>
      <color theme="1"/>
      <name val="Pretendard"/>
      <family val="3"/>
      <charset val="129"/>
    </font>
    <font>
      <sz val="14"/>
      <color theme="1"/>
      <name val="Pretendard ExtraBold"/>
      <family val="3"/>
      <charset val="129"/>
    </font>
    <font>
      <sz val="11"/>
      <color theme="1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4"/>
      <color theme="1"/>
      <name val="HY견고딕"/>
      <family val="1"/>
      <charset val="129"/>
    </font>
    <font>
      <b/>
      <sz val="9"/>
      <name val="Pretendard"/>
      <family val="3"/>
      <charset val="129"/>
    </font>
    <font>
      <b/>
      <sz val="8"/>
      <name val="Pretendard"/>
      <family val="3"/>
      <charset val="129"/>
    </font>
    <font>
      <b/>
      <sz val="7"/>
      <name val="Pretendard"/>
      <family val="3"/>
      <charset val="129"/>
    </font>
    <font>
      <sz val="9"/>
      <color theme="1"/>
      <name val="Pretendard"/>
      <family val="3"/>
      <charset val="129"/>
    </font>
    <font>
      <b/>
      <sz val="15"/>
      <color theme="1"/>
      <name val="Pretendard"/>
      <family val="3"/>
      <charset val="129"/>
    </font>
    <font>
      <sz val="12"/>
      <color theme="1"/>
      <name val="Pretendard"/>
      <family val="3"/>
      <charset val="129"/>
    </font>
    <font>
      <sz val="8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color theme="1"/>
      <name val="Pretendard SemiBold"/>
      <family val="3"/>
      <charset val="129"/>
    </font>
    <font>
      <b/>
      <sz val="9"/>
      <color theme="1"/>
      <name val="Pretendard SemiBold"/>
      <family val="3"/>
      <charset val="129"/>
    </font>
    <font>
      <sz val="9"/>
      <color theme="1"/>
      <name val="Pretendard SemiBold"/>
      <family val="3"/>
      <charset val="129"/>
    </font>
    <font>
      <b/>
      <sz val="7"/>
      <color theme="1"/>
      <name val="Pretendard SemiBold"/>
      <family val="3"/>
      <charset val="129"/>
    </font>
    <font>
      <b/>
      <sz val="9"/>
      <name val="Pretendard SemiBold"/>
      <family val="3"/>
      <charset val="129"/>
    </font>
    <font>
      <b/>
      <sz val="14"/>
      <color theme="0"/>
      <name val="Pretendard Black"/>
      <family val="3"/>
      <charset val="129"/>
    </font>
    <font>
      <sz val="11"/>
      <color theme="1"/>
      <name val="Pretendard Black"/>
      <family val="3"/>
      <charset val="129"/>
    </font>
    <font>
      <b/>
      <sz val="12"/>
      <color theme="1"/>
      <name val="Pretendard Black"/>
      <family val="3"/>
      <charset val="129"/>
    </font>
    <font>
      <b/>
      <sz val="18"/>
      <color theme="0"/>
      <name val="Pretendard Black"/>
      <family val="3"/>
      <charset val="129"/>
    </font>
    <font>
      <b/>
      <sz val="11"/>
      <color theme="1"/>
      <name val="Pretendard Black"/>
      <family val="3"/>
      <charset val="129"/>
    </font>
    <font>
      <sz val="10"/>
      <color rgb="FF555555"/>
      <name val="Pretendard Black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000000"/>
      <name val="Pretendard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rgb="FFFF0000"/>
      <name val="Pretendard"/>
      <family val="3"/>
      <charset val="129"/>
    </font>
    <font>
      <b/>
      <sz val="12"/>
      <color theme="0"/>
      <name val="Pretendard Black"/>
      <family val="3"/>
      <charset val="129"/>
    </font>
    <font>
      <b/>
      <sz val="11"/>
      <color theme="0"/>
      <name val="Pretendard Black"/>
      <family val="3"/>
      <charset val="129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Pretendard"/>
      <family val="3"/>
      <charset val="129"/>
    </font>
    <font>
      <b/>
      <sz val="11"/>
      <name val="Pretendard SemiBold"/>
      <family val="3"/>
      <charset val="129"/>
    </font>
    <font>
      <b/>
      <sz val="14"/>
      <name val="Pretendard SemiBold"/>
      <family val="3"/>
      <charset val="129"/>
    </font>
    <font>
      <b/>
      <sz val="14"/>
      <name val="Pretendard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0F0F0"/>
        <bgColor indexed="8"/>
      </patternFill>
    </fill>
    <fill>
      <patternFill patternType="solid">
        <fgColor rgb="FFD1E9E9"/>
        <bgColor indexed="8"/>
      </patternFill>
    </fill>
    <fill>
      <patternFill patternType="solid">
        <fgColor rgb="FFFFFFFF"/>
        <bgColor indexed="8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4D2E"/>
        <bgColor theme="8" tint="0.79998168889431442"/>
      </patternFill>
    </fill>
    <fill>
      <patternFill patternType="solid">
        <fgColor rgb="FFF5EFE6"/>
        <bgColor indexed="64"/>
      </patternFill>
    </fill>
    <fill>
      <patternFill patternType="solid">
        <fgColor rgb="FF4F6F5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2CEEF"/>
        <bgColor rgb="FF000000"/>
      </patternFill>
    </fill>
    <fill>
      <patternFill patternType="solid">
        <fgColor theme="6" tint="-0.249977111117893"/>
        <bgColor theme="8" tint="0.79998168889431442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theme="8" tint="0.79998168889431442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2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thick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medium">
        <color rgb="FFD4D4D4"/>
      </left>
      <right/>
      <top/>
      <bottom/>
      <diagonal/>
    </border>
    <border>
      <left style="medium">
        <color auto="1"/>
      </left>
      <right style="medium">
        <color rgb="FFD4D4D4"/>
      </right>
      <top style="medium">
        <color auto="1"/>
      </top>
      <bottom style="medium">
        <color rgb="FFD4D4D4"/>
      </bottom>
      <diagonal/>
    </border>
    <border>
      <left style="medium">
        <color rgb="FFD4D4D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D4D4D4"/>
      </right>
      <top style="medium">
        <color rgb="FFD4D4D4"/>
      </top>
      <bottom/>
      <diagonal/>
    </border>
    <border>
      <left style="medium">
        <color auto="1"/>
      </left>
      <right style="medium">
        <color rgb="FFD4D4D4"/>
      </right>
      <top/>
      <bottom/>
      <diagonal/>
    </border>
    <border>
      <left style="medium">
        <color auto="1"/>
      </left>
      <right style="medium">
        <color rgb="FFD4D4D4"/>
      </right>
      <top/>
      <bottom style="medium">
        <color rgb="FFD4D4D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ash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ashed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theme="0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ck">
        <color theme="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dash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 style="thick">
        <color auto="1"/>
      </left>
      <right/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/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/>
      <top style="double">
        <color auto="1"/>
      </top>
      <bottom style="dashed">
        <color auto="1"/>
      </bottom>
      <diagonal/>
    </border>
    <border>
      <left style="medium">
        <color auto="1"/>
      </left>
      <right style="dotted">
        <color auto="1"/>
      </right>
      <top style="double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/>
      <right/>
      <top style="double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ouble">
        <color auto="1"/>
      </top>
      <bottom style="dashed">
        <color auto="1"/>
      </bottom>
      <diagonal/>
    </border>
    <border>
      <left style="dotted">
        <color auto="1"/>
      </left>
      <right/>
      <top style="double">
        <color auto="1"/>
      </top>
      <bottom style="dotted">
        <color auto="1"/>
      </bottom>
      <diagonal/>
    </border>
    <border>
      <left/>
      <right/>
      <top style="double">
        <color auto="1"/>
      </top>
      <bottom style="dotted">
        <color auto="1"/>
      </bottom>
      <diagonal/>
    </border>
    <border>
      <left/>
      <right style="medium">
        <color auto="1"/>
      </right>
      <top style="double">
        <color auto="1"/>
      </top>
      <bottom style="dotted">
        <color auto="1"/>
      </bottom>
      <diagonal/>
    </border>
    <border>
      <left/>
      <right style="dotted">
        <color auto="1"/>
      </right>
      <top style="double">
        <color auto="1"/>
      </top>
      <bottom style="dotted">
        <color auto="1"/>
      </bottom>
      <diagonal/>
    </border>
    <border>
      <left/>
      <right style="dashed">
        <color auto="1"/>
      </right>
      <top style="thick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/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thick">
        <color auto="1"/>
      </top>
      <bottom style="dotted">
        <color auto="1"/>
      </bottom>
      <diagonal/>
    </border>
    <border>
      <left style="dashed">
        <color auto="1"/>
      </left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/>
      <top style="dotted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n">
        <color auto="1"/>
      </right>
      <top style="thick">
        <color theme="0"/>
      </top>
      <bottom/>
      <diagonal/>
    </border>
    <border>
      <left style="thick">
        <color theme="0"/>
      </left>
      <right style="thin">
        <color auto="1"/>
      </right>
      <top/>
      <bottom style="thin">
        <color auto="1"/>
      </bottom>
      <diagonal/>
    </border>
    <border>
      <left/>
      <right style="thick">
        <color theme="0"/>
      </right>
      <top style="thin">
        <color auto="1"/>
      </top>
      <bottom style="thick">
        <color theme="0"/>
      </bottom>
      <diagonal/>
    </border>
    <border>
      <left style="thick">
        <color theme="0"/>
      </left>
      <right/>
      <top style="thin">
        <color auto="1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 style="thick">
        <color theme="0"/>
      </bottom>
      <diagonal/>
    </border>
    <border>
      <left/>
      <right/>
      <top style="thin">
        <color auto="1"/>
      </top>
      <bottom style="thick">
        <color theme="0"/>
      </bottom>
      <diagonal/>
    </border>
    <border>
      <left style="thick">
        <color theme="0"/>
      </left>
      <right style="thick">
        <color auto="1"/>
      </right>
      <top style="thin">
        <color auto="1"/>
      </top>
      <bottom style="thick">
        <color theme="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 style="double">
        <color auto="1"/>
      </bottom>
      <diagonal/>
    </border>
    <border>
      <left/>
      <right style="dashed">
        <color auto="1"/>
      </right>
      <top/>
      <bottom style="thick">
        <color auto="1"/>
      </bottom>
      <diagonal/>
    </border>
    <border>
      <left/>
      <right style="dashed">
        <color auto="1"/>
      </right>
      <top style="thick">
        <color auto="1"/>
      </top>
      <bottom style="double">
        <color auto="1"/>
      </bottom>
      <diagonal/>
    </border>
    <border>
      <left/>
      <right style="dashed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dashed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otted">
        <color auto="1"/>
      </bottom>
      <diagonal/>
    </border>
    <border>
      <left/>
      <right style="thick">
        <color auto="1"/>
      </right>
      <top style="thick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5">
    <xf numFmtId="0" fontId="0" fillId="0" borderId="0">
      <alignment vertical="center"/>
    </xf>
    <xf numFmtId="0" fontId="30" fillId="13" borderId="0" applyNumberFormat="0" applyFont="0" applyFill="0" applyBorder="0" applyAlignment="0" applyProtection="0">
      <alignment horizontal="left" vertical="top" wrapText="1"/>
    </xf>
    <xf numFmtId="0" fontId="36" fillId="0" borderId="0" applyNumberFormat="0" applyFill="0" applyBorder="0" applyAlignment="0" applyProtection="0">
      <alignment vertical="center"/>
    </xf>
    <xf numFmtId="0" fontId="37" fillId="0" borderId="0"/>
    <xf numFmtId="9" fontId="70" fillId="0" borderId="0" applyFont="0" applyFill="0" applyBorder="0" applyAlignment="0" applyProtection="0">
      <alignment vertical="center"/>
    </xf>
  </cellStyleXfs>
  <cellXfs count="98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77" fontId="8" fillId="4" borderId="6" xfId="0" applyNumberFormat="1" applyFont="1" applyFill="1" applyBorder="1" applyAlignment="1">
      <alignment vertical="center" wrapText="1"/>
    </xf>
    <xf numFmtId="0" fontId="2" fillId="5" borderId="10" xfId="0" applyFont="1" applyFill="1" applyBorder="1">
      <alignment vertical="center"/>
    </xf>
    <xf numFmtId="177" fontId="2" fillId="4" borderId="10" xfId="0" applyNumberFormat="1" applyFont="1" applyFill="1" applyBorder="1" applyAlignment="1">
      <alignment horizontal="right" vertical="center"/>
    </xf>
    <xf numFmtId="0" fontId="2" fillId="5" borderId="11" xfId="0" applyFont="1" applyFill="1" applyBorder="1">
      <alignment vertical="center"/>
    </xf>
    <xf numFmtId="177" fontId="2" fillId="4" borderId="11" xfId="0" applyNumberFormat="1" applyFont="1" applyFill="1" applyBorder="1" applyAlignment="1">
      <alignment horizontal="right" vertical="center"/>
    </xf>
    <xf numFmtId="179" fontId="5" fillId="0" borderId="0" xfId="0" applyNumberFormat="1" applyFont="1">
      <alignment vertical="center"/>
    </xf>
    <xf numFmtId="179" fontId="8" fillId="3" borderId="6" xfId="0" applyNumberFormat="1" applyFont="1" applyFill="1" applyBorder="1" applyAlignment="1">
      <alignment horizontal="center" vertical="center" wrapText="1"/>
    </xf>
    <xf numFmtId="0" fontId="2" fillId="5" borderId="12" xfId="0" applyFont="1" applyFill="1" applyBorder="1">
      <alignment vertical="center"/>
    </xf>
    <xf numFmtId="177" fontId="2" fillId="4" borderId="12" xfId="0" applyNumberFormat="1" applyFont="1" applyFill="1" applyBorder="1" applyAlignment="1">
      <alignment horizontal="right" vertical="center"/>
    </xf>
    <xf numFmtId="0" fontId="2" fillId="5" borderId="13" xfId="0" applyFont="1" applyFill="1" applyBorder="1">
      <alignment vertical="center"/>
    </xf>
    <xf numFmtId="177" fontId="2" fillId="4" borderId="13" xfId="0" applyNumberFormat="1" applyFont="1" applyFill="1" applyBorder="1" applyAlignment="1">
      <alignment horizontal="right" vertical="center"/>
    </xf>
    <xf numFmtId="177" fontId="11" fillId="4" borderId="5" xfId="0" applyNumberFormat="1" applyFont="1" applyFill="1" applyBorder="1">
      <alignment vertical="center"/>
    </xf>
    <xf numFmtId="177" fontId="2" fillId="6" borderId="10" xfId="0" applyNumberFormat="1" applyFont="1" applyFill="1" applyBorder="1" applyAlignment="1">
      <alignment horizontal="right" vertical="center"/>
    </xf>
    <xf numFmtId="177" fontId="2" fillId="6" borderId="11" xfId="0" applyNumberFormat="1" applyFont="1" applyFill="1" applyBorder="1" applyAlignment="1">
      <alignment horizontal="right" vertical="center"/>
    </xf>
    <xf numFmtId="177" fontId="2" fillId="6" borderId="13" xfId="0" applyNumberFormat="1" applyFont="1" applyFill="1" applyBorder="1" applyAlignment="1">
      <alignment horizontal="right" vertical="center"/>
    </xf>
    <xf numFmtId="177" fontId="2" fillId="6" borderId="12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right" vertical="center"/>
    </xf>
    <xf numFmtId="0" fontId="2" fillId="7" borderId="10" xfId="0" applyFont="1" applyFill="1" applyBorder="1" applyAlignment="1">
      <alignment horizontal="right" vertical="center"/>
    </xf>
    <xf numFmtId="0" fontId="2" fillId="7" borderId="11" xfId="0" applyFont="1" applyFill="1" applyBorder="1" applyAlignment="1">
      <alignment horizontal="right" vertical="center"/>
    </xf>
    <xf numFmtId="0" fontId="2" fillId="7" borderId="13" xfId="0" applyFont="1" applyFill="1" applyBorder="1" applyAlignment="1">
      <alignment horizontal="right" vertical="center"/>
    </xf>
    <xf numFmtId="0" fontId="2" fillId="7" borderId="12" xfId="0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center" vertical="center"/>
    </xf>
    <xf numFmtId="0" fontId="2" fillId="3" borderId="10" xfId="0" applyFont="1" applyFill="1" applyBorder="1">
      <alignment vertical="center"/>
    </xf>
    <xf numFmtId="176" fontId="2" fillId="3" borderId="10" xfId="0" applyNumberFormat="1" applyFont="1" applyFill="1" applyBorder="1" applyAlignment="1">
      <alignment horizontal="right" vertical="center"/>
    </xf>
    <xf numFmtId="176" fontId="2" fillId="3" borderId="11" xfId="0" applyNumberFormat="1" applyFont="1" applyFill="1" applyBorder="1" applyAlignment="1">
      <alignment horizontal="right" vertical="center"/>
    </xf>
    <xf numFmtId="182" fontId="2" fillId="3" borderId="11" xfId="0" applyNumberFormat="1" applyFont="1" applyFill="1" applyBorder="1" applyAlignment="1">
      <alignment horizontal="right" vertical="center"/>
    </xf>
    <xf numFmtId="178" fontId="2" fillId="3" borderId="11" xfId="0" applyNumberFormat="1" applyFont="1" applyFill="1" applyBorder="1" applyAlignment="1">
      <alignment horizontal="right" vertical="center"/>
    </xf>
    <xf numFmtId="0" fontId="3" fillId="3" borderId="11" xfId="0" applyFont="1" applyFill="1" applyBorder="1" applyAlignment="1">
      <alignment horizontal="center" vertical="center"/>
    </xf>
    <xf numFmtId="176" fontId="2" fillId="3" borderId="13" xfId="0" applyNumberFormat="1" applyFont="1" applyFill="1" applyBorder="1" applyAlignment="1">
      <alignment horizontal="right" vertical="center"/>
    </xf>
    <xf numFmtId="176" fontId="2" fillId="3" borderId="12" xfId="0" applyNumberFormat="1" applyFont="1" applyFill="1" applyBorder="1" applyAlignment="1">
      <alignment horizontal="right" vertical="center"/>
    </xf>
    <xf numFmtId="0" fontId="3" fillId="3" borderId="12" xfId="0" applyFont="1" applyFill="1" applyBorder="1" applyAlignment="1">
      <alignment horizontal="center" vertical="center"/>
    </xf>
    <xf numFmtId="0" fontId="2" fillId="8" borderId="16" xfId="0" applyFont="1" applyFill="1" applyBorder="1">
      <alignment vertical="center"/>
    </xf>
    <xf numFmtId="0" fontId="2" fillId="8" borderId="17" xfId="0" applyFont="1" applyFill="1" applyBorder="1">
      <alignment vertical="center"/>
    </xf>
    <xf numFmtId="0" fontId="2" fillId="8" borderId="18" xfId="0" applyFont="1" applyFill="1" applyBorder="1">
      <alignment vertical="center"/>
    </xf>
    <xf numFmtId="0" fontId="2" fillId="8" borderId="14" xfId="0" applyFont="1" applyFill="1" applyBorder="1">
      <alignment vertical="center"/>
    </xf>
    <xf numFmtId="181" fontId="2" fillId="8" borderId="18" xfId="0" applyNumberFormat="1" applyFont="1" applyFill="1" applyBorder="1">
      <alignment vertical="center"/>
    </xf>
    <xf numFmtId="0" fontId="0" fillId="8" borderId="18" xfId="0" applyFill="1" applyBorder="1">
      <alignment vertical="center"/>
    </xf>
    <xf numFmtId="0" fontId="0" fillId="8" borderId="14" xfId="0" applyFill="1" applyBorder="1">
      <alignment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right" vertical="center"/>
    </xf>
    <xf numFmtId="0" fontId="2" fillId="7" borderId="28" xfId="0" applyFont="1" applyFill="1" applyBorder="1" applyAlignment="1">
      <alignment horizontal="right" vertical="center"/>
    </xf>
    <xf numFmtId="0" fontId="2" fillId="7" borderId="30" xfId="0" applyFont="1" applyFill="1" applyBorder="1" applyAlignment="1">
      <alignment horizontal="right" vertical="center"/>
    </xf>
    <xf numFmtId="0" fontId="2" fillId="7" borderId="31" xfId="0" applyFont="1" applyFill="1" applyBorder="1" applyAlignment="1">
      <alignment horizontal="right" vertical="center"/>
    </xf>
    <xf numFmtId="0" fontId="2" fillId="7" borderId="32" xfId="0" applyFont="1" applyFill="1" applyBorder="1" applyAlignment="1">
      <alignment horizontal="right" vertical="center"/>
    </xf>
    <xf numFmtId="0" fontId="2" fillId="5" borderId="27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176" fontId="2" fillId="5" borderId="37" xfId="0" applyNumberFormat="1" applyFont="1" applyFill="1" applyBorder="1" applyAlignment="1">
      <alignment horizontal="center" vertical="center"/>
    </xf>
    <xf numFmtId="176" fontId="2" fillId="5" borderId="29" xfId="0" applyNumberFormat="1" applyFont="1" applyFill="1" applyBorder="1" applyAlignment="1">
      <alignment horizontal="center" vertical="center"/>
    </xf>
    <xf numFmtId="177" fontId="8" fillId="4" borderId="26" xfId="0" applyNumberFormat="1" applyFont="1" applyFill="1" applyBorder="1" applyAlignment="1">
      <alignment vertical="center" wrapText="1"/>
    </xf>
    <xf numFmtId="177" fontId="2" fillId="4" borderId="27" xfId="0" applyNumberFormat="1" applyFont="1" applyFill="1" applyBorder="1" applyAlignment="1">
      <alignment horizontal="right" vertical="center"/>
    </xf>
    <xf numFmtId="0" fontId="2" fillId="8" borderId="42" xfId="0" applyFont="1" applyFill="1" applyBorder="1">
      <alignment vertical="center"/>
    </xf>
    <xf numFmtId="177" fontId="2" fillId="4" borderId="29" xfId="0" applyNumberFormat="1" applyFont="1" applyFill="1" applyBorder="1" applyAlignment="1">
      <alignment horizontal="right" vertical="center"/>
    </xf>
    <xf numFmtId="0" fontId="2" fillId="8" borderId="43" xfId="0" applyFont="1" applyFill="1" applyBorder="1">
      <alignment vertical="center"/>
    </xf>
    <xf numFmtId="0" fontId="0" fillId="8" borderId="43" xfId="0" applyFill="1" applyBorder="1">
      <alignment vertical="center"/>
    </xf>
    <xf numFmtId="177" fontId="2" fillId="4" borderId="36" xfId="0" applyNumberFormat="1" applyFont="1" applyFill="1" applyBorder="1" applyAlignment="1">
      <alignment horizontal="right" vertical="center"/>
    </xf>
    <xf numFmtId="177" fontId="2" fillId="4" borderId="37" xfId="0" applyNumberFormat="1" applyFont="1" applyFill="1" applyBorder="1" applyAlignment="1">
      <alignment horizontal="right" vertical="center"/>
    </xf>
    <xf numFmtId="177" fontId="8" fillId="4" borderId="15" xfId="0" applyNumberFormat="1" applyFont="1" applyFill="1" applyBorder="1" applyAlignment="1">
      <alignment vertical="center" wrapText="1"/>
    </xf>
    <xf numFmtId="177" fontId="8" fillId="4" borderId="24" xfId="0" applyNumberFormat="1" applyFont="1" applyFill="1" applyBorder="1">
      <alignment vertical="center"/>
    </xf>
    <xf numFmtId="177" fontId="8" fillId="4" borderId="15" xfId="0" applyNumberFormat="1" applyFont="1" applyFill="1" applyBorder="1">
      <alignment vertical="center"/>
    </xf>
    <xf numFmtId="180" fontId="11" fillId="4" borderId="45" xfId="0" applyNumberFormat="1" applyFont="1" applyFill="1" applyBorder="1">
      <alignment vertical="center"/>
    </xf>
    <xf numFmtId="183" fontId="11" fillId="4" borderId="47" xfId="0" applyNumberFormat="1" applyFont="1" applyFill="1" applyBorder="1">
      <alignment vertical="center"/>
    </xf>
    <xf numFmtId="0" fontId="0" fillId="9" borderId="21" xfId="0" applyFill="1" applyBorder="1" applyAlignment="1">
      <alignment horizontal="center" vertical="center"/>
    </xf>
    <xf numFmtId="0" fontId="0" fillId="9" borderId="22" xfId="0" applyFill="1" applyBorder="1" applyAlignment="1">
      <alignment horizontal="right" vertical="center"/>
    </xf>
    <xf numFmtId="0" fontId="0" fillId="9" borderId="0" xfId="0" applyFill="1" applyAlignment="1">
      <alignment horizontal="right" vertical="center"/>
    </xf>
    <xf numFmtId="176" fontId="0" fillId="9" borderId="0" xfId="0" applyNumberFormat="1" applyFill="1" applyAlignment="1">
      <alignment horizontal="right" vertical="center"/>
    </xf>
    <xf numFmtId="179" fontId="0" fillId="9" borderId="0" xfId="0" applyNumberFormat="1" applyFill="1" applyAlignment="1">
      <alignment horizontal="right" vertical="center"/>
    </xf>
    <xf numFmtId="0" fontId="0" fillId="9" borderId="0" xfId="0" applyFill="1" applyAlignment="1">
      <alignment horizontal="center" vertical="center"/>
    </xf>
    <xf numFmtId="184" fontId="0" fillId="9" borderId="0" xfId="0" applyNumberFormat="1" applyFill="1" applyAlignment="1">
      <alignment horizontal="center" vertical="center"/>
    </xf>
    <xf numFmtId="0" fontId="0" fillId="9" borderId="0" xfId="0" applyFill="1">
      <alignment vertical="center"/>
    </xf>
    <xf numFmtId="182" fontId="0" fillId="9" borderId="0" xfId="0" applyNumberFormat="1" applyFill="1" applyAlignment="1">
      <alignment horizontal="right" vertical="center"/>
    </xf>
    <xf numFmtId="178" fontId="0" fillId="9" borderId="0" xfId="0" applyNumberForma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9" borderId="0" xfId="0" applyFont="1" applyFill="1">
      <alignment vertical="center"/>
    </xf>
    <xf numFmtId="177" fontId="0" fillId="9" borderId="0" xfId="0" applyNumberFormat="1" applyFill="1" applyAlignment="1">
      <alignment horizontal="right" vertical="center"/>
    </xf>
    <xf numFmtId="0" fontId="0" fillId="9" borderId="18" xfId="0" applyFill="1" applyBorder="1">
      <alignment vertical="center"/>
    </xf>
    <xf numFmtId="0" fontId="0" fillId="9" borderId="14" xfId="0" applyFill="1" applyBorder="1">
      <alignment vertical="center"/>
    </xf>
    <xf numFmtId="0" fontId="0" fillId="9" borderId="19" xfId="0" applyFill="1" applyBorder="1">
      <alignment vertical="center"/>
    </xf>
    <xf numFmtId="0" fontId="11" fillId="10" borderId="9" xfId="0" applyFont="1" applyFill="1" applyBorder="1" applyAlignment="1">
      <alignment horizontal="center" vertical="center"/>
    </xf>
    <xf numFmtId="0" fontId="8" fillId="10" borderId="3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2" fillId="10" borderId="27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0" xfId="0" applyFont="1" applyFill="1" applyBorder="1">
      <alignment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2" xfId="0" applyFont="1" applyFill="1" applyBorder="1">
      <alignment vertical="center"/>
    </xf>
    <xf numFmtId="0" fontId="3" fillId="10" borderId="28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1" xfId="0" applyFont="1" applyFill="1" applyBorder="1">
      <alignment vertical="center"/>
    </xf>
    <xf numFmtId="0" fontId="3" fillId="10" borderId="11" xfId="0" applyFont="1" applyFill="1" applyBorder="1">
      <alignment vertical="center"/>
    </xf>
    <xf numFmtId="0" fontId="3" fillId="10" borderId="30" xfId="0" applyFont="1" applyFill="1" applyBorder="1">
      <alignment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13" xfId="0" applyFont="1" applyFill="1" applyBorder="1">
      <alignment vertical="center"/>
    </xf>
    <xf numFmtId="0" fontId="3" fillId="10" borderId="13" xfId="0" applyFont="1" applyFill="1" applyBorder="1">
      <alignment vertical="center"/>
    </xf>
    <xf numFmtId="0" fontId="3" fillId="10" borderId="31" xfId="0" applyFont="1" applyFill="1" applyBorder="1">
      <alignment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2" xfId="0" applyFont="1" applyFill="1" applyBorder="1">
      <alignment vertical="center"/>
    </xf>
    <xf numFmtId="0" fontId="3" fillId="10" borderId="32" xfId="0" applyFont="1" applyFill="1" applyBorder="1">
      <alignment vertical="center"/>
    </xf>
    <xf numFmtId="0" fontId="2" fillId="10" borderId="29" xfId="0" applyFont="1" applyFill="1" applyBorder="1" applyAlignment="1">
      <alignment horizontal="center" vertical="center"/>
    </xf>
    <xf numFmtId="177" fontId="16" fillId="4" borderId="55" xfId="0" applyNumberFormat="1" applyFont="1" applyFill="1" applyBorder="1">
      <alignment vertical="center"/>
    </xf>
    <xf numFmtId="177" fontId="16" fillId="4" borderId="57" xfId="0" applyNumberFormat="1" applyFont="1" applyFill="1" applyBorder="1">
      <alignment vertical="center"/>
    </xf>
    <xf numFmtId="0" fontId="8" fillId="7" borderId="59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0" fontId="2" fillId="7" borderId="61" xfId="0" applyFont="1" applyFill="1" applyBorder="1" applyAlignment="1">
      <alignment horizontal="center" vertical="center"/>
    </xf>
    <xf numFmtId="0" fontId="8" fillId="3" borderId="24" xfId="0" applyFont="1" applyFill="1" applyBorder="1">
      <alignment vertical="center"/>
    </xf>
    <xf numFmtId="0" fontId="8" fillId="3" borderId="15" xfId="0" applyFont="1" applyFill="1" applyBorder="1">
      <alignment vertical="center"/>
    </xf>
    <xf numFmtId="176" fontId="8" fillId="3" borderId="15" xfId="0" applyNumberFormat="1" applyFont="1" applyFill="1" applyBorder="1" applyAlignment="1">
      <alignment horizontal="center" vertical="center"/>
    </xf>
    <xf numFmtId="178" fontId="8" fillId="3" borderId="63" xfId="0" applyNumberFormat="1" applyFont="1" applyFill="1" applyBorder="1">
      <alignment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176" fontId="2" fillId="5" borderId="23" xfId="0" applyNumberFormat="1" applyFont="1" applyFill="1" applyBorder="1" applyAlignment="1">
      <alignment horizontal="center" vertical="center"/>
    </xf>
    <xf numFmtId="176" fontId="2" fillId="5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1" fillId="3" borderId="2" xfId="0" applyNumberFormat="1" applyFont="1" applyFill="1" applyBorder="1" applyAlignment="1">
      <alignment horizontal="center" vertical="center"/>
    </xf>
    <xf numFmtId="3" fontId="2" fillId="5" borderId="12" xfId="0" applyNumberFormat="1" applyFont="1" applyFill="1" applyBorder="1" applyAlignment="1">
      <alignment horizontal="center" vertical="center"/>
    </xf>
    <xf numFmtId="3" fontId="2" fillId="3" borderId="12" xfId="0" applyNumberFormat="1" applyFont="1" applyFill="1" applyBorder="1" applyAlignment="1">
      <alignment horizontal="right" vertical="center"/>
    </xf>
    <xf numFmtId="0" fontId="2" fillId="5" borderId="23" xfId="0" applyFont="1" applyFill="1" applyBorder="1" applyAlignment="1">
      <alignment horizontal="center" vertical="center"/>
    </xf>
    <xf numFmtId="176" fontId="8" fillId="3" borderId="20" xfId="0" applyNumberFormat="1" applyFont="1" applyFill="1" applyBorder="1" applyAlignment="1">
      <alignment horizontal="center" vertical="center"/>
    </xf>
    <xf numFmtId="0" fontId="9" fillId="3" borderId="65" xfId="0" applyFont="1" applyFill="1" applyBorder="1" applyAlignment="1">
      <alignment horizontal="center" vertical="center"/>
    </xf>
    <xf numFmtId="0" fontId="10" fillId="3" borderId="65" xfId="0" applyFont="1" applyFill="1" applyBorder="1" applyAlignment="1">
      <alignment horizontal="center" vertical="center" wrapText="1"/>
    </xf>
    <xf numFmtId="0" fontId="8" fillId="3" borderId="67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2" fillId="5" borderId="11" xfId="0" applyNumberFormat="1" applyFont="1" applyFill="1" applyBorder="1" applyAlignment="1">
      <alignment horizontal="center" vertical="center"/>
    </xf>
    <xf numFmtId="176" fontId="13" fillId="3" borderId="11" xfId="0" applyNumberFormat="1" applyFont="1" applyFill="1" applyBorder="1" applyAlignment="1">
      <alignment horizontal="center" vertical="center"/>
    </xf>
    <xf numFmtId="179" fontId="2" fillId="5" borderId="10" xfId="0" applyNumberFormat="1" applyFont="1" applyFill="1" applyBorder="1" applyAlignment="1">
      <alignment horizontal="center" vertical="center"/>
    </xf>
    <xf numFmtId="179" fontId="2" fillId="5" borderId="11" xfId="0" applyNumberFormat="1" applyFont="1" applyFill="1" applyBorder="1" applyAlignment="1">
      <alignment horizontal="center" vertical="center"/>
    </xf>
    <xf numFmtId="179" fontId="2" fillId="5" borderId="13" xfId="0" applyNumberFormat="1" applyFont="1" applyFill="1" applyBorder="1" applyAlignment="1">
      <alignment horizontal="center" vertical="center"/>
    </xf>
    <xf numFmtId="179" fontId="2" fillId="5" borderId="12" xfId="0" applyNumberFormat="1" applyFont="1" applyFill="1" applyBorder="1" applyAlignment="1">
      <alignment horizontal="center" vertical="center"/>
    </xf>
    <xf numFmtId="3" fontId="8" fillId="3" borderId="62" xfId="0" applyNumberFormat="1" applyFont="1" applyFill="1" applyBorder="1" applyAlignment="1">
      <alignment horizontal="center" vertical="center"/>
    </xf>
    <xf numFmtId="3" fontId="3" fillId="9" borderId="0" xfId="0" applyNumberFormat="1" applyFont="1" applyFill="1" applyAlignment="1">
      <alignment horizontal="center" vertical="center"/>
    </xf>
    <xf numFmtId="0" fontId="2" fillId="10" borderId="11" xfId="0" applyFont="1" applyFill="1" applyBorder="1" applyAlignment="1">
      <alignment vertical="center" wrapText="1"/>
    </xf>
    <xf numFmtId="176" fontId="2" fillId="3" borderId="12" xfId="0" applyNumberFormat="1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2" fillId="14" borderId="70" xfId="0" applyFont="1" applyFill="1" applyBorder="1" applyAlignment="1">
      <alignment horizontal="center" vertical="center" wrapText="1"/>
    </xf>
    <xf numFmtId="179" fontId="8" fillId="3" borderId="65" xfId="0" applyNumberFormat="1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3" fontId="11" fillId="16" borderId="81" xfId="0" applyNumberFormat="1" applyFont="1" applyFill="1" applyBorder="1" applyAlignment="1">
      <alignment horizontal="center" vertical="center" wrapText="1"/>
    </xf>
    <xf numFmtId="3" fontId="16" fillId="16" borderId="42" xfId="0" applyNumberFormat="1" applyFont="1" applyFill="1" applyBorder="1" applyAlignment="1">
      <alignment horizontal="center" vertical="center"/>
    </xf>
    <xf numFmtId="3" fontId="11" fillId="16" borderId="82" xfId="0" applyNumberFormat="1" applyFont="1" applyFill="1" applyBorder="1" applyAlignment="1">
      <alignment horizontal="center" vertical="center" wrapText="1"/>
    </xf>
    <xf numFmtId="3" fontId="11" fillId="16" borderId="43" xfId="0" applyNumberFormat="1" applyFont="1" applyFill="1" applyBorder="1" applyAlignment="1">
      <alignment horizontal="center" vertical="center"/>
    </xf>
    <xf numFmtId="3" fontId="9" fillId="16" borderId="82" xfId="0" applyNumberFormat="1" applyFont="1" applyFill="1" applyBorder="1" applyAlignment="1">
      <alignment horizontal="center" vertical="center" wrapText="1"/>
    </xf>
    <xf numFmtId="3" fontId="9" fillId="16" borderId="43" xfId="0" applyNumberFormat="1" applyFont="1" applyFill="1" applyBorder="1" applyAlignment="1">
      <alignment horizontal="center" vertical="center" wrapText="1"/>
    </xf>
    <xf numFmtId="3" fontId="23" fillId="16" borderId="82" xfId="0" applyNumberFormat="1" applyFont="1" applyFill="1" applyBorder="1" applyAlignment="1">
      <alignment horizontal="center" vertical="center"/>
    </xf>
    <xf numFmtId="3" fontId="2" fillId="16" borderId="43" xfId="0" applyNumberFormat="1" applyFont="1" applyFill="1" applyBorder="1" applyAlignment="1">
      <alignment horizontal="center" vertical="center"/>
    </xf>
    <xf numFmtId="3" fontId="23" fillId="16" borderId="83" xfId="0" applyNumberFormat="1" applyFont="1" applyFill="1" applyBorder="1" applyAlignment="1">
      <alignment horizontal="center" vertical="center"/>
    </xf>
    <xf numFmtId="3" fontId="2" fillId="16" borderId="85" xfId="0" applyNumberFormat="1" applyFont="1" applyFill="1" applyBorder="1" applyAlignment="1">
      <alignment horizontal="center" vertical="center"/>
    </xf>
    <xf numFmtId="9" fontId="2" fillId="16" borderId="19" xfId="0" applyNumberFormat="1" applyFont="1" applyFill="1" applyBorder="1" applyAlignment="1">
      <alignment horizontal="center" vertical="center"/>
    </xf>
    <xf numFmtId="9" fontId="2" fillId="16" borderId="90" xfId="0" applyNumberFormat="1" applyFont="1" applyFill="1" applyBorder="1" applyAlignment="1">
      <alignment horizontal="center" vertical="center"/>
    </xf>
    <xf numFmtId="9" fontId="2" fillId="17" borderId="14" xfId="0" applyNumberFormat="1" applyFont="1" applyFill="1" applyBorder="1" applyAlignment="1">
      <alignment horizontal="center" vertical="center"/>
    </xf>
    <xf numFmtId="9" fontId="2" fillId="17" borderId="19" xfId="0" applyNumberFormat="1" applyFont="1" applyFill="1" applyBorder="1" applyAlignment="1">
      <alignment horizontal="center" vertical="center"/>
    </xf>
    <xf numFmtId="9" fontId="2" fillId="17" borderId="84" xfId="0" applyNumberFormat="1" applyFont="1" applyFill="1" applyBorder="1" applyAlignment="1">
      <alignment horizontal="center" vertical="center"/>
    </xf>
    <xf numFmtId="9" fontId="2" fillId="17" borderId="90" xfId="0" applyNumberFormat="1" applyFont="1" applyFill="1" applyBorder="1" applyAlignment="1">
      <alignment horizontal="center" vertical="center"/>
    </xf>
    <xf numFmtId="9" fontId="16" fillId="17" borderId="17" xfId="0" applyNumberFormat="1" applyFont="1" applyFill="1" applyBorder="1" applyAlignment="1">
      <alignment horizontal="center" vertical="center"/>
    </xf>
    <xf numFmtId="9" fontId="16" fillId="17" borderId="89" xfId="0" applyNumberFormat="1" applyFont="1" applyFill="1" applyBorder="1" applyAlignment="1">
      <alignment horizontal="center" vertical="center"/>
    </xf>
    <xf numFmtId="9" fontId="16" fillId="16" borderId="89" xfId="0" applyNumberFormat="1" applyFont="1" applyFill="1" applyBorder="1" applyAlignment="1">
      <alignment horizontal="center" vertical="center"/>
    </xf>
    <xf numFmtId="9" fontId="11" fillId="16" borderId="19" xfId="0" applyNumberFormat="1" applyFont="1" applyFill="1" applyBorder="1" applyAlignment="1">
      <alignment horizontal="center" vertical="center"/>
    </xf>
    <xf numFmtId="9" fontId="9" fillId="17" borderId="14" xfId="0" applyNumberFormat="1" applyFont="1" applyFill="1" applyBorder="1" applyAlignment="1">
      <alignment horizontal="center" vertical="center" wrapText="1"/>
    </xf>
    <xf numFmtId="9" fontId="9" fillId="17" borderId="19" xfId="0" applyNumberFormat="1" applyFont="1" applyFill="1" applyBorder="1" applyAlignment="1">
      <alignment horizontal="center" vertical="center" wrapText="1"/>
    </xf>
    <xf numFmtId="9" fontId="9" fillId="16" borderId="19" xfId="0" applyNumberFormat="1" applyFont="1" applyFill="1" applyBorder="1" applyAlignment="1">
      <alignment horizontal="center" vertical="center" wrapText="1"/>
    </xf>
    <xf numFmtId="9" fontId="0" fillId="9" borderId="0" xfId="0" applyNumberFormat="1" applyFill="1" applyAlignment="1">
      <alignment horizontal="center" vertical="center"/>
    </xf>
    <xf numFmtId="9" fontId="16" fillId="18" borderId="89" xfId="0" applyNumberFormat="1" applyFont="1" applyFill="1" applyBorder="1" applyAlignment="1">
      <alignment horizontal="center" vertical="center"/>
    </xf>
    <xf numFmtId="9" fontId="11" fillId="18" borderId="19" xfId="0" applyNumberFormat="1" applyFont="1" applyFill="1" applyBorder="1" applyAlignment="1">
      <alignment horizontal="center" vertical="center"/>
    </xf>
    <xf numFmtId="9" fontId="9" fillId="18" borderId="19" xfId="0" applyNumberFormat="1" applyFont="1" applyFill="1" applyBorder="1" applyAlignment="1">
      <alignment horizontal="center" vertical="center" wrapText="1"/>
    </xf>
    <xf numFmtId="9" fontId="2" fillId="18" borderId="19" xfId="0" applyNumberFormat="1" applyFont="1" applyFill="1" applyBorder="1" applyAlignment="1">
      <alignment horizontal="center" vertical="center"/>
    </xf>
    <xf numFmtId="9" fontId="2" fillId="18" borderId="90" xfId="0" applyNumberFormat="1" applyFont="1" applyFill="1" applyBorder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185" fontId="8" fillId="3" borderId="20" xfId="0" applyNumberFormat="1" applyFont="1" applyFill="1" applyBorder="1" applyAlignment="1">
      <alignment horizontal="center" vertical="center" wrapText="1"/>
    </xf>
    <xf numFmtId="185" fontId="2" fillId="5" borderId="23" xfId="0" applyNumberFormat="1" applyFont="1" applyFill="1" applyBorder="1" applyAlignment="1">
      <alignment horizontal="center" vertical="center"/>
    </xf>
    <xf numFmtId="185" fontId="2" fillId="5" borderId="21" xfId="0" applyNumberFormat="1" applyFont="1" applyFill="1" applyBorder="1" applyAlignment="1">
      <alignment horizontal="center" vertical="center"/>
    </xf>
    <xf numFmtId="185" fontId="0" fillId="9" borderId="0" xfId="0" applyNumberFormat="1" applyFill="1">
      <alignment vertical="center"/>
    </xf>
    <xf numFmtId="0" fontId="24" fillId="10" borderId="10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10" borderId="11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184" fontId="2" fillId="2" borderId="27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84" fontId="2" fillId="2" borderId="29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84" fontId="2" fillId="2" borderId="36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84" fontId="2" fillId="2" borderId="37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center" vertical="center"/>
    </xf>
    <xf numFmtId="184" fontId="8" fillId="2" borderId="35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84" fontId="8" fillId="2" borderId="6" xfId="0" applyNumberFormat="1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16" xfId="0" applyFill="1" applyBorder="1">
      <alignment vertical="center"/>
    </xf>
    <xf numFmtId="0" fontId="0" fillId="9" borderId="17" xfId="0" applyFill="1" applyBorder="1">
      <alignment vertical="center"/>
    </xf>
    <xf numFmtId="0" fontId="0" fillId="9" borderId="89" xfId="0" applyFill="1" applyBorder="1">
      <alignment vertical="center"/>
    </xf>
    <xf numFmtId="0" fontId="29" fillId="0" borderId="0" xfId="0" applyFont="1" applyAlignment="1">
      <alignment horizontal="left" vertical="center" indent="1"/>
    </xf>
    <xf numFmtId="10" fontId="0" fillId="0" borderId="0" xfId="0" applyNumberFormat="1">
      <alignment vertical="center"/>
    </xf>
    <xf numFmtId="0" fontId="17" fillId="0" borderId="44" xfId="0" applyFont="1" applyBorder="1">
      <alignment vertical="center"/>
    </xf>
    <xf numFmtId="10" fontId="17" fillId="0" borderId="98" xfId="0" applyNumberFormat="1" applyFont="1" applyBorder="1">
      <alignment vertical="center"/>
    </xf>
    <xf numFmtId="0" fontId="17" fillId="0" borderId="99" xfId="0" applyFont="1" applyBorder="1">
      <alignment vertical="center"/>
    </xf>
    <xf numFmtId="10" fontId="17" fillId="0" borderId="100" xfId="0" applyNumberFormat="1" applyFont="1" applyBorder="1">
      <alignment vertical="center"/>
    </xf>
    <xf numFmtId="0" fontId="28" fillId="0" borderId="45" xfId="0" applyFont="1" applyBorder="1">
      <alignment vertical="center"/>
    </xf>
    <xf numFmtId="10" fontId="17" fillId="0" borderId="47" xfId="0" applyNumberFormat="1" applyFont="1" applyBorder="1">
      <alignment vertical="center"/>
    </xf>
    <xf numFmtId="182" fontId="0" fillId="9" borderId="0" xfId="0" applyNumberFormat="1" applyFill="1">
      <alignment vertical="center"/>
    </xf>
    <xf numFmtId="49" fontId="0" fillId="9" borderId="0" xfId="0" applyNumberFormat="1" applyFill="1" applyAlignment="1">
      <alignment horizontal="center" vertical="center"/>
    </xf>
    <xf numFmtId="14" fontId="3" fillId="9" borderId="0" xfId="0" applyNumberFormat="1" applyFont="1" applyFill="1" applyAlignment="1">
      <alignment horizontal="center" vertical="center"/>
    </xf>
    <xf numFmtId="0" fontId="32" fillId="9" borderId="91" xfId="0" applyFont="1" applyFill="1" applyBorder="1" applyAlignment="1">
      <alignment horizontal="right" vertical="center"/>
    </xf>
    <xf numFmtId="0" fontId="32" fillId="9" borderId="22" xfId="0" applyFont="1" applyFill="1" applyBorder="1" applyAlignment="1">
      <alignment horizontal="right" vertical="center"/>
    </xf>
    <xf numFmtId="182" fontId="0" fillId="9" borderId="0" xfId="0" applyNumberFormat="1" applyFill="1" applyAlignment="1">
      <alignment horizontal="center" vertical="center"/>
    </xf>
    <xf numFmtId="0" fontId="0" fillId="9" borderId="1" xfId="0" applyFill="1" applyBorder="1">
      <alignment vertical="center"/>
    </xf>
    <xf numFmtId="0" fontId="0" fillId="19" borderId="46" xfId="0" applyFill="1" applyBorder="1" applyAlignment="1">
      <alignment horizontal="center" vertical="center"/>
    </xf>
    <xf numFmtId="0" fontId="31" fillId="19" borderId="104" xfId="0" applyFont="1" applyFill="1" applyBorder="1" applyAlignment="1">
      <alignment horizontal="center" vertical="center"/>
    </xf>
    <xf numFmtId="182" fontId="31" fillId="19" borderId="104" xfId="0" applyNumberFormat="1" applyFont="1" applyFill="1" applyBorder="1" applyAlignment="1">
      <alignment horizontal="center" vertical="center"/>
    </xf>
    <xf numFmtId="182" fontId="16" fillId="19" borderId="45" xfId="0" applyNumberFormat="1" applyFont="1" applyFill="1" applyBorder="1" applyAlignment="1">
      <alignment horizontal="center" vertical="center"/>
    </xf>
    <xf numFmtId="0" fontId="0" fillId="19" borderId="0" xfId="0" applyFill="1">
      <alignment vertical="center"/>
    </xf>
    <xf numFmtId="182" fontId="16" fillId="19" borderId="46" xfId="0" applyNumberFormat="1" applyFont="1" applyFill="1" applyBorder="1" applyAlignment="1">
      <alignment horizontal="center" vertical="center"/>
    </xf>
    <xf numFmtId="182" fontId="0" fillId="19" borderId="46" xfId="0" applyNumberFormat="1" applyFill="1" applyBorder="1" applyAlignment="1">
      <alignment horizontal="center" vertical="center"/>
    </xf>
    <xf numFmtId="0" fontId="16" fillId="19" borderId="48" xfId="0" applyFont="1" applyFill="1" applyBorder="1" applyAlignment="1">
      <alignment horizontal="center" vertical="center"/>
    </xf>
    <xf numFmtId="0" fontId="16" fillId="19" borderId="49" xfId="0" applyFont="1" applyFill="1" applyBorder="1" applyAlignment="1">
      <alignment horizontal="right" vertical="center"/>
    </xf>
    <xf numFmtId="49" fontId="16" fillId="19" borderId="49" xfId="0" applyNumberFormat="1" applyFont="1" applyFill="1" applyBorder="1" applyAlignment="1">
      <alignment horizontal="center" vertical="center"/>
    </xf>
    <xf numFmtId="0" fontId="31" fillId="19" borderId="56" xfId="0" applyFont="1" applyFill="1" applyBorder="1" applyAlignment="1">
      <alignment horizontal="center" vertical="center"/>
    </xf>
    <xf numFmtId="182" fontId="31" fillId="19" borderId="56" xfId="0" applyNumberFormat="1" applyFont="1" applyFill="1" applyBorder="1" applyAlignment="1">
      <alignment horizontal="center" vertical="center"/>
    </xf>
    <xf numFmtId="0" fontId="16" fillId="19" borderId="49" xfId="0" applyFont="1" applyFill="1" applyBorder="1" applyAlignment="1">
      <alignment horizontal="center" vertical="center"/>
    </xf>
    <xf numFmtId="0" fontId="16" fillId="19" borderId="49" xfId="0" applyFont="1" applyFill="1" applyBorder="1">
      <alignment vertical="center"/>
    </xf>
    <xf numFmtId="177" fontId="16" fillId="19" borderId="49" xfId="0" applyNumberFormat="1" applyFont="1" applyFill="1" applyBorder="1" applyAlignment="1">
      <alignment horizontal="right" vertical="center"/>
    </xf>
    <xf numFmtId="3" fontId="16" fillId="19" borderId="49" xfId="0" applyNumberFormat="1" applyFont="1" applyFill="1" applyBorder="1" applyAlignment="1">
      <alignment horizontal="center" vertical="center"/>
    </xf>
    <xf numFmtId="9" fontId="16" fillId="19" borderId="49" xfId="0" applyNumberFormat="1" applyFont="1" applyFill="1" applyBorder="1" applyAlignment="1">
      <alignment horizontal="center" vertical="center"/>
    </xf>
    <xf numFmtId="177" fontId="16" fillId="19" borderId="107" xfId="0" applyNumberFormat="1" applyFont="1" applyFill="1" applyBorder="1" applyAlignment="1">
      <alignment horizontal="right" vertical="center"/>
    </xf>
    <xf numFmtId="0" fontId="0" fillId="19" borderId="58" xfId="0" applyFill="1" applyBorder="1" applyAlignment="1">
      <alignment horizontal="center" vertical="center"/>
    </xf>
    <xf numFmtId="0" fontId="0" fillId="19" borderId="0" xfId="0" applyFill="1" applyAlignment="1">
      <alignment horizontal="right" vertical="center"/>
    </xf>
    <xf numFmtId="0" fontId="0" fillId="19" borderId="0" xfId="0" applyFill="1" applyAlignment="1">
      <alignment horizontal="center" vertical="center"/>
    </xf>
    <xf numFmtId="49" fontId="0" fillId="19" borderId="0" xfId="0" applyNumberFormat="1" applyFill="1" applyAlignment="1">
      <alignment horizontal="center" vertical="center"/>
    </xf>
    <xf numFmtId="0" fontId="4" fillId="19" borderId="0" xfId="0" applyFont="1" applyFill="1">
      <alignment vertical="center"/>
    </xf>
    <xf numFmtId="177" fontId="0" fillId="19" borderId="0" xfId="0" applyNumberFormat="1" applyFill="1" applyAlignment="1">
      <alignment horizontal="right" vertical="center"/>
    </xf>
    <xf numFmtId="3" fontId="0" fillId="19" borderId="0" xfId="0" applyNumberFormat="1" applyFill="1" applyAlignment="1">
      <alignment horizontal="center" vertical="center"/>
    </xf>
    <xf numFmtId="9" fontId="0" fillId="19" borderId="0" xfId="0" applyNumberFormat="1" applyFill="1" applyAlignment="1">
      <alignment horizontal="center" vertical="center"/>
    </xf>
    <xf numFmtId="0" fontId="0" fillId="19" borderId="117" xfId="0" applyFill="1" applyBorder="1">
      <alignment vertical="center"/>
    </xf>
    <xf numFmtId="0" fontId="0" fillId="19" borderId="118" xfId="0" applyFill="1" applyBorder="1" applyAlignment="1">
      <alignment horizontal="center" vertical="center"/>
    </xf>
    <xf numFmtId="0" fontId="0" fillId="19" borderId="105" xfId="0" applyFill="1" applyBorder="1" applyAlignment="1">
      <alignment horizontal="right" vertical="center"/>
    </xf>
    <xf numFmtId="0" fontId="0" fillId="19" borderId="105" xfId="0" applyFill="1" applyBorder="1" applyAlignment="1">
      <alignment horizontal="center" vertical="center"/>
    </xf>
    <xf numFmtId="178" fontId="0" fillId="19" borderId="105" xfId="0" applyNumberFormat="1" applyFill="1" applyBorder="1" applyAlignment="1">
      <alignment horizontal="center" vertical="center"/>
    </xf>
    <xf numFmtId="182" fontId="0" fillId="19" borderId="105" xfId="0" applyNumberFormat="1" applyFill="1" applyBorder="1" applyAlignment="1">
      <alignment horizontal="center" vertical="center"/>
    </xf>
    <xf numFmtId="49" fontId="0" fillId="19" borderId="105" xfId="0" applyNumberFormat="1" applyFill="1" applyBorder="1" applyAlignment="1">
      <alignment horizontal="center" vertical="center"/>
    </xf>
    <xf numFmtId="14" fontId="3" fillId="19" borderId="105" xfId="0" applyNumberFormat="1" applyFont="1" applyFill="1" applyBorder="1" applyAlignment="1">
      <alignment horizontal="center" vertical="center"/>
    </xf>
    <xf numFmtId="0" fontId="3" fillId="19" borderId="105" xfId="0" applyFont="1" applyFill="1" applyBorder="1" applyAlignment="1">
      <alignment horizontal="center" vertical="center"/>
    </xf>
    <xf numFmtId="0" fontId="0" fillId="19" borderId="105" xfId="0" applyFill="1" applyBorder="1">
      <alignment vertical="center"/>
    </xf>
    <xf numFmtId="0" fontId="4" fillId="19" borderId="105" xfId="0" applyFont="1" applyFill="1" applyBorder="1">
      <alignment vertical="center"/>
    </xf>
    <xf numFmtId="177" fontId="0" fillId="19" borderId="105" xfId="0" applyNumberFormat="1" applyFill="1" applyBorder="1" applyAlignment="1">
      <alignment horizontal="right" vertical="center"/>
    </xf>
    <xf numFmtId="3" fontId="0" fillId="19" borderId="105" xfId="0" applyNumberFormat="1" applyFill="1" applyBorder="1" applyAlignment="1">
      <alignment horizontal="center" vertical="center"/>
    </xf>
    <xf numFmtId="9" fontId="0" fillId="19" borderId="105" xfId="0" applyNumberFormat="1" applyFill="1" applyBorder="1" applyAlignment="1">
      <alignment horizontal="center" vertical="center"/>
    </xf>
    <xf numFmtId="0" fontId="0" fillId="19" borderId="120" xfId="0" applyFill="1" applyBorder="1">
      <alignment vertical="center"/>
    </xf>
    <xf numFmtId="0" fontId="0" fillId="19" borderId="123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17" fillId="19" borderId="62" xfId="0" applyFont="1" applyFill="1" applyBorder="1" applyAlignment="1">
      <alignment horizontal="center" vertical="center"/>
    </xf>
    <xf numFmtId="14" fontId="16" fillId="19" borderId="128" xfId="0" applyNumberFormat="1" applyFont="1" applyFill="1" applyBorder="1" applyAlignment="1">
      <alignment horizontal="center" vertical="center"/>
    </xf>
    <xf numFmtId="0" fontId="16" fillId="19" borderId="129" xfId="0" applyFont="1" applyFill="1" applyBorder="1" applyAlignment="1">
      <alignment horizontal="center" vertical="center"/>
    </xf>
    <xf numFmtId="14" fontId="24" fillId="19" borderId="128" xfId="0" applyNumberFormat="1" applyFont="1" applyFill="1" applyBorder="1" applyAlignment="1">
      <alignment horizontal="center" vertical="center"/>
    </xf>
    <xf numFmtId="0" fontId="24" fillId="19" borderId="129" xfId="0" applyFont="1" applyFill="1" applyBorder="1" applyAlignment="1">
      <alignment horizontal="center" vertical="center"/>
    </xf>
    <xf numFmtId="14" fontId="24" fillId="19" borderId="130" xfId="0" applyNumberFormat="1" applyFont="1" applyFill="1" applyBorder="1" applyAlignment="1">
      <alignment horizontal="center" vertical="center"/>
    </xf>
    <xf numFmtId="0" fontId="24" fillId="19" borderId="116" xfId="0" applyFont="1" applyFill="1" applyBorder="1" applyAlignment="1">
      <alignment horizontal="center" vertical="center"/>
    </xf>
    <xf numFmtId="0" fontId="17" fillId="19" borderId="131" xfId="0" applyFont="1" applyFill="1" applyBorder="1" applyAlignment="1">
      <alignment horizontal="center" vertical="center"/>
    </xf>
    <xf numFmtId="0" fontId="31" fillId="19" borderId="132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182" fontId="16" fillId="19" borderId="134" xfId="0" applyNumberFormat="1" applyFont="1" applyFill="1" applyBorder="1" applyAlignment="1">
      <alignment horizontal="center" vertical="center"/>
    </xf>
    <xf numFmtId="3" fontId="0" fillId="19" borderId="135" xfId="0" applyNumberFormat="1" applyFill="1" applyBorder="1" applyAlignment="1">
      <alignment horizontal="center" vertical="center"/>
    </xf>
    <xf numFmtId="0" fontId="31" fillId="19" borderId="136" xfId="0" applyFont="1" applyFill="1" applyBorder="1" applyAlignment="1">
      <alignment horizontal="center" vertical="center"/>
    </xf>
    <xf numFmtId="182" fontId="0" fillId="19" borderId="58" xfId="0" applyNumberFormat="1" applyFill="1" applyBorder="1" applyAlignment="1">
      <alignment horizontal="right" vertical="center"/>
    </xf>
    <xf numFmtId="178" fontId="0" fillId="19" borderId="0" xfId="0" applyNumberFormat="1" applyFill="1" applyAlignment="1">
      <alignment horizontal="center" vertical="center"/>
    </xf>
    <xf numFmtId="182" fontId="0" fillId="19" borderId="0" xfId="0" applyNumberFormat="1" applyFill="1" applyAlignment="1">
      <alignment horizontal="center" vertical="center"/>
    </xf>
    <xf numFmtId="182" fontId="0" fillId="19" borderId="118" xfId="0" applyNumberFormat="1" applyFill="1" applyBorder="1" applyAlignment="1">
      <alignment horizontal="right" vertical="center"/>
    </xf>
    <xf numFmtId="0" fontId="0" fillId="19" borderId="133" xfId="0" applyFill="1" applyBorder="1" applyAlignment="1">
      <alignment horizontal="center" vertical="center"/>
    </xf>
    <xf numFmtId="0" fontId="0" fillId="19" borderId="104" xfId="0" applyFill="1" applyBorder="1" applyAlignment="1">
      <alignment horizontal="center" vertical="center"/>
    </xf>
    <xf numFmtId="0" fontId="0" fillId="19" borderId="141" xfId="0" applyFill="1" applyBorder="1" applyAlignment="1">
      <alignment horizontal="center" vertical="center"/>
    </xf>
    <xf numFmtId="0" fontId="0" fillId="19" borderId="142" xfId="0" applyFill="1" applyBorder="1" applyAlignment="1">
      <alignment horizontal="center" vertical="center"/>
    </xf>
    <xf numFmtId="0" fontId="0" fillId="19" borderId="116" xfId="0" applyFill="1" applyBorder="1" applyAlignment="1">
      <alignment horizontal="center" vertical="center"/>
    </xf>
    <xf numFmtId="0" fontId="0" fillId="0" borderId="87" xfId="0" applyBorder="1">
      <alignment vertical="center"/>
    </xf>
    <xf numFmtId="0" fontId="0" fillId="0" borderId="88" xfId="0" applyBorder="1">
      <alignment vertical="center"/>
    </xf>
    <xf numFmtId="184" fontId="0" fillId="19" borderId="149" xfId="0" applyNumberFormat="1" applyFill="1" applyBorder="1" applyAlignment="1">
      <alignment horizontal="center" vertical="center"/>
    </xf>
    <xf numFmtId="0" fontId="0" fillId="19" borderId="149" xfId="0" applyFill="1" applyBorder="1" applyAlignment="1">
      <alignment horizontal="center" vertical="center"/>
    </xf>
    <xf numFmtId="0" fontId="0" fillId="19" borderId="145" xfId="0" applyFill="1" applyBorder="1">
      <alignment vertical="center"/>
    </xf>
    <xf numFmtId="184" fontId="0" fillId="19" borderId="92" xfId="0" applyNumberFormat="1" applyFill="1" applyBorder="1" applyAlignment="1">
      <alignment horizontal="center" vertical="center"/>
    </xf>
    <xf numFmtId="0" fontId="0" fillId="19" borderId="92" xfId="0" applyFill="1" applyBorder="1" applyAlignment="1">
      <alignment horizontal="center" vertical="center"/>
    </xf>
    <xf numFmtId="0" fontId="0" fillId="19" borderId="96" xfId="0" applyFill="1" applyBorder="1">
      <alignment vertical="center"/>
    </xf>
    <xf numFmtId="184" fontId="35" fillId="19" borderId="124" xfId="0" applyNumberFormat="1" applyFont="1" applyFill="1" applyBorder="1" applyAlignment="1">
      <alignment horizontal="center" vertical="center"/>
    </xf>
    <xf numFmtId="0" fontId="35" fillId="19" borderId="124" xfId="0" applyFont="1" applyFill="1" applyBorder="1" applyAlignment="1">
      <alignment horizontal="center" vertical="center"/>
    </xf>
    <xf numFmtId="182" fontId="0" fillId="19" borderId="106" xfId="0" applyNumberFormat="1" applyFill="1" applyBorder="1" applyAlignment="1">
      <alignment horizontal="center" vertical="center"/>
    </xf>
    <xf numFmtId="182" fontId="16" fillId="19" borderId="20" xfId="0" applyNumberFormat="1" applyFont="1" applyFill="1" applyBorder="1" applyAlignment="1">
      <alignment horizontal="center" vertical="center"/>
    </xf>
    <xf numFmtId="0" fontId="0" fillId="19" borderId="137" xfId="0" applyFill="1" applyBorder="1" applyAlignment="1">
      <alignment horizontal="center" vertical="center"/>
    </xf>
    <xf numFmtId="184" fontId="0" fillId="19" borderId="94" xfId="0" applyNumberFormat="1" applyFill="1" applyBorder="1" applyAlignment="1">
      <alignment horizontal="center" vertical="center"/>
    </xf>
    <xf numFmtId="0" fontId="0" fillId="19" borderId="94" xfId="0" applyFill="1" applyBorder="1" applyAlignment="1">
      <alignment horizontal="center" vertical="center"/>
    </xf>
    <xf numFmtId="14" fontId="24" fillId="19" borderId="49" xfId="0" applyNumberFormat="1" applyFont="1" applyFill="1" applyBorder="1" applyAlignment="1">
      <alignment horizontal="center" vertical="center"/>
    </xf>
    <xf numFmtId="0" fontId="24" fillId="19" borderId="49" xfId="0" applyFont="1" applyFill="1" applyBorder="1" applyAlignment="1">
      <alignment horizontal="center" vertical="center"/>
    </xf>
    <xf numFmtId="0" fontId="3" fillId="19" borderId="49" xfId="0" applyFont="1" applyFill="1" applyBorder="1" applyAlignment="1">
      <alignment horizontal="center" vertical="center"/>
    </xf>
    <xf numFmtId="0" fontId="0" fillId="19" borderId="130" xfId="0" applyFill="1" applyBorder="1" applyAlignment="1">
      <alignment horizontal="center" vertical="center"/>
    </xf>
    <xf numFmtId="0" fontId="36" fillId="20" borderId="164" xfId="2" applyFill="1" applyBorder="1" applyAlignment="1">
      <alignment vertical="center" wrapText="1"/>
    </xf>
    <xf numFmtId="0" fontId="18" fillId="13" borderId="0" xfId="0" applyFont="1" applyFill="1" applyAlignment="1">
      <alignment horizontal="center" vertical="center" wrapText="1"/>
    </xf>
    <xf numFmtId="0" fontId="18" fillId="12" borderId="66" xfId="0" applyFont="1" applyFill="1" applyBorder="1" applyAlignment="1">
      <alignment horizontal="center" vertical="center" wrapText="1"/>
    </xf>
    <xf numFmtId="176" fontId="18" fillId="12" borderId="66" xfId="0" applyNumberFormat="1" applyFont="1" applyFill="1" applyBorder="1" applyAlignment="1">
      <alignment horizontal="right" vertical="center" wrapText="1"/>
    </xf>
    <xf numFmtId="0" fontId="18" fillId="13" borderId="0" xfId="0" applyFont="1" applyFill="1" applyAlignment="1">
      <alignment horizontal="left" vertical="top" wrapText="1"/>
    </xf>
    <xf numFmtId="0" fontId="18" fillId="11" borderId="68" xfId="0" applyFont="1" applyFill="1" applyBorder="1" applyAlignment="1">
      <alignment horizontal="center" vertical="center" wrapText="1"/>
    </xf>
    <xf numFmtId="0" fontId="38" fillId="0" borderId="165" xfId="0" applyFont="1" applyBorder="1" applyAlignment="1">
      <alignment horizontal="center" vertical="center"/>
    </xf>
    <xf numFmtId="0" fontId="39" fillId="0" borderId="166" xfId="2" applyFont="1" applyBorder="1">
      <alignment vertical="center"/>
    </xf>
    <xf numFmtId="0" fontId="38" fillId="0" borderId="99" xfId="0" applyFont="1" applyBorder="1" applyAlignment="1">
      <alignment horizontal="center" vertical="center"/>
    </xf>
    <xf numFmtId="0" fontId="38" fillId="0" borderId="100" xfId="0" applyFont="1" applyBorder="1">
      <alignment vertical="center"/>
    </xf>
    <xf numFmtId="0" fontId="39" fillId="0" borderId="100" xfId="2" applyFont="1" applyBorder="1">
      <alignment vertical="center"/>
    </xf>
    <xf numFmtId="0" fontId="38" fillId="0" borderId="45" xfId="0" applyFont="1" applyBorder="1" applyAlignment="1">
      <alignment horizontal="center" vertical="center"/>
    </xf>
    <xf numFmtId="0" fontId="38" fillId="0" borderId="100" xfId="0" applyFont="1" applyBorder="1" applyAlignment="1">
      <alignment vertical="center" wrapText="1"/>
    </xf>
    <xf numFmtId="0" fontId="40" fillId="0" borderId="47" xfId="2" applyFont="1" applyBorder="1">
      <alignment vertical="center"/>
    </xf>
    <xf numFmtId="9" fontId="20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18" fillId="12" borderId="68" xfId="0" applyFont="1" applyFill="1" applyBorder="1" applyAlignment="1">
      <alignment horizontal="center" vertical="center" wrapText="1"/>
    </xf>
    <xf numFmtId="0" fontId="18" fillId="12" borderId="178" xfId="0" applyFont="1" applyFill="1" applyBorder="1" applyAlignment="1">
      <alignment horizontal="center" vertical="center" wrapText="1"/>
    </xf>
    <xf numFmtId="0" fontId="13" fillId="25" borderId="189" xfId="0" applyFont="1" applyFill="1" applyBorder="1">
      <alignment vertical="center"/>
    </xf>
    <xf numFmtId="0" fontId="13" fillId="24" borderId="192" xfId="0" applyFont="1" applyFill="1" applyBorder="1" applyAlignment="1">
      <alignment horizontal="center" vertical="center"/>
    </xf>
    <xf numFmtId="0" fontId="42" fillId="24" borderId="193" xfId="0" applyFont="1" applyFill="1" applyBorder="1" applyAlignment="1">
      <alignment horizontal="center" vertical="center"/>
    </xf>
    <xf numFmtId="0" fontId="42" fillId="24" borderId="194" xfId="0" applyFont="1" applyFill="1" applyBorder="1" applyAlignment="1">
      <alignment horizontal="center" vertical="center"/>
    </xf>
    <xf numFmtId="0" fontId="42" fillId="24" borderId="195" xfId="0" applyFont="1" applyFill="1" applyBorder="1">
      <alignment vertical="center"/>
    </xf>
    <xf numFmtId="0" fontId="42" fillId="24" borderId="196" xfId="0" applyFont="1" applyFill="1" applyBorder="1">
      <alignment vertical="center"/>
    </xf>
    <xf numFmtId="0" fontId="0" fillId="0" borderId="195" xfId="0" applyBorder="1">
      <alignment vertical="center"/>
    </xf>
    <xf numFmtId="0" fontId="0" fillId="0" borderId="196" xfId="0" applyBorder="1">
      <alignment vertical="center"/>
    </xf>
    <xf numFmtId="0" fontId="0" fillId="0" borderId="197" xfId="0" applyBorder="1">
      <alignment vertical="center"/>
    </xf>
    <xf numFmtId="0" fontId="0" fillId="0" borderId="198" xfId="0" applyBorder="1">
      <alignment vertical="center"/>
    </xf>
    <xf numFmtId="0" fontId="45" fillId="0" borderId="195" xfId="0" applyFont="1" applyBorder="1">
      <alignment vertical="center"/>
    </xf>
    <xf numFmtId="0" fontId="45" fillId="0" borderId="196" xfId="0" applyFont="1" applyBorder="1">
      <alignment vertical="center"/>
    </xf>
    <xf numFmtId="0" fontId="42" fillId="24" borderId="199" xfId="0" applyFont="1" applyFill="1" applyBorder="1">
      <alignment vertical="center"/>
    </xf>
    <xf numFmtId="0" fontId="46" fillId="26" borderId="189" xfId="0" applyFont="1" applyFill="1" applyBorder="1" applyAlignment="1">
      <alignment horizontal="center" vertical="center"/>
    </xf>
    <xf numFmtId="187" fontId="46" fillId="26" borderId="189" xfId="0" applyNumberFormat="1" applyFont="1" applyFill="1" applyBorder="1" applyAlignment="1">
      <alignment horizontal="center" vertical="center"/>
    </xf>
    <xf numFmtId="0" fontId="43" fillId="27" borderId="189" xfId="0" applyFont="1" applyFill="1" applyBorder="1" applyAlignment="1">
      <alignment horizontal="center" vertical="center"/>
    </xf>
    <xf numFmtId="187" fontId="43" fillId="27" borderId="189" xfId="0" applyNumberFormat="1" applyFont="1" applyFill="1" applyBorder="1" applyAlignment="1">
      <alignment horizontal="center" vertical="center"/>
    </xf>
    <xf numFmtId="0" fontId="43" fillId="9" borderId="189" xfId="0" applyFont="1" applyFill="1" applyBorder="1" applyAlignment="1">
      <alignment horizontal="center" vertical="center"/>
    </xf>
    <xf numFmtId="187" fontId="43" fillId="9" borderId="189" xfId="0" applyNumberFormat="1" applyFont="1" applyFill="1" applyBorder="1" applyAlignment="1">
      <alignment horizontal="center" vertical="center"/>
    </xf>
    <xf numFmtId="0" fontId="43" fillId="26" borderId="189" xfId="0" applyFont="1" applyFill="1" applyBorder="1" applyAlignment="1">
      <alignment horizontal="center" vertical="center"/>
    </xf>
    <xf numFmtId="187" fontId="43" fillId="26" borderId="189" xfId="0" applyNumberFormat="1" applyFont="1" applyFill="1" applyBorder="1" applyAlignment="1">
      <alignment horizontal="center" vertical="center"/>
    </xf>
    <xf numFmtId="0" fontId="43" fillId="27" borderId="190" xfId="0" applyFont="1" applyFill="1" applyBorder="1" applyAlignment="1">
      <alignment horizontal="center" vertical="center"/>
    </xf>
    <xf numFmtId="187" fontId="43" fillId="27" borderId="190" xfId="0" applyNumberFormat="1" applyFont="1" applyFill="1" applyBorder="1" applyAlignment="1">
      <alignment horizontal="center" vertical="center"/>
    </xf>
    <xf numFmtId="0" fontId="43" fillId="26" borderId="191" xfId="0" applyFont="1" applyFill="1" applyBorder="1" applyAlignment="1">
      <alignment horizontal="center" vertical="center"/>
    </xf>
    <xf numFmtId="187" fontId="43" fillId="26" borderId="191" xfId="0" applyNumberFormat="1" applyFont="1" applyFill="1" applyBorder="1" applyAlignment="1">
      <alignment horizontal="center" vertical="center"/>
    </xf>
    <xf numFmtId="0" fontId="48" fillId="7" borderId="59" xfId="0" applyFont="1" applyFill="1" applyBorder="1" applyAlignment="1">
      <alignment horizontal="center" vertical="center" wrapText="1"/>
    </xf>
    <xf numFmtId="0" fontId="48" fillId="7" borderId="20" xfId="0" applyFont="1" applyFill="1" applyBorder="1" applyAlignment="1">
      <alignment horizontal="center" vertical="center"/>
    </xf>
    <xf numFmtId="0" fontId="48" fillId="7" borderId="65" xfId="0" applyFont="1" applyFill="1" applyBorder="1" applyAlignment="1">
      <alignment horizontal="center" vertical="center"/>
    </xf>
    <xf numFmtId="0" fontId="48" fillId="7" borderId="65" xfId="0" applyFont="1" applyFill="1" applyBorder="1" applyAlignment="1">
      <alignment horizontal="right" vertical="center"/>
    </xf>
    <xf numFmtId="0" fontId="48" fillId="7" borderId="109" xfId="0" applyFont="1" applyFill="1" applyBorder="1" applyAlignment="1">
      <alignment horizontal="right" vertical="center"/>
    </xf>
    <xf numFmtId="184" fontId="48" fillId="2" borderId="110" xfId="0" applyNumberFormat="1" applyFont="1" applyFill="1" applyBorder="1" applyAlignment="1">
      <alignment horizontal="center" vertical="center"/>
    </xf>
    <xf numFmtId="0" fontId="48" fillId="2" borderId="65" xfId="0" applyFont="1" applyFill="1" applyBorder="1" applyAlignment="1">
      <alignment horizontal="center" vertical="center"/>
    </xf>
    <xf numFmtId="0" fontId="48" fillId="2" borderId="65" xfId="0" applyFont="1" applyFill="1" applyBorder="1" applyAlignment="1">
      <alignment horizontal="center" vertical="center" wrapText="1"/>
    </xf>
    <xf numFmtId="184" fontId="48" fillId="2" borderId="65" xfId="0" applyNumberFormat="1" applyFont="1" applyFill="1" applyBorder="1" applyAlignment="1">
      <alignment horizontal="center" vertical="center"/>
    </xf>
    <xf numFmtId="0" fontId="48" fillId="2" borderId="109" xfId="0" applyFont="1" applyFill="1" applyBorder="1" applyAlignment="1">
      <alignment horizontal="center" vertical="center"/>
    </xf>
    <xf numFmtId="182" fontId="48" fillId="3" borderId="111" xfId="0" applyNumberFormat="1" applyFont="1" applyFill="1" applyBorder="1">
      <alignment vertical="center"/>
    </xf>
    <xf numFmtId="182" fontId="48" fillId="3" borderId="65" xfId="0" applyNumberFormat="1" applyFont="1" applyFill="1" applyBorder="1" applyAlignment="1">
      <alignment horizontal="center" vertical="center" wrapText="1"/>
    </xf>
    <xf numFmtId="182" fontId="48" fillId="3" borderId="20" xfId="0" applyNumberFormat="1" applyFont="1" applyFill="1" applyBorder="1" applyAlignment="1">
      <alignment horizontal="center" vertical="center" wrapText="1"/>
    </xf>
    <xf numFmtId="182" fontId="48" fillId="3" borderId="109" xfId="0" applyNumberFormat="1" applyFont="1" applyFill="1" applyBorder="1" applyAlignment="1">
      <alignment horizontal="center" vertical="center" wrapText="1"/>
    </xf>
    <xf numFmtId="176" fontId="48" fillId="3" borderId="67" xfId="0" applyNumberFormat="1" applyFont="1" applyFill="1" applyBorder="1" applyAlignment="1">
      <alignment horizontal="center" vertical="center"/>
    </xf>
    <xf numFmtId="176" fontId="48" fillId="3" borderId="20" xfId="0" applyNumberFormat="1" applyFont="1" applyFill="1" applyBorder="1" applyAlignment="1">
      <alignment horizontal="center" vertical="center"/>
    </xf>
    <xf numFmtId="49" fontId="48" fillId="3" borderId="122" xfId="0" applyNumberFormat="1" applyFont="1" applyFill="1" applyBorder="1" applyAlignment="1">
      <alignment horizontal="center" vertical="center"/>
    </xf>
    <xf numFmtId="182" fontId="48" fillId="3" borderId="121" xfId="0" applyNumberFormat="1" applyFont="1" applyFill="1" applyBorder="1" applyAlignment="1">
      <alignment horizontal="center" vertical="center" wrapText="1"/>
    </xf>
    <xf numFmtId="182" fontId="48" fillId="3" borderId="62" xfId="0" applyNumberFormat="1" applyFont="1" applyFill="1" applyBorder="1" applyAlignment="1">
      <alignment horizontal="center" vertical="center"/>
    </xf>
    <xf numFmtId="182" fontId="48" fillId="3" borderId="67" xfId="0" applyNumberFormat="1" applyFont="1" applyFill="1" applyBorder="1" applyAlignment="1">
      <alignment horizontal="center" vertical="center"/>
    </xf>
    <xf numFmtId="182" fontId="49" fillId="3" borderId="65" xfId="0" applyNumberFormat="1" applyFont="1" applyFill="1" applyBorder="1" applyAlignment="1">
      <alignment horizontal="center" vertical="center"/>
    </xf>
    <xf numFmtId="182" fontId="50" fillId="3" borderId="65" xfId="0" applyNumberFormat="1" applyFont="1" applyFill="1" applyBorder="1" applyAlignment="1">
      <alignment horizontal="center" vertical="center" wrapText="1"/>
    </xf>
    <xf numFmtId="0" fontId="48" fillId="10" borderId="110" xfId="0" applyFont="1" applyFill="1" applyBorder="1" applyAlignment="1">
      <alignment horizontal="center" vertical="center"/>
    </xf>
    <xf numFmtId="0" fontId="48" fillId="10" borderId="65" xfId="0" applyFont="1" applyFill="1" applyBorder="1" applyAlignment="1">
      <alignment horizontal="center" vertical="center"/>
    </xf>
    <xf numFmtId="0" fontId="49" fillId="10" borderId="65" xfId="0" applyFont="1" applyFill="1" applyBorder="1" applyAlignment="1">
      <alignment horizontal="center" vertical="center"/>
    </xf>
    <xf numFmtId="0" fontId="49" fillId="10" borderId="65" xfId="0" applyFont="1" applyFill="1" applyBorder="1" applyAlignment="1">
      <alignment horizontal="center" vertical="center" wrapText="1"/>
    </xf>
    <xf numFmtId="3" fontId="49" fillId="16" borderId="112" xfId="0" applyNumberFormat="1" applyFont="1" applyFill="1" applyBorder="1" applyAlignment="1">
      <alignment horizontal="center" vertical="center" wrapText="1"/>
    </xf>
    <xf numFmtId="9" fontId="49" fillId="17" borderId="113" xfId="0" applyNumberFormat="1" applyFont="1" applyFill="1" applyBorder="1" applyAlignment="1">
      <alignment horizontal="center" vertical="center" wrapText="1"/>
    </xf>
    <xf numFmtId="9" fontId="49" fillId="17" borderId="114" xfId="0" applyNumberFormat="1" applyFont="1" applyFill="1" applyBorder="1" applyAlignment="1">
      <alignment horizontal="center" vertical="center" wrapText="1"/>
    </xf>
    <xf numFmtId="9" fontId="49" fillId="18" borderId="114" xfId="0" applyNumberFormat="1" applyFont="1" applyFill="1" applyBorder="1" applyAlignment="1">
      <alignment horizontal="center" vertical="center" wrapText="1"/>
    </xf>
    <xf numFmtId="9" fontId="49" fillId="16" borderId="114" xfId="0" applyNumberFormat="1" applyFont="1" applyFill="1" applyBorder="1" applyAlignment="1">
      <alignment horizontal="center" vertical="center" wrapText="1"/>
    </xf>
    <xf numFmtId="3" fontId="49" fillId="16" borderId="115" xfId="0" applyNumberFormat="1" applyFont="1" applyFill="1" applyBorder="1" applyAlignment="1">
      <alignment horizontal="center" vertical="center" wrapText="1"/>
    </xf>
    <xf numFmtId="177" fontId="48" fillId="4" borderId="111" xfId="0" applyNumberFormat="1" applyFont="1" applyFill="1" applyBorder="1">
      <alignment vertical="center"/>
    </xf>
    <xf numFmtId="177" fontId="48" fillId="4" borderId="67" xfId="0" applyNumberFormat="1" applyFont="1" applyFill="1" applyBorder="1">
      <alignment vertical="center"/>
    </xf>
    <xf numFmtId="177" fontId="48" fillId="4" borderId="67" xfId="0" applyNumberFormat="1" applyFont="1" applyFill="1" applyBorder="1" applyAlignment="1">
      <alignment vertical="center" wrapText="1"/>
    </xf>
    <xf numFmtId="177" fontId="48" fillId="4" borderId="65" xfId="0" applyNumberFormat="1" applyFont="1" applyFill="1" applyBorder="1" applyAlignment="1">
      <alignment vertical="center" wrapText="1"/>
    </xf>
    <xf numFmtId="177" fontId="48" fillId="4" borderId="116" xfId="0" applyNumberFormat="1" applyFont="1" applyFill="1" applyBorder="1" applyAlignment="1">
      <alignment vertical="center" wrapText="1"/>
    </xf>
    <xf numFmtId="0" fontId="51" fillId="0" borderId="0" xfId="0" applyFont="1">
      <alignment vertical="center"/>
    </xf>
    <xf numFmtId="0" fontId="51" fillId="7" borderId="202" xfId="0" applyFont="1" applyFill="1" applyBorder="1" applyAlignment="1">
      <alignment horizontal="center" vertical="center"/>
    </xf>
    <xf numFmtId="0" fontId="46" fillId="7" borderId="175" xfId="0" applyFont="1" applyFill="1" applyBorder="1" applyAlignment="1">
      <alignment horizontal="center" vertical="center"/>
    </xf>
    <xf numFmtId="0" fontId="51" fillId="7" borderId="174" xfId="0" applyFont="1" applyFill="1" applyBorder="1" applyAlignment="1">
      <alignment horizontal="right" vertical="center"/>
    </xf>
    <xf numFmtId="0" fontId="51" fillId="7" borderId="175" xfId="0" applyFont="1" applyFill="1" applyBorder="1" applyAlignment="1">
      <alignment horizontal="right" vertical="center"/>
    </xf>
    <xf numFmtId="0" fontId="51" fillId="7" borderId="176" xfId="0" applyFont="1" applyFill="1" applyBorder="1" applyAlignment="1">
      <alignment horizontal="right" vertical="center"/>
    </xf>
    <xf numFmtId="184" fontId="52" fillId="2" borderId="203" xfId="0" applyNumberFormat="1" applyFont="1" applyFill="1" applyBorder="1" applyAlignment="1">
      <alignment horizontal="center" vertical="center"/>
    </xf>
    <xf numFmtId="0" fontId="52" fillId="2" borderId="204" xfId="0" applyFont="1" applyFill="1" applyBorder="1" applyAlignment="1">
      <alignment horizontal="center" vertical="center"/>
    </xf>
    <xf numFmtId="0" fontId="51" fillId="2" borderId="212" xfId="0" applyFont="1" applyFill="1" applyBorder="1" applyAlignment="1">
      <alignment horizontal="left" vertical="center"/>
    </xf>
    <xf numFmtId="0" fontId="51" fillId="5" borderId="206" xfId="0" applyFont="1" applyFill="1" applyBorder="1" applyAlignment="1">
      <alignment horizontal="center" vertical="center"/>
    </xf>
    <xf numFmtId="182" fontId="51" fillId="5" borderId="207" xfId="0" applyNumberFormat="1" applyFont="1" applyFill="1" applyBorder="1" applyAlignment="1">
      <alignment horizontal="center" vertical="center"/>
    </xf>
    <xf numFmtId="182" fontId="51" fillId="5" borderId="174" xfId="0" applyNumberFormat="1" applyFont="1" applyFill="1" applyBorder="1" applyAlignment="1">
      <alignment horizontal="center" vertical="center"/>
    </xf>
    <xf numFmtId="49" fontId="51" fillId="5" borderId="213" xfId="0" applyNumberFormat="1" applyFont="1" applyFill="1" applyBorder="1" applyAlignment="1">
      <alignment horizontal="center" vertical="center"/>
    </xf>
    <xf numFmtId="182" fontId="51" fillId="3" borderId="206" xfId="0" applyNumberFormat="1" applyFont="1" applyFill="1" applyBorder="1" applyAlignment="1">
      <alignment horizontal="right" vertical="center"/>
    </xf>
    <xf numFmtId="182" fontId="51" fillId="3" borderId="175" xfId="0" applyNumberFormat="1" applyFont="1" applyFill="1" applyBorder="1" applyAlignment="1">
      <alignment horizontal="right" vertical="center"/>
    </xf>
    <xf numFmtId="0" fontId="51" fillId="3" borderId="175" xfId="0" applyFont="1" applyFill="1" applyBorder="1" applyAlignment="1">
      <alignment horizontal="right" vertical="center"/>
    </xf>
    <xf numFmtId="49" fontId="51" fillId="3" borderId="213" xfId="0" applyNumberFormat="1" applyFont="1" applyFill="1" applyBorder="1" applyAlignment="1">
      <alignment horizontal="center" vertical="center"/>
    </xf>
    <xf numFmtId="186" fontId="51" fillId="3" borderId="174" xfId="0" applyNumberFormat="1" applyFont="1" applyFill="1" applyBorder="1" applyAlignment="1">
      <alignment horizontal="right" vertical="center"/>
    </xf>
    <xf numFmtId="3" fontId="51" fillId="5" borderId="208" xfId="0" applyNumberFormat="1" applyFont="1" applyFill="1" applyBorder="1" applyAlignment="1">
      <alignment horizontal="center" vertical="center"/>
    </xf>
    <xf numFmtId="0" fontId="53" fillId="3" borderId="208" xfId="0" applyFont="1" applyFill="1" applyBorder="1" applyAlignment="1">
      <alignment horizontal="center" vertical="center"/>
    </xf>
    <xf numFmtId="176" fontId="43" fillId="3" borderId="175" xfId="0" applyNumberFormat="1" applyFont="1" applyFill="1" applyBorder="1" applyAlignment="1">
      <alignment horizontal="center" vertical="center"/>
    </xf>
    <xf numFmtId="176" fontId="43" fillId="3" borderId="208" xfId="0" applyNumberFormat="1" applyFont="1" applyFill="1" applyBorder="1" applyAlignment="1">
      <alignment horizontal="center" vertical="center"/>
    </xf>
    <xf numFmtId="177" fontId="43" fillId="3" borderId="208" xfId="0" applyNumberFormat="1" applyFont="1" applyFill="1" applyBorder="1" applyAlignment="1">
      <alignment horizontal="center" vertical="center"/>
    </xf>
    <xf numFmtId="0" fontId="53" fillId="3" borderId="176" xfId="0" applyFont="1" applyFill="1" applyBorder="1" applyAlignment="1">
      <alignment horizontal="center" vertical="center"/>
    </xf>
    <xf numFmtId="0" fontId="51" fillId="10" borderId="206" xfId="0" applyFont="1" applyFill="1" applyBorder="1" applyAlignment="1">
      <alignment horizontal="center" vertical="center"/>
    </xf>
    <xf numFmtId="187" fontId="51" fillId="10" borderId="175" xfId="0" applyNumberFormat="1" applyFont="1" applyFill="1" applyBorder="1" applyAlignment="1">
      <alignment horizontal="center" vertical="center"/>
    </xf>
    <xf numFmtId="0" fontId="51" fillId="10" borderId="175" xfId="0" applyFont="1" applyFill="1" applyBorder="1" applyAlignment="1">
      <alignment horizontal="center" vertical="center"/>
    </xf>
    <xf numFmtId="0" fontId="51" fillId="10" borderId="175" xfId="0" applyFont="1" applyFill="1" applyBorder="1">
      <alignment vertical="center"/>
    </xf>
    <xf numFmtId="0" fontId="51" fillId="10" borderId="176" xfId="0" applyFont="1" applyFill="1" applyBorder="1" applyAlignment="1">
      <alignment horizontal="center" vertical="center"/>
    </xf>
    <xf numFmtId="0" fontId="53" fillId="10" borderId="175" xfId="0" applyFont="1" applyFill="1" applyBorder="1" applyAlignment="1">
      <alignment horizontal="center" vertical="center"/>
    </xf>
    <xf numFmtId="0" fontId="53" fillId="10" borderId="176" xfId="0" applyFont="1" applyFill="1" applyBorder="1" applyAlignment="1">
      <alignment horizontal="center" vertical="center"/>
    </xf>
    <xf numFmtId="3" fontId="54" fillId="16" borderId="203" xfId="0" applyNumberFormat="1" applyFont="1" applyFill="1" applyBorder="1" applyAlignment="1">
      <alignment horizontal="center" vertical="center"/>
    </xf>
    <xf numFmtId="9" fontId="51" fillId="17" borderId="204" xfId="0" applyNumberFormat="1" applyFont="1" applyFill="1" applyBorder="1" applyAlignment="1">
      <alignment horizontal="center" vertical="center"/>
    </xf>
    <xf numFmtId="9" fontId="51" fillId="18" borderId="205" xfId="0" applyNumberFormat="1" applyFont="1" applyFill="1" applyBorder="1" applyAlignment="1">
      <alignment horizontal="center" vertical="center"/>
    </xf>
    <xf numFmtId="9" fontId="51" fillId="16" borderId="209" xfId="0" applyNumberFormat="1" applyFont="1" applyFill="1" applyBorder="1" applyAlignment="1">
      <alignment horizontal="center" vertical="center"/>
    </xf>
    <xf numFmtId="3" fontId="51" fillId="16" borderId="210" xfId="0" applyNumberFormat="1" applyFont="1" applyFill="1" applyBorder="1" applyAlignment="1">
      <alignment horizontal="center" vertical="center"/>
    </xf>
    <xf numFmtId="177" fontId="51" fillId="4" borderId="174" xfId="0" applyNumberFormat="1" applyFont="1" applyFill="1" applyBorder="1" applyAlignment="1">
      <alignment horizontal="right" vertical="center"/>
    </xf>
    <xf numFmtId="177" fontId="51" fillId="4" borderId="175" xfId="0" applyNumberFormat="1" applyFont="1" applyFill="1" applyBorder="1" applyAlignment="1">
      <alignment horizontal="right" vertical="center"/>
    </xf>
    <xf numFmtId="177" fontId="51" fillId="6" borderId="175" xfId="0" applyNumberFormat="1" applyFont="1" applyFill="1" applyBorder="1" applyAlignment="1">
      <alignment horizontal="right" vertical="center"/>
    </xf>
    <xf numFmtId="177" fontId="51" fillId="8" borderId="211" xfId="0" applyNumberFormat="1" applyFont="1" applyFill="1" applyBorder="1" applyAlignment="1">
      <alignment horizontal="right" vertical="center"/>
    </xf>
    <xf numFmtId="177" fontId="51" fillId="8" borderId="204" xfId="0" applyNumberFormat="1" applyFont="1" applyFill="1" applyBorder="1" applyAlignment="1">
      <alignment horizontal="right" vertical="center"/>
    </xf>
    <xf numFmtId="177" fontId="51" fillId="8" borderId="212" xfId="0" applyNumberFormat="1" applyFont="1" applyFill="1" applyBorder="1" applyAlignment="1">
      <alignment horizontal="right" vertical="center"/>
    </xf>
    <xf numFmtId="0" fontId="51" fillId="7" borderId="214" xfId="0" applyFont="1" applyFill="1" applyBorder="1" applyAlignment="1">
      <alignment horizontal="center" vertical="center"/>
    </xf>
    <xf numFmtId="0" fontId="46" fillId="7" borderId="215" xfId="0" applyFont="1" applyFill="1" applyBorder="1" applyAlignment="1">
      <alignment horizontal="center" vertical="center"/>
    </xf>
    <xf numFmtId="0" fontId="51" fillId="7" borderId="216" xfId="0" applyFont="1" applyFill="1" applyBorder="1" applyAlignment="1">
      <alignment horizontal="right" vertical="center"/>
    </xf>
    <xf numFmtId="0" fontId="51" fillId="7" borderId="215" xfId="0" applyFont="1" applyFill="1" applyBorder="1" applyAlignment="1">
      <alignment horizontal="right" vertical="center"/>
    </xf>
    <xf numFmtId="184" fontId="52" fillId="2" borderId="218" xfId="0" applyNumberFormat="1" applyFont="1" applyFill="1" applyBorder="1" applyAlignment="1">
      <alignment horizontal="center" vertical="center"/>
    </xf>
    <xf numFmtId="0" fontId="52" fillId="2" borderId="219" xfId="0" applyFont="1" applyFill="1" applyBorder="1" applyAlignment="1">
      <alignment horizontal="center" vertical="center"/>
    </xf>
    <xf numFmtId="0" fontId="51" fillId="2" borderId="220" xfId="0" applyFont="1" applyFill="1" applyBorder="1" applyAlignment="1">
      <alignment horizontal="left" vertical="center"/>
    </xf>
    <xf numFmtId="0" fontId="51" fillId="5" borderId="222" xfId="0" applyFont="1" applyFill="1" applyBorder="1" applyAlignment="1">
      <alignment horizontal="center" vertical="center"/>
    </xf>
    <xf numFmtId="182" fontId="51" fillId="5" borderId="216" xfId="0" applyNumberFormat="1" applyFont="1" applyFill="1" applyBorder="1" applyAlignment="1">
      <alignment horizontal="center" vertical="center"/>
    </xf>
    <xf numFmtId="182" fontId="51" fillId="5" borderId="223" xfId="0" applyNumberFormat="1" applyFont="1" applyFill="1" applyBorder="1" applyAlignment="1">
      <alignment horizontal="center" vertical="center"/>
    </xf>
    <xf numFmtId="49" fontId="51" fillId="5" borderId="224" xfId="0" applyNumberFormat="1" applyFont="1" applyFill="1" applyBorder="1" applyAlignment="1">
      <alignment horizontal="center" vertical="center"/>
    </xf>
    <xf numFmtId="182" fontId="51" fillId="3" borderId="222" xfId="0" applyNumberFormat="1" applyFont="1" applyFill="1" applyBorder="1" applyAlignment="1">
      <alignment horizontal="right" vertical="center"/>
    </xf>
    <xf numFmtId="182" fontId="51" fillId="3" borderId="215" xfId="0" applyNumberFormat="1" applyFont="1" applyFill="1" applyBorder="1" applyAlignment="1">
      <alignment horizontal="right" vertical="center"/>
    </xf>
    <xf numFmtId="0" fontId="51" fillId="3" borderId="215" xfId="0" applyFont="1" applyFill="1" applyBorder="1" applyAlignment="1">
      <alignment horizontal="right" vertical="center"/>
    </xf>
    <xf numFmtId="49" fontId="51" fillId="3" borderId="224" xfId="0" applyNumberFormat="1" applyFont="1" applyFill="1" applyBorder="1" applyAlignment="1">
      <alignment horizontal="center" vertical="center"/>
    </xf>
    <xf numFmtId="186" fontId="51" fillId="3" borderId="216" xfId="0" applyNumberFormat="1" applyFont="1" applyFill="1" applyBorder="1" applyAlignment="1">
      <alignment horizontal="right" vertical="center"/>
    </xf>
    <xf numFmtId="3" fontId="51" fillId="5" borderId="215" xfId="0" applyNumberFormat="1" applyFont="1" applyFill="1" applyBorder="1" applyAlignment="1">
      <alignment horizontal="center" vertical="center"/>
    </xf>
    <xf numFmtId="0" fontId="53" fillId="3" borderId="215" xfId="0" applyFont="1" applyFill="1" applyBorder="1" applyAlignment="1">
      <alignment horizontal="center" vertical="center"/>
    </xf>
    <xf numFmtId="176" fontId="43" fillId="3" borderId="215" xfId="0" applyNumberFormat="1" applyFont="1" applyFill="1" applyBorder="1" applyAlignment="1">
      <alignment horizontal="center" vertical="center"/>
    </xf>
    <xf numFmtId="177" fontId="43" fillId="3" borderId="215" xfId="0" applyNumberFormat="1" applyFont="1" applyFill="1" applyBorder="1" applyAlignment="1">
      <alignment horizontal="center" vertical="center"/>
    </xf>
    <xf numFmtId="0" fontId="53" fillId="3" borderId="217" xfId="0" applyFont="1" applyFill="1" applyBorder="1" applyAlignment="1">
      <alignment horizontal="center" vertical="center"/>
    </xf>
    <xf numFmtId="0" fontId="51" fillId="10" borderId="222" xfId="0" applyFont="1" applyFill="1" applyBorder="1" applyAlignment="1">
      <alignment horizontal="center" vertical="center"/>
    </xf>
    <xf numFmtId="187" fontId="51" fillId="10" borderId="215" xfId="0" applyNumberFormat="1" applyFont="1" applyFill="1" applyBorder="1" applyAlignment="1">
      <alignment horizontal="center" vertical="center"/>
    </xf>
    <xf numFmtId="0" fontId="51" fillId="10" borderId="215" xfId="0" applyFont="1" applyFill="1" applyBorder="1" applyAlignment="1">
      <alignment horizontal="center" vertical="center"/>
    </xf>
    <xf numFmtId="0" fontId="51" fillId="10" borderId="215" xfId="0" applyFont="1" applyFill="1" applyBorder="1">
      <alignment vertical="center"/>
    </xf>
    <xf numFmtId="0" fontId="51" fillId="10" borderId="217" xfId="0" applyFont="1" applyFill="1" applyBorder="1" applyAlignment="1">
      <alignment horizontal="center" vertical="center"/>
    </xf>
    <xf numFmtId="0" fontId="53" fillId="10" borderId="215" xfId="0" applyFont="1" applyFill="1" applyBorder="1" applyAlignment="1">
      <alignment horizontal="center" vertical="center"/>
    </xf>
    <xf numFmtId="0" fontId="53" fillId="10" borderId="217" xfId="0" applyFont="1" applyFill="1" applyBorder="1" applyAlignment="1">
      <alignment horizontal="center" vertical="center"/>
    </xf>
    <xf numFmtId="3" fontId="54" fillId="16" borderId="218" xfId="0" applyNumberFormat="1" applyFont="1" applyFill="1" applyBorder="1" applyAlignment="1">
      <alignment horizontal="center" vertical="center"/>
    </xf>
    <xf numFmtId="9" fontId="51" fillId="17" borderId="219" xfId="0" applyNumberFormat="1" applyFont="1" applyFill="1" applyBorder="1" applyAlignment="1">
      <alignment horizontal="center" vertical="center"/>
    </xf>
    <xf numFmtId="9" fontId="51" fillId="18" borderId="225" xfId="0" applyNumberFormat="1" applyFont="1" applyFill="1" applyBorder="1" applyAlignment="1">
      <alignment horizontal="center" vertical="center"/>
    </xf>
    <xf numFmtId="9" fontId="51" fillId="16" borderId="226" xfId="0" applyNumberFormat="1" applyFont="1" applyFill="1" applyBorder="1" applyAlignment="1">
      <alignment horizontal="center" vertical="center"/>
    </xf>
    <xf numFmtId="3" fontId="51" fillId="16" borderId="227" xfId="0" applyNumberFormat="1" applyFont="1" applyFill="1" applyBorder="1" applyAlignment="1">
      <alignment horizontal="center" vertical="center"/>
    </xf>
    <xf numFmtId="177" fontId="51" fillId="4" borderId="216" xfId="0" applyNumberFormat="1" applyFont="1" applyFill="1" applyBorder="1" applyAlignment="1">
      <alignment horizontal="right" vertical="center"/>
    </xf>
    <xf numFmtId="177" fontId="51" fillId="4" borderId="215" xfId="0" applyNumberFormat="1" applyFont="1" applyFill="1" applyBorder="1" applyAlignment="1">
      <alignment horizontal="right" vertical="center"/>
    </xf>
    <xf numFmtId="177" fontId="51" fillId="6" borderId="215" xfId="0" applyNumberFormat="1" applyFont="1" applyFill="1" applyBorder="1" applyAlignment="1">
      <alignment horizontal="right" vertical="center"/>
    </xf>
    <xf numFmtId="177" fontId="51" fillId="8" borderId="228" xfId="0" applyNumberFormat="1" applyFont="1" applyFill="1" applyBorder="1" applyAlignment="1">
      <alignment horizontal="right" vertical="center"/>
    </xf>
    <xf numFmtId="177" fontId="51" fillId="8" borderId="219" xfId="0" applyNumberFormat="1" applyFont="1" applyFill="1" applyBorder="1" applyAlignment="1">
      <alignment horizontal="right" vertical="center"/>
    </xf>
    <xf numFmtId="177" fontId="51" fillId="8" borderId="220" xfId="0" applyNumberFormat="1" applyFont="1" applyFill="1" applyBorder="1" applyAlignment="1">
      <alignment horizontal="right" vertical="center"/>
    </xf>
    <xf numFmtId="0" fontId="51" fillId="0" borderId="221" xfId="0" applyFont="1" applyBorder="1">
      <alignment vertical="center"/>
    </xf>
    <xf numFmtId="0" fontId="51" fillId="7" borderId="101" xfId="0" applyFont="1" applyFill="1" applyBorder="1" applyAlignment="1">
      <alignment horizontal="center" vertical="center"/>
    </xf>
    <xf numFmtId="0" fontId="46" fillId="7" borderId="11" xfId="0" applyFont="1" applyFill="1" applyBorder="1" applyAlignment="1">
      <alignment horizontal="center" vertical="center"/>
    </xf>
    <xf numFmtId="0" fontId="51" fillId="7" borderId="21" xfId="0" applyFont="1" applyFill="1" applyBorder="1" applyAlignment="1">
      <alignment horizontal="right" vertical="center"/>
    </xf>
    <xf numFmtId="0" fontId="51" fillId="7" borderId="11" xfId="0" applyFont="1" applyFill="1" applyBorder="1" applyAlignment="1">
      <alignment horizontal="right" vertical="center"/>
    </xf>
    <xf numFmtId="0" fontId="51" fillId="7" borderId="22" xfId="0" applyFont="1" applyFill="1" applyBorder="1" applyAlignment="1">
      <alignment horizontal="right" vertical="center"/>
    </xf>
    <xf numFmtId="184" fontId="52" fillId="2" borderId="82" xfId="0" applyNumberFormat="1" applyFont="1" applyFill="1" applyBorder="1" applyAlignment="1">
      <alignment horizontal="center" vertical="center"/>
    </xf>
    <xf numFmtId="0" fontId="52" fillId="2" borderId="14" xfId="0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left" vertical="center"/>
    </xf>
    <xf numFmtId="0" fontId="51" fillId="5" borderId="29" xfId="0" applyFont="1" applyFill="1" applyBorder="1" applyAlignment="1">
      <alignment horizontal="center" vertical="center"/>
    </xf>
    <xf numFmtId="182" fontId="51" fillId="5" borderId="23" xfId="0" applyNumberFormat="1" applyFont="1" applyFill="1" applyBorder="1" applyAlignment="1">
      <alignment horizontal="center" vertical="center"/>
    </xf>
    <xf numFmtId="182" fontId="51" fillId="5" borderId="21" xfId="0" applyNumberFormat="1" applyFont="1" applyFill="1" applyBorder="1" applyAlignment="1">
      <alignment horizontal="center" vertical="center"/>
    </xf>
    <xf numFmtId="182" fontId="51" fillId="5" borderId="151" xfId="0" applyNumberFormat="1" applyFont="1" applyFill="1" applyBorder="1" applyAlignment="1">
      <alignment horizontal="center" vertical="center"/>
    </xf>
    <xf numFmtId="49" fontId="51" fillId="5" borderId="30" xfId="0" applyNumberFormat="1" applyFont="1" applyFill="1" applyBorder="1" applyAlignment="1">
      <alignment horizontal="center" vertical="center"/>
    </xf>
    <xf numFmtId="182" fontId="51" fillId="3" borderId="29" xfId="0" applyNumberFormat="1" applyFont="1" applyFill="1" applyBorder="1" applyAlignment="1">
      <alignment horizontal="right" vertical="center"/>
    </xf>
    <xf numFmtId="182" fontId="51" fillId="3" borderId="11" xfId="0" applyNumberFormat="1" applyFont="1" applyFill="1" applyBorder="1" applyAlignment="1">
      <alignment horizontal="right" vertical="center"/>
    </xf>
    <xf numFmtId="0" fontId="51" fillId="3" borderId="11" xfId="0" applyFont="1" applyFill="1" applyBorder="1" applyAlignment="1">
      <alignment horizontal="right" vertical="center"/>
    </xf>
    <xf numFmtId="49" fontId="51" fillId="3" borderId="30" xfId="0" applyNumberFormat="1" applyFont="1" applyFill="1" applyBorder="1" applyAlignment="1">
      <alignment horizontal="center" vertical="center"/>
    </xf>
    <xf numFmtId="186" fontId="51" fillId="3" borderId="21" xfId="0" applyNumberFormat="1" applyFont="1" applyFill="1" applyBorder="1" applyAlignment="1">
      <alignment horizontal="right" vertical="center"/>
    </xf>
    <xf numFmtId="3" fontId="51" fillId="5" borderId="12" xfId="0" applyNumberFormat="1" applyFont="1" applyFill="1" applyBorder="1" applyAlignment="1">
      <alignment horizontal="center" vertical="center"/>
    </xf>
    <xf numFmtId="0" fontId="53" fillId="3" borderId="12" xfId="0" applyFont="1" applyFill="1" applyBorder="1" applyAlignment="1">
      <alignment horizontal="center" vertical="center"/>
    </xf>
    <xf numFmtId="176" fontId="43" fillId="3" borderId="11" xfId="0" applyNumberFormat="1" applyFont="1" applyFill="1" applyBorder="1" applyAlignment="1">
      <alignment horizontal="center" vertical="center"/>
    </xf>
    <xf numFmtId="176" fontId="43" fillId="3" borderId="12" xfId="0" applyNumberFormat="1" applyFont="1" applyFill="1" applyBorder="1" applyAlignment="1">
      <alignment horizontal="center" vertical="center"/>
    </xf>
    <xf numFmtId="177" fontId="43" fillId="3" borderId="12" xfId="0" applyNumberFormat="1" applyFont="1" applyFill="1" applyBorder="1" applyAlignment="1">
      <alignment horizontal="center" vertical="center"/>
    </xf>
    <xf numFmtId="0" fontId="53" fillId="3" borderId="22" xfId="0" applyFont="1" applyFill="1" applyBorder="1" applyAlignment="1">
      <alignment horizontal="center" vertical="center"/>
    </xf>
    <xf numFmtId="0" fontId="51" fillId="10" borderId="29" xfId="0" applyFont="1" applyFill="1" applyBorder="1" applyAlignment="1">
      <alignment horizontal="center" vertical="center"/>
    </xf>
    <xf numFmtId="187" fontId="51" fillId="10" borderId="11" xfId="0" applyNumberFormat="1" applyFont="1" applyFill="1" applyBorder="1" applyAlignment="1">
      <alignment horizontal="center" vertical="center"/>
    </xf>
    <xf numFmtId="0" fontId="51" fillId="10" borderId="11" xfId="0" applyFont="1" applyFill="1" applyBorder="1" applyAlignment="1">
      <alignment horizontal="center" vertical="center"/>
    </xf>
    <xf numFmtId="0" fontId="51" fillId="10" borderId="11" xfId="0" applyFont="1" applyFill="1" applyBorder="1">
      <alignment vertical="center"/>
    </xf>
    <xf numFmtId="0" fontId="51" fillId="10" borderId="22" xfId="0" applyFont="1" applyFill="1" applyBorder="1" applyAlignment="1">
      <alignment horizontal="center" vertical="center"/>
    </xf>
    <xf numFmtId="0" fontId="53" fillId="10" borderId="11" xfId="0" applyFont="1" applyFill="1" applyBorder="1" applyAlignment="1">
      <alignment horizontal="center" vertical="center"/>
    </xf>
    <xf numFmtId="0" fontId="53" fillId="10" borderId="22" xfId="0" applyFont="1" applyFill="1" applyBorder="1" applyAlignment="1">
      <alignment horizontal="center" vertical="center"/>
    </xf>
    <xf numFmtId="3" fontId="54" fillId="16" borderId="82" xfId="0" applyNumberFormat="1" applyFont="1" applyFill="1" applyBorder="1" applyAlignment="1">
      <alignment horizontal="center" vertical="center"/>
    </xf>
    <xf numFmtId="9" fontId="51" fillId="17" borderId="14" xfId="0" applyNumberFormat="1" applyFont="1" applyFill="1" applyBorder="1" applyAlignment="1">
      <alignment horizontal="center" vertical="center"/>
    </xf>
    <xf numFmtId="9" fontId="51" fillId="18" borderId="19" xfId="0" applyNumberFormat="1" applyFont="1" applyFill="1" applyBorder="1" applyAlignment="1">
      <alignment horizontal="center" vertical="center"/>
    </xf>
    <xf numFmtId="9" fontId="51" fillId="16" borderId="102" xfId="0" applyNumberFormat="1" applyFont="1" applyFill="1" applyBorder="1" applyAlignment="1">
      <alignment horizontal="center" vertical="center"/>
    </xf>
    <xf numFmtId="3" fontId="51" fillId="16" borderId="103" xfId="0" applyNumberFormat="1" applyFont="1" applyFill="1" applyBorder="1" applyAlignment="1">
      <alignment horizontal="center" vertical="center"/>
    </xf>
    <xf numFmtId="177" fontId="51" fillId="4" borderId="21" xfId="0" applyNumberFormat="1" applyFont="1" applyFill="1" applyBorder="1" applyAlignment="1">
      <alignment horizontal="right" vertical="center"/>
    </xf>
    <xf numFmtId="177" fontId="51" fillId="4" borderId="11" xfId="0" applyNumberFormat="1" applyFont="1" applyFill="1" applyBorder="1" applyAlignment="1">
      <alignment horizontal="right" vertical="center"/>
    </xf>
    <xf numFmtId="177" fontId="51" fillId="6" borderId="11" xfId="0" applyNumberFormat="1" applyFont="1" applyFill="1" applyBorder="1" applyAlignment="1">
      <alignment horizontal="right" vertical="center"/>
    </xf>
    <xf numFmtId="177" fontId="51" fillId="8" borderId="18" xfId="0" applyNumberFormat="1" applyFont="1" applyFill="1" applyBorder="1" applyAlignment="1">
      <alignment horizontal="right" vertical="center"/>
    </xf>
    <xf numFmtId="177" fontId="51" fillId="8" borderId="14" xfId="0" applyNumberFormat="1" applyFont="1" applyFill="1" applyBorder="1" applyAlignment="1">
      <alignment horizontal="right" vertical="center"/>
    </xf>
    <xf numFmtId="177" fontId="51" fillId="8" borderId="43" xfId="0" applyNumberFormat="1" applyFont="1" applyFill="1" applyBorder="1" applyAlignment="1">
      <alignment horizontal="right" vertical="center"/>
    </xf>
    <xf numFmtId="176" fontId="51" fillId="3" borderId="215" xfId="0" applyNumberFormat="1" applyFont="1" applyFill="1" applyBorder="1" applyAlignment="1">
      <alignment horizontal="right" vertical="center"/>
    </xf>
    <xf numFmtId="176" fontId="51" fillId="3" borderId="11" xfId="0" applyNumberFormat="1" applyFont="1" applyFill="1" applyBorder="1" applyAlignment="1">
      <alignment horizontal="right" vertical="center"/>
    </xf>
    <xf numFmtId="0" fontId="51" fillId="10" borderId="11" xfId="0" applyFont="1" applyFill="1" applyBorder="1" applyAlignment="1">
      <alignment vertical="center" wrapText="1"/>
    </xf>
    <xf numFmtId="176" fontId="51" fillId="3" borderId="175" xfId="0" applyNumberFormat="1" applyFont="1" applyFill="1" applyBorder="1" applyAlignment="1">
      <alignment horizontal="right" vertical="center"/>
    </xf>
    <xf numFmtId="0" fontId="51" fillId="10" borderId="175" xfId="0" applyFont="1" applyFill="1" applyBorder="1" applyAlignment="1">
      <alignment vertical="center" wrapText="1"/>
    </xf>
    <xf numFmtId="0" fontId="51" fillId="10" borderId="222" xfId="0" applyFont="1" applyFill="1" applyBorder="1" applyAlignment="1">
      <alignment horizontal="center" vertical="center" wrapText="1"/>
    </xf>
    <xf numFmtId="0" fontId="51" fillId="10" borderId="215" xfId="0" applyFont="1" applyFill="1" applyBorder="1" applyAlignment="1">
      <alignment horizontal="center" vertical="center" wrapText="1"/>
    </xf>
    <xf numFmtId="0" fontId="51" fillId="10" borderId="215" xfId="0" applyFont="1" applyFill="1" applyBorder="1" applyAlignment="1">
      <alignment vertical="center" wrapText="1"/>
    </xf>
    <xf numFmtId="0" fontId="51" fillId="10" borderId="29" xfId="0" applyFont="1" applyFill="1" applyBorder="1" applyAlignment="1">
      <alignment horizontal="center" vertical="center" wrapText="1"/>
    </xf>
    <xf numFmtId="0" fontId="51" fillId="10" borderId="11" xfId="0" applyFont="1" applyFill="1" applyBorder="1" applyAlignment="1">
      <alignment horizontal="center" vertical="center" wrapText="1"/>
    </xf>
    <xf numFmtId="0" fontId="51" fillId="10" borderId="206" xfId="0" applyFont="1" applyFill="1" applyBorder="1" applyAlignment="1">
      <alignment horizontal="center" vertical="center" wrapText="1"/>
    </xf>
    <xf numFmtId="0" fontId="51" fillId="10" borderId="175" xfId="0" applyFont="1" applyFill="1" applyBorder="1" applyAlignment="1">
      <alignment horizontal="center" vertical="center" wrapText="1"/>
    </xf>
    <xf numFmtId="0" fontId="55" fillId="9" borderId="221" xfId="0" applyFont="1" applyFill="1" applyBorder="1">
      <alignment vertical="center"/>
    </xf>
    <xf numFmtId="0" fontId="55" fillId="19" borderId="0" xfId="0" applyFont="1" applyFill="1">
      <alignment vertical="center"/>
    </xf>
    <xf numFmtId="0" fontId="45" fillId="19" borderId="0" xfId="0" applyFont="1" applyFill="1">
      <alignment vertical="center"/>
    </xf>
    <xf numFmtId="0" fontId="45" fillId="9" borderId="0" xfId="0" applyFont="1" applyFill="1">
      <alignment vertical="center"/>
    </xf>
    <xf numFmtId="0" fontId="45" fillId="9" borderId="221" xfId="0" applyFont="1" applyFill="1" applyBorder="1">
      <alignment vertical="center"/>
    </xf>
    <xf numFmtId="176" fontId="51" fillId="3" borderId="222" xfId="0" applyNumberFormat="1" applyFont="1" applyFill="1" applyBorder="1" applyAlignment="1">
      <alignment horizontal="right" vertical="center"/>
    </xf>
    <xf numFmtId="176" fontId="51" fillId="3" borderId="29" xfId="0" applyNumberFormat="1" applyFont="1" applyFill="1" applyBorder="1" applyAlignment="1">
      <alignment horizontal="right" vertical="center"/>
    </xf>
    <xf numFmtId="182" fontId="51" fillId="3" borderId="188" xfId="0" applyNumberFormat="1" applyFont="1" applyFill="1" applyBorder="1" applyAlignment="1">
      <alignment horizontal="right" vertical="center"/>
    </xf>
    <xf numFmtId="49" fontId="51" fillId="5" borderId="30" xfId="0" applyNumberFormat="1" applyFont="1" applyFill="1" applyBorder="1" applyAlignment="1">
      <alignment horizontal="center" vertical="center" wrapText="1"/>
    </xf>
    <xf numFmtId="49" fontId="51" fillId="3" borderId="30" xfId="0" applyNumberFormat="1" applyFont="1" applyFill="1" applyBorder="1" applyAlignment="1">
      <alignment horizontal="center" vertical="center" wrapText="1"/>
    </xf>
    <xf numFmtId="178" fontId="56" fillId="3" borderId="5" xfId="0" applyNumberFormat="1" applyFont="1" applyFill="1" applyBorder="1">
      <alignment vertical="center"/>
    </xf>
    <xf numFmtId="178" fontId="56" fillId="3" borderId="34" xfId="0" applyNumberFormat="1" applyFont="1" applyFill="1" applyBorder="1">
      <alignment vertical="center"/>
    </xf>
    <xf numFmtId="0" fontId="56" fillId="10" borderId="97" xfId="0" applyFont="1" applyFill="1" applyBorder="1">
      <alignment vertical="center"/>
    </xf>
    <xf numFmtId="0" fontId="56" fillId="10" borderId="77" xfId="0" applyFont="1" applyFill="1" applyBorder="1">
      <alignment vertical="center"/>
    </xf>
    <xf numFmtId="9" fontId="56" fillId="17" borderId="17" xfId="0" applyNumberFormat="1" applyFont="1" applyFill="1" applyBorder="1" applyAlignment="1">
      <alignment horizontal="center" vertical="center"/>
    </xf>
    <xf numFmtId="9" fontId="56" fillId="17" borderId="89" xfId="0" applyNumberFormat="1" applyFont="1" applyFill="1" applyBorder="1" applyAlignment="1">
      <alignment horizontal="center" vertical="center"/>
    </xf>
    <xf numFmtId="9" fontId="56" fillId="18" borderId="89" xfId="0" applyNumberFormat="1" applyFont="1" applyFill="1" applyBorder="1" applyAlignment="1">
      <alignment horizontal="center" vertical="center"/>
    </xf>
    <xf numFmtId="9" fontId="56" fillId="16" borderId="89" xfId="0" applyNumberFormat="1" applyFont="1" applyFill="1" applyBorder="1" applyAlignment="1">
      <alignment horizontal="center" vertical="center"/>
    </xf>
    <xf numFmtId="3" fontId="56" fillId="16" borderId="42" xfId="0" applyNumberFormat="1" applyFont="1" applyFill="1" applyBorder="1" applyAlignment="1">
      <alignment horizontal="center" vertical="center"/>
    </xf>
    <xf numFmtId="177" fontId="56" fillId="4" borderId="44" xfId="0" applyNumberFormat="1" applyFont="1" applyFill="1" applyBorder="1">
      <alignment vertical="center"/>
    </xf>
    <xf numFmtId="177" fontId="56" fillId="4" borderId="98" xfId="0" applyNumberFormat="1" applyFont="1" applyFill="1" applyBorder="1">
      <alignment vertical="center"/>
    </xf>
    <xf numFmtId="0" fontId="58" fillId="0" borderId="49" xfId="0" applyFont="1" applyBorder="1">
      <alignment vertical="center"/>
    </xf>
    <xf numFmtId="182" fontId="57" fillId="3" borderId="1" xfId="0" applyNumberFormat="1" applyFont="1" applyFill="1" applyBorder="1" applyAlignment="1">
      <alignment horizontal="center" vertical="center"/>
    </xf>
    <xf numFmtId="0" fontId="57" fillId="10" borderId="44" xfId="0" applyFont="1" applyFill="1" applyBorder="1">
      <alignment vertical="center"/>
    </xf>
    <xf numFmtId="0" fontId="57" fillId="10" borderId="9" xfId="0" applyFont="1" applyFill="1" applyBorder="1">
      <alignment vertical="center"/>
    </xf>
    <xf numFmtId="0" fontId="57" fillId="10" borderId="9" xfId="0" applyFont="1" applyFill="1" applyBorder="1" applyAlignment="1">
      <alignment horizontal="center" vertical="center"/>
    </xf>
    <xf numFmtId="9" fontId="57" fillId="18" borderId="19" xfId="0" applyNumberFormat="1" applyFont="1" applyFill="1" applyBorder="1" applyAlignment="1">
      <alignment horizontal="center" vertical="center"/>
    </xf>
    <xf numFmtId="9" fontId="57" fillId="16" borderId="19" xfId="0" applyNumberFormat="1" applyFont="1" applyFill="1" applyBorder="1" applyAlignment="1">
      <alignment horizontal="center" vertical="center"/>
    </xf>
    <xf numFmtId="3" fontId="57" fillId="16" borderId="43" xfId="0" applyNumberFormat="1" applyFont="1" applyFill="1" applyBorder="1" applyAlignment="1">
      <alignment horizontal="center" vertical="center"/>
    </xf>
    <xf numFmtId="180" fontId="57" fillId="4" borderId="45" xfId="0" applyNumberFormat="1" applyFont="1" applyFill="1" applyBorder="1">
      <alignment vertical="center"/>
    </xf>
    <xf numFmtId="183" fontId="57" fillId="4" borderId="47" xfId="0" applyNumberFormat="1" applyFont="1" applyFill="1" applyBorder="1">
      <alignment vertical="center"/>
    </xf>
    <xf numFmtId="177" fontId="57" fillId="4" borderId="5" xfId="0" applyNumberFormat="1" applyFont="1" applyFill="1" applyBorder="1">
      <alignment vertical="center"/>
    </xf>
    <xf numFmtId="177" fontId="60" fillId="4" borderId="15" xfId="0" applyNumberFormat="1" applyFont="1" applyFill="1" applyBorder="1" applyAlignment="1">
      <alignment vertical="center" wrapText="1"/>
    </xf>
    <xf numFmtId="0" fontId="58" fillId="0" borderId="0" xfId="0" applyFont="1" applyAlignment="1">
      <alignment horizontal="center" vertical="center"/>
    </xf>
    <xf numFmtId="0" fontId="61" fillId="21" borderId="167" xfId="0" applyFont="1" applyFill="1" applyBorder="1" applyAlignment="1">
      <alignment horizontal="center" vertical="center"/>
    </xf>
    <xf numFmtId="10" fontId="62" fillId="0" borderId="0" xfId="0" applyNumberFormat="1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10" fontId="64" fillId="23" borderId="168" xfId="0" applyNumberFormat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62" fillId="0" borderId="0" xfId="0" applyFont="1">
      <alignment vertical="center"/>
    </xf>
    <xf numFmtId="182" fontId="64" fillId="23" borderId="168" xfId="0" applyNumberFormat="1" applyFont="1" applyFill="1" applyBorder="1" applyAlignment="1">
      <alignment horizontal="center" vertical="center"/>
    </xf>
    <xf numFmtId="3" fontId="64" fillId="23" borderId="168" xfId="0" applyNumberFormat="1" applyFont="1" applyFill="1" applyBorder="1" applyAlignment="1">
      <alignment horizontal="center" vertical="center"/>
    </xf>
    <xf numFmtId="0" fontId="65" fillId="0" borderId="99" xfId="0" applyFont="1" applyBorder="1">
      <alignment vertical="center"/>
    </xf>
    <xf numFmtId="10" fontId="65" fillId="0" borderId="100" xfId="0" applyNumberFormat="1" applyFont="1" applyBorder="1">
      <alignment vertical="center"/>
    </xf>
    <xf numFmtId="10" fontId="62" fillId="0" borderId="0" xfId="0" applyNumberFormat="1" applyFont="1">
      <alignment vertical="center"/>
    </xf>
    <xf numFmtId="3" fontId="45" fillId="22" borderId="1" xfId="0" applyNumberFormat="1" applyFont="1" applyFill="1" applyBorder="1" applyAlignment="1">
      <alignment horizontal="center" vertical="center"/>
    </xf>
    <xf numFmtId="10" fontId="45" fillId="22" borderId="1" xfId="0" applyNumberFormat="1" applyFont="1" applyFill="1" applyBorder="1" applyAlignment="1">
      <alignment horizontal="center" vertical="center"/>
    </xf>
    <xf numFmtId="182" fontId="45" fillId="22" borderId="1" xfId="0" applyNumberFormat="1" applyFont="1" applyFill="1" applyBorder="1" applyAlignment="1">
      <alignment horizontal="center" vertical="center"/>
    </xf>
    <xf numFmtId="188" fontId="45" fillId="22" borderId="1" xfId="0" applyNumberFormat="1" applyFont="1" applyFill="1" applyBorder="1" applyAlignment="1">
      <alignment horizontal="center" vertical="center"/>
    </xf>
    <xf numFmtId="188" fontId="64" fillId="23" borderId="168" xfId="0" applyNumberFormat="1" applyFont="1" applyFill="1" applyBorder="1" applyAlignment="1">
      <alignment horizontal="center" vertical="center"/>
    </xf>
    <xf numFmtId="0" fontId="57" fillId="10" borderId="7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left" vertical="center"/>
    </xf>
    <xf numFmtId="0" fontId="31" fillId="19" borderId="49" xfId="0" applyFont="1" applyFill="1" applyBorder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</xf>
    <xf numFmtId="0" fontId="27" fillId="19" borderId="105" xfId="0" applyFont="1" applyFill="1" applyBorder="1" applyAlignment="1">
      <alignment horizontal="center" vertical="center"/>
    </xf>
    <xf numFmtId="0" fontId="42" fillId="24" borderId="200" xfId="0" applyFont="1" applyFill="1" applyBorder="1" applyAlignment="1">
      <alignment horizontal="center" vertical="center"/>
    </xf>
    <xf numFmtId="187" fontId="51" fillId="10" borderId="175" xfId="0" applyNumberFormat="1" applyFont="1" applyFill="1" applyBorder="1" applyAlignment="1">
      <alignment horizontal="center" vertical="center" wrapText="1"/>
    </xf>
    <xf numFmtId="0" fontId="51" fillId="9" borderId="27" xfId="0" applyFont="1" applyFill="1" applyBorder="1" applyAlignment="1">
      <alignment horizontal="center" vertical="center"/>
    </xf>
    <xf numFmtId="187" fontId="51" fillId="9" borderId="10" xfId="0" applyNumberFormat="1" applyFont="1" applyFill="1" applyBorder="1" applyAlignment="1">
      <alignment horizontal="center" vertical="center"/>
    </xf>
    <xf numFmtId="0" fontId="51" fillId="9" borderId="206" xfId="0" applyFont="1" applyFill="1" applyBorder="1" applyAlignment="1">
      <alignment horizontal="center" vertical="center" wrapText="1"/>
    </xf>
    <xf numFmtId="187" fontId="51" fillId="9" borderId="175" xfId="0" applyNumberFormat="1" applyFont="1" applyFill="1" applyBorder="1" applyAlignment="1">
      <alignment horizontal="center" vertical="center"/>
    </xf>
    <xf numFmtId="0" fontId="51" fillId="9" borderId="29" xfId="0" applyFont="1" applyFill="1" applyBorder="1" applyAlignment="1">
      <alignment horizontal="center" vertical="center"/>
    </xf>
    <xf numFmtId="187" fontId="51" fillId="9" borderId="11" xfId="0" applyNumberFormat="1" applyFont="1" applyFill="1" applyBorder="1" applyAlignment="1">
      <alignment horizontal="center" vertical="center"/>
    </xf>
    <xf numFmtId="0" fontId="51" fillId="9" borderId="230" xfId="0" applyFont="1" applyFill="1" applyBorder="1" applyAlignment="1">
      <alignment horizontal="center" vertical="center" wrapText="1"/>
    </xf>
    <xf numFmtId="187" fontId="51" fillId="9" borderId="232" xfId="0" applyNumberFormat="1" applyFont="1" applyFill="1" applyBorder="1" applyAlignment="1">
      <alignment horizontal="center" vertical="center"/>
    </xf>
    <xf numFmtId="0" fontId="51" fillId="9" borderId="1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2" fillId="24" borderId="199" xfId="0" applyFont="1" applyFill="1" applyBorder="1" applyAlignment="1">
      <alignment horizontal="left" vertical="center"/>
    </xf>
    <xf numFmtId="0" fontId="46" fillId="26" borderId="189" xfId="0" applyFont="1" applyFill="1" applyBorder="1" applyAlignment="1">
      <alignment horizontal="left" vertical="center"/>
    </xf>
    <xf numFmtId="0" fontId="43" fillId="27" borderId="189" xfId="0" applyFont="1" applyFill="1" applyBorder="1" applyAlignment="1">
      <alignment horizontal="left" vertical="center"/>
    </xf>
    <xf numFmtId="0" fontId="43" fillId="9" borderId="189" xfId="0" applyFont="1" applyFill="1" applyBorder="1" applyAlignment="1">
      <alignment horizontal="left" vertical="center"/>
    </xf>
    <xf numFmtId="0" fontId="43" fillId="26" borderId="189" xfId="0" applyFont="1" applyFill="1" applyBorder="1" applyAlignment="1">
      <alignment horizontal="left" vertical="center"/>
    </xf>
    <xf numFmtId="0" fontId="43" fillId="26" borderId="191" xfId="0" applyFont="1" applyFill="1" applyBorder="1" applyAlignment="1">
      <alignment horizontal="left" vertical="center"/>
    </xf>
    <xf numFmtId="0" fontId="43" fillId="27" borderId="190" xfId="0" applyFont="1" applyFill="1" applyBorder="1" applyAlignment="1">
      <alignment horizontal="left" vertical="center"/>
    </xf>
    <xf numFmtId="0" fontId="51" fillId="9" borderId="175" xfId="0" applyFont="1" applyFill="1" applyBorder="1" applyAlignment="1">
      <alignment horizontal="left" vertical="center"/>
    </xf>
    <xf numFmtId="0" fontId="51" fillId="9" borderId="11" xfId="0" applyFont="1" applyFill="1" applyBorder="1" applyAlignment="1">
      <alignment horizontal="left" vertical="center"/>
    </xf>
    <xf numFmtId="0" fontId="51" fillId="9" borderId="232" xfId="0" applyFont="1" applyFill="1" applyBorder="1" applyAlignment="1">
      <alignment horizontal="left" vertical="center"/>
    </xf>
    <xf numFmtId="0" fontId="0" fillId="9" borderId="233" xfId="0" applyFill="1" applyBorder="1">
      <alignment vertical="center"/>
    </xf>
    <xf numFmtId="0" fontId="51" fillId="9" borderId="206" xfId="0" applyFont="1" applyFill="1" applyBorder="1" applyAlignment="1">
      <alignment horizontal="center" vertical="center"/>
    </xf>
    <xf numFmtId="0" fontId="0" fillId="9" borderId="234" xfId="0" applyFill="1" applyBorder="1">
      <alignment vertical="center"/>
    </xf>
    <xf numFmtId="187" fontId="0" fillId="0" borderId="0" xfId="0" applyNumberFormat="1" applyAlignment="1">
      <alignment horizontal="center" vertical="center"/>
    </xf>
    <xf numFmtId="187" fontId="42" fillId="24" borderId="199" xfId="0" applyNumberFormat="1" applyFont="1" applyFill="1" applyBorder="1" applyAlignment="1">
      <alignment horizontal="center" vertical="center"/>
    </xf>
    <xf numFmtId="187" fontId="51" fillId="9" borderId="174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42" fillId="24" borderId="199" xfId="0" applyNumberFormat="1" applyFont="1" applyFill="1" applyBorder="1" applyAlignment="1">
      <alignment horizontal="left" vertical="center"/>
    </xf>
    <xf numFmtId="49" fontId="46" fillId="26" borderId="189" xfId="0" applyNumberFormat="1" applyFont="1" applyFill="1" applyBorder="1" applyAlignment="1">
      <alignment horizontal="left" vertical="center"/>
    </xf>
    <xf numFmtId="49" fontId="43" fillId="27" borderId="189" xfId="0" applyNumberFormat="1" applyFont="1" applyFill="1" applyBorder="1" applyAlignment="1">
      <alignment horizontal="left" vertical="center"/>
    </xf>
    <xf numFmtId="49" fontId="43" fillId="9" borderId="189" xfId="0" applyNumberFormat="1" applyFont="1" applyFill="1" applyBorder="1" applyAlignment="1">
      <alignment horizontal="left" vertical="center"/>
    </xf>
    <xf numFmtId="49" fontId="43" fillId="26" borderId="189" xfId="0" applyNumberFormat="1" applyFont="1" applyFill="1" applyBorder="1" applyAlignment="1">
      <alignment horizontal="left" vertical="center"/>
    </xf>
    <xf numFmtId="49" fontId="43" fillId="26" borderId="191" xfId="0" applyNumberFormat="1" applyFont="1" applyFill="1" applyBorder="1" applyAlignment="1">
      <alignment horizontal="left" vertical="center"/>
    </xf>
    <xf numFmtId="49" fontId="43" fillId="27" borderId="190" xfId="0" applyNumberFormat="1" applyFont="1" applyFill="1" applyBorder="1" applyAlignment="1">
      <alignment horizontal="left" vertical="center"/>
    </xf>
    <xf numFmtId="49" fontId="51" fillId="9" borderId="229" xfId="0" applyNumberFormat="1" applyFont="1" applyFill="1" applyBorder="1" applyAlignment="1">
      <alignment horizontal="left" vertical="center"/>
    </xf>
    <xf numFmtId="49" fontId="51" fillId="9" borderId="174" xfId="0" applyNumberFormat="1" applyFont="1" applyFill="1" applyBorder="1" applyAlignment="1">
      <alignment horizontal="left" vertical="center"/>
    </xf>
    <xf numFmtId="49" fontId="51" fillId="9" borderId="21" xfId="0" applyNumberFormat="1" applyFont="1" applyFill="1" applyBorder="1" applyAlignment="1">
      <alignment horizontal="left" vertical="center"/>
    </xf>
    <xf numFmtId="49" fontId="51" fillId="9" borderId="231" xfId="0" applyNumberFormat="1" applyFont="1" applyFill="1" applyBorder="1" applyAlignment="1">
      <alignment horizontal="left" vertical="center"/>
    </xf>
    <xf numFmtId="187" fontId="51" fillId="10" borderId="11" xfId="0" applyNumberFormat="1" applyFont="1" applyFill="1" applyBorder="1" applyAlignment="1">
      <alignment horizontal="center" vertical="center" wrapText="1"/>
    </xf>
    <xf numFmtId="0" fontId="67" fillId="9" borderId="234" xfId="0" applyFont="1" applyFill="1" applyBorder="1">
      <alignment vertical="center"/>
    </xf>
    <xf numFmtId="0" fontId="0" fillId="9" borderId="234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3" fillId="28" borderId="189" xfId="0" applyFont="1" applyFill="1" applyBorder="1" applyAlignment="1">
      <alignment horizontal="center" vertical="center"/>
    </xf>
    <xf numFmtId="49" fontId="43" fillId="28" borderId="189" xfId="0" applyNumberFormat="1" applyFont="1" applyFill="1" applyBorder="1" applyAlignment="1">
      <alignment horizontal="left" vertical="center"/>
    </xf>
    <xf numFmtId="0" fontId="43" fillId="28" borderId="189" xfId="0" applyFont="1" applyFill="1" applyBorder="1" applyAlignment="1">
      <alignment horizontal="left" vertical="center"/>
    </xf>
    <xf numFmtId="187" fontId="43" fillId="28" borderId="189" xfId="0" applyNumberFormat="1" applyFont="1" applyFill="1" applyBorder="1" applyAlignment="1">
      <alignment horizontal="center" vertical="center"/>
    </xf>
    <xf numFmtId="0" fontId="43" fillId="29" borderId="189" xfId="0" applyFont="1" applyFill="1" applyBorder="1" applyAlignment="1">
      <alignment horizontal="center" vertical="center"/>
    </xf>
    <xf numFmtId="49" fontId="43" fillId="29" borderId="189" xfId="0" applyNumberFormat="1" applyFont="1" applyFill="1" applyBorder="1" applyAlignment="1">
      <alignment horizontal="left" vertical="center"/>
    </xf>
    <xf numFmtId="187" fontId="43" fillId="29" borderId="189" xfId="0" applyNumberFormat="1" applyFont="1" applyFill="1" applyBorder="1" applyAlignment="1">
      <alignment horizontal="center" vertical="center"/>
    </xf>
    <xf numFmtId="0" fontId="43" fillId="29" borderId="189" xfId="0" applyFont="1" applyFill="1" applyBorder="1" applyAlignment="1">
      <alignment horizontal="left" vertical="center"/>
    </xf>
    <xf numFmtId="0" fontId="51" fillId="19" borderId="206" xfId="0" applyFont="1" applyFill="1" applyBorder="1" applyAlignment="1">
      <alignment horizontal="center" vertical="center"/>
    </xf>
    <xf numFmtId="49" fontId="51" fillId="19" borderId="174" xfId="0" applyNumberFormat="1" applyFont="1" applyFill="1" applyBorder="1" applyAlignment="1">
      <alignment horizontal="left" vertical="center"/>
    </xf>
    <xf numFmtId="187" fontId="51" fillId="19" borderId="175" xfId="0" applyNumberFormat="1" applyFont="1" applyFill="1" applyBorder="1" applyAlignment="1">
      <alignment horizontal="center" vertical="center"/>
    </xf>
    <xf numFmtId="187" fontId="43" fillId="29" borderId="189" xfId="0" applyNumberFormat="1" applyFont="1" applyFill="1" applyBorder="1" applyAlignment="1">
      <alignment horizontal="center" vertical="center" wrapText="1"/>
    </xf>
    <xf numFmtId="0" fontId="46" fillId="26" borderId="189" xfId="0" applyFont="1" applyFill="1" applyBorder="1">
      <alignment vertical="center"/>
    </xf>
    <xf numFmtId="0" fontId="43" fillId="27" borderId="189" xfId="0" applyFont="1" applyFill="1" applyBorder="1">
      <alignment vertical="center"/>
    </xf>
    <xf numFmtId="0" fontId="43" fillId="9" borderId="189" xfId="0" applyFont="1" applyFill="1" applyBorder="1">
      <alignment vertical="center"/>
    </xf>
    <xf numFmtId="0" fontId="43" fillId="26" borderId="189" xfId="0" applyFont="1" applyFill="1" applyBorder="1">
      <alignment vertical="center"/>
    </xf>
    <xf numFmtId="0" fontId="43" fillId="26" borderId="191" xfId="0" applyFont="1" applyFill="1" applyBorder="1">
      <alignment vertical="center"/>
    </xf>
    <xf numFmtId="0" fontId="43" fillId="27" borderId="190" xfId="0" applyFont="1" applyFill="1" applyBorder="1">
      <alignment vertical="center"/>
    </xf>
    <xf numFmtId="0" fontId="0" fillId="9" borderId="236" xfId="0" applyFill="1" applyBorder="1">
      <alignment vertical="center"/>
    </xf>
    <xf numFmtId="0" fontId="0" fillId="9" borderId="237" xfId="0" applyFill="1" applyBorder="1">
      <alignment vertical="center"/>
    </xf>
    <xf numFmtId="0" fontId="0" fillId="9" borderId="238" xfId="0" applyFill="1" applyBorder="1">
      <alignment vertical="center"/>
    </xf>
    <xf numFmtId="0" fontId="42" fillId="24" borderId="239" xfId="0" applyFont="1" applyFill="1" applyBorder="1" applyAlignment="1">
      <alignment horizontal="center" vertical="center"/>
    </xf>
    <xf numFmtId="0" fontId="43" fillId="26" borderId="240" xfId="0" applyFont="1" applyFill="1" applyBorder="1" applyAlignment="1">
      <alignment horizontal="center" vertical="center"/>
    </xf>
    <xf numFmtId="49" fontId="43" fillId="26" borderId="240" xfId="0" applyNumberFormat="1" applyFont="1" applyFill="1" applyBorder="1" applyAlignment="1">
      <alignment horizontal="left" vertical="center"/>
    </xf>
    <xf numFmtId="0" fontId="43" fillId="26" borderId="240" xfId="0" applyFont="1" applyFill="1" applyBorder="1" applyAlignment="1">
      <alignment horizontal="left" vertical="center"/>
    </xf>
    <xf numFmtId="187" fontId="43" fillId="26" borderId="240" xfId="0" applyNumberFormat="1" applyFont="1" applyFill="1" applyBorder="1" applyAlignment="1">
      <alignment horizontal="center" vertical="center" wrapText="1"/>
    </xf>
    <xf numFmtId="0" fontId="69" fillId="30" borderId="22" xfId="0" applyFont="1" applyFill="1" applyBorder="1" applyAlignment="1">
      <alignment horizontal="center" vertical="center"/>
    </xf>
    <xf numFmtId="182" fontId="51" fillId="19" borderId="207" xfId="0" applyNumberFormat="1" applyFont="1" applyFill="1" applyBorder="1" applyAlignment="1">
      <alignment horizontal="center" vertical="center"/>
    </xf>
    <xf numFmtId="182" fontId="51" fillId="19" borderId="216" xfId="0" applyNumberFormat="1" applyFont="1" applyFill="1" applyBorder="1" applyAlignment="1">
      <alignment horizontal="center" vertical="center"/>
    </xf>
    <xf numFmtId="182" fontId="51" fillId="19" borderId="23" xfId="0" applyNumberFormat="1" applyFont="1" applyFill="1" applyBorder="1" applyAlignment="1">
      <alignment horizontal="center" vertical="center"/>
    </xf>
    <xf numFmtId="0" fontId="31" fillId="19" borderId="125" xfId="0" applyFont="1" applyFill="1" applyBorder="1" applyAlignment="1">
      <alignment horizontal="center" vertical="center"/>
    </xf>
    <xf numFmtId="182" fontId="51" fillId="5" borderId="0" xfId="0" applyNumberFormat="1" applyFont="1" applyFill="1" applyAlignment="1">
      <alignment horizontal="center" vertical="center"/>
    </xf>
    <xf numFmtId="182" fontId="27" fillId="19" borderId="152" xfId="0" applyNumberFormat="1" applyFont="1" applyFill="1" applyBorder="1" applyAlignment="1">
      <alignment horizontal="center" vertical="center"/>
    </xf>
    <xf numFmtId="182" fontId="27" fillId="19" borderId="155" xfId="0" applyNumberFormat="1" applyFont="1" applyFill="1" applyBorder="1" applyAlignment="1">
      <alignment horizontal="center" vertical="center"/>
    </xf>
    <xf numFmtId="182" fontId="27" fillId="19" borderId="159" xfId="0" applyNumberFormat="1" applyFont="1" applyFill="1" applyBorder="1" applyAlignment="1">
      <alignment horizontal="center" vertical="center"/>
    </xf>
    <xf numFmtId="190" fontId="51" fillId="7" borderId="176" xfId="0" applyNumberFormat="1" applyFont="1" applyFill="1" applyBorder="1" applyAlignment="1">
      <alignment horizontal="right" vertical="center"/>
    </xf>
    <xf numFmtId="190" fontId="51" fillId="7" borderId="217" xfId="0" applyNumberFormat="1" applyFont="1" applyFill="1" applyBorder="1" applyAlignment="1">
      <alignment horizontal="right" vertical="center"/>
    </xf>
    <xf numFmtId="190" fontId="51" fillId="7" borderId="22" xfId="0" applyNumberFormat="1" applyFont="1" applyFill="1" applyBorder="1" applyAlignment="1">
      <alignment horizontal="right" vertical="center"/>
    </xf>
    <xf numFmtId="10" fontId="51" fillId="5" borderId="241" xfId="0" applyNumberFormat="1" applyFont="1" applyFill="1" applyBorder="1" applyAlignment="1">
      <alignment horizontal="center" vertical="center"/>
    </xf>
    <xf numFmtId="10" fontId="51" fillId="5" borderId="215" xfId="0" applyNumberFormat="1" applyFont="1" applyFill="1" applyBorder="1" applyAlignment="1">
      <alignment horizontal="center" vertical="center"/>
    </xf>
    <xf numFmtId="10" fontId="51" fillId="5" borderId="12" xfId="0" applyNumberFormat="1" applyFont="1" applyFill="1" applyBorder="1" applyAlignment="1">
      <alignment horizontal="center" vertical="center"/>
    </xf>
    <xf numFmtId="10" fontId="51" fillId="5" borderId="208" xfId="0" applyNumberFormat="1" applyFont="1" applyFill="1" applyBorder="1" applyAlignment="1">
      <alignment horizontal="center" vertical="center"/>
    </xf>
    <xf numFmtId="10" fontId="51" fillId="5" borderId="242" xfId="0" applyNumberFormat="1" applyFont="1" applyFill="1" applyBorder="1" applyAlignment="1">
      <alignment horizontal="center" vertical="center"/>
    </xf>
    <xf numFmtId="176" fontId="51" fillId="3" borderId="206" xfId="0" applyNumberFormat="1" applyFont="1" applyFill="1" applyBorder="1" applyAlignment="1">
      <alignment horizontal="right" vertical="center"/>
    </xf>
    <xf numFmtId="190" fontId="51" fillId="7" borderId="175" xfId="0" applyNumberFormat="1" applyFont="1" applyFill="1" applyBorder="1" applyAlignment="1">
      <alignment horizontal="right" vertical="center"/>
    </xf>
    <xf numFmtId="0" fontId="71" fillId="7" borderId="11" xfId="0" applyFont="1" applyFill="1" applyBorder="1" applyAlignment="1">
      <alignment horizontal="right" vertical="center"/>
    </xf>
    <xf numFmtId="182" fontId="72" fillId="23" borderId="170" xfId="0" applyNumberFormat="1" applyFont="1" applyFill="1" applyBorder="1" applyAlignment="1">
      <alignment horizontal="center" vertical="center"/>
    </xf>
    <xf numFmtId="9" fontId="72" fillId="23" borderId="170" xfId="4" applyFont="1" applyFill="1" applyBorder="1" applyAlignment="1">
      <alignment horizontal="center" vertical="center"/>
    </xf>
    <xf numFmtId="188" fontId="64" fillId="23" borderId="170" xfId="0" applyNumberFormat="1" applyFont="1" applyFill="1" applyBorder="1">
      <alignment vertical="center"/>
    </xf>
    <xf numFmtId="10" fontId="73" fillId="23" borderId="170" xfId="4" applyNumberFormat="1" applyFont="1" applyFill="1" applyBorder="1" applyAlignment="1">
      <alignment horizontal="center" vertical="center"/>
    </xf>
    <xf numFmtId="0" fontId="22" fillId="14" borderId="75" xfId="0" applyFont="1" applyFill="1" applyBorder="1" applyAlignment="1">
      <alignment horizontal="center" vertical="center" wrapText="1"/>
    </xf>
    <xf numFmtId="0" fontId="22" fillId="14" borderId="69" xfId="0" applyFont="1" applyFill="1" applyBorder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0" fontId="22" fillId="14" borderId="25" xfId="0" applyFont="1" applyFill="1" applyBorder="1" applyAlignment="1">
      <alignment horizontal="center" vertical="center" wrapText="1"/>
    </xf>
    <xf numFmtId="0" fontId="61" fillId="21" borderId="247" xfId="0" applyFont="1" applyFill="1" applyBorder="1" applyAlignment="1">
      <alignment horizontal="center" vertical="center"/>
    </xf>
    <xf numFmtId="0" fontId="61" fillId="33" borderId="247" xfId="0" applyFont="1" applyFill="1" applyBorder="1" applyAlignment="1">
      <alignment horizontal="center" vertical="center" wrapText="1"/>
    </xf>
    <xf numFmtId="0" fontId="61" fillId="31" borderId="247" xfId="0" applyFont="1" applyFill="1" applyBorder="1" applyAlignment="1">
      <alignment horizontal="center" vertical="center" wrapText="1"/>
    </xf>
    <xf numFmtId="0" fontId="61" fillId="21" borderId="249" xfId="0" applyFont="1" applyFill="1" applyBorder="1" applyAlignment="1">
      <alignment horizontal="center" vertical="center" wrapText="1"/>
    </xf>
    <xf numFmtId="0" fontId="61" fillId="21" borderId="249" xfId="0" applyFont="1" applyFill="1" applyBorder="1" applyAlignment="1">
      <alignment horizontal="center" vertical="center"/>
    </xf>
    <xf numFmtId="0" fontId="61" fillId="21" borderId="247" xfId="0" applyFont="1" applyFill="1" applyBorder="1" applyAlignment="1">
      <alignment horizontal="center" vertical="center" wrapText="1"/>
    </xf>
    <xf numFmtId="0" fontId="61" fillId="21" borderId="250" xfId="0" applyFont="1" applyFill="1" applyBorder="1" applyAlignment="1">
      <alignment horizontal="center" vertical="center" wrapText="1"/>
    </xf>
    <xf numFmtId="182" fontId="75" fillId="22" borderId="1" xfId="0" applyNumberFormat="1" applyFont="1" applyFill="1" applyBorder="1" applyAlignment="1">
      <alignment horizontal="center" vertical="center" wrapText="1"/>
    </xf>
    <xf numFmtId="49" fontId="75" fillId="22" borderId="1" xfId="0" applyNumberFormat="1" applyFont="1" applyFill="1" applyBorder="1" applyAlignment="1">
      <alignment horizontal="center" vertical="center"/>
    </xf>
    <xf numFmtId="10" fontId="73" fillId="23" borderId="72" xfId="4" applyNumberFormat="1" applyFont="1" applyFill="1" applyBorder="1" applyAlignment="1">
      <alignment horizontal="center" vertical="center"/>
    </xf>
    <xf numFmtId="10" fontId="45" fillId="22" borderId="123" xfId="0" applyNumberFormat="1" applyFont="1" applyFill="1" applyBorder="1" applyAlignment="1">
      <alignment horizontal="center" vertical="center"/>
    </xf>
    <xf numFmtId="10" fontId="73" fillId="23" borderId="252" xfId="4" applyNumberFormat="1" applyFont="1" applyFill="1" applyBorder="1" applyAlignment="1">
      <alignment horizontal="center" vertical="center"/>
    </xf>
    <xf numFmtId="10" fontId="72" fillId="23" borderId="252" xfId="0" applyNumberFormat="1" applyFont="1" applyFill="1" applyBorder="1" applyAlignment="1">
      <alignment horizontal="center" vertical="center"/>
    </xf>
    <xf numFmtId="0" fontId="71" fillId="7" borderId="175" xfId="0" applyFont="1" applyFill="1" applyBorder="1" applyAlignment="1">
      <alignment horizontal="right" vertical="center"/>
    </xf>
    <xf numFmtId="0" fontId="0" fillId="0" borderId="49" xfId="0" applyBorder="1">
      <alignment vertical="center"/>
    </xf>
    <xf numFmtId="0" fontId="16" fillId="19" borderId="0" xfId="0" applyFont="1" applyFill="1" applyAlignment="1">
      <alignment horizontal="right" vertical="center"/>
    </xf>
    <xf numFmtId="0" fontId="76" fillId="2" borderId="51" xfId="0" applyFont="1" applyFill="1" applyBorder="1">
      <alignment vertical="center"/>
    </xf>
    <xf numFmtId="0" fontId="76" fillId="2" borderId="49" xfId="0" applyFont="1" applyFill="1" applyBorder="1">
      <alignment vertical="center"/>
    </xf>
    <xf numFmtId="0" fontId="48" fillId="2" borderId="260" xfId="1" applyFont="1" applyFill="1" applyBorder="1" applyAlignment="1">
      <alignment horizontal="center" vertical="center"/>
    </xf>
    <xf numFmtId="0" fontId="48" fillId="2" borderId="255" xfId="1" applyFont="1" applyFill="1" applyBorder="1" applyAlignment="1">
      <alignment horizontal="center" vertical="center"/>
    </xf>
    <xf numFmtId="0" fontId="48" fillId="2" borderId="256" xfId="1" applyFont="1" applyFill="1" applyBorder="1" applyAlignment="1">
      <alignment horizontal="center" vertical="center"/>
    </xf>
    <xf numFmtId="0" fontId="48" fillId="2" borderId="257" xfId="1" applyFont="1" applyFill="1" applyBorder="1" applyAlignment="1">
      <alignment horizontal="center" vertical="center"/>
    </xf>
    <xf numFmtId="0" fontId="48" fillId="2" borderId="258" xfId="1" applyFont="1" applyFill="1" applyBorder="1" applyAlignment="1">
      <alignment horizontal="center" vertical="center"/>
    </xf>
    <xf numFmtId="0" fontId="48" fillId="2" borderId="254" xfId="1" applyFont="1" applyFill="1" applyBorder="1" applyAlignment="1">
      <alignment horizontal="center" vertical="center"/>
    </xf>
    <xf numFmtId="3" fontId="0" fillId="0" borderId="49" xfId="0" applyNumberFormat="1" applyBorder="1">
      <alignment vertical="center"/>
    </xf>
    <xf numFmtId="3" fontId="16" fillId="19" borderId="0" xfId="0" applyNumberFormat="1" applyFont="1" applyFill="1" applyAlignment="1">
      <alignment horizontal="right" vertical="center"/>
    </xf>
    <xf numFmtId="3" fontId="0" fillId="19" borderId="0" xfId="0" applyNumberFormat="1" applyFill="1" applyAlignment="1">
      <alignment horizontal="right" vertical="center"/>
    </xf>
    <xf numFmtId="3" fontId="0" fillId="19" borderId="105" xfId="0" applyNumberFormat="1" applyFill="1" applyBorder="1" applyAlignment="1">
      <alignment horizontal="right" vertical="center"/>
    </xf>
    <xf numFmtId="3" fontId="0" fillId="9" borderId="0" xfId="0" applyNumberFormat="1" applyFill="1" applyAlignment="1">
      <alignment horizontal="right" vertical="center"/>
    </xf>
    <xf numFmtId="3" fontId="53" fillId="2" borderId="261" xfId="0" applyNumberFormat="1" applyFont="1" applyFill="1" applyBorder="1" applyAlignment="1">
      <alignment horizontal="center" vertical="center"/>
    </xf>
    <xf numFmtId="3" fontId="53" fillId="2" borderId="208" xfId="0" applyNumberFormat="1" applyFont="1" applyFill="1" applyBorder="1" applyAlignment="1">
      <alignment horizontal="center" vertical="center"/>
    </xf>
    <xf numFmtId="3" fontId="53" fillId="2" borderId="222" xfId="0" applyNumberFormat="1" applyFont="1" applyFill="1" applyBorder="1" applyAlignment="1">
      <alignment horizontal="center" vertical="center"/>
    </xf>
    <xf numFmtId="3" fontId="53" fillId="2" borderId="215" xfId="0" applyNumberFormat="1" applyFont="1" applyFill="1" applyBorder="1" applyAlignment="1">
      <alignment horizontal="center" vertical="center"/>
    </xf>
    <xf numFmtId="3" fontId="53" fillId="2" borderId="29" xfId="0" applyNumberFormat="1" applyFont="1" applyFill="1" applyBorder="1" applyAlignment="1">
      <alignment horizontal="center" vertical="center"/>
    </xf>
    <xf numFmtId="3" fontId="53" fillId="2" borderId="11" xfId="0" applyNumberFormat="1" applyFont="1" applyFill="1" applyBorder="1" applyAlignment="1">
      <alignment horizontal="center" vertical="center"/>
    </xf>
    <xf numFmtId="3" fontId="53" fillId="2" borderId="266" xfId="0" applyNumberFormat="1" applyFont="1" applyFill="1" applyBorder="1" applyAlignment="1">
      <alignment horizontal="center" vertical="center"/>
    </xf>
    <xf numFmtId="3" fontId="53" fillId="2" borderId="267" xfId="0" applyNumberFormat="1" applyFont="1" applyFill="1" applyBorder="1" applyAlignment="1">
      <alignment horizontal="center" vertical="center"/>
    </xf>
    <xf numFmtId="3" fontId="53" fillId="2" borderId="262" xfId="0" applyNumberFormat="1" applyFont="1" applyFill="1" applyBorder="1" applyAlignment="1">
      <alignment horizontal="center" vertical="center"/>
    </xf>
    <xf numFmtId="3" fontId="53" fillId="2" borderId="263" xfId="0" applyNumberFormat="1" applyFont="1" applyFill="1" applyBorder="1" applyAlignment="1">
      <alignment horizontal="center" vertical="center"/>
    </xf>
    <xf numFmtId="3" fontId="53" fillId="2" borderId="264" xfId="0" applyNumberFormat="1" applyFont="1" applyFill="1" applyBorder="1" applyAlignment="1">
      <alignment horizontal="center" vertical="center"/>
    </xf>
    <xf numFmtId="3" fontId="53" fillId="2" borderId="265" xfId="0" applyNumberFormat="1" applyFont="1" applyFill="1" applyBorder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3" fillId="2" borderId="221" xfId="0" applyNumberFormat="1" applyFont="1" applyFill="1" applyBorder="1" applyAlignment="1">
      <alignment horizontal="center" vertical="center"/>
    </xf>
    <xf numFmtId="3" fontId="57" fillId="16" borderId="16" xfId="0" applyNumberFormat="1" applyFont="1" applyFill="1" applyBorder="1" applyAlignment="1">
      <alignment horizontal="center" vertical="center" wrapText="1"/>
    </xf>
    <xf numFmtId="3" fontId="57" fillId="16" borderId="18" xfId="0" applyNumberFormat="1" applyFont="1" applyFill="1" applyBorder="1" applyAlignment="1">
      <alignment horizontal="center" vertical="center" wrapText="1"/>
    </xf>
    <xf numFmtId="3" fontId="77" fillId="2" borderId="107" xfId="1" applyNumberFormat="1" applyFont="1" applyFill="1" applyBorder="1" applyAlignment="1">
      <alignment vertical="center"/>
    </xf>
    <xf numFmtId="3" fontId="77" fillId="2" borderId="120" xfId="1" applyNumberFormat="1" applyFont="1" applyFill="1" applyBorder="1" applyAlignment="1">
      <alignment vertical="center"/>
    </xf>
    <xf numFmtId="3" fontId="77" fillId="2" borderId="268" xfId="1" applyNumberFormat="1" applyFont="1" applyFill="1" applyBorder="1" applyAlignment="1">
      <alignment vertical="center"/>
    </xf>
    <xf numFmtId="3" fontId="78" fillId="2" borderId="269" xfId="1" applyNumberFormat="1" applyFont="1" applyFill="1" applyBorder="1" applyAlignment="1">
      <alignment vertical="center"/>
    </xf>
    <xf numFmtId="3" fontId="77" fillId="2" borderId="270" xfId="1" applyNumberFormat="1" applyFont="1" applyFill="1" applyBorder="1" applyAlignment="1">
      <alignment vertical="center"/>
    </xf>
    <xf numFmtId="3" fontId="78" fillId="2" borderId="271" xfId="1" applyNumberFormat="1" applyFont="1" applyFill="1" applyBorder="1" applyAlignment="1">
      <alignment vertical="center"/>
    </xf>
    <xf numFmtId="0" fontId="48" fillId="2" borderId="273" xfId="1" applyFont="1" applyFill="1" applyBorder="1" applyAlignment="1">
      <alignment horizontal="center" vertical="center"/>
    </xf>
    <xf numFmtId="0" fontId="43" fillId="28" borderId="189" xfId="0" applyFont="1" applyFill="1" applyBorder="1">
      <alignment vertical="center"/>
    </xf>
    <xf numFmtId="0" fontId="43" fillId="29" borderId="189" xfId="0" applyFont="1" applyFill="1" applyBorder="1">
      <alignment vertical="center"/>
    </xf>
    <xf numFmtId="0" fontId="43" fillId="26" borderId="240" xfId="0" applyFont="1" applyFill="1" applyBorder="1">
      <alignment vertical="center"/>
    </xf>
    <xf numFmtId="0" fontId="0" fillId="0" borderId="100" xfId="0" applyBorder="1">
      <alignment vertical="center"/>
    </xf>
    <xf numFmtId="0" fontId="51" fillId="7" borderId="99" xfId="0" applyFont="1" applyFill="1" applyBorder="1" applyAlignment="1">
      <alignment horizontal="right" vertical="center"/>
    </xf>
    <xf numFmtId="0" fontId="51" fillId="7" borderId="1" xfId="0" applyFont="1" applyFill="1" applyBorder="1" applyAlignment="1">
      <alignment horizontal="right" vertical="center"/>
    </xf>
    <xf numFmtId="0" fontId="51" fillId="10" borderId="1" xfId="0" applyFont="1" applyFill="1" applyBorder="1" applyAlignment="1">
      <alignment horizontal="center" vertical="center"/>
    </xf>
    <xf numFmtId="187" fontId="51" fillId="10" borderId="1" xfId="0" applyNumberFormat="1" applyFont="1" applyFill="1" applyBorder="1" applyAlignment="1">
      <alignment horizontal="center" vertical="center"/>
    </xf>
    <xf numFmtId="0" fontId="51" fillId="10" borderId="1" xfId="0" applyFont="1" applyFill="1" applyBorder="1">
      <alignment vertical="center"/>
    </xf>
    <xf numFmtId="190" fontId="51" fillId="7" borderId="1" xfId="0" applyNumberFormat="1" applyFont="1" applyFill="1" applyBorder="1" applyAlignment="1">
      <alignment horizontal="right" vertical="center"/>
    </xf>
    <xf numFmtId="187" fontId="51" fillId="10" borderId="1" xfId="0" applyNumberFormat="1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vertical="center" wrapText="1"/>
    </xf>
    <xf numFmtId="0" fontId="51" fillId="10" borderId="1" xfId="0" applyFont="1" applyFill="1" applyBorder="1" applyAlignment="1">
      <alignment horizontal="center" vertical="center" wrapText="1"/>
    </xf>
    <xf numFmtId="0" fontId="71" fillId="7" borderId="1" xfId="0" applyFont="1" applyFill="1" applyBorder="1" applyAlignment="1">
      <alignment horizontal="right" vertical="center"/>
    </xf>
    <xf numFmtId="0" fontId="51" fillId="7" borderId="45" xfId="0" applyFont="1" applyFill="1" applyBorder="1" applyAlignment="1">
      <alignment horizontal="right" vertical="center"/>
    </xf>
    <xf numFmtId="0" fontId="51" fillId="7" borderId="46" xfId="0" applyFont="1" applyFill="1" applyBorder="1" applyAlignment="1">
      <alignment horizontal="right" vertical="center"/>
    </xf>
    <xf numFmtId="0" fontId="51" fillId="10" borderId="46" xfId="0" applyFont="1" applyFill="1" applyBorder="1" applyAlignment="1">
      <alignment horizontal="center" vertical="center"/>
    </xf>
    <xf numFmtId="187" fontId="51" fillId="10" borderId="46" xfId="0" applyNumberFormat="1" applyFont="1" applyFill="1" applyBorder="1" applyAlignment="1">
      <alignment horizontal="center" vertical="center" wrapText="1"/>
    </xf>
    <xf numFmtId="0" fontId="51" fillId="10" borderId="46" xfId="0" applyFont="1" applyFill="1" applyBorder="1">
      <alignment vertical="center"/>
    </xf>
    <xf numFmtId="0" fontId="0" fillId="0" borderId="47" xfId="0" applyBorder="1">
      <alignment vertical="center"/>
    </xf>
    <xf numFmtId="0" fontId="17" fillId="15" borderId="1" xfId="0" applyFont="1" applyFill="1" applyBorder="1">
      <alignment vertical="center"/>
    </xf>
    <xf numFmtId="0" fontId="17" fillId="15" borderId="100" xfId="0" applyFont="1" applyFill="1" applyBorder="1">
      <alignment vertical="center"/>
    </xf>
    <xf numFmtId="176" fontId="48" fillId="3" borderId="276" xfId="0" applyNumberFormat="1" applyFont="1" applyFill="1" applyBorder="1" applyAlignment="1">
      <alignment horizontal="center" vertical="center"/>
    </xf>
    <xf numFmtId="0" fontId="51" fillId="2" borderId="43" xfId="0" applyFont="1" applyFill="1" applyBorder="1" applyAlignment="1">
      <alignment horizontal="left" vertical="center" wrapText="1"/>
    </xf>
    <xf numFmtId="0" fontId="77" fillId="2" borderId="259" xfId="1" applyFont="1" applyFill="1" applyBorder="1" applyAlignment="1">
      <alignment horizontal="center" vertical="center"/>
    </xf>
    <xf numFmtId="0" fontId="77" fillId="2" borderId="87" xfId="1" applyFont="1" applyFill="1" applyBorder="1" applyAlignment="1">
      <alignment horizontal="center" vertical="center"/>
    </xf>
    <xf numFmtId="0" fontId="77" fillId="2" borderId="253" xfId="1" applyFont="1" applyFill="1" applyBorder="1" applyAlignment="1">
      <alignment horizontal="center" vertical="center"/>
    </xf>
    <xf numFmtId="0" fontId="77" fillId="2" borderId="179" xfId="1" applyFont="1" applyFill="1" applyBorder="1" applyAlignment="1">
      <alignment horizontal="center" vertical="center"/>
    </xf>
    <xf numFmtId="0" fontId="77" fillId="2" borderId="272" xfId="1" applyFont="1" applyFill="1" applyBorder="1" applyAlignment="1">
      <alignment horizontal="center" vertical="center"/>
    </xf>
    <xf numFmtId="0" fontId="17" fillId="19" borderId="95" xfId="0" applyFont="1" applyFill="1" applyBorder="1" applyAlignment="1">
      <alignment horizontal="center" vertical="center"/>
    </xf>
    <xf numFmtId="0" fontId="17" fillId="19" borderId="92" xfId="0" applyFont="1" applyFill="1" applyBorder="1" applyAlignment="1">
      <alignment horizontal="center" vertical="center"/>
    </xf>
    <xf numFmtId="0" fontId="31" fillId="19" borderId="125" xfId="0" applyFont="1" applyFill="1" applyBorder="1" applyAlignment="1">
      <alignment horizontal="center" vertical="center" wrapText="1"/>
    </xf>
    <xf numFmtId="0" fontId="31" fillId="19" borderId="125" xfId="0" applyFont="1" applyFill="1" applyBorder="1" applyAlignment="1">
      <alignment horizontal="center" vertical="center"/>
    </xf>
    <xf numFmtId="3" fontId="27" fillId="19" borderId="152" xfId="0" applyNumberFormat="1" applyFont="1" applyFill="1" applyBorder="1" applyAlignment="1">
      <alignment horizontal="center" vertical="center"/>
    </xf>
    <xf numFmtId="3" fontId="27" fillId="19" borderId="155" xfId="0" applyNumberFormat="1" applyFont="1" applyFill="1" applyBorder="1" applyAlignment="1">
      <alignment horizontal="center" vertical="center"/>
    </xf>
    <xf numFmtId="9" fontId="27" fillId="19" borderId="152" xfId="0" applyNumberFormat="1" applyFont="1" applyFill="1" applyBorder="1" applyAlignment="1">
      <alignment horizontal="center" vertical="center"/>
    </xf>
    <xf numFmtId="9" fontId="27" fillId="19" borderId="159" xfId="0" applyNumberFormat="1" applyFont="1" applyFill="1" applyBorder="1" applyAlignment="1">
      <alignment horizontal="center" vertical="center"/>
    </xf>
    <xf numFmtId="9" fontId="27" fillId="19" borderId="155" xfId="0" applyNumberFormat="1" applyFont="1" applyFill="1" applyBorder="1" applyAlignment="1">
      <alignment horizontal="center" vertical="center"/>
    </xf>
    <xf numFmtId="0" fontId="34" fillId="19" borderId="58" xfId="0" applyFont="1" applyFill="1" applyBorder="1" applyAlignment="1">
      <alignment horizontal="center" vertical="center"/>
    </xf>
    <xf numFmtId="0" fontId="34" fillId="19" borderId="25" xfId="0" applyFont="1" applyFill="1" applyBorder="1" applyAlignment="1">
      <alignment horizontal="center" vertical="center"/>
    </xf>
    <xf numFmtId="0" fontId="34" fillId="19" borderId="118" xfId="0" applyFont="1" applyFill="1" applyBorder="1" applyAlignment="1">
      <alignment horizontal="center" vertical="center"/>
    </xf>
    <xf numFmtId="0" fontId="34" fillId="19" borderId="160" xfId="0" applyFont="1" applyFill="1" applyBorder="1" applyAlignment="1">
      <alignment horizontal="center" vertical="center"/>
    </xf>
    <xf numFmtId="0" fontId="17" fillId="19" borderId="144" xfId="0" applyFont="1" applyFill="1" applyBorder="1" applyAlignment="1">
      <alignment horizontal="center" vertical="center"/>
    </xf>
    <xf numFmtId="0" fontId="17" fillId="19" borderId="149" xfId="0" applyFont="1" applyFill="1" applyBorder="1" applyAlignment="1">
      <alignment horizontal="center" vertical="center"/>
    </xf>
    <xf numFmtId="176" fontId="16" fillId="19" borderId="186" xfId="0" applyNumberFormat="1" applyFont="1" applyFill="1" applyBorder="1" applyAlignment="1">
      <alignment horizontal="center" vertical="center"/>
    </xf>
    <xf numFmtId="176" fontId="16" fillId="19" borderId="181" xfId="0" applyNumberFormat="1" applyFont="1" applyFill="1" applyBorder="1" applyAlignment="1">
      <alignment horizontal="center" vertical="center"/>
    </xf>
    <xf numFmtId="176" fontId="16" fillId="19" borderId="187" xfId="0" applyNumberFormat="1" applyFont="1" applyFill="1" applyBorder="1" applyAlignment="1">
      <alignment horizontal="center" vertical="center"/>
    </xf>
    <xf numFmtId="176" fontId="16" fillId="19" borderId="184" xfId="0" applyNumberFormat="1" applyFont="1" applyFill="1" applyBorder="1" applyAlignment="1">
      <alignment horizontal="center" vertical="center"/>
    </xf>
    <xf numFmtId="176" fontId="16" fillId="19" borderId="94" xfId="0" applyNumberFormat="1" applyFont="1" applyFill="1" applyBorder="1" applyAlignment="1">
      <alignment horizontal="center" vertical="center"/>
    </xf>
    <xf numFmtId="176" fontId="16" fillId="19" borderId="185" xfId="0" applyNumberFormat="1" applyFont="1" applyFill="1" applyBorder="1" applyAlignment="1">
      <alignment horizontal="center" vertical="center"/>
    </xf>
    <xf numFmtId="176" fontId="16" fillId="19" borderId="149" xfId="0" applyNumberFormat="1" applyFont="1" applyFill="1" applyBorder="1" applyAlignment="1">
      <alignment horizontal="center" vertical="center" wrapText="1"/>
    </xf>
    <xf numFmtId="176" fontId="16" fillId="19" borderId="92" xfId="0" applyNumberFormat="1" applyFont="1" applyFill="1" applyBorder="1" applyAlignment="1">
      <alignment horizontal="center" vertical="center" wrapText="1"/>
    </xf>
    <xf numFmtId="177" fontId="16" fillId="19" borderId="145" xfId="0" applyNumberFormat="1" applyFont="1" applyFill="1" applyBorder="1" applyAlignment="1">
      <alignment horizontal="center" vertical="center" wrapText="1"/>
    </xf>
    <xf numFmtId="177" fontId="16" fillId="19" borderId="96" xfId="0" applyNumberFormat="1" applyFont="1" applyFill="1" applyBorder="1" applyAlignment="1">
      <alignment horizontal="center" vertical="center" wrapText="1"/>
    </xf>
    <xf numFmtId="0" fontId="27" fillId="19" borderId="125" xfId="0" applyFont="1" applyFill="1" applyBorder="1" applyAlignment="1">
      <alignment horizontal="center" vertical="center"/>
    </xf>
    <xf numFmtId="177" fontId="27" fillId="19" borderId="93" xfId="0" applyNumberFormat="1" applyFont="1" applyFill="1" applyBorder="1" applyAlignment="1">
      <alignment horizontal="center" vertical="center"/>
    </xf>
    <xf numFmtId="177" fontId="27" fillId="19" borderId="94" xfId="0" applyNumberFormat="1" applyFont="1" applyFill="1" applyBorder="1" applyAlignment="1">
      <alignment horizontal="center" vertical="center"/>
    </xf>
    <xf numFmtId="177" fontId="27" fillId="19" borderId="183" xfId="0" applyNumberFormat="1" applyFont="1" applyFill="1" applyBorder="1" applyAlignment="1">
      <alignment horizontal="center" vertical="center"/>
    </xf>
    <xf numFmtId="0" fontId="27" fillId="19" borderId="92" xfId="0" applyFont="1" applyFill="1" applyBorder="1" applyAlignment="1">
      <alignment horizontal="center" vertical="center"/>
    </xf>
    <xf numFmtId="0" fontId="27" fillId="19" borderId="93" xfId="0" applyFont="1" applyFill="1" applyBorder="1" applyAlignment="1">
      <alignment horizontal="center" vertical="center"/>
    </xf>
    <xf numFmtId="0" fontId="27" fillId="19" borderId="119" xfId="0" applyFont="1" applyFill="1" applyBorder="1" applyAlignment="1">
      <alignment horizontal="center" vertical="center"/>
    </xf>
    <xf numFmtId="0" fontId="27" fillId="19" borderId="96" xfId="0" applyFont="1" applyFill="1" applyBorder="1" applyAlignment="1">
      <alignment horizontal="center" vertical="center"/>
    </xf>
    <xf numFmtId="0" fontId="27" fillId="19" borderId="154" xfId="0" applyFont="1" applyFill="1" applyBorder="1" applyAlignment="1">
      <alignment horizontal="center" vertical="center"/>
    </xf>
    <xf numFmtId="0" fontId="27" fillId="19" borderId="146" xfId="0" applyFont="1" applyFill="1" applyBorder="1" applyAlignment="1">
      <alignment horizontal="center" vertical="center"/>
    </xf>
    <xf numFmtId="3" fontId="27" fillId="19" borderId="148" xfId="0" applyNumberFormat="1" applyFont="1" applyFill="1" applyBorder="1" applyAlignment="1">
      <alignment horizontal="center" vertical="center"/>
    </xf>
    <xf numFmtId="3" fontId="27" fillId="19" borderId="159" xfId="0" applyNumberFormat="1" applyFont="1" applyFill="1" applyBorder="1" applyAlignment="1">
      <alignment horizontal="center" vertical="center"/>
    </xf>
    <xf numFmtId="3" fontId="0" fillId="0" borderId="86" xfId="0" applyNumberFormat="1" applyBorder="1" applyAlignment="1">
      <alignment horizontal="center" vertical="center"/>
    </xf>
    <xf numFmtId="4" fontId="0" fillId="0" borderId="87" xfId="0" applyNumberFormat="1" applyBorder="1" applyAlignment="1">
      <alignment horizontal="center" vertical="center"/>
    </xf>
    <xf numFmtId="3" fontId="0" fillId="0" borderId="88" xfId="0" applyNumberFormat="1" applyBorder="1" applyAlignment="1">
      <alignment horizontal="center" vertical="center"/>
    </xf>
    <xf numFmtId="177" fontId="56" fillId="4" borderId="9" xfId="0" applyNumberFormat="1" applyFont="1" applyFill="1" applyBorder="1" applyAlignment="1">
      <alignment horizontal="center" vertical="center"/>
    </xf>
    <xf numFmtId="177" fontId="56" fillId="4" borderId="77" xfId="0" applyNumberFormat="1" applyFont="1" applyFill="1" applyBorder="1" applyAlignment="1">
      <alignment horizontal="center" vertical="center"/>
    </xf>
    <xf numFmtId="177" fontId="56" fillId="4" borderId="150" xfId="0" applyNumberFormat="1" applyFont="1" applyFill="1" applyBorder="1" applyAlignment="1">
      <alignment horizontal="center" vertical="center"/>
    </xf>
    <xf numFmtId="182" fontId="57" fillId="3" borderId="3" xfId="0" applyNumberFormat="1" applyFont="1" applyFill="1" applyBorder="1" applyAlignment="1">
      <alignment horizontal="center" vertical="center"/>
    </xf>
    <xf numFmtId="182" fontId="57" fillId="3" borderId="2" xfId="0" applyNumberFormat="1" applyFont="1" applyFill="1" applyBorder="1" applyAlignment="1">
      <alignment horizontal="center" vertical="center"/>
    </xf>
    <xf numFmtId="182" fontId="57" fillId="3" borderId="4" xfId="0" applyNumberFormat="1" applyFont="1" applyFill="1" applyBorder="1" applyAlignment="1">
      <alignment horizontal="center" vertical="center"/>
    </xf>
    <xf numFmtId="182" fontId="57" fillId="3" borderId="2" xfId="0" applyNumberFormat="1" applyFont="1" applyFill="1" applyBorder="1" applyAlignment="1">
      <alignment horizontal="center" vertical="center" wrapText="1"/>
    </xf>
    <xf numFmtId="182" fontId="57" fillId="3" borderId="41" xfId="0" applyNumberFormat="1" applyFont="1" applyFill="1" applyBorder="1" applyAlignment="1">
      <alignment horizontal="center" vertical="center" wrapText="1"/>
    </xf>
    <xf numFmtId="0" fontId="57" fillId="10" borderId="7" xfId="0" applyFont="1" applyFill="1" applyBorder="1" applyAlignment="1">
      <alignment horizontal="center" vertical="center"/>
    </xf>
    <xf numFmtId="0" fontId="57" fillId="10" borderId="5" xfId="0" applyFont="1" applyFill="1" applyBorder="1" applyAlignment="1">
      <alignment horizontal="center" vertical="center"/>
    </xf>
    <xf numFmtId="0" fontId="57" fillId="10" borderId="8" xfId="0" applyFont="1" applyFill="1" applyBorder="1" applyAlignment="1">
      <alignment horizontal="center" vertical="center"/>
    </xf>
    <xf numFmtId="9" fontId="57" fillId="17" borderId="19" xfId="0" applyNumberFormat="1" applyFont="1" applyFill="1" applyBorder="1" applyAlignment="1">
      <alignment horizontal="center" vertical="center"/>
    </xf>
    <xf numFmtId="9" fontId="57" fillId="17" borderId="18" xfId="0" applyNumberFormat="1" applyFont="1" applyFill="1" applyBorder="1" applyAlignment="1">
      <alignment horizontal="center" vertical="center"/>
    </xf>
    <xf numFmtId="180" fontId="57" fillId="4" borderId="46" xfId="0" applyNumberFormat="1" applyFont="1" applyFill="1" applyBorder="1" applyAlignment="1">
      <alignment horizontal="center" vertical="center"/>
    </xf>
    <xf numFmtId="177" fontId="60" fillId="4" borderId="7" xfId="0" applyNumberFormat="1" applyFont="1" applyFill="1" applyBorder="1" applyAlignment="1">
      <alignment horizontal="center" vertical="center" wrapText="1"/>
    </xf>
    <xf numFmtId="177" fontId="60" fillId="4" borderId="5" xfId="0" applyNumberFormat="1" applyFont="1" applyFill="1" applyBorder="1" applyAlignment="1">
      <alignment horizontal="center" vertical="center" wrapText="1"/>
    </xf>
    <xf numFmtId="177" fontId="60" fillId="4" borderId="8" xfId="0" applyNumberFormat="1" applyFont="1" applyFill="1" applyBorder="1" applyAlignment="1">
      <alignment horizontal="center" vertical="center" wrapText="1"/>
    </xf>
    <xf numFmtId="177" fontId="60" fillId="4" borderId="108" xfId="0" applyNumberFormat="1" applyFont="1" applyFill="1" applyBorder="1" applyAlignment="1">
      <alignment horizontal="center" vertical="center" wrapText="1"/>
    </xf>
    <xf numFmtId="0" fontId="5" fillId="0" borderId="86" xfId="0" applyFont="1" applyBorder="1" applyAlignment="1">
      <alignment horizontal="left" vertical="center"/>
    </xf>
    <xf numFmtId="0" fontId="5" fillId="0" borderId="87" xfId="0" applyFont="1" applyBorder="1" applyAlignment="1">
      <alignment horizontal="left" vertical="center"/>
    </xf>
    <xf numFmtId="0" fontId="33" fillId="9" borderId="0" xfId="0" applyFont="1" applyFill="1" applyAlignment="1">
      <alignment horizontal="center" vertical="center" wrapText="1"/>
    </xf>
    <xf numFmtId="0" fontId="33" fillId="9" borderId="5" xfId="0" applyFont="1" applyFill="1" applyBorder="1" applyAlignment="1">
      <alignment horizontal="center" vertical="center"/>
    </xf>
    <xf numFmtId="0" fontId="0" fillId="19" borderId="106" xfId="0" applyFill="1" applyBorder="1" applyAlignment="1">
      <alignment horizontal="center" vertical="center"/>
    </xf>
    <xf numFmtId="0" fontId="0" fillId="19" borderId="180" xfId="0" applyFill="1" applyBorder="1" applyAlignment="1">
      <alignment horizontal="center" vertical="center"/>
    </xf>
    <xf numFmtId="0" fontId="5" fillId="7" borderId="58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182" fontId="5" fillId="3" borderId="24" xfId="0" applyNumberFormat="1" applyFont="1" applyFill="1" applyBorder="1" applyAlignment="1">
      <alignment horizontal="center" vertical="center"/>
    </xf>
    <xf numFmtId="182" fontId="5" fillId="3" borderId="0" xfId="0" applyNumberFormat="1" applyFont="1" applyFill="1" applyAlignment="1">
      <alignment horizontal="center" vertical="center"/>
    </xf>
    <xf numFmtId="182" fontId="5" fillId="3" borderId="25" xfId="0" applyNumberFormat="1" applyFont="1" applyFill="1" applyBorder="1" applyAlignment="1">
      <alignment horizontal="center" vertical="center"/>
    </xf>
    <xf numFmtId="182" fontId="5" fillId="3" borderId="33" xfId="0" applyNumberFormat="1" applyFont="1" applyFill="1" applyBorder="1" applyAlignment="1">
      <alignment horizontal="center" vertical="center"/>
    </xf>
    <xf numFmtId="182" fontId="5" fillId="3" borderId="5" xfId="0" applyNumberFormat="1" applyFont="1" applyFill="1" applyBorder="1" applyAlignment="1">
      <alignment horizontal="center" vertical="center"/>
    </xf>
    <xf numFmtId="182" fontId="5" fillId="3" borderId="34" xfId="0" applyNumberFormat="1" applyFont="1" applyFill="1" applyBorder="1" applyAlignment="1">
      <alignment horizontal="center" vertical="center"/>
    </xf>
    <xf numFmtId="176" fontId="5" fillId="3" borderId="51" xfId="0" applyNumberFormat="1" applyFont="1" applyFill="1" applyBorder="1" applyAlignment="1">
      <alignment horizontal="center" vertical="center"/>
    </xf>
    <xf numFmtId="176" fontId="5" fillId="3" borderId="49" xfId="0" applyNumberFormat="1" applyFont="1" applyFill="1" applyBorder="1" applyAlignment="1">
      <alignment horizontal="center" vertical="center"/>
    </xf>
    <xf numFmtId="176" fontId="5" fillId="3" borderId="50" xfId="0" applyNumberFormat="1" applyFont="1" applyFill="1" applyBorder="1" applyAlignment="1">
      <alignment horizontal="center" vertical="center"/>
    </xf>
    <xf numFmtId="176" fontId="5" fillId="3" borderId="33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/>
    </xf>
    <xf numFmtId="176" fontId="5" fillId="3" borderId="34" xfId="0" applyNumberFormat="1" applyFont="1" applyFill="1" applyBorder="1" applyAlignment="1">
      <alignment horizontal="center" vertical="center"/>
    </xf>
    <xf numFmtId="0" fontId="0" fillId="19" borderId="135" xfId="0" applyFill="1" applyBorder="1" applyAlignment="1">
      <alignment horizontal="center" vertical="center"/>
    </xf>
    <xf numFmtId="10" fontId="34" fillId="19" borderId="179" xfId="0" applyNumberFormat="1" applyFont="1" applyFill="1" applyBorder="1" applyAlignment="1">
      <alignment horizontal="left" vertical="center"/>
    </xf>
    <xf numFmtId="10" fontId="34" fillId="19" borderId="88" xfId="0" applyNumberFormat="1" applyFont="1" applyFill="1" applyBorder="1" applyAlignment="1">
      <alignment horizontal="left" vertical="center"/>
    </xf>
    <xf numFmtId="0" fontId="31" fillId="19" borderId="126" xfId="0" applyFont="1" applyFill="1" applyBorder="1" applyAlignment="1">
      <alignment horizontal="center" vertical="center"/>
    </xf>
    <xf numFmtId="0" fontId="31" fillId="19" borderId="163" xfId="0" applyFont="1" applyFill="1" applyBorder="1" applyAlignment="1">
      <alignment horizontal="center" vertical="center"/>
    </xf>
    <xf numFmtId="0" fontId="31" fillId="19" borderId="127" xfId="0" applyFont="1" applyFill="1" applyBorder="1" applyAlignment="1">
      <alignment horizontal="center" vertical="center"/>
    </xf>
    <xf numFmtId="0" fontId="3" fillId="19" borderId="138" xfId="0" applyFont="1" applyFill="1" applyBorder="1" applyAlignment="1">
      <alignment horizontal="center" vertical="center"/>
    </xf>
    <xf numFmtId="0" fontId="3" fillId="19" borderId="139" xfId="0" applyFont="1" applyFill="1" applyBorder="1" applyAlignment="1">
      <alignment horizontal="center" vertical="center"/>
    </xf>
    <xf numFmtId="0" fontId="3" fillId="19" borderId="131" xfId="0" applyFont="1" applyFill="1" applyBorder="1" applyAlignment="1">
      <alignment horizontal="center" vertical="center"/>
    </xf>
    <xf numFmtId="0" fontId="5" fillId="19" borderId="147" xfId="0" applyFont="1" applyFill="1" applyBorder="1" applyAlignment="1">
      <alignment horizontal="center" vertical="center"/>
    </xf>
    <xf numFmtId="0" fontId="5" fillId="19" borderId="140" xfId="0" applyFont="1" applyFill="1" applyBorder="1" applyAlignment="1">
      <alignment horizontal="center" vertical="center"/>
    </xf>
    <xf numFmtId="0" fontId="5" fillId="19" borderId="148" xfId="0" applyFont="1" applyFill="1" applyBorder="1" applyAlignment="1">
      <alignment horizontal="center" vertical="center"/>
    </xf>
    <xf numFmtId="0" fontId="5" fillId="19" borderId="143" xfId="0" applyFont="1" applyFill="1" applyBorder="1" applyAlignment="1">
      <alignment horizontal="center" vertical="center"/>
    </xf>
    <xf numFmtId="0" fontId="31" fillId="19" borderId="147" xfId="0" applyFont="1" applyFill="1" applyBorder="1" applyAlignment="1">
      <alignment horizontal="center" vertical="center"/>
    </xf>
    <xf numFmtId="0" fontId="31" fillId="19" borderId="140" xfId="0" applyFont="1" applyFill="1" applyBorder="1" applyAlignment="1">
      <alignment horizontal="center" vertical="center"/>
    </xf>
    <xf numFmtId="0" fontId="31" fillId="19" borderId="148" xfId="0" applyFont="1" applyFill="1" applyBorder="1" applyAlignment="1">
      <alignment horizontal="center" vertical="center"/>
    </xf>
    <xf numFmtId="177" fontId="27" fillId="19" borderId="153" xfId="0" applyNumberFormat="1" applyFont="1" applyFill="1" applyBorder="1" applyAlignment="1">
      <alignment horizontal="center" vertical="center"/>
    </xf>
    <xf numFmtId="177" fontId="27" fillId="19" borderId="181" xfId="0" applyNumberFormat="1" applyFont="1" applyFill="1" applyBorder="1" applyAlignment="1">
      <alignment horizontal="center" vertical="center"/>
    </xf>
    <xf numFmtId="177" fontId="27" fillId="19" borderId="182" xfId="0" applyNumberFormat="1" applyFont="1" applyFill="1" applyBorder="1" applyAlignment="1">
      <alignment horizontal="center" vertical="center"/>
    </xf>
    <xf numFmtId="0" fontId="17" fillId="19" borderId="125" xfId="0" applyFont="1" applyFill="1" applyBorder="1" applyAlignment="1">
      <alignment horizontal="center" vertical="center"/>
    </xf>
    <xf numFmtId="178" fontId="56" fillId="3" borderId="162" xfId="0" applyNumberFormat="1" applyFont="1" applyFill="1" applyBorder="1" applyAlignment="1">
      <alignment horizontal="center" vertical="center" wrapText="1"/>
    </xf>
    <xf numFmtId="178" fontId="56" fillId="3" borderId="163" xfId="0" applyNumberFormat="1" applyFont="1" applyFill="1" applyBorder="1" applyAlignment="1">
      <alignment horizontal="center" vertical="center" wrapText="1"/>
    </xf>
    <xf numFmtId="10" fontId="17" fillId="19" borderId="152" xfId="0" applyNumberFormat="1" applyFont="1" applyFill="1" applyBorder="1" applyAlignment="1">
      <alignment horizontal="center" vertical="center"/>
    </xf>
    <xf numFmtId="10" fontId="17" fillId="19" borderId="155" xfId="0" applyNumberFormat="1" applyFont="1" applyFill="1" applyBorder="1" applyAlignment="1">
      <alignment horizontal="center" vertical="center"/>
    </xf>
    <xf numFmtId="0" fontId="34" fillId="19" borderId="154" xfId="0" applyFont="1" applyFill="1" applyBorder="1" applyAlignment="1">
      <alignment horizontal="center" vertical="center"/>
    </xf>
    <xf numFmtId="0" fontId="34" fillId="19" borderId="161" xfId="0" applyFont="1" applyFill="1" applyBorder="1" applyAlignment="1">
      <alignment horizontal="center" vertical="center"/>
    </xf>
    <xf numFmtId="10" fontId="17" fillId="19" borderId="125" xfId="0" applyNumberFormat="1" applyFont="1" applyFill="1" applyBorder="1" applyAlignment="1">
      <alignment horizontal="center" vertical="center"/>
    </xf>
    <xf numFmtId="182" fontId="31" fillId="19" borderId="156" xfId="0" applyNumberFormat="1" applyFont="1" applyFill="1" applyBorder="1" applyAlignment="1">
      <alignment horizontal="center" vertical="center" wrapText="1"/>
    </xf>
    <xf numFmtId="182" fontId="31" fillId="19" borderId="157" xfId="0" applyNumberFormat="1" applyFont="1" applyFill="1" applyBorder="1" applyAlignment="1">
      <alignment horizontal="center" vertical="center"/>
    </xf>
    <xf numFmtId="182" fontId="31" fillId="19" borderId="158" xfId="0" applyNumberFormat="1" applyFont="1" applyFill="1" applyBorder="1" applyAlignment="1">
      <alignment horizontal="center" vertical="center"/>
    </xf>
    <xf numFmtId="182" fontId="27" fillId="19" borderId="125" xfId="0" applyNumberFormat="1" applyFont="1" applyFill="1" applyBorder="1" applyAlignment="1">
      <alignment horizontal="center" vertical="center"/>
    </xf>
    <xf numFmtId="0" fontId="21" fillId="0" borderId="74" xfId="0" applyFont="1" applyBorder="1" applyAlignment="1">
      <alignment horizontal="center" vertical="center" wrapText="1"/>
    </xf>
    <xf numFmtId="0" fontId="21" fillId="0" borderId="75" xfId="0" applyFont="1" applyBorder="1" applyAlignment="1">
      <alignment horizontal="center" vertical="center" wrapText="1"/>
    </xf>
    <xf numFmtId="0" fontId="21" fillId="0" borderId="76" xfId="0" applyFont="1" applyBorder="1" applyAlignment="1">
      <alignment horizontal="center" vertical="center" wrapText="1"/>
    </xf>
    <xf numFmtId="0" fontId="19" fillId="0" borderId="69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61" fillId="21" borderId="249" xfId="0" applyFont="1" applyFill="1" applyBorder="1" applyAlignment="1">
      <alignment horizontal="center" vertical="center" wrapText="1"/>
    </xf>
    <xf numFmtId="0" fontId="61" fillId="21" borderId="251" xfId="0" applyFont="1" applyFill="1" applyBorder="1" applyAlignment="1">
      <alignment horizontal="center" vertical="center" wrapText="1"/>
    </xf>
    <xf numFmtId="0" fontId="63" fillId="15" borderId="78" xfId="0" applyFont="1" applyFill="1" applyBorder="1" applyAlignment="1">
      <alignment horizontal="center" vertical="center"/>
    </xf>
    <xf numFmtId="0" fontId="63" fillId="15" borderId="79" xfId="0" applyFont="1" applyFill="1" applyBorder="1" applyAlignment="1">
      <alignment horizontal="center" vertical="center"/>
    </xf>
    <xf numFmtId="0" fontId="63" fillId="15" borderId="80" xfId="0" applyFont="1" applyFill="1" applyBorder="1" applyAlignment="1">
      <alignment horizontal="center" vertical="center"/>
    </xf>
    <xf numFmtId="0" fontId="22" fillId="14" borderId="71" xfId="0" applyFont="1" applyFill="1" applyBorder="1" applyAlignment="1">
      <alignment horizontal="center" vertical="center" wrapText="1"/>
    </xf>
    <xf numFmtId="0" fontId="22" fillId="14" borderId="72" xfId="0" applyFont="1" applyFill="1" applyBorder="1" applyAlignment="1">
      <alignment horizontal="center" vertical="center" wrapText="1"/>
    </xf>
    <xf numFmtId="0" fontId="22" fillId="14" borderId="73" xfId="0" applyFont="1" applyFill="1" applyBorder="1" applyAlignment="1">
      <alignment horizontal="center" vertical="center" wrapText="1"/>
    </xf>
    <xf numFmtId="0" fontId="66" fillId="0" borderId="69" xfId="0" applyFont="1" applyBorder="1" applyAlignment="1">
      <alignment horizontal="left" vertical="center" wrapText="1"/>
    </xf>
    <xf numFmtId="0" fontId="66" fillId="0" borderId="0" xfId="0" applyFont="1" applyAlignment="1">
      <alignment horizontal="left" vertical="center" wrapText="1"/>
    </xf>
    <xf numFmtId="0" fontId="66" fillId="0" borderId="25" xfId="0" applyFont="1" applyBorder="1" applyAlignment="1">
      <alignment horizontal="left" vertical="center" wrapText="1"/>
    </xf>
    <xf numFmtId="0" fontId="74" fillId="34" borderId="0" xfId="0" applyFont="1" applyFill="1" applyAlignment="1">
      <alignment horizontal="center" vertical="center"/>
    </xf>
    <xf numFmtId="10" fontId="41" fillId="23" borderId="172" xfId="0" applyNumberFormat="1" applyFont="1" applyFill="1" applyBorder="1" applyAlignment="1">
      <alignment horizontal="center" vertical="center"/>
    </xf>
    <xf numFmtId="10" fontId="41" fillId="23" borderId="173" xfId="0" applyNumberFormat="1" applyFont="1" applyFill="1" applyBorder="1" applyAlignment="1">
      <alignment horizontal="center" vertical="center"/>
    </xf>
    <xf numFmtId="0" fontId="61" fillId="33" borderId="248" xfId="0" applyFont="1" applyFill="1" applyBorder="1" applyAlignment="1">
      <alignment horizontal="center" vertical="center" wrapText="1"/>
    </xf>
    <xf numFmtId="0" fontId="61" fillId="33" borderId="247" xfId="0" applyFont="1" applyFill="1" applyBorder="1" applyAlignment="1">
      <alignment horizontal="center" vertical="center" wrapText="1"/>
    </xf>
    <xf numFmtId="0" fontId="61" fillId="36" borderId="248" xfId="0" applyFont="1" applyFill="1" applyBorder="1" applyAlignment="1">
      <alignment horizontal="center" vertical="center" wrapText="1"/>
    </xf>
    <xf numFmtId="0" fontId="61" fillId="36" borderId="247" xfId="0" applyFont="1" applyFill="1" applyBorder="1" applyAlignment="1">
      <alignment horizontal="center" vertical="center" wrapText="1"/>
    </xf>
    <xf numFmtId="0" fontId="61" fillId="21" borderId="248" xfId="0" applyFont="1" applyFill="1" applyBorder="1" applyAlignment="1">
      <alignment horizontal="center" vertical="center" wrapText="1"/>
    </xf>
    <xf numFmtId="0" fontId="61" fillId="21" borderId="247" xfId="0" applyFont="1" applyFill="1" applyBorder="1" applyAlignment="1">
      <alignment horizontal="center" vertical="center" wrapText="1"/>
    </xf>
    <xf numFmtId="10" fontId="41" fillId="23" borderId="168" xfId="0" applyNumberFormat="1" applyFont="1" applyFill="1" applyBorder="1" applyAlignment="1">
      <alignment horizontal="right" vertical="center"/>
    </xf>
    <xf numFmtId="10" fontId="41" fillId="23" borderId="169" xfId="0" applyNumberFormat="1" applyFont="1" applyFill="1" applyBorder="1" applyAlignment="1">
      <alignment horizontal="right" vertical="center"/>
    </xf>
    <xf numFmtId="10" fontId="41" fillId="23" borderId="171" xfId="0" applyNumberFormat="1" applyFont="1" applyFill="1" applyBorder="1" applyAlignment="1">
      <alignment horizontal="right" vertical="center"/>
    </xf>
    <xf numFmtId="10" fontId="41" fillId="23" borderId="168" xfId="0" applyNumberFormat="1" applyFont="1" applyFill="1" applyBorder="1" applyAlignment="1">
      <alignment horizontal="center" vertical="center"/>
    </xf>
    <xf numFmtId="10" fontId="41" fillId="23" borderId="169" xfId="0" applyNumberFormat="1" applyFont="1" applyFill="1" applyBorder="1" applyAlignment="1">
      <alignment horizontal="center" vertical="center"/>
    </xf>
    <xf numFmtId="10" fontId="41" fillId="23" borderId="171" xfId="0" applyNumberFormat="1" applyFont="1" applyFill="1" applyBorder="1" applyAlignment="1">
      <alignment horizontal="center" vertical="center"/>
    </xf>
    <xf numFmtId="10" fontId="41" fillId="23" borderId="177" xfId="0" applyNumberFormat="1" applyFont="1" applyFill="1" applyBorder="1" applyAlignment="1">
      <alignment horizontal="center" vertical="center"/>
    </xf>
    <xf numFmtId="0" fontId="74" fillId="32" borderId="5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0" fontId="61" fillId="21" borderId="243" xfId="0" applyFont="1" applyFill="1" applyBorder="1" applyAlignment="1">
      <alignment horizontal="center" vertical="center"/>
    </xf>
    <xf numFmtId="0" fontId="61" fillId="21" borderId="244" xfId="0" applyFont="1" applyFill="1" applyBorder="1" applyAlignment="1">
      <alignment horizontal="center" vertical="center"/>
    </xf>
    <xf numFmtId="188" fontId="45" fillId="22" borderId="245" xfId="0" applyNumberFormat="1" applyFont="1" applyFill="1" applyBorder="1" applyAlignment="1">
      <alignment horizontal="center" vertical="center"/>
    </xf>
    <xf numFmtId="188" fontId="45" fillId="22" borderId="246" xfId="0" applyNumberFormat="1" applyFont="1" applyFill="1" applyBorder="1" applyAlignment="1">
      <alignment horizontal="center" vertical="center"/>
    </xf>
    <xf numFmtId="10" fontId="45" fillId="22" borderId="177" xfId="0" applyNumberFormat="1" applyFont="1" applyFill="1" applyBorder="1" applyAlignment="1">
      <alignment horizontal="center" vertical="center"/>
    </xf>
    <xf numFmtId="10" fontId="45" fillId="22" borderId="9" xfId="0" applyNumberFormat="1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0" fontId="5" fillId="7" borderId="50" xfId="0" applyFont="1" applyFill="1" applyBorder="1" applyAlignment="1">
      <alignment horizontal="center" vertical="center"/>
    </xf>
    <xf numFmtId="176" fontId="11" fillId="3" borderId="2" xfId="0" applyNumberFormat="1" applyFont="1" applyFill="1" applyBorder="1" applyAlignment="1">
      <alignment horizontal="center" vertical="center"/>
    </xf>
    <xf numFmtId="176" fontId="11" fillId="3" borderId="3" xfId="0" applyNumberFormat="1" applyFont="1" applyFill="1" applyBorder="1" applyAlignment="1">
      <alignment horizontal="center" vertical="center"/>
    </xf>
    <xf numFmtId="176" fontId="11" fillId="3" borderId="4" xfId="0" applyNumberFormat="1" applyFont="1" applyFill="1" applyBorder="1" applyAlignment="1">
      <alignment horizontal="center" vertical="center"/>
    </xf>
    <xf numFmtId="178" fontId="16" fillId="3" borderId="38" xfId="0" applyNumberFormat="1" applyFont="1" applyFill="1" applyBorder="1" applyAlignment="1">
      <alignment horizontal="center" vertical="center"/>
    </xf>
    <xf numFmtId="178" fontId="16" fillId="3" borderId="39" xfId="0" applyNumberFormat="1" applyFont="1" applyFill="1" applyBorder="1" applyAlignment="1">
      <alignment horizontal="center" vertical="center"/>
    </xf>
    <xf numFmtId="178" fontId="16" fillId="3" borderId="40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 wrapText="1"/>
    </xf>
    <xf numFmtId="0" fontId="16" fillId="10" borderId="52" xfId="0" applyFont="1" applyFill="1" applyBorder="1" applyAlignment="1">
      <alignment horizontal="center" vertical="center"/>
    </xf>
    <xf numFmtId="0" fontId="16" fillId="10" borderId="53" xfId="0" applyFont="1" applyFill="1" applyBorder="1" applyAlignment="1">
      <alignment horizontal="center" vertical="center"/>
    </xf>
    <xf numFmtId="0" fontId="16" fillId="10" borderId="54" xfId="0" applyFont="1" applyFill="1" applyBorder="1" applyAlignment="1">
      <alignment horizontal="center" vertical="center"/>
    </xf>
    <xf numFmtId="0" fontId="11" fillId="10" borderId="44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34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9" fontId="11" fillId="17" borderId="19" xfId="0" applyNumberFormat="1" applyFont="1" applyFill="1" applyBorder="1" applyAlignment="1">
      <alignment horizontal="center" vertical="center"/>
    </xf>
    <xf numFmtId="9" fontId="11" fillId="17" borderId="18" xfId="0" applyNumberFormat="1" applyFont="1" applyFill="1" applyBorder="1" applyAlignment="1">
      <alignment horizontal="center" vertical="center"/>
    </xf>
    <xf numFmtId="177" fontId="16" fillId="4" borderId="56" xfId="0" applyNumberFormat="1" applyFont="1" applyFill="1" applyBorder="1" applyAlignment="1">
      <alignment horizontal="center" vertical="center"/>
    </xf>
    <xf numFmtId="177" fontId="16" fillId="4" borderId="53" xfId="0" applyNumberFormat="1" applyFont="1" applyFill="1" applyBorder="1" applyAlignment="1">
      <alignment horizontal="center" vertical="center"/>
    </xf>
    <xf numFmtId="177" fontId="16" fillId="4" borderId="54" xfId="0" applyNumberFormat="1" applyFont="1" applyFill="1" applyBorder="1" applyAlignment="1">
      <alignment horizontal="center" vertical="center"/>
    </xf>
    <xf numFmtId="180" fontId="11" fillId="4" borderId="46" xfId="0" applyNumberFormat="1" applyFont="1" applyFill="1" applyBorder="1" applyAlignment="1">
      <alignment horizontal="center" vertical="center"/>
    </xf>
    <xf numFmtId="177" fontId="8" fillId="4" borderId="7" xfId="0" applyNumberFormat="1" applyFont="1" applyFill="1" applyBorder="1" applyAlignment="1">
      <alignment horizontal="center" vertical="center" wrapText="1"/>
    </xf>
    <xf numFmtId="177" fontId="8" fillId="4" borderId="5" xfId="0" applyNumberFormat="1" applyFont="1" applyFill="1" applyBorder="1" applyAlignment="1">
      <alignment horizontal="center" vertical="center" wrapText="1"/>
    </xf>
    <xf numFmtId="177" fontId="8" fillId="4" borderId="8" xfId="0" applyNumberFormat="1" applyFont="1" applyFill="1" applyBorder="1" applyAlignment="1">
      <alignment horizontal="center" vertical="center" wrapText="1"/>
    </xf>
    <xf numFmtId="177" fontId="8" fillId="4" borderId="34" xfId="0" applyNumberFormat="1" applyFont="1" applyFill="1" applyBorder="1" applyAlignment="1">
      <alignment horizontal="center" vertical="center" wrapText="1"/>
    </xf>
    <xf numFmtId="0" fontId="44" fillId="0" borderId="274" xfId="0" applyFont="1" applyBorder="1" applyAlignment="1">
      <alignment horizontal="center" vertical="center"/>
    </xf>
    <xf numFmtId="0" fontId="44" fillId="0" borderId="275" xfId="0" applyFont="1" applyBorder="1" applyAlignment="1">
      <alignment horizontal="center" vertical="center"/>
    </xf>
    <xf numFmtId="0" fontId="42" fillId="24" borderId="200" xfId="0" applyFont="1" applyFill="1" applyBorder="1" applyAlignment="1">
      <alignment horizontal="center" vertical="center"/>
    </xf>
    <xf numFmtId="0" fontId="42" fillId="24" borderId="201" xfId="0" applyFont="1" applyFill="1" applyBorder="1" applyAlignment="1">
      <alignment horizontal="center" vertical="center"/>
    </xf>
    <xf numFmtId="0" fontId="47" fillId="0" borderId="38" xfId="0" applyFont="1" applyBorder="1" applyAlignment="1">
      <alignment horizontal="left" vertical="center"/>
    </xf>
    <xf numFmtId="0" fontId="47" fillId="0" borderId="39" xfId="0" applyFont="1" applyBorder="1" applyAlignment="1">
      <alignment horizontal="left" vertical="center"/>
    </xf>
    <xf numFmtId="0" fontId="17" fillId="15" borderId="99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47" fillId="0" borderId="4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3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49" fontId="68" fillId="0" borderId="1" xfId="0" applyNumberFormat="1" applyFont="1" applyBorder="1" applyAlignment="1">
      <alignment horizontal="center" vertical="center"/>
    </xf>
    <xf numFmtId="189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5">
    <cellStyle name="백분율" xfId="4" builtinId="5"/>
    <cellStyle name="표준" xfId="0" builtinId="0"/>
    <cellStyle name="표준 2" xfId="1" xr:uid="{482710F9-7DE0-42CD-AFFE-CCA309679A31}"/>
    <cellStyle name="표준 3" xfId="3" xr:uid="{AD242D25-1409-4F2B-A9A3-C3AFDDDE8910}"/>
    <cellStyle name="하이퍼링크" xfId="2" builtinId="8"/>
  </cellStyles>
  <dxfs count="4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70C0"/>
      </font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70C0"/>
      </font>
    </dxf>
    <dxf>
      <font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/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numFmt numFmtId="176" formatCode="#,##0.00_ "/>
      <fill>
        <patternFill patternType="solid">
          <fgColor indexed="8"/>
          <bgColor rgb="FFD1E9E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border outline="0">
        <top style="thin">
          <color rgb="FFA0A0A0"/>
        </top>
      </border>
    </dxf>
    <dxf>
      <border outline="0"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F0F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numFmt numFmtId="176" formatCode="#,##0.00_ "/>
      <fill>
        <patternFill patternType="solid">
          <fgColor indexed="8"/>
          <bgColor rgb="FFD1E9E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numFmt numFmtId="176" formatCode="#,##0.00_ "/>
      <fill>
        <patternFill patternType="solid">
          <fgColor indexed="8"/>
          <bgColor rgb="FFD1E9E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border outline="0">
        <top style="thin">
          <color rgb="FFA0A0A0"/>
        </top>
      </border>
    </dxf>
    <dxf>
      <border outline="0"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D1E9E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체"/>
        <family val="3"/>
        <charset val="129"/>
        <scheme val="none"/>
      </font>
      <fill>
        <patternFill patternType="solid">
          <fgColor indexed="8"/>
          <bgColor rgb="FFF0F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굴림"/>
        <family val="3"/>
        <charset val="129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굴림"/>
        <family val="3"/>
        <charset val="129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굴림"/>
        <family val="3"/>
        <charset val="129"/>
        <scheme val="none"/>
      </font>
      <numFmt numFmtId="178" formatCode="yyyy&quot;년&quot;\ m&quot;월&quot;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82" formatCode="#.00&quot;㎡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76" formatCode="#,##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78" formatCode="yyyy&quot;년&quot;\ m&quot;월&quot;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82" formatCode="#.00&quot;㎡&quot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79" formatCode="#,##0.00_ &quot;㎡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85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76" formatCode="#,##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76" formatCode="#,##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medium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79" formatCode="#,##0.00_ &quot;㎡&quot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numFmt numFmtId="176" formatCode="#,##0.0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outline="0">
        <right style="medium">
          <color auto="1"/>
        </right>
        <top style="thin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medium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9084444715716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749992370372631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749992370372631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749992370372631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749992370372631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749992370372631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6032593768116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6032593768116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3" formatCode="#,##0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3" formatCode="0%"/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3" formatCode="0%"/>
      <fill>
        <patternFill patternType="solid">
          <fgColor indexed="64"/>
          <bgColor rgb="FFFFFF66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3" formatCode="0%"/>
      <fill>
        <patternFill patternType="solid">
          <fgColor indexed="64"/>
          <bgColor rgb="FFFFFF66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3" formatCode="0%"/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3" formatCode="0%"/>
      <fill>
        <patternFill patternType="solid">
          <fgColor indexed="64"/>
          <bgColor rgb="FFFFFF99"/>
        </patternFill>
      </fill>
      <alignment horizontal="center" vertical="center" textRotation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Pretendard"/>
        <charset val="129"/>
        <scheme val="none"/>
      </font>
      <numFmt numFmtId="3" formatCode="#,##0"/>
      <fill>
        <patternFill patternType="solid">
          <fgColor indexed="64"/>
          <bgColor rgb="FFFFFFCC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family val="3"/>
        <charset val="129"/>
        <scheme val="none"/>
      </font>
      <numFmt numFmtId="3" formatCode="#,##0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dashed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/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7" formatCode="#,##0_ 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/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7" formatCode="000\-0000\-00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7" formatCode="000\-0000\-0000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retendard"/>
        <charset val="129"/>
        <scheme val="none"/>
      </font>
      <numFmt numFmtId="177" formatCode="#,##0_ 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6" formatCode="#,##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retendard"/>
        <charset val="129"/>
        <scheme val="none"/>
      </font>
      <numFmt numFmtId="176" formatCode="#,##0.00_ 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6" formatCode="#,##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retendard"/>
        <charset val="129"/>
        <scheme val="none"/>
      </font>
      <numFmt numFmtId="176" formatCode="#,##0.00_ 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6" formatCode="#,##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retendard"/>
        <charset val="129"/>
        <scheme val="none"/>
      </font>
      <numFmt numFmtId="176" formatCode="#,##0.00_ 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76" formatCode="#,##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retendard"/>
        <charset val="129"/>
        <scheme val="none"/>
      </font>
      <numFmt numFmtId="176" formatCode="#,##0.00_ 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3" formatCode="#,##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3" formatCode="#,##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6" formatCode="####\-##\-##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76" formatCode="#,##0.00_ 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2" formatCode="#.00&quot;㎡&quot;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82" formatCode="#.00&quot;㎡&quot;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2" formatCode="#.00&quot;㎡&quot;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2" formatCode="#.00&quot;㎡&quot;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2" formatCode="#.00&quot;㎡&quot;"/>
      <fill>
        <patternFill patternType="solid">
          <fgColor indexed="64"/>
          <bgColor theme="5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30" formatCode="@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2" formatCode="#.00&quot;㎡&quot;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dash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numFmt numFmtId="14" formatCode="0.00%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/>
        <bottom style="dashed">
          <color auto="1"/>
        </bottom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2" formatCode="#.00&quot;㎡&quot;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182" formatCode="#.00&quot;㎡&quot;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ashed">
          <color auto="1"/>
        </right>
        <top/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medium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family val="3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numFmt numFmtId="184" formatCode="m&quot;월&quot;\ d&quot;일&quot;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Pretendard"/>
        <charset val="129"/>
        <scheme val="none"/>
      </font>
      <numFmt numFmtId="184" formatCode="m&quot;월&quot;\ d&quot;일&quot;;@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/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retendard"/>
        <charset val="129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retendard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Pretendard"/>
        <charset val="129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auto="1"/>
        </left>
        <right/>
        <top style="dashed">
          <color auto="1"/>
        </top>
        <bottom style="dashed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auto="1"/>
        </left>
        <right style="thin">
          <color auto="1"/>
        </right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  <fill>
        <patternFill patternType="solid">
          <fgColor indexed="64"/>
          <bgColor theme="3" tint="0.89996032593768116"/>
        </patternFill>
      </fill>
      <alignment horizontal="right" vertical="center" textRotation="0" wrapText="0" indent="0" justifyLastLine="0" shrinkToFit="0" readingOrder="0"/>
    </dxf>
    <dxf>
      <border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Pretendard"/>
        <charset val="129"/>
        <scheme val="none"/>
      </font>
      <numFmt numFmtId="177" formatCode="#,##0_ "/>
      <fill>
        <patternFill patternType="solid">
          <fgColor indexed="64"/>
          <bgColor theme="3" tint="0.89996032593768116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CC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463550</xdr:colOff>
      <xdr:row>9</xdr:row>
      <xdr:rowOff>146050</xdr:rowOff>
    </xdr:from>
    <xdr:to>
      <xdr:col>21</xdr:col>
      <xdr:colOff>20476</xdr:colOff>
      <xdr:row>50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B6880D-CA5A-6578-4DA4-4EE9592B7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50550" y="3775075"/>
          <a:ext cx="11415551" cy="86550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698500</xdr:colOff>
      <xdr:row>10</xdr:row>
      <xdr:rowOff>112752</xdr:rowOff>
    </xdr:from>
    <xdr:to>
      <xdr:col>8</xdr:col>
      <xdr:colOff>1448283</xdr:colOff>
      <xdr:row>31</xdr:row>
      <xdr:rowOff>59192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2D46659-4B89-6F33-3CE8-609B83AC6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3979902"/>
          <a:ext cx="8128483" cy="4480340"/>
        </a:xfrm>
        <a:prstGeom prst="rect">
          <a:avLst/>
        </a:prstGeom>
      </xdr:spPr>
    </xdr:pic>
    <xdr:clientData/>
  </xdr:twoCellAnchor>
  <xdr:twoCellAnchor>
    <xdr:from>
      <xdr:col>1</xdr:col>
      <xdr:colOff>603250</xdr:colOff>
      <xdr:row>1</xdr:row>
      <xdr:rowOff>742950</xdr:rowOff>
    </xdr:from>
    <xdr:to>
      <xdr:col>4</xdr:col>
      <xdr:colOff>495302</xdr:colOff>
      <xdr:row>2</xdr:row>
      <xdr:rowOff>323850</xdr:rowOff>
    </xdr:to>
    <xdr:cxnSp macro="">
      <xdr:nvCxnSpPr>
        <xdr:cNvPr id="5" name="연결선: 꺾임 4">
          <a:extLst>
            <a:ext uri="{FF2B5EF4-FFF2-40B4-BE49-F238E27FC236}">
              <a16:creationId xmlns:a16="http://schemas.microsoft.com/office/drawing/2014/main" id="{FA6B0302-497A-A14F-0DD4-5EDEC5E28C4E}"/>
            </a:ext>
          </a:extLst>
        </xdr:cNvPr>
        <xdr:cNvCxnSpPr/>
      </xdr:nvCxnSpPr>
      <xdr:spPr>
        <a:xfrm rot="10800000" flipV="1">
          <a:off x="1466850" y="965200"/>
          <a:ext cx="2597152" cy="501650"/>
        </a:xfrm>
        <a:prstGeom prst="bentConnector3">
          <a:avLst>
            <a:gd name="adj1" fmla="val 50000"/>
          </a:avLst>
        </a:prstGeom>
        <a:ln w="3810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641350</xdr:colOff>
      <xdr:row>1</xdr:row>
      <xdr:rowOff>428622</xdr:rowOff>
    </xdr:from>
    <xdr:to>
      <xdr:col>3</xdr:col>
      <xdr:colOff>1019181</xdr:colOff>
      <xdr:row>6</xdr:row>
      <xdr:rowOff>114304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64FAD6BF-E537-4742-B6E8-3A9CA2974310}"/>
            </a:ext>
          </a:extLst>
        </xdr:cNvPr>
        <xdr:cNvCxnSpPr/>
      </xdr:nvCxnSpPr>
      <xdr:spPr>
        <a:xfrm rot="5400000">
          <a:off x="1371600" y="784222"/>
          <a:ext cx="2212982" cy="1946281"/>
        </a:xfrm>
        <a:prstGeom prst="bentConnector3">
          <a:avLst>
            <a:gd name="adj1" fmla="val 50000"/>
          </a:avLst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374650</xdr:colOff>
      <xdr:row>8</xdr:row>
      <xdr:rowOff>152400</xdr:rowOff>
    </xdr:from>
    <xdr:to>
      <xdr:col>3</xdr:col>
      <xdr:colOff>285750</xdr:colOff>
      <xdr:row>13</xdr:row>
      <xdr:rowOff>44450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16E9AD51-4D3D-2F7E-A637-5AA05FA31D33}"/>
            </a:ext>
          </a:extLst>
        </xdr:cNvPr>
        <xdr:cNvCxnSpPr/>
      </xdr:nvCxnSpPr>
      <xdr:spPr>
        <a:xfrm>
          <a:off x="2000250" y="3581400"/>
          <a:ext cx="717550" cy="977900"/>
        </a:xfrm>
        <a:prstGeom prst="straightConnector1">
          <a:avLst/>
        </a:prstGeom>
        <a:ln w="38100">
          <a:solidFill>
            <a:schemeClr val="accent2">
              <a:lumMod val="20000"/>
              <a:lumOff val="80000"/>
            </a:schemeClr>
          </a:solidFill>
          <a:tailEnd type="triangle"/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463550</xdr:colOff>
      <xdr:row>8</xdr:row>
      <xdr:rowOff>114300</xdr:rowOff>
    </xdr:from>
    <xdr:to>
      <xdr:col>7</xdr:col>
      <xdr:colOff>514350</xdr:colOff>
      <xdr:row>13</xdr:row>
      <xdr:rowOff>6350</xdr:rowOff>
    </xdr:to>
    <xdr:cxnSp macro="">
      <xdr:nvCxnSpPr>
        <xdr:cNvPr id="23" name="직선 화살표 연결선 22">
          <a:extLst>
            <a:ext uri="{FF2B5EF4-FFF2-40B4-BE49-F238E27FC236}">
              <a16:creationId xmlns:a16="http://schemas.microsoft.com/office/drawing/2014/main" id="{8FD41F26-04DE-40E9-948E-CAD0A7982F9C}"/>
            </a:ext>
          </a:extLst>
        </xdr:cNvPr>
        <xdr:cNvCxnSpPr/>
      </xdr:nvCxnSpPr>
      <xdr:spPr>
        <a:xfrm>
          <a:off x="6127750" y="3543300"/>
          <a:ext cx="717550" cy="977900"/>
        </a:xfrm>
        <a:prstGeom prst="straightConnector1">
          <a:avLst/>
        </a:prstGeom>
        <a:ln w="38100">
          <a:solidFill>
            <a:schemeClr val="accent1">
              <a:lumMod val="20000"/>
              <a:lumOff val="80000"/>
            </a:schemeClr>
          </a:solidFill>
          <a:tailEnd type="triangle"/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546100</xdr:colOff>
      <xdr:row>8</xdr:row>
      <xdr:rowOff>165100</xdr:rowOff>
    </xdr:from>
    <xdr:to>
      <xdr:col>8</xdr:col>
      <xdr:colOff>1898650</xdr:colOff>
      <xdr:row>20</xdr:row>
      <xdr:rowOff>133350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5336FF41-868C-4B2B-8E3C-330BE3917AA0}"/>
            </a:ext>
          </a:extLst>
        </xdr:cNvPr>
        <xdr:cNvCxnSpPr/>
      </xdr:nvCxnSpPr>
      <xdr:spPr>
        <a:xfrm flipH="1">
          <a:off x="8788400" y="3594100"/>
          <a:ext cx="1352550" cy="2565400"/>
        </a:xfrm>
        <a:prstGeom prst="straightConnector1">
          <a:avLst/>
        </a:prstGeom>
        <a:ln w="38100">
          <a:solidFill>
            <a:schemeClr val="accent6">
              <a:lumMod val="20000"/>
              <a:lumOff val="80000"/>
            </a:schemeClr>
          </a:solidFill>
          <a:tailEnd type="triangle"/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405131</xdr:colOff>
      <xdr:row>6</xdr:row>
      <xdr:rowOff>349250</xdr:rowOff>
    </xdr:from>
    <xdr:to>
      <xdr:col>3</xdr:col>
      <xdr:colOff>660400</xdr:colOff>
      <xdr:row>7</xdr:row>
      <xdr:rowOff>120650</xdr:rowOff>
    </xdr:to>
    <xdr:sp macro="" textlink="">
      <xdr:nvSpPr>
        <xdr:cNvPr id="27" name="화살표: 아래쪽 26">
          <a:extLst>
            <a:ext uri="{FF2B5EF4-FFF2-40B4-BE49-F238E27FC236}">
              <a16:creationId xmlns:a16="http://schemas.microsoft.com/office/drawing/2014/main" id="{57D6A2F3-EAAE-F0F3-4829-31E80CBF6FC2}"/>
            </a:ext>
          </a:extLst>
        </xdr:cNvPr>
        <xdr:cNvSpPr/>
      </xdr:nvSpPr>
      <xdr:spPr>
        <a:xfrm>
          <a:off x="2837181" y="3098800"/>
          <a:ext cx="255269" cy="234950"/>
        </a:xfrm>
        <a:prstGeom prst="downArrow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7</xdr:col>
      <xdr:colOff>779781</xdr:colOff>
      <xdr:row>6</xdr:row>
      <xdr:rowOff>336550</xdr:rowOff>
    </xdr:from>
    <xdr:to>
      <xdr:col>7</xdr:col>
      <xdr:colOff>1035050</xdr:colOff>
      <xdr:row>7</xdr:row>
      <xdr:rowOff>107950</xdr:rowOff>
    </xdr:to>
    <xdr:sp macro="" textlink="">
      <xdr:nvSpPr>
        <xdr:cNvPr id="28" name="화살표: 아래쪽 27">
          <a:extLst>
            <a:ext uri="{FF2B5EF4-FFF2-40B4-BE49-F238E27FC236}">
              <a16:creationId xmlns:a16="http://schemas.microsoft.com/office/drawing/2014/main" id="{A29DB865-5E8D-4D81-92F8-CCF90E68E63C}"/>
            </a:ext>
          </a:extLst>
        </xdr:cNvPr>
        <xdr:cNvSpPr/>
      </xdr:nvSpPr>
      <xdr:spPr>
        <a:xfrm>
          <a:off x="7110731" y="3086100"/>
          <a:ext cx="255269" cy="234950"/>
        </a:xfrm>
        <a:prstGeom prst="downArrow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875031</xdr:colOff>
      <xdr:row>6</xdr:row>
      <xdr:rowOff>311150</xdr:rowOff>
    </xdr:from>
    <xdr:to>
      <xdr:col>8</xdr:col>
      <xdr:colOff>1130300</xdr:colOff>
      <xdr:row>7</xdr:row>
      <xdr:rowOff>82550</xdr:rowOff>
    </xdr:to>
    <xdr:sp macro="" textlink="">
      <xdr:nvSpPr>
        <xdr:cNvPr id="29" name="화살표: 아래쪽 28">
          <a:extLst>
            <a:ext uri="{FF2B5EF4-FFF2-40B4-BE49-F238E27FC236}">
              <a16:creationId xmlns:a16="http://schemas.microsoft.com/office/drawing/2014/main" id="{AB6DB11C-AA78-428A-80DB-F6B5B9C302AC}"/>
            </a:ext>
          </a:extLst>
        </xdr:cNvPr>
        <xdr:cNvSpPr/>
      </xdr:nvSpPr>
      <xdr:spPr>
        <a:xfrm>
          <a:off x="9117331" y="3060700"/>
          <a:ext cx="255269" cy="234950"/>
        </a:xfrm>
        <a:prstGeom prst="downArrow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863752</xdr:colOff>
      <xdr:row>178</xdr:row>
      <xdr:rowOff>109797</xdr:rowOff>
    </xdr:from>
    <xdr:to>
      <xdr:col>39</xdr:col>
      <xdr:colOff>312383</xdr:colOff>
      <xdr:row>201</xdr:row>
      <xdr:rowOff>105003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381630-94B8-4230-A462-256E52C8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41866" y="89817472"/>
          <a:ext cx="6887497" cy="498765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41</xdr:col>
      <xdr:colOff>273869</xdr:colOff>
      <xdr:row>177</xdr:row>
      <xdr:rowOff>233745</xdr:rowOff>
    </xdr:from>
    <xdr:to>
      <xdr:col>45</xdr:col>
      <xdr:colOff>85857</xdr:colOff>
      <xdr:row>200</xdr:row>
      <xdr:rowOff>187493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B87109-C72B-446E-B402-756A7655CA34}"/>
            </a:ext>
            <a:ext uri="{147F2762-F138-4A5C-976F-8EAC2B608ADB}">
              <a16:predDERef xmlns:a16="http://schemas.microsoft.com/office/drawing/2014/main" pred="{7D381630-94B8-4230-A462-256E52C8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72944" y="89540145"/>
          <a:ext cx="4113653" cy="490975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233745</xdr:rowOff>
    </xdr:from>
    <xdr:to>
      <xdr:col>1</xdr:col>
      <xdr:colOff>2178422</xdr:colOff>
      <xdr:row>197</xdr:row>
      <xdr:rowOff>187493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9C2D2B-FF19-4E43-A7C3-9ECD0E5CBD02}"/>
            </a:ext>
            <a:ext uri="{147F2762-F138-4A5C-976F-8EAC2B608ADB}">
              <a16:predDERef xmlns:a16="http://schemas.microsoft.com/office/drawing/2014/main" pred="{7D381630-94B8-4230-A462-256E52C81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18444" y="46547470"/>
          <a:ext cx="4111997" cy="500834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92075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04B5789-EC93-45DF-9867-4BF7FD0D1CDC}"/>
            </a:ext>
          </a:extLst>
        </xdr:cNvPr>
        <xdr:cNvSpPr>
          <a:spLocks noChangeAspect="1" noChangeArrowheads="1"/>
        </xdr:cNvSpPr>
      </xdr:nvSpPr>
      <xdr:spPr bwMode="auto">
        <a:xfrm>
          <a:off x="0" y="788670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92075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F62E789-39F3-4887-8F41-6B37EFAA4330}"/>
            </a:ext>
          </a:extLst>
        </xdr:cNvPr>
        <xdr:cNvSpPr>
          <a:spLocks noChangeAspect="1" noChangeArrowheads="1"/>
        </xdr:cNvSpPr>
      </xdr:nvSpPr>
      <xdr:spPr bwMode="auto">
        <a:xfrm>
          <a:off x="0" y="1051560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98425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86AF6D5-7F19-4FDF-8D50-2A8ED59129E6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0"/>
          <a:ext cx="304800" cy="32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(주)광장건설 건축사업본부 대리 이민후" id="{16AE0A8E-847A-41B2-9E66-454425C09975}" userId="S::harmony@clubhaus.co.kr::b1a288aa-f129-4a6c-afc6-e42ddd6a541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76D5FC-D48B-489F-980F-39020CEBDA4F}" name="표3" displayName="표3" ref="A4:DF166" headerRowDxfId="405" dataDxfId="403" totalsRowDxfId="401" headerRowBorderDxfId="404" tableBorderDxfId="402">
  <autoFilter ref="A4:DF166" xr:uid="{1D76D5FC-D48B-489F-980F-39020CEBDA4F}"/>
  <sortState xmlns:xlrd2="http://schemas.microsoft.com/office/spreadsheetml/2017/richdata2" ref="A5:DF166">
    <sortCondition ref="C4:C166"/>
  </sortState>
  <tableColumns count="110">
    <tableColumn id="1" xr3:uid="{52CFEF43-0D51-425F-8C79-32FE8793F31B}" name="공동주택_x000a_표시" dataDxfId="400" totalsRowDxfId="399"/>
    <tableColumn id="2" xr3:uid="{44A4EE72-2500-4EAB-9F24-E8736BD1E9E2}" name="연번" dataDxfId="398" totalsRowDxfId="397"/>
    <tableColumn id="5" xr3:uid="{6D068F54-13B3-414D-A1FD-EDA605AB3053}" name="본 번" dataDxfId="396" totalsRowDxfId="395"/>
    <tableColumn id="6" xr3:uid="{BAA697EC-21A5-4A3F-A94B-41A6FC3E0BBA}" name="부 번" dataDxfId="394" totalsRowDxfId="393"/>
    <tableColumn id="9" xr3:uid="{0052EA5B-45C7-4E22-A9EA-09DAA20A5AF0}" name="건물명" dataDxfId="392" totalsRowDxfId="391"/>
    <tableColumn id="3" xr3:uid="{6E3C8A05-3B42-494A-AA2A-8DEF7CF27820}" name="호수" dataDxfId="390"/>
    <tableColumn id="50" xr3:uid="{CE59545E-2EC7-4589-AE21-F36F6AB2651E}" name="징구일자" dataDxfId="389" totalsRowDxfId="388"/>
    <tableColumn id="49" xr3:uid="{8F886C0C-7572-45DB-B842-7A9635CA8AAE}" name="징구현황" dataDxfId="387" totalsRowDxfId="386"/>
    <tableColumn id="48" xr3:uid="{263D94F0-26CF-48FD-AD7A-7A30DF11377F}" name="성향" dataDxfId="385" totalsRowDxfId="384"/>
    <tableColumn id="47" xr3:uid="{F42D1C20-2834-4FDD-B090-3B9D2E48614C}" name="대표자동의서" dataDxfId="383" totalsRowDxfId="382"/>
    <tableColumn id="46" xr3:uid="{8A792800-B38F-4DFC-8BB3-AAD1619CECA0}" name="조합설립동의서" totalsRowFunction="custom" dataDxfId="381" totalsRowDxfId="380">
      <totalsRowFormula>COUNTIF(표3[조합설립동의서],"O")</totalsRowFormula>
    </tableColumn>
    <tableColumn id="45" xr3:uid="{72A00F6F-5409-4256-AD8C-F31DEB86B332}" name="개인정보" totalsRowFunction="custom" dataDxfId="379" totalsRowDxfId="378">
      <totalsRowFormula>COUNTIF(표3[개인정보],"O")</totalsRowFormula>
    </tableColumn>
    <tableColumn id="43" xr3:uid="{C1B41504-0DD7-41AF-B143-41C5EFC79D4F}" name="신분증" totalsRowFunction="custom" dataDxfId="377" totalsRowDxfId="376">
      <totalsRowFormula>COUNTIF(표3[신분증],"O")</totalsRowFormula>
    </tableColumn>
    <tableColumn id="42" xr3:uid="{A90A002F-6E32-46F8-ACEB-90B48D0560B7}" name="접촉현황" dataDxfId="375" totalsRowDxfId="374"/>
    <tableColumn id="41" xr3:uid="{6D345364-C159-4DA7-A08B-FF56457B6FB3}" name="접촉일자" dataDxfId="373" totalsRowDxfId="372"/>
    <tableColumn id="40" xr3:uid="{614D1417-85D1-4DDE-94A6-B1A1C5404DAE}" name="상담내용" dataDxfId="371" totalsRowDxfId="370"/>
    <tableColumn id="7" xr3:uid="{B4EFE4F8-15EB-415A-8F87-9726DB236A33}" name="지목" dataDxfId="369" totalsRowDxfId="368"/>
    <tableColumn id="29" xr3:uid="{8248B1EA-B1E6-4FBB-A6D8-7FC08AEF4BE4}" name="공부면적" dataDxfId="367" totalsRowDxfId="366"/>
    <tableColumn id="30" xr3:uid="{07632301-5895-4D1C-AFEF-015CF6FD0978}" name="편입면적" dataDxfId="365" totalsRowDxfId="364"/>
    <tableColumn id="94" xr3:uid="{8FBB32FB-CC71-4871-BB62-F4AF45DC72B7}" name="대지지분비율" dataDxfId="363">
      <calculatedColumnFormula>표3[[#This Row],[편입면적]]/(SUM(표3[공부면적]))</calculatedColumnFormula>
    </tableColumn>
    <tableColumn id="97" xr3:uid="{CF7DCC60-A01E-479B-9F68-B0C4FC1B18BA}" name="과소_x000a_필지" dataDxfId="362" totalsRowDxfId="361"/>
    <tableColumn id="8" xr3:uid="{A8841118-499A-4400-9736-8035D3D324A3}" name="공유여부" dataDxfId="360" totalsRowDxfId="359"/>
    <tableColumn id="11" xr3:uid="{21A33679-F99C-48B0-8634-B56A307FBC13}" name="전유면적" dataDxfId="358" totalsRowDxfId="357"/>
    <tableColumn id="12" xr3:uid="{AB409D89-2FA6-45E0-B076-0249C7160807}" name="지하" dataDxfId="356" totalsRowDxfId="355"/>
    <tableColumn id="96" xr3:uid="{92F0165F-0108-46F9-8547-584E07BE2641}" name="지상,지하 계" dataDxfId="354" totalsRowDxfId="353"/>
    <tableColumn id="95" xr3:uid="{AE66EE10-127B-42A0-BFD4-3783D86F2D84}" name="연면적" dataDxfId="352" totalsRowDxfId="351"/>
    <tableColumn id="85" xr3:uid="{D26185C6-E3D0-4508-A302-461074BE755F}" name="지하층용도" dataDxfId="350" totalsRowDxfId="349"/>
    <tableColumn id="89" xr3:uid="{3F4687C0-EDF5-4E97-8D90-74961BBD6B91}" name="공유여부2" dataDxfId="348" totalsRowDxfId="347"/>
    <tableColumn id="14" xr3:uid="{0CA096E5-54AA-4EED-96F6-429497512DF5}" name="사용승인일자" dataDxfId="346" totalsRowDxfId="345"/>
    <tableColumn id="15" xr3:uid="{01F09385-56D1-41CA-BD20-4047E871B15E}" name="건물연령" dataDxfId="344" totalsRowDxfId="343"/>
    <tableColumn id="79" xr3:uid="{E8156ED9-4D0C-4DCD-8281-91D037A90C6C}" name="노후판정" totalsRowFunction="custom" dataDxfId="342" totalsRowDxfId="341">
      <calculatedColumnFormula array="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calculatedColumnFormula>
      <totalsRowFormula>COUNTIF(표3[노후판정],"o")</totalsRowFormula>
    </tableColumn>
    <tableColumn id="16" xr3:uid="{89A8FF8F-8304-4175-97DB-2A62C46AB6E8}" name="허가" dataDxfId="340" totalsRowDxfId="339"/>
    <tableColumn id="17" xr3:uid="{5865ABC4-E408-4BC3-81C2-122FD6955779}" name="주구조" dataDxfId="338" totalsRowDxfId="337"/>
    <tableColumn id="39" xr3:uid="{C5BFFDA7-02C0-424D-80C3-1539592C71FE}" name="보조구조" dataDxfId="336" totalsRowDxfId="335"/>
    <tableColumn id="18" xr3:uid="{E188C968-7648-4A18-AAAA-DA0EE8630E6E}" name="주용도" dataDxfId="334" totalsRowDxfId="333"/>
    <tableColumn id="90" xr3:uid="{0E06EEEF-FDDE-4B9C-9C33-003879B4A062}" name="세부용도" dataDxfId="332" totalsRowDxfId="331"/>
    <tableColumn id="87" xr3:uid="{CE021C25-9619-4FDE-BE2E-9CBE6183258D}" name="세대수" dataDxfId="330" totalsRowDxfId="329"/>
    <tableColumn id="13" xr3:uid="{09B3A0C8-68FC-4DD3-9530-C7039873E046}" name="가구수" dataDxfId="328" totalsRowDxfId="327"/>
    <tableColumn id="19" xr3:uid="{6D677A09-27E1-4697-A419-4F7021E78812}" name="지상2" dataDxfId="326" totalsRowDxfId="325"/>
    <tableColumn id="20" xr3:uid="{6F804108-50FA-41DD-B703-27C75EC0C391}" name="지하3" dataDxfId="324" totalsRowDxfId="323"/>
    <tableColumn id="21" xr3:uid="{27A130BB-2492-48E6-BDDA-40DD212114EB}" name="성  명" dataDxfId="322" totalsRowDxfId="321"/>
    <tableColumn id="22" xr3:uid="{06D9CE4B-6A0B-4C2F-82FA-716022722C1B}" name="연락처" dataDxfId="320" totalsRowDxfId="319"/>
    <tableColumn id="10" xr3:uid="{B8856E8A-1D08-43AA-98B7-06DF6FF21145}" name="비고" dataDxfId="318" totalsRowDxfId="317"/>
    <tableColumn id="23" xr3:uid="{85EC2D39-BCDC-42DC-BE7D-ACFF627CB13F}" name="생년월일" dataDxfId="316" totalsRowDxfId="315"/>
    <tableColumn id="4" xr3:uid="{4B66E567-6C4F-47CB-A458-8BBF6FA43077}" name="연령" dataDxfId="314" totalsRowDxfId="313">
      <calculatedColumnFormula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calculatedColumnFormula>
    </tableColumn>
    <tableColumn id="24" xr3:uid="{A224DF2B-734F-4362-BF4A-52833CE36C9F}" name="주소" dataDxfId="312" totalsRowDxfId="311"/>
    <tableColumn id="25" xr3:uid="{64FC8B5E-04A0-4D71-9F1A-92D87DDE616B}" name="거주중" dataDxfId="310" totalsRowDxfId="309"/>
    <tableColumn id="93" xr3:uid="{40CADFD4-37BE-45F4-8346-D41337F5D39E}" name="준비위원" dataDxfId="308" totalsRowDxfId="307"/>
    <tableColumn id="92" xr3:uid="{52B80DBE-38E0-437A-9F93-9E175EFF5148}" name="1차 우편 반송자" dataDxfId="306" totalsRowDxfId="305">
      <calculatedColumnFormula>IF(COUNTIF('설명회 참석자 명부'!$W$4:$W$29,표3[[#This Row],[성  명]])&gt;0,"O","")</calculatedColumnFormula>
    </tableColumn>
    <tableColumn id="91" xr3:uid="{60718E1B-8F66-4627-A6FE-52C4F7266720}" name="1차우편 반송사유" dataDxfId="304" totalsRowDxfId="303">
      <calculatedColumnFormula>_xlfn.XLOOKUP(표3[[#This Row],[성  명]],'설명회 참석자 명부'!$W$4:$W$29,'설명회 참석자 명부'!$X$4:$X$29,"")</calculatedColumnFormula>
    </tableColumn>
    <tableColumn id="112" xr3:uid="{BE2BE7FA-4E44-493E-AC5D-4B7228DDF50B}" name="2차우편 반송사유" dataDxfId="302" totalsRowDxfId="301"/>
    <tableColumn id="113" xr3:uid="{6EA158EA-C4CB-49B3-BF74-4A1007D4B82B}" name="3차우편 반송자" dataDxfId="300" totalsRowDxfId="299"/>
    <tableColumn id="76" xr3:uid="{42B74D78-1B00-4E1E-9788-79A45721F64B}" name="1차설명회 참석자" dataDxfId="298" totalsRowDxfId="297"/>
    <tableColumn id="53" xr3:uid="{B3F3BA6B-C6AE-41E6-AB1E-53FBA2A17FBC}" name="2차설명회 참석자" dataDxfId="296" totalsRowDxfId="295"/>
    <tableColumn id="28" xr3:uid="{CBBEF593-D6DC-492A-9383-3C4039B4E398}" name="열3" dataDxfId="294" totalsRowDxfId="293"/>
    <tableColumn id="27" xr3:uid="{E7E6319D-5C2B-4916-8F78-5A874D7F6D34}" name="열2" dataDxfId="292" totalsRowDxfId="291"/>
    <tableColumn id="26" xr3:uid="{AA7E6D8C-A387-437C-9B3B-F377E1EC706B}" name="열1" dataDxfId="290" totalsRowDxfId="289"/>
    <tableColumn id="57" xr3:uid="{AC17BCE8-31AA-463E-9390-0AEA8151FD91}" name="일자" dataDxfId="288" totalsRowDxfId="287"/>
    <tableColumn id="56" xr3:uid="{00A2DAC7-339C-4894-BB4C-6EBA1CE99986}" name="등기원인" dataDxfId="286" totalsRowDxfId="285"/>
    <tableColumn id="55" xr3:uid="{5E230BA3-C9E7-4813-9C63-6A664AE26119}" name="내역" dataDxfId="284" totalsRowDxfId="283"/>
    <tableColumn id="54" xr3:uid="{ABAAB8AE-1BE1-47A0-88AD-49370C071917}" name="금액" dataDxfId="282" totalsRowDxfId="281"/>
    <tableColumn id="52" xr3:uid="{F6BFE44E-D553-4AF2-92E5-4B2B97F18F81}" name="추정실채권액" dataDxfId="280" totalsRowDxfId="279"/>
    <tableColumn id="75" xr3:uid="{A4DFCB4D-504B-47BF-86A1-84A2A3C74E82}" name="분류1" dataDxfId="278" totalsRowDxfId="277">
      <calculatedColumnFormula>IFERROR(LEFT(표3[[#This Row],[주소]],FIND(" ",표3[[#This Row],[주소]])-1),"")</calculatedColumnFormula>
    </tableColumn>
    <tableColumn id="74" xr3:uid="{4A293695-95A0-4E9D-B9A4-CEC397D56A7D}" name="분류2" dataDxfId="276" totalsRowDxfId="275">
      <calculatedColumnFormula>IFERROR(MID(표3[[#This Row],[주소]], FIND(" ", 표3[[#This Row],[주소]])+1, FIND(" ", 표3[[#This Row],[주소]], FIND(" ", 표3[[#This Row],[주소]])+1) - FIND(" ", 표3[[#This Row],[주소]])-1),"")</calculatedColumnFormula>
    </tableColumn>
    <tableColumn id="73" xr3:uid="{07F3E55D-1AEB-44DA-AADA-3337177F8896}" name="분류3" dataDxfId="274" totalsRowDxfId="273">
      <calculatedColumnFormula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calculatedColumnFormula>
    </tableColumn>
    <tableColumn id="72" xr3:uid="{8425CD30-FCA5-48B7-81FF-89BD768CCA2C}" name="도로명" dataDxfId="272" totalsRowDxfId="271"/>
    <tableColumn id="71" xr3:uid="{B798C00D-B72B-4E37-9FD0-5417061D2173}" name="내부_x000a_확인" dataDxfId="270" totalsRowDxfId="269"/>
    <tableColumn id="70" xr3:uid="{C80E7D18-9344-4ABA-A3A0-444AADCDF603}" name="내부_x000a_확인2" dataDxfId="268" totalsRowDxfId="267"/>
    <tableColumn id="69" xr3:uid="{EAE9712E-BC03-4AAB-97D0-A9861FE27C7A}" name="동+건물명" dataDxfId="266" totalsRowDxfId="265"/>
    <tableColumn id="68" xr3:uid="{308AA7EC-A67D-4BF9-B9A3-A77DC30432B6}" name="동명" dataDxfId="264" totalsRowDxfId="263"/>
    <tableColumn id="110" xr3:uid="{173BE296-EDEF-4F87-906A-C61E6852BF6E}" name="편입면적3" dataDxfId="262"/>
    <tableColumn id="109" xr3:uid="{9889508C-8A18-40D5-885B-A64EA826D540}" name="토지단가" dataDxfId="261"/>
    <tableColumn id="108" xr3:uid="{541ACD63-37A1-4FE6-9A14-1A82674B8377}" name="토지가액" dataDxfId="260"/>
    <tableColumn id="107" xr3:uid="{6A9CC9C5-46CF-46D4-9330-07F71875AA49}" name="주용도4" dataDxfId="259"/>
    <tableColumn id="106" xr3:uid="{AF30CDBE-52B5-4834-A409-CE66CC351AAD}" name="연면적5" dataDxfId="258"/>
    <tableColumn id="105" xr3:uid="{8BC83045-C168-41AE-A977-01D3EADAF5BB}" name="건물가액" dataDxfId="257"/>
    <tableColumn id="104" xr3:uid="{56F3804C-3008-4673-B30A-5E1D9450592C}" name="주용도6" dataDxfId="256"/>
    <tableColumn id="103" xr3:uid="{D6D83362-BE3C-4EFE-80CD-8A72F1A04584}" name="전유면적2" dataDxfId="255"/>
    <tableColumn id="102" xr3:uid="{40AC331E-CA5D-4E05-A748-438C43F5AABC}" name="대지권면적" dataDxfId="254"/>
    <tableColumn id="101" xr3:uid="{4ECC382C-7B25-40B6-BBA6-51C6F3D60EEB}" name="집합가액" dataDxfId="253"/>
    <tableColumn id="100" xr3:uid="{44FB9C22-7148-4D05-B33C-1ED7DF28E2CF}" name="종전추정가액" dataDxfId="252"/>
    <tableColumn id="99" xr3:uid="{9380A0C2-5963-4C0B-8220-8319EEB177CA}" name="권리가액" dataDxfId="251">
      <calculatedColumnFormula>표3[[#This Row],[종전추정가액]]*1.5219</calculatedColumnFormula>
    </tableColumn>
    <tableColumn id="81" xr3:uid="{08DA4E0A-EE1C-4E1D-908F-678695D84215}" name="토지*배당환산금" dataDxfId="250" totalsRowDxfId="249"/>
    <tableColumn id="80" xr3:uid="{76A12885-FAAE-4C86-A160-00285A6024A2}" name="건물_x000a_보정" dataDxfId="248" totalsRowDxfId="247"/>
    <tableColumn id="83" xr3:uid="{B9C50918-59BB-4424-82E8-7E5F699831DA}" name="위치_x000a_보정" dataDxfId="246" totalsRowDxfId="245"/>
    <tableColumn id="84" xr3:uid="{ADF84E42-DE81-4BD2-9AD0-0B6884D6DB6E}" name="소형주택_x000a_보정" dataDxfId="244" totalsRowDxfId="243"/>
    <tableColumn id="88" xr3:uid="{0BC036A7-EB23-4E13-9F59-A9249DF9EEE1}" name="건물구조_x000a_보정" dataDxfId="242" totalsRowDxfId="241"/>
    <tableColumn id="86" xr3:uid="{4C062861-A6C5-4955-AA2D-9DFEF792AAC0}" name="경과년수_x000a_보정" dataDxfId="240" totalsRowDxfId="239"/>
    <tableColumn id="82" xr3:uid="{36A9FD74-2BAD-4425-862D-D7691D564A21}" name="평가금액" dataDxfId="238" totalsRowDxfId="237"/>
    <tableColumn id="37" xr3:uid="{1A68F373-5ED3-4B41-89B1-8E6D3346B3D4}" name="공시지가" dataDxfId="236" totalsRowDxfId="235"/>
    <tableColumn id="38" xr3:uid="{57F01146-2BD0-48B9-B0B5-006D886F452B}" name="공시가격" dataDxfId="234" totalsRowDxfId="233"/>
    <tableColumn id="31" xr3:uid="{A8FBCDFB-5ECA-4655-B8F9-C943680038D9}" name="토지단가_x000a_(평)" dataDxfId="232" totalsRowDxfId="231"/>
    <tableColumn id="32" xr3:uid="{E87E0243-90BB-4305-879D-323687E6BA6B}" name="건물단가_x000a_(평)" dataDxfId="230" totalsRowDxfId="229"/>
    <tableColumn id="33" xr3:uid="{E3C92035-D12A-4700-86AB-BC7BFF2DC3E2}" name="토지가격_x000a_" dataDxfId="228" totalsRowDxfId="227"/>
    <tableColumn id="34" xr3:uid="{DBE994DD-95D5-436B-A058-60DBF2694E72}" name="건물가격_x000a_" dataDxfId="226" totalsRowDxfId="225"/>
    <tableColumn id="35" xr3:uid="{C07BF800-1EB7-4262-A51E-843C6F29C954}" name="종전자산_x000a_" dataDxfId="224" totalsRowDxfId="223"/>
    <tableColumn id="36" xr3:uid="{B5F2CBAD-2EF1-4DFB-B263-0374F6B3A723}" name="평가액-f팀" dataDxfId="222" totalsRowDxfId="221"/>
    <tableColumn id="51" xr3:uid="{102FD32D-0B3E-4312-82E3-C8B4DEA86E70}" name="층" dataDxfId="220" totalsRowDxfId="219"/>
    <tableColumn id="58" xr3:uid="{025A3BEC-A05C-4300-A5C3-42D99E25EC02}" name="호수2" dataDxfId="218" totalsRowDxfId="217"/>
    <tableColumn id="59" xr3:uid="{8E24D0FE-794C-4C92-8C58-B61782BD7B51}" name="전용면적" dataDxfId="216" totalsRowDxfId="215"/>
    <tableColumn id="60" xr3:uid="{F5F3ACCD-53DA-4B7C-AD7B-0DD30DF479CB}" name="계약면적" dataDxfId="214" totalsRowDxfId="213"/>
    <tableColumn id="61" xr3:uid="{0DD3361B-9858-41A3-B475-0B0F1A39BB5B}" name="평가금액_x000a_(분양액)" dataDxfId="212" totalsRowDxfId="211"/>
    <tableColumn id="62" xr3:uid="{7794664D-873E-4386-A676-4EB4C79185F4}" name="입주물건가액" dataDxfId="210" totalsRowDxfId="209"/>
    <tableColumn id="63" xr3:uid="{F8A2C940-7A5F-4E93-8243-38A4CE5F88FB}" name="비고2" dataDxfId="208" totalsRowDxfId="207"/>
    <tableColumn id="64" xr3:uid="{8FBEF5AA-7E58-4B3A-8898-5FB63CA35DF9}" name="기지급_x000a_이주비" dataDxfId="206" totalsRowDxfId="205"/>
    <tableColumn id="65" xr3:uid="{FD4326DA-B57C-4F93-A4A3-A45D387CF0B5}" name="미지급_x000a_이주비" dataDxfId="204" totalsRowDxfId="203"/>
    <tableColumn id="66" xr3:uid="{6E99B3F9-9095-484D-B561-94670B201CFF}" name="비고3" dataDxfId="202" totalsRowDxfId="201"/>
    <tableColumn id="67" xr3:uid="{230F67E0-1C9B-4763-A690-AAAB7F0752BD}" name="분양자잔금" dataDxfId="200" totalsRowDxfId="199"/>
    <tableColumn id="77" xr3:uid="{05F29A84-64AA-4BEA-829F-E9D836F10E8F}" name="대출이자" dataDxfId="198" totalsRowDxfId="197"/>
    <tableColumn id="78" xr3:uid="{B181DC7A-9EED-4CA9-81E2-EB599B33F761}" name="청산자잔금" dataDxfId="196" totalsRowDxfId="1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6F6D2B-656E-415F-AEFC-EDE6CC266D67}" name="표6" displayName="표6" ref="A4:W833" totalsRowShown="0" tableBorderDxfId="194">
  <autoFilter ref="A4:W833" xr:uid="{486F6D2B-656E-415F-AEFC-EDE6CC266D67}"/>
  <tableColumns count="23">
    <tableColumn id="1" xr3:uid="{85D1B3E0-B127-4458-9138-96DA86FB90A2}" name="구역" dataDxfId="193"/>
    <tableColumn id="2" xr3:uid="{9F8B291F-186E-417C-93E9-A40D36F3C904}" name="순번" dataDxfId="192"/>
    <tableColumn id="3" xr3:uid="{3C022360-8F64-4BC8-9548-C39440A4BBD9}" name="본 번" dataDxfId="191"/>
    <tableColumn id="4" xr3:uid="{6420B945-4C11-45C2-8690-4970B599F167}" name="부 번" dataDxfId="190"/>
    <tableColumn id="5" xr3:uid="{7F418D3B-8FE1-4870-8800-0EC0F2B04C23}" name="건물명" dataDxfId="189"/>
    <tableColumn id="6" xr3:uid="{E272E195-97E3-498F-8C4A-5D570107489B}" name="건물동" dataDxfId="188"/>
    <tableColumn id="7" xr3:uid="{2E02D546-73FA-4284-91B8-CBFCE10B6814}" name="호수" dataDxfId="187"/>
    <tableColumn id="8" xr3:uid="{21ED2FE6-EB3D-400E-A02C-058B9FAD154F}" name="지목" dataDxfId="186"/>
    <tableColumn id="25" xr3:uid="{50C3E76E-4A35-442F-A00D-89748FBB02C4}" name="소유면적" dataDxfId="185"/>
    <tableColumn id="24" xr3:uid="{EFC7733E-D4A0-4934-8A98-5BEC8C02114C}" name="편입면적" dataDxfId="184"/>
    <tableColumn id="9" xr3:uid="{29DF776D-F655-4B8A-9D4F-BB26B2509BDD}" name="공유여부" dataDxfId="183"/>
    <tableColumn id="10" xr3:uid="{A6B172A1-FBB0-4FC0-8165-949E272240C9}" name="지역/지구" dataDxfId="182"/>
    <tableColumn id="11" xr3:uid="{3590C226-FD16-4146-9F5D-BBCA15F6EB10}" name="지상" dataDxfId="181"/>
    <tableColumn id="12" xr3:uid="{82666179-0E09-474B-9B0B-AF6A038843DA}" name="지하" dataDxfId="180"/>
    <tableColumn id="13" xr3:uid="{AE560060-1A43-468E-8A14-A725640A3602}" name="계" dataDxfId="179"/>
    <tableColumn id="14" xr3:uid="{16E4B85C-B97E-4726-BE98-D375DBC6AD2C}" name="연면적" dataDxfId="178"/>
    <tableColumn id="15" xr3:uid="{33156A6B-2960-4757-83A6-E938326CEB5F}" name="사용승인일자" dataDxfId="177"/>
    <tableColumn id="16" xr3:uid="{FFB15773-FBC3-4B29-A44A-8DBCF5936CEE}" name="연령" dataDxfId="176"/>
    <tableColumn id="17" xr3:uid="{A466C910-5547-430B-AB20-E7A5DD8C6F6B}" name="노후판정" dataDxfId="175"/>
    <tableColumn id="18" xr3:uid="{A4A6B537-491A-4DD9-82E3-F164FCAC7B66}" name="허가" dataDxfId="174"/>
    <tableColumn id="19" xr3:uid="{0FC0ED70-0DFB-497C-88A7-70FBE1BC8F45}" name="주구조" dataDxfId="173"/>
    <tableColumn id="20" xr3:uid="{13D24C01-8E5F-4560-98CE-336CA47E8726}" name="주용도" dataDxfId="172"/>
    <tableColumn id="21" xr3:uid="{13851848-6C04-4BB3-856E-2316DA90AA21}" name="지상2" dataDxfId="1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5DABC4-88C8-43FB-A896-6A0436025B72}" name="표5" displayName="표5" ref="A1:H34" totalsRowShown="0" headerRowDxfId="170" dataDxfId="168" headerRowBorderDxfId="169" tableBorderDxfId="167" totalsRowBorderDxfId="166">
  <autoFilter ref="A1:H34" xr:uid="{365DABC4-88C8-43FB-A896-6A0436025B72}"/>
  <sortState xmlns:xlrd2="http://schemas.microsoft.com/office/spreadsheetml/2017/richdata2" ref="A2:H2">
    <sortCondition ref="B1:B2"/>
  </sortState>
  <tableColumns count="8">
    <tableColumn id="1" xr3:uid="{E7B0A259-D211-4D0A-8E9B-342C8B8F4883}" name="소재지" dataDxfId="165"/>
    <tableColumn id="2" xr3:uid="{DB4414BD-F501-4A9C-9F08-970C2457AD67}" name="본번" dataDxfId="164"/>
    <tableColumn id="8" xr3:uid="{11996274-3469-4AB9-BA3C-A5259B1D5C66}" name="부번" dataDxfId="163"/>
    <tableColumn id="3" xr3:uid="{D574F409-E796-4EF6-BAAA-30411E2708BF}" name="지목" dataDxfId="162"/>
    <tableColumn id="4" xr3:uid="{D0B7756C-A603-40F2-9999-AC339D9461E9}" name="공부면적" dataDxfId="161"/>
    <tableColumn id="5" xr3:uid="{7BCB8F66-38E1-42E8-B6E8-F52664ADC40A}" name="편입면적" dataDxfId="160"/>
    <tableColumn id="6" xr3:uid="{9DE39690-96E1-4BD2-9702-00C7A4390617}" name="용도지역" dataDxfId="159"/>
    <tableColumn id="7" xr3:uid="{986AA0A3-B1EA-43F8-B451-08702F90AB56}" name="용도지역2" dataDxfId="1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CC2BA3-5B02-47DC-A7C0-4841929325DD}" name="표4" displayName="표4" ref="A1:I30" totalsRowShown="0" headerRowDxfId="157" dataDxfId="155" headerRowBorderDxfId="156" tableBorderDxfId="154" totalsRowBorderDxfId="153">
  <autoFilter ref="A1:I30" xr:uid="{4FCC2BA3-5B02-47DC-A7C0-4841929325DD}"/>
  <sortState xmlns:xlrd2="http://schemas.microsoft.com/office/spreadsheetml/2017/richdata2" ref="A2:I2">
    <sortCondition ref="B1:B2"/>
  </sortState>
  <tableColumns count="9">
    <tableColumn id="1" xr3:uid="{CDAD484F-AB96-442B-824D-1A9937517B95}" name="소재지" dataDxfId="152"/>
    <tableColumn id="2" xr3:uid="{A6425B6F-E436-419A-8BCB-6B3A35F9E7B0}" name="본번" dataDxfId="151"/>
    <tableColumn id="3" xr3:uid="{85051CAF-3E47-4970-9436-6273A1DB5294}" name="부번" dataDxfId="150"/>
    <tableColumn id="4" xr3:uid="{C92EBDCD-913F-4EAF-8A06-7526B56CDD5D}" name="지목" dataDxfId="149"/>
    <tableColumn id="5" xr3:uid="{A2D39585-C3E9-44F8-B0F2-0AEE834837CF}" name="연면적(㎡)" dataDxfId="148"/>
    <tableColumn id="6" xr3:uid="{5BAF3887-1B04-4552-B966-347E846E8AA9}" name="용도지역" dataDxfId="147"/>
    <tableColumn id="7" xr3:uid="{0F8A13B7-21D6-4411-84D1-F514C29B2C62}" name="주건물구조" dataDxfId="146"/>
    <tableColumn id="8" xr3:uid="{AFA47895-3AD4-48B9-904B-A30C5DE51181}" name="건물용도" dataDxfId="145"/>
    <tableColumn id="9" xr3:uid="{B25E45C8-8AAE-4919-95DF-90CC358CB3FE}" name="사용승인연도" dataDxfId="1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29T09:03:12.47" personId="{16AE0A8E-847A-41B2-9E66-454425C09975}" id="{BB6738D0-5A01-484A-BAE7-E7AFA8BD844D}">
    <text>공동주택,단독,기타등 중복으로 소유하고있는 사람때문에 수가 정확히 나오지 않음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ras.go.kr/mainView.do" TargetMode="External"/><Relationship Id="rId2" Type="http://schemas.openxmlformats.org/officeDocument/2006/relationships/hyperlink" Target="https://pro.aicon.city/" TargetMode="External"/><Relationship Id="rId1" Type="http://schemas.openxmlformats.org/officeDocument/2006/relationships/hyperlink" Target="https://binzib.reb.or.kr/binzib/binzibplatform/bisSupport/binzibLocalStateProcessMa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5A32-1C30-4BD2-B5ED-907F68082F23}">
  <sheetPr codeName="Sheet8">
    <pageSetUpPr fitToPage="1"/>
  </sheetPr>
  <dimension ref="A1:AP35"/>
  <sheetViews>
    <sheetView zoomScaleNormal="100" workbookViewId="0">
      <pane xSplit="1" ySplit="2" topLeftCell="N3" activePane="bottomRight" state="frozen"/>
      <selection pane="topRight" activeCell="B1" sqref="B1"/>
      <selection pane="bottomLeft" activeCell="A3" sqref="A3"/>
      <selection pane="bottomRight" activeCell="AA6" sqref="AA6"/>
    </sheetView>
  </sheetViews>
  <sheetFormatPr defaultColWidth="8.75" defaultRowHeight="17"/>
  <cols>
    <col min="1" max="1" width="11.33203125" style="569" bestFit="1" customWidth="1"/>
    <col min="2" max="2" width="10" bestFit="1" customWidth="1"/>
    <col min="3" max="3" width="10.5" bestFit="1" customWidth="1"/>
    <col min="4" max="4" width="14.83203125" customWidth="1"/>
    <col min="5" max="5" width="14.58203125" customWidth="1"/>
    <col min="6" max="6" width="12.83203125" bestFit="1" customWidth="1"/>
    <col min="7" max="7" width="8.75" bestFit="1" customWidth="1"/>
    <col min="8" max="8" width="25.08203125" customWidth="1"/>
    <col min="9" max="9" width="26.75" customWidth="1"/>
    <col min="10" max="10" width="22.25" bestFit="1" customWidth="1"/>
    <col min="11" max="11" width="10" bestFit="1" customWidth="1"/>
    <col min="12" max="12" width="8.5" customWidth="1"/>
    <col min="13" max="13" width="13.33203125" bestFit="1" customWidth="1"/>
    <col min="14" max="14" width="9" customWidth="1"/>
    <col min="15" max="15" width="13.58203125" bestFit="1" customWidth="1"/>
    <col min="16" max="16" width="12.58203125" customWidth="1"/>
    <col min="17" max="17" width="14.08203125" bestFit="1" customWidth="1"/>
    <col min="18" max="18" width="12.58203125" customWidth="1"/>
    <col min="19" max="19" width="13.83203125" bestFit="1" customWidth="1"/>
    <col min="20" max="25" width="12.58203125" customWidth="1"/>
    <col min="26" max="26" width="8" customWidth="1"/>
    <col min="27" max="27" width="16.58203125" bestFit="1" customWidth="1"/>
    <col min="28" max="28" width="14.5" bestFit="1" customWidth="1"/>
    <col min="29" max="29" width="13.33203125" bestFit="1" customWidth="1"/>
    <col min="30" max="30" width="13.58203125" customWidth="1"/>
    <col min="31" max="31" width="10.5" customWidth="1"/>
    <col min="32" max="32" width="14.08203125" bestFit="1" customWidth="1"/>
    <col min="33" max="33" width="8.5" bestFit="1" customWidth="1"/>
    <col min="34" max="34" width="2.58203125" customWidth="1"/>
    <col min="35" max="35" width="23.5" bestFit="1" customWidth="1"/>
    <col min="36" max="42" width="10.5" customWidth="1"/>
  </cols>
  <sheetData>
    <row r="1" spans="1:42" ht="17.5" thickBot="1">
      <c r="B1" s="899" t="s">
        <v>0</v>
      </c>
      <c r="C1" s="899"/>
      <c r="D1" s="899"/>
      <c r="E1" s="899"/>
      <c r="F1" s="915" t="s">
        <v>1</v>
      </c>
      <c r="G1" s="915"/>
      <c r="H1" s="915"/>
      <c r="I1" s="915"/>
    </row>
    <row r="2" spans="1:42" s="565" customFormat="1" ht="72.5" thickBot="1">
      <c r="A2" s="685" t="s">
        <v>2</v>
      </c>
      <c r="B2" s="902" t="s">
        <v>0</v>
      </c>
      <c r="C2" s="903"/>
      <c r="D2" s="686" t="s">
        <v>3</v>
      </c>
      <c r="E2" s="686" t="s">
        <v>4</v>
      </c>
      <c r="F2" s="904" t="s">
        <v>1</v>
      </c>
      <c r="G2" s="905"/>
      <c r="H2" s="687" t="s">
        <v>5</v>
      </c>
      <c r="I2" s="687" t="s">
        <v>6</v>
      </c>
      <c r="J2" s="688" t="s">
        <v>7</v>
      </c>
      <c r="K2" s="689" t="s">
        <v>8</v>
      </c>
      <c r="L2" s="688" t="s">
        <v>9</v>
      </c>
      <c r="M2" s="688" t="s">
        <v>10</v>
      </c>
      <c r="N2" s="906" t="s">
        <v>11</v>
      </c>
      <c r="O2" s="907"/>
      <c r="P2" s="906" t="s">
        <v>12</v>
      </c>
      <c r="Q2" s="907"/>
      <c r="R2" s="906" t="s">
        <v>13</v>
      </c>
      <c r="S2" s="907"/>
      <c r="T2" s="690" t="s">
        <v>14</v>
      </c>
      <c r="U2" s="690" t="s">
        <v>15</v>
      </c>
      <c r="V2" s="690" t="s">
        <v>16</v>
      </c>
      <c r="W2" s="690" t="s">
        <v>17</v>
      </c>
      <c r="X2" s="690" t="s">
        <v>18</v>
      </c>
      <c r="Y2" s="690" t="s">
        <v>19</v>
      </c>
      <c r="Z2" s="688" t="s">
        <v>20</v>
      </c>
      <c r="AA2" s="691" t="s">
        <v>21</v>
      </c>
      <c r="AB2" s="688" t="s">
        <v>22</v>
      </c>
      <c r="AC2" s="690" t="s">
        <v>23</v>
      </c>
      <c r="AD2" s="688" t="s">
        <v>24</v>
      </c>
      <c r="AE2" s="688" t="s">
        <v>25</v>
      </c>
      <c r="AF2" s="888" t="s">
        <v>26</v>
      </c>
      <c r="AG2" s="889"/>
      <c r="AH2" s="564"/>
      <c r="AI2" s="890"/>
      <c r="AJ2" s="891"/>
      <c r="AK2" s="891"/>
      <c r="AL2" s="891"/>
      <c r="AM2" s="891"/>
      <c r="AN2" s="891"/>
      <c r="AO2" s="891"/>
      <c r="AP2" s="892"/>
    </row>
    <row r="3" spans="1:42" ht="27.75" customHeight="1" thickTop="1" thickBot="1">
      <c r="A3" s="919" t="s">
        <v>27</v>
      </c>
      <c r="B3" s="921" cm="1">
        <f t="array" ref="B3">COUNTA(_xlfn.UNIQUE(_xlfn._xlws.FILTER(표3[연번],ISNUMBER(SEARCH("공동",표3[주용도])))))-1</f>
        <v>85</v>
      </c>
      <c r="C3" s="923">
        <f>B3/$B$7</f>
        <v>0.84158415841584155</v>
      </c>
      <c r="D3" s="923" cm="1">
        <f t="array" ref="D3">IFERROR(ROWS(_xlfn.UNIQUE(_xlfn._xlws.FILTER(표3[성  명], (ISNUMBER(SEARCH("공동", 표3[주용도]))) * ((표3[1차설명회 참석자]="O") + (표3[2차설명회 참석자]="O") &gt; 0)))), 0) / B7</f>
        <v>0.34653465346534651</v>
      </c>
      <c r="E3" s="923" cm="1">
        <f t="array" ref="E3">IFERROR(ROWS(_xlfn.UNIQUE(_xlfn._xlws.FILTER(표3[성  명], (ISNUMBER(SEARCH("공동", 표3[주용도]))) * ((표3[1차설명회 참석자]="O") + (표3[2차설명회 참석자]="O") &gt; 0)))) / ROWS(_xlfn.UNIQUE(_xlfn._xlws.FILTER(표3[성  명], ISNUMBER(SEARCH("공동", 표3[주용도]))))), 0)</f>
        <v>0.40697674418604651</v>
      </c>
      <c r="F3" s="577">
        <f>SUMIF(표3[주용도],"*공동*",표3[편입면적])</f>
        <v>4341.3280000000022</v>
      </c>
      <c r="G3" s="576">
        <f>F3/$F$7</f>
        <v>0.54240645850960323</v>
      </c>
      <c r="H3" s="576" cm="1">
        <f t="array" ref="H3">SUMPRODUCT((ISNUMBER(SEARCH("공동", 표3[주용도]))) * ((표3[1차설명회 참석자]="O") + (표3[2차설명회 참석자]="O") &gt; 0), 표3[편입면적])/F7</f>
        <v>0.2280892343013867</v>
      </c>
      <c r="I3" s="576" cm="1">
        <f t="array" ref="I3">SUMPRODUCT((ISNUMBER(SEARCH("공동", 표3[주용도]))) * ((표3[1차설명회 참석자]="O") + (표3[2차설명회 참석자]="O") &gt; 0), 표3[편입면적])/F3</f>
        <v>0.42051349264556809</v>
      </c>
      <c r="J3" s="577" t="s">
        <v>28</v>
      </c>
      <c r="K3" s="575">
        <f>COUNTIFS(표3[주용도],"*공동*",표3[조합설립동의서],"O")</f>
        <v>19</v>
      </c>
      <c r="L3" s="576">
        <f>K3/B3</f>
        <v>0.22352941176470589</v>
      </c>
      <c r="M3" s="576">
        <f>K3/$B$7</f>
        <v>0.18811881188118812</v>
      </c>
      <c r="N3" s="578">
        <f>COUNTIFS(표3[주용도],"*공동*",표3[거주중],"O")</f>
        <v>36</v>
      </c>
      <c r="O3" s="576">
        <f>N3/B3</f>
        <v>0.42352941176470588</v>
      </c>
      <c r="P3" s="578" cm="1">
        <f t="array" ref="P3">COUNTA(
  _xlfn.UNIQUE(
    _xlfn._xlws.FILTER(
      표3[연번],
      (표3[연번]&lt;&gt;"") *
      ISNUMBER(SEARCH("공동", 표3[주용도])) *
      (LEN(TRIM(표3[거주중]))=0) *
      (표3[분류2]="송파구")
    )
  )
)</f>
        <v>38</v>
      </c>
      <c r="Q3" s="576">
        <f>P3/B3</f>
        <v>0.44705882352941179</v>
      </c>
      <c r="R3" s="578" cm="1">
        <f t="array" ref="R3">COUNTA(_xlfn.UNIQUE(_xlfn._xlws.FILTER(표3[연번],
 (표3[연번]&lt;&gt;"")*(LEN(TRIM(표3[거주중]))=0)*NOT(ISNUMBER(SEARCH("송파구",표3[분류2])))*
 ISNUMBER(SEARCH("공동",표3[주용도]))*NOT(ISNUMBER(SEARCH("단독",표3[주용도])))
)))</f>
        <v>15</v>
      </c>
      <c r="S3" s="576">
        <f>R3/B3</f>
        <v>0.17647058823529413</v>
      </c>
      <c r="T3" s="576" cm="1">
        <f t="array" aca="1" ref="T3" ca="1">COUNTA(_xlfn.UNIQUE(_xlfn._xlws.FILTER(
 표3[연번],
 (표3[연번]&lt;&gt;"")*
 (표3[연령]="40대 미만")*
 ISNUMBER(SEARCH("공동",표3[주용도]))*
 NOT(ISNUMBER(SEARCH("단독",표3[주용도])))
)))/$B$3</f>
        <v>8.2352941176470587E-2</v>
      </c>
      <c r="U3" s="576" cm="1">
        <f t="array" aca="1" ref="U3" ca="1">COUNTA(_xlfn.UNIQUE(_xlfn._xlws.FILTER(
 표3[연번],
 (표3[연번]&lt;&gt;"")*
 (표3[연령]="40대")*
 ISNUMBER(SEARCH("공동",표3[주용도]))*
 NOT(ISNUMBER(SEARCH("단독",표3[주용도])))
)))/$B$3</f>
        <v>8.2352941176470587E-2</v>
      </c>
      <c r="V3" s="576" cm="1">
        <f t="array" aca="1" ref="V3" ca="1">COUNTA(_xlfn.UNIQUE(_xlfn._xlws.FILTER(
 표3[연번],
 (표3[연번]&lt;&gt;"")*
 (표3[연령]="50대")*
 ISNUMBER(SEARCH("공동",표3[주용도]))*
 NOT(ISNUMBER(SEARCH("단독",표3[주용도])))
)))/$B$3</f>
        <v>0.18823529411764706</v>
      </c>
      <c r="W3" s="576" cm="1">
        <f t="array" aca="1" ref="W3" ca="1">COUNTA(_xlfn.UNIQUE(_xlfn._xlws.FILTER(
 표3[연번],
 (표3[연번]&lt;&gt;"")*
 (표3[연령]="60대")*
 ISNUMBER(SEARCH("공동",표3[주용도]))*
 NOT(ISNUMBER(SEARCH("단독",표3[주용도])))
)))/$B$3</f>
        <v>0.41176470588235292</v>
      </c>
      <c r="X3" s="576" cm="1">
        <f t="array" aca="1" ref="X3" ca="1">COUNTA(_xlfn.UNIQUE(_xlfn._xlws.FILTER(
 표3[연번],
 (표3[연번]&lt;&gt;"")*
 (표3[연령]="70대")*
 ISNUMBER(SEARCH("공동",표3[주용도]))*
 NOT(ISNUMBER(SEARCH("단독",표3[주용도])))
)))/$B$3</f>
        <v>0.12941176470588237</v>
      </c>
      <c r="Y3" s="576" cm="1">
        <f t="array" aca="1" ref="Y3" ca="1">COUNTA(_xlfn.UNIQUE(_xlfn._xlws.FILTER(
 표3[연번],
 (표3[연번]&lt;&gt;"")*
 (표3[연령]="80대 이상")*
 ISNUMBER(SEARCH("공동",표3[주용도]))*
 NOT(ISNUMBER(SEARCH("단독",표3[주용도])))
)))/$B$3</f>
        <v>7.0588235294117646E-2</v>
      </c>
      <c r="Z3" s="575">
        <f>COUNTIFS(표3[주용도],"*공동*",표3[지상2],"&gt;0")</f>
        <v>14</v>
      </c>
      <c r="AA3" s="575">
        <f>COUNTIFS(표3[주용도],"*공동*",표3[지상2],"&gt;0",표3[노후판정],"O")</f>
        <v>4</v>
      </c>
      <c r="AB3" s="908">
        <f>AA7/Z7</f>
        <v>0.65517241379310343</v>
      </c>
      <c r="AC3" s="911">
        <f>SUMIF(표3[조합설립동의서],"O",표3[편입면적])/F7</f>
        <v>8.8865977629704149E-2</v>
      </c>
      <c r="AD3" s="914">
        <f>COUNTIFS(표3[조합설립동의서],"O",표3[노후판정],"O")/B7</f>
        <v>0</v>
      </c>
      <c r="AE3" s="900"/>
      <c r="AF3" s="216"/>
      <c r="AG3" s="217"/>
      <c r="AH3" s="215"/>
      <c r="AI3" s="147"/>
      <c r="AJ3" s="893"/>
      <c r="AK3" s="894"/>
      <c r="AL3" s="894"/>
      <c r="AM3" s="894"/>
      <c r="AN3" s="894"/>
      <c r="AO3" s="894"/>
      <c r="AP3" s="895"/>
    </row>
    <row r="4" spans="1:42" ht="44.15" customHeight="1" thickBot="1">
      <c r="A4" s="920"/>
      <c r="B4" s="922"/>
      <c r="C4" s="924"/>
      <c r="D4" s="924"/>
      <c r="E4" s="924"/>
      <c r="F4" s="692" t="s">
        <v>29</v>
      </c>
      <c r="G4" s="693" t="s">
        <v>30</v>
      </c>
      <c r="H4" s="576"/>
      <c r="I4" s="576"/>
      <c r="J4" s="577"/>
      <c r="K4" s="575"/>
      <c r="L4" s="576"/>
      <c r="M4" s="576"/>
      <c r="N4" s="578"/>
      <c r="O4" s="576"/>
      <c r="P4" s="578"/>
      <c r="Q4" s="576"/>
      <c r="R4" s="578"/>
      <c r="S4" s="576"/>
      <c r="T4" s="576"/>
      <c r="U4" s="576"/>
      <c r="V4" s="576"/>
      <c r="W4" s="576"/>
      <c r="X4" s="576"/>
      <c r="Y4" s="576"/>
      <c r="Z4" s="575"/>
      <c r="AA4" s="575"/>
      <c r="AB4" s="909"/>
      <c r="AC4" s="912"/>
      <c r="AD4" s="912"/>
      <c r="AE4" s="901"/>
      <c r="AF4" s="216"/>
      <c r="AG4" s="217"/>
      <c r="AH4" s="215"/>
      <c r="AI4" s="681"/>
      <c r="AJ4" s="682"/>
      <c r="AK4" s="683"/>
      <c r="AL4" s="683"/>
      <c r="AM4" s="683"/>
      <c r="AN4" s="683"/>
      <c r="AO4" s="683"/>
      <c r="AP4" s="684"/>
    </row>
    <row r="5" spans="1:42" ht="27.75" customHeight="1" thickTop="1" thickBot="1">
      <c r="A5" s="563" t="s">
        <v>31</v>
      </c>
      <c r="B5" s="578" cm="1">
        <f t="array" ref="B5">COUNTA(_xlfn.UNIQUE(_xlfn._xlws.FILTER(표3[연번],ISNUMBER(SEARCH("단독",표3[주용도])))))</f>
        <v>10</v>
      </c>
      <c r="C5" s="576">
        <f>B5/$B$7</f>
        <v>9.9009900990099015E-2</v>
      </c>
      <c r="D5" s="576" cm="1">
        <f t="array" ref="D5">(SUMPRODUCT((ISNUMBER(SEARCH("단독", 표3[주용도]))) * ((표3[1차설명회 참석자]="O") + (표3[2차설명회 참석자]="O") &gt; 0)))/B7</f>
        <v>2.9702970297029702E-2</v>
      </c>
      <c r="E5" s="576" cm="1">
        <f t="array" ref="E5">(SUMPRODUCT((ISNUMBER(SEARCH("단독", 표3[주용도]))) * ((표3[1차설명회 참석자]="O") + (표3[2차설명회 참석자]="O") &gt; 0)))/B5</f>
        <v>0.3</v>
      </c>
      <c r="F5" s="577">
        <f>SUMIF(표3[주용도],"*단독*",표3[편입면적])</f>
        <v>1825.4999999999998</v>
      </c>
      <c r="G5" s="576">
        <f>F5/$F$7</f>
        <v>0.22807836450258542</v>
      </c>
      <c r="H5" s="576" cm="1">
        <f t="array" ref="H5">(SUMPRODUCT((ISNUMBER(SEARCH("단독", 표3[주용도]))) * ((표3[1차설명회 참석자]="O") + (표3[2차설명회 참석자]="O") &gt; 0), 표3[편입면적]))/F7</f>
        <v>6.4019366733018238E-2</v>
      </c>
      <c r="I5" s="576" cm="1">
        <f t="array" ref="I5">(SUMPRODUCT((ISNUMBER(SEARCH("단독", 표3[주용도]))) * ((표3[1차설명회 참석자]="O") + (표3[2차설명회 참석자]="O") &gt; 0), 표3[편입면적]))/F5</f>
        <v>0.28069022185702558</v>
      </c>
      <c r="J5" s="577" t="s">
        <v>28</v>
      </c>
      <c r="K5" s="575">
        <f>COUNTIFS(표3[주용도],"*단독*",표3[조합설립동의서],"O")</f>
        <v>0</v>
      </c>
      <c r="L5" s="576">
        <f>K5/B5</f>
        <v>0</v>
      </c>
      <c r="M5" s="576">
        <f>K5/$B$7</f>
        <v>0</v>
      </c>
      <c r="N5" s="578">
        <f>COUNTIFS(표3[주용도],"*단독*",표3[거주중],"O")</f>
        <v>5</v>
      </c>
      <c r="O5" s="576">
        <f>N5/B5</f>
        <v>0.5</v>
      </c>
      <c r="P5" s="578" cm="1">
        <f t="array" ref="P5">COUNTA(
  _xlfn.UNIQUE(
    _xlfn._xlws.FILTER(
      표3[연번],
      (표3[연번]&lt;&gt;"") *
      ISNUMBER(SEARCH("단독", 표3[주용도])) *
      (LEN(TRIM(표3[거주중]))=0) *
      (표3[분류2]="송파구")
    )
  )
)</f>
        <v>2</v>
      </c>
      <c r="Q5" s="576">
        <f>P5/B5</f>
        <v>0.2</v>
      </c>
      <c r="R5" s="578" cm="1">
        <f t="array" ref="R5">COUNTA(_xlfn.UNIQUE(_xlfn._xlws.FILTER(표3[연번],
 (표3[연번]&lt;&gt;"")*(LEN(TRIM(표3[거주중]))=0)*NOT(ISNUMBER(SEARCH("송파구",표3[분류2])))*
 ISNUMBER(SEARCH("단독",표3[주용도]))*NOT(ISNUMBER(SEARCH("공동",표3[주용도])))
)))</f>
        <v>3</v>
      </c>
      <c r="S5" s="576">
        <f>R5/B5</f>
        <v>0.3</v>
      </c>
      <c r="T5" s="576" cm="1">
        <f t="array" aca="1" ref="T5" ca="1">COUNTA(_xlfn.UNIQUE(_xlfn._xlws.FILTER(
 표3[연번],
 (표3[연번]&lt;&gt;"")*
 (표3[연령]="40대 미만")*
 ISNUMBER(SEARCH("단독",표3[주용도]))*
 NOT(ISNUMBER(SEARCH("공동",표3[주용도])))
)))/$B$5</f>
        <v>0.1</v>
      </c>
      <c r="U5" s="576" cm="1">
        <f t="array" aca="1" ref="U5" ca="1">COUNTA(_xlfn.UNIQUE(_xlfn._xlws.FILTER(
 표3[연번],
 (표3[연번]&lt;&gt;"")*
 (표3[연령]="40대")*
 ISNUMBER(SEARCH("단독",표3[주용도]))*
 NOT(ISNUMBER(SEARCH("공동",표3[주용도])))
)))/$B$5</f>
        <v>0.1</v>
      </c>
      <c r="V5" s="576" cm="1">
        <f t="array" aca="1" ref="V5" ca="1">COUNTA(_xlfn.UNIQUE(_xlfn._xlws.FILTER(
 표3[연번],
 (표3[연번]&lt;&gt;"")*
 (표3[연령]="50대")*
 ISNUMBER(SEARCH("단독",표3[주용도]))*
 NOT(ISNUMBER(SEARCH("공동",표3[주용도])))
)))/$B$5</f>
        <v>0.3</v>
      </c>
      <c r="W5" s="576" cm="1">
        <f t="array" aca="1" ref="W5" ca="1">COUNTA(_xlfn.UNIQUE(_xlfn._xlws.FILTER(
 표3[연번],
 (표3[연번]&lt;&gt;"")*
 (표3[연령]="60대")*
 ISNUMBER(SEARCH("단독",표3[주용도]))*
 NOT(ISNUMBER(SEARCH("공동",표3[주용도])))
)))/$B$5</f>
        <v>0.2</v>
      </c>
      <c r="X5" s="576" cm="1">
        <f t="array" aca="1" ref="X5" ca="1">COUNTA(_xlfn.UNIQUE(_xlfn._xlws.FILTER(
 표3[연번],
 (표3[연번]&lt;&gt;"")*
 (표3[연령]="70대")*
 ISNUMBER(SEARCH("단독",표3[주용도]))*
 NOT(ISNUMBER(SEARCH("공동",표3[주용도])))
)))/$B$5</f>
        <v>0.2</v>
      </c>
      <c r="Y5" s="576" cm="1">
        <f t="array" aca="1" ref="Y5" ca="1">COUNTA(_xlfn.UNIQUE(_xlfn._xlws.FILTER(
 표3[연번],
 (표3[연번]&lt;&gt;"")*
 (표3[연령]="80대 이상")*
 ISNUMBER(SEARCH("단독",표3[주용도]))*
 NOT(ISNUMBER(SEARCH("공동",표3[주용도])))
)))/$B$5</f>
        <v>0.2</v>
      </c>
      <c r="Z5" s="575">
        <f>COUNTIFS(표3[주용도],"*단독*",표3[지상2],"&gt;0")</f>
        <v>10</v>
      </c>
      <c r="AA5" s="575">
        <f>COUNTIFS(표3[주용도],"*단독*",표3[지상2],"&gt;0",표3[노후판정],"O")</f>
        <v>10</v>
      </c>
      <c r="AB5" s="909"/>
      <c r="AC5" s="912"/>
      <c r="AD5" s="912"/>
      <c r="AE5" s="901"/>
      <c r="AF5" s="218"/>
      <c r="AG5" s="219"/>
      <c r="AH5" s="215"/>
      <c r="AI5" s="882"/>
      <c r="AJ5" s="885"/>
      <c r="AK5" s="886"/>
      <c r="AL5" s="886"/>
      <c r="AM5" s="886"/>
      <c r="AN5" s="886"/>
      <c r="AO5" s="886"/>
      <c r="AP5" s="887"/>
    </row>
    <row r="6" spans="1:42" ht="27.75" customHeight="1" thickTop="1" thickBot="1">
      <c r="A6" s="563" t="s">
        <v>32</v>
      </c>
      <c r="B6" s="578" cm="1">
        <f t="array" ref="B6">COUNTA(_xlfn.UNIQUE(_xlfn._xlws.FILTER(표3[연번],NOT(ISNUMBER(SEARCH("단독",표3[주용도])))*NOT(ISNUMBER(SEARCH("공동",표3[주용도]))))))</f>
        <v>6</v>
      </c>
      <c r="C6" s="576">
        <f>B6/$B$7</f>
        <v>5.9405940594059403E-2</v>
      </c>
      <c r="D6" s="695" cm="1">
        <f t="array" ref="D6">(SUMPRODUCT((ISERROR(SEARCH("공동", 표3[주용도]))) * (ISERROR(SEARCH("단독", 표3[주용도]))) * ((표3[1차설명회 참석자]="O") + (표3[2차설명회 참석자]="O") &gt; 0)))/B7</f>
        <v>1.9801980198019802E-2</v>
      </c>
      <c r="E6" s="576" cm="1">
        <f t="array" ref="E6">(SUMPRODUCT((ISERROR(SEARCH("공동", 표3[주용도]))) * (ISERROR(SEARCH("단독", 표3[주용도]))) * ((표3[1차설명회 참석자]="O") + (표3[2차설명회 참석자]="O") &gt; 0)))/B6</f>
        <v>0.33333333333333331</v>
      </c>
      <c r="F6" s="577">
        <f>SUMIFS(표3[편입면적],표3[주용도],"&lt;&gt;*단독*",표3[주용도],"&lt;&gt;*공동*")</f>
        <v>1837</v>
      </c>
      <c r="G6" s="576">
        <f>F6/$F$7</f>
        <v>0.22951517698781126</v>
      </c>
      <c r="H6" s="695" cm="1">
        <f t="array" ref="H6">(SUMPRODUCT((ISERROR(SEARCH("공동", 표3[주용도]))) * (ISERROR(SEARCH("단독", 표3[주용도]))) * ((표3[1차설명회 참석자]="O") + (표3[2차설명회 참석자]="O") &gt; 0), 표3[편입면적]))/F7</f>
        <v>7.0103955257409298E-2</v>
      </c>
      <c r="I6" s="576" cm="1">
        <f t="array" ref="I6">(SUMPRODUCT((ISERROR(SEARCH("공동", 표3[주용도]))) * (ISERROR(SEARCH("단독", 표3[주용도]))) * ((표3[1차설명회 참석자]="O") + (표3[2차설명회 참석자]="O") &gt; 0), 표3[편입면적]))/F6</f>
        <v>0.30544365813826885</v>
      </c>
      <c r="J6" s="577" t="s">
        <v>28</v>
      </c>
      <c r="K6" s="575">
        <f>COUNTIFS(표3[주용도],"&lt;&gt;*단독*",표3[주용도],"&lt;&gt;*공동*",표3[조합설립동의서],"O")</f>
        <v>0</v>
      </c>
      <c r="L6" s="576">
        <f>K6/B6</f>
        <v>0</v>
      </c>
      <c r="M6" s="576">
        <f t="shared" ref="M6" si="0">K6/$B$7</f>
        <v>0</v>
      </c>
      <c r="N6" s="578">
        <f>COUNTIFS(표3[주용도],"&lt;&gt;*공동*",표3[주용도],"&lt;&gt;*단독*",표3[거주중],"O")</f>
        <v>1</v>
      </c>
      <c r="O6" s="576">
        <f>N6/B6</f>
        <v>0.16666666666666666</v>
      </c>
      <c r="P6" s="578" cm="1">
        <f t="array" ref="P6">COUNTA(_xlfn.UNIQUE(_xlfn._xlws.FILTER(표3[연번],
 (표3[연번]&lt;&gt;"")*(LEN(TRIM(표3[거주중]))=0)*(표3[분류2]="송파구")*
 NOT(ISNUMBER(SEARCH("공동",표3[주용도])))*
 NOT(ISNUMBER(SEARCH("단독",표3[주용도])))
)))</f>
        <v>2</v>
      </c>
      <c r="Q6" s="576">
        <f>P6/B6</f>
        <v>0.33333333333333331</v>
      </c>
      <c r="R6" s="578" cm="1">
        <f t="array" ref="R6">COUNTA(_xlfn.UNIQUE(_xlfn._xlws.FILTER(표3[연번],
 (표3[연번]&lt;&gt;"")*(LEN(TRIM(표3[거주중]))=0)*NOT(ISNUMBER(SEARCH("송파구",표3[분류2])))*
 NOT(ISNUMBER(SEARCH("공동",표3[주용도])))*
 NOT(ISNUMBER(SEARCH("단독",표3[주용도])))
)))</f>
        <v>3</v>
      </c>
      <c r="S6" s="576">
        <f>R6/B6</f>
        <v>0.5</v>
      </c>
      <c r="T6" s="576" cm="1">
        <f t="array" aca="1" ref="T6" ca="1">COUNTA(_xlfn.UNIQUE(_xlfn._xlws.FILTER(
 표3[연번],
 (표3[연번]&lt;&gt;"")*
 (표3[연령]="40대 미만")*
 NOT(ISNUMBER(SEARCH("공동",표3[주용도])))*
 NOT(ISNUMBER(SEARCH("단독",표3[주용도])))
)))/$B$6</f>
        <v>0.16666666666666666</v>
      </c>
      <c r="U6" s="576" cm="1">
        <f t="array" aca="1" ref="U6" ca="1">COUNTA(_xlfn.UNIQUE(_xlfn._xlws.FILTER(
 표3[연번],
 (표3[연번]&lt;&gt;"")*
 (표3[연령]="40대")*
 NOT(ISNUMBER(SEARCH("공동",표3[주용도])))*
 NOT(ISNUMBER(SEARCH("단독",표3[주용도])))
)))/$B$6</f>
        <v>0.16666666666666666</v>
      </c>
      <c r="V6" s="576" cm="1">
        <f t="array" aca="1" ref="V6" ca="1">COUNTA(_xlfn.UNIQUE(_xlfn._xlws.FILTER(
 표3[연번],
 (표3[연번]&lt;&gt;"")*
 (표3[연령]="50대")*
 NOT(ISNUMBER(SEARCH("공동",표3[주용도])))*
 NOT(ISNUMBER(SEARCH("단독",표3[주용도])))
)))/$B$6</f>
        <v>0.16666666666666666</v>
      </c>
      <c r="W6" s="576" cm="1">
        <f t="array" aca="1" ref="W6" ca="1">COUNTA(_xlfn.UNIQUE(_xlfn._xlws.FILTER(
 표3[연번],
 (표3[연번]&lt;&gt;"")*
 (표3[연령]="60대")*
 NOT(ISNUMBER(SEARCH("공동",표3[주용도])))*
 NOT(ISNUMBER(SEARCH("단독",표3[주용도])))
)))/$B$6</f>
        <v>0.16666666666666666</v>
      </c>
      <c r="X6" s="576" cm="1">
        <f t="array" aca="1" ref="X6" ca="1">COUNTA(_xlfn.UNIQUE(_xlfn._xlws.FILTER(
 표3[연번],
 (표3[연번]&lt;&gt;"")*
 (표3[연령]="70대")*
 NOT(ISNUMBER(SEARCH("공동",표3[주용도])))*
 NOT(ISNUMBER(SEARCH("단독",표3[주용도])))
)))/$B$6</f>
        <v>0.16666666666666666</v>
      </c>
      <c r="Y6" s="576" cm="1">
        <f t="array" aca="1" ref="Y6" ca="1">COUNTA(_xlfn.UNIQUE(_xlfn._xlws.FILTER(
 표3[연번],
 (표3[연번]&lt;&gt;"")*
 (표3[연령]="80대 이상")*
 NOT(ISNUMBER(SEARCH("공동",표3[주용도])))*
 NOT(ISNUMBER(SEARCH("단독",표3[주용도])))
)))/$B$6</f>
        <v>0.16666666666666666</v>
      </c>
      <c r="Z6" s="575">
        <f>COUNTIFS(표3[주용도],"&lt;&gt;*단독*",표3[주용도],"&lt;&gt;*공동*",표3[지상2],"&gt;0")</f>
        <v>5</v>
      </c>
      <c r="AA6" s="575">
        <f>COUNTIFS(표3[주용도],"&lt;&gt;*공동*",표3[주용도],"&lt;&gt;*단독*",표3[지상2],"&gt;0",표3[노후판정],"O")</f>
        <v>5</v>
      </c>
      <c r="AB6" s="909"/>
      <c r="AC6" s="912"/>
      <c r="AD6" s="912"/>
      <c r="AE6" s="901"/>
      <c r="AF6" s="218"/>
      <c r="AG6" s="219"/>
      <c r="AH6" s="215"/>
      <c r="AI6" s="883"/>
      <c r="AJ6" s="885"/>
      <c r="AK6" s="886"/>
      <c r="AL6" s="886"/>
      <c r="AM6" s="886"/>
      <c r="AN6" s="886"/>
      <c r="AO6" s="886"/>
      <c r="AP6" s="887"/>
    </row>
    <row r="7" spans="1:42" s="569" customFormat="1" ht="36.65" customHeight="1" thickTop="1" thickBot="1">
      <c r="A7" s="566" t="s">
        <v>33</v>
      </c>
      <c r="B7" s="679">
        <f>SUM(B3:B6)</f>
        <v>101</v>
      </c>
      <c r="C7" s="680">
        <f t="shared" ref="C7" si="1">SUM(C3:C6)</f>
        <v>1</v>
      </c>
      <c r="D7" s="696">
        <f>SUM(D3:D6)</f>
        <v>0.39603960396039606</v>
      </c>
      <c r="E7" s="694"/>
      <c r="F7" s="677">
        <f>SUM(F3,F5,F6)</f>
        <v>8003.8280000000022</v>
      </c>
      <c r="G7" s="678">
        <f>SUM(G3,G5,G6)</f>
        <v>1</v>
      </c>
      <c r="H7" s="697">
        <f>H3+H5+H6</f>
        <v>0.36221255629181426</v>
      </c>
      <c r="I7" s="697" cm="1">
        <f t="array" ref="I7">(((SUMPRODUCT((ISERROR(SEARCH("공동", 표3[주용도]))) * (ISERROR(SEARCH("단독", 표3[주용도]))) * ((표3[1차설명회 참석자]="O") + (표3[2차설명회 참석자]="O") &gt; 0), 표3[편입면적])))+((SUMPRODUCT((ISNUMBER(SEARCH("단독", 표3[주용도]))) * ((표3[1차설명회 참석자]="O") + (표3[2차설명회 참석자]="O") &gt; 0), 표3[편입면적]))))/(F5+F6-통합!R155)</f>
        <v>0.33599374021909234</v>
      </c>
      <c r="J7" s="570">
        <f>SUM(J3:J6)</f>
        <v>0</v>
      </c>
      <c r="K7" s="571">
        <f>SUM(K3:K6)</f>
        <v>19</v>
      </c>
      <c r="L7" s="566" t="s">
        <v>28</v>
      </c>
      <c r="M7" s="566">
        <f>K7/B7</f>
        <v>0.18811881188118812</v>
      </c>
      <c r="N7" s="579">
        <f>SUM(N3:N6)</f>
        <v>42</v>
      </c>
      <c r="O7" s="566">
        <f>N7/B7</f>
        <v>0.41584158415841582</v>
      </c>
      <c r="P7" s="579">
        <f>SUM(P3:P6)</f>
        <v>42</v>
      </c>
      <c r="Q7" s="566">
        <f>P7/B7</f>
        <v>0.41584158415841582</v>
      </c>
      <c r="R7" s="579">
        <f>SUM(R3:R6)</f>
        <v>21</v>
      </c>
      <c r="S7" s="566">
        <f>R7/B7</f>
        <v>0.20792079207920791</v>
      </c>
      <c r="T7" s="566"/>
      <c r="U7" s="566"/>
      <c r="V7" s="566"/>
      <c r="W7" s="566"/>
      <c r="X7" s="566"/>
      <c r="Y7" s="566"/>
      <c r="Z7" s="571">
        <f>SUM(Z3:Z6)</f>
        <v>29</v>
      </c>
      <c r="AA7" s="571">
        <f>SUM(AA3:AA6)</f>
        <v>19</v>
      </c>
      <c r="AB7" s="910"/>
      <c r="AC7" s="913"/>
      <c r="AD7" s="913"/>
      <c r="AE7" s="901"/>
      <c r="AF7" s="572"/>
      <c r="AG7" s="573"/>
      <c r="AH7" s="574"/>
      <c r="AI7" s="884"/>
      <c r="AJ7" s="896"/>
      <c r="AK7" s="897"/>
      <c r="AL7" s="897"/>
      <c r="AM7" s="897"/>
      <c r="AN7" s="897"/>
      <c r="AO7" s="897"/>
      <c r="AP7" s="898"/>
    </row>
    <row r="8" spans="1:42" s="146" customFormat="1" ht="17.5" thickTop="1">
      <c r="A8" s="567"/>
      <c r="B8" s="917" t="s">
        <v>34</v>
      </c>
      <c r="C8" s="917"/>
      <c r="D8" s="917"/>
      <c r="E8" s="917"/>
      <c r="F8" s="918" t="s">
        <v>35</v>
      </c>
      <c r="G8" s="918"/>
      <c r="H8" s="918"/>
      <c r="I8" s="916" t="s">
        <v>36</v>
      </c>
      <c r="N8" s="327"/>
      <c r="AF8" s="218"/>
      <c r="AG8" s="219"/>
      <c r="AH8" s="215"/>
      <c r="AI8" s="882"/>
      <c r="AJ8" s="885"/>
      <c r="AK8" s="886"/>
      <c r="AL8" s="886"/>
      <c r="AM8" s="886"/>
      <c r="AN8" s="886"/>
      <c r="AO8" s="886"/>
      <c r="AP8" s="887"/>
    </row>
    <row r="9" spans="1:42" s="146" customFormat="1">
      <c r="A9" s="567"/>
      <c r="B9" s="917"/>
      <c r="C9" s="917"/>
      <c r="D9" s="917"/>
      <c r="E9" s="917"/>
      <c r="F9" s="918"/>
      <c r="G9" s="918"/>
      <c r="H9" s="918"/>
      <c r="I9" s="916"/>
      <c r="AF9" s="218"/>
      <c r="AG9" s="219"/>
      <c r="AH9" s="215"/>
      <c r="AI9" s="883"/>
      <c r="AJ9" s="885"/>
      <c r="AK9" s="886"/>
      <c r="AL9" s="886"/>
      <c r="AM9" s="886"/>
      <c r="AN9" s="886"/>
      <c r="AO9" s="886"/>
      <c r="AP9" s="887"/>
    </row>
    <row r="10" spans="1:42" s="146" customFormat="1" ht="17.5" thickBot="1">
      <c r="A10" s="568"/>
      <c r="B10" s="328"/>
      <c r="C10" s="328"/>
      <c r="D10" s="328"/>
      <c r="E10" s="328"/>
      <c r="F10" s="328"/>
      <c r="G10" s="328"/>
      <c r="H10" s="328"/>
      <c r="I10" s="328"/>
      <c r="J10" s="328"/>
      <c r="K10" s="328"/>
      <c r="AF10" s="220"/>
      <c r="AG10" s="221"/>
      <c r="AH10" s="215"/>
      <c r="AI10" s="884"/>
      <c r="AJ10" s="885"/>
      <c r="AK10" s="886"/>
      <c r="AL10" s="886"/>
      <c r="AM10" s="886"/>
      <c r="AN10" s="886"/>
      <c r="AO10" s="886"/>
      <c r="AP10" s="887"/>
    </row>
    <row r="11" spans="1:42" s="146" customFormat="1" ht="17.25" customHeight="1">
      <c r="A11" s="568"/>
      <c r="B11" s="328"/>
      <c r="C11" s="328"/>
      <c r="D11" s="328"/>
      <c r="E11" s="328"/>
      <c r="F11" s="328"/>
      <c r="G11" s="328"/>
      <c r="H11" s="328"/>
      <c r="I11" s="328"/>
      <c r="J11" s="328"/>
      <c r="K11" s="328"/>
      <c r="AF11"/>
    </row>
    <row r="12" spans="1:42" s="146" customFormat="1">
      <c r="A12" s="565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 s="214"/>
      <c r="AD12" s="214"/>
      <c r="AE12" s="214"/>
      <c r="AF12"/>
    </row>
    <row r="13" spans="1:42">
      <c r="A13" s="565"/>
      <c r="B13" s="121"/>
      <c r="C13" s="121"/>
      <c r="D13" s="121"/>
      <c r="E13" s="121"/>
      <c r="H13" s="121"/>
      <c r="I13" s="121"/>
    </row>
    <row r="14" spans="1:42">
      <c r="A14" s="565"/>
      <c r="B14" s="121"/>
      <c r="C14" s="121"/>
      <c r="D14" s="121"/>
      <c r="E14" s="121"/>
      <c r="H14" s="121"/>
      <c r="I14" s="121"/>
      <c r="O14" cm="1">
        <f t="array" ref="O14">SUMPRODUCT((ISNUMBER(SEARCH("공동", 표3[주용도]))) * ((표3[1차설명회 참석자]="O") + (표3[2차설명회 참석자]="O") &gt; 0), 표3[편입면적])</f>
        <v>1825.5869999999998</v>
      </c>
    </row>
    <row r="15" spans="1:42">
      <c r="A15" s="565"/>
      <c r="B15" s="121"/>
      <c r="C15" s="121"/>
      <c r="D15" s="121"/>
      <c r="E15" s="121"/>
      <c r="H15" s="121"/>
      <c r="I15" s="121"/>
    </row>
    <row r="16" spans="1:42">
      <c r="A16" s="565"/>
      <c r="B16" s="121"/>
      <c r="C16" s="121"/>
      <c r="D16" s="121"/>
      <c r="E16" s="121"/>
      <c r="H16" s="121"/>
      <c r="I16" s="121"/>
    </row>
    <row r="17" spans="1:9">
      <c r="A17" s="565"/>
      <c r="B17" s="121"/>
      <c r="C17" s="121"/>
      <c r="D17" s="121"/>
      <c r="E17" s="121"/>
      <c r="H17" s="121"/>
      <c r="I17" s="121"/>
    </row>
    <row r="18" spans="1:9">
      <c r="A18" s="565"/>
      <c r="B18" s="121"/>
      <c r="C18" s="121"/>
      <c r="D18" s="121"/>
      <c r="E18" s="121"/>
      <c r="H18" s="121"/>
      <c r="I18" s="121"/>
    </row>
    <row r="19" spans="1:9">
      <c r="A19" s="565"/>
      <c r="B19" s="121"/>
      <c r="C19" s="121"/>
      <c r="D19" s="121"/>
      <c r="E19" s="121"/>
      <c r="H19" s="121"/>
      <c r="I19" s="121"/>
    </row>
    <row r="20" spans="1:9">
      <c r="A20" s="565"/>
      <c r="B20" s="121"/>
      <c r="C20" s="121"/>
      <c r="D20" s="121"/>
      <c r="E20" s="121"/>
      <c r="H20" s="121"/>
      <c r="I20" s="121"/>
    </row>
    <row r="21" spans="1:9">
      <c r="A21" s="565"/>
      <c r="B21" s="121"/>
      <c r="C21" s="121"/>
      <c r="D21" s="121"/>
      <c r="E21" s="121"/>
      <c r="H21" s="121"/>
      <c r="I21" s="121"/>
    </row>
    <row r="22" spans="1:9">
      <c r="A22" s="565"/>
      <c r="B22" s="121"/>
      <c r="C22" s="121"/>
      <c r="D22" s="121"/>
      <c r="E22" s="121"/>
      <c r="H22" s="121"/>
      <c r="I22" s="121"/>
    </row>
    <row r="23" spans="1:9">
      <c r="A23" s="565"/>
      <c r="B23" s="121"/>
      <c r="C23" s="121"/>
      <c r="D23" s="121"/>
      <c r="E23" s="121"/>
      <c r="H23" s="121"/>
      <c r="I23" s="121"/>
    </row>
    <row r="24" spans="1:9">
      <c r="A24" s="565"/>
      <c r="B24" s="121"/>
      <c r="C24" s="121"/>
      <c r="D24" s="121"/>
      <c r="E24" s="121"/>
      <c r="H24" s="121"/>
      <c r="I24" s="121"/>
    </row>
    <row r="25" spans="1:9">
      <c r="A25" s="565"/>
      <c r="B25" s="121"/>
      <c r="C25" s="121"/>
      <c r="D25" s="121"/>
      <c r="E25" s="121"/>
      <c r="H25" s="121"/>
      <c r="I25" s="121"/>
    </row>
    <row r="26" spans="1:9">
      <c r="A26" s="565"/>
      <c r="B26" s="121"/>
      <c r="C26" s="121"/>
      <c r="D26" s="121"/>
      <c r="E26" s="121"/>
      <c r="H26" s="121"/>
      <c r="I26" s="121"/>
    </row>
    <row r="27" spans="1:9">
      <c r="A27" s="565"/>
      <c r="B27" s="121"/>
      <c r="C27" s="121"/>
      <c r="D27" s="121"/>
      <c r="E27" s="121"/>
      <c r="H27" s="121"/>
      <c r="I27" s="121"/>
    </row>
    <row r="28" spans="1:9">
      <c r="A28" s="565"/>
      <c r="B28" s="121"/>
      <c r="C28" s="121"/>
      <c r="D28" s="121"/>
      <c r="E28" s="121"/>
      <c r="H28" s="121"/>
      <c r="I28" s="121"/>
    </row>
    <row r="29" spans="1:9">
      <c r="A29" s="565"/>
      <c r="B29" s="121"/>
      <c r="C29" s="121"/>
      <c r="D29" s="121"/>
      <c r="E29" s="121"/>
      <c r="H29" s="121"/>
      <c r="I29" s="121"/>
    </row>
    <row r="30" spans="1:9">
      <c r="A30" s="565"/>
      <c r="B30" s="121"/>
      <c r="C30" s="121"/>
      <c r="D30" s="121"/>
      <c r="E30" s="121"/>
      <c r="H30" s="121"/>
      <c r="I30" s="121"/>
    </row>
    <row r="31" spans="1:9">
      <c r="A31" s="565"/>
      <c r="B31" s="121"/>
      <c r="C31" s="121"/>
      <c r="D31" s="121"/>
      <c r="E31" s="121"/>
      <c r="H31" s="121"/>
      <c r="I31" s="121"/>
    </row>
    <row r="34" spans="5:9">
      <c r="F34" cm="1">
        <f t="array" ref="F34">(SUMPRODUCT((ISNUMBER(SEARCH("단독", 표3[주용도]))) * ((표3[1차설명회 참석자]="O") + (표3[2차설명회 참석자]="O") &gt; 0), 표3[편입면적]))</f>
        <v>512.40000000000009</v>
      </c>
      <c r="I34">
        <f>2/3</f>
        <v>0.66666666666666663</v>
      </c>
    </row>
    <row r="35" spans="5:9">
      <c r="E35" cm="1">
        <f t="array" ref="E35">(((SUMPRODUCT((ISERROR(SEARCH("공동", 표3[주용도]))) * (ISERROR(SEARCH("단독", 표3[주용도]))) * ((표3[1차설명회 참석자]="O") + (표3[2차설명회 참석자]="O") &gt; 0), 표3[편입면적])))+((SUMPRODUCT((ISNUMBER(SEARCH("단독", 표3[주용도]))) * ((표3[1차설명회 참석자]="O") + (표3[2차설명회 참석자]="O") &gt; 0), 표3[편입면적]))))</f>
        <v>1073.5</v>
      </c>
      <c r="F35" cm="1">
        <f t="array" ref="F35">(SUMPRODUCT((ISERROR(SEARCH("공동", 표3[주용도]))) * (ISERROR(SEARCH("단독", 표3[주용도]))) * ((표3[1차설명회 참석자]="O") + (표3[2차설명회 참석자]="O") &gt; 0), 표3[편입면적]))</f>
        <v>561.09999999999991</v>
      </c>
      <c r="G35">
        <f>F34+F35</f>
        <v>1073.5</v>
      </c>
    </row>
  </sheetData>
  <mergeCells count="30">
    <mergeCell ref="I8:I9"/>
    <mergeCell ref="B8:E9"/>
    <mergeCell ref="F8:H9"/>
    <mergeCell ref="A3:A4"/>
    <mergeCell ref="B3:B4"/>
    <mergeCell ref="C3:C4"/>
    <mergeCell ref="D3:D4"/>
    <mergeCell ref="E3:E4"/>
    <mergeCell ref="B1:E1"/>
    <mergeCell ref="AE3:AE7"/>
    <mergeCell ref="B2:C2"/>
    <mergeCell ref="F2:G2"/>
    <mergeCell ref="N2:O2"/>
    <mergeCell ref="P2:Q2"/>
    <mergeCell ref="R2:S2"/>
    <mergeCell ref="AB3:AB7"/>
    <mergeCell ref="AC3:AC7"/>
    <mergeCell ref="AD3:AD7"/>
    <mergeCell ref="F1:I1"/>
    <mergeCell ref="AI8:AI10"/>
    <mergeCell ref="AJ8:AP8"/>
    <mergeCell ref="AJ9:AP9"/>
    <mergeCell ref="AJ10:AP10"/>
    <mergeCell ref="AF2:AG2"/>
    <mergeCell ref="AI2:AP2"/>
    <mergeCell ref="AJ3:AP3"/>
    <mergeCell ref="AI5:AI7"/>
    <mergeCell ref="AJ5:AP5"/>
    <mergeCell ref="AJ6:AP6"/>
    <mergeCell ref="AJ7:AP7"/>
  </mergeCells>
  <phoneticPr fontId="1" type="noConversion"/>
  <conditionalFormatting sqref="AG3:AG10">
    <cfRule type="cellIs" dxfId="143" priority="1" operator="greaterThan">
      <formula>0.5</formula>
    </cfRule>
  </conditionalFormatting>
  <printOptions horizontalCentered="1" verticalCentered="1"/>
  <pageMargins left="0" right="0" top="0" bottom="0" header="0" footer="0"/>
  <pageSetup paperSize="9" scale="24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C903-754C-496F-A162-44B755ACD392}">
  <sheetPr codeName="Sheet2">
    <pageSetUpPr fitToPage="1"/>
  </sheetPr>
  <dimension ref="A1:DF200"/>
  <sheetViews>
    <sheetView tabSelected="1" zoomScaleNormal="100" workbookViewId="0">
      <pane xSplit="6" ySplit="4" topLeftCell="AM74" activePane="bottomRight" state="frozen"/>
      <selection pane="topRight" activeCell="AC8" sqref="AC8"/>
      <selection pane="bottomLeft" activeCell="AC8" sqref="AC8"/>
      <selection pane="bottomRight" activeCell="AP83" sqref="AP83"/>
    </sheetView>
  </sheetViews>
  <sheetFormatPr defaultColWidth="8.5" defaultRowHeight="17" outlineLevelCol="1"/>
  <cols>
    <col min="1" max="1" width="6.08203125" style="67" customWidth="1"/>
    <col min="2" max="2" width="7.58203125" style="226" bestFit="1" customWidth="1"/>
    <col min="3" max="3" width="9" style="69" bestFit="1" customWidth="1"/>
    <col min="4" max="4" width="5.08203125" style="69" bestFit="1" customWidth="1"/>
    <col min="5" max="5" width="13.33203125" style="70" bestFit="1" customWidth="1"/>
    <col min="6" max="6" width="7.08203125" style="72" customWidth="1"/>
    <col min="7" max="7" width="9.5" style="73" hidden="1" customWidth="1" outlineLevel="1"/>
    <col min="8" max="8" width="9.5" style="72" hidden="1" customWidth="1" outlineLevel="1"/>
    <col min="9" max="9" width="6.58203125" style="72" hidden="1" customWidth="1" outlineLevel="1"/>
    <col min="10" max="10" width="13" style="72" customWidth="1" outlineLevel="1"/>
    <col min="11" max="11" width="10" style="72" customWidth="1" outlineLevel="1"/>
    <col min="12" max="12" width="9.5" style="72" customWidth="1" outlineLevel="1"/>
    <col min="13" max="13" width="8" style="72" customWidth="1" outlineLevel="1"/>
    <col min="14" max="14" width="9.5" style="72" customWidth="1" outlineLevel="1"/>
    <col min="15" max="15" width="9.5" style="73" customWidth="1" outlineLevel="1"/>
    <col min="16" max="16" width="9.5" style="72" customWidth="1" outlineLevel="1"/>
    <col min="17" max="17" width="6.58203125" style="74" customWidth="1"/>
    <col min="18" max="18" width="15.08203125" style="222" customWidth="1"/>
    <col min="19" max="20" width="15.08203125" style="184" customWidth="1"/>
    <col min="21" max="21" width="6.83203125" style="184" hidden="1" customWidth="1"/>
    <col min="22" max="22" width="9.5" style="72" hidden="1" customWidth="1"/>
    <col min="23" max="23" width="12.33203125" style="75" customWidth="1"/>
    <col min="24" max="24" width="11" style="76" customWidth="1"/>
    <col min="25" max="25" width="18.08203125" style="227" customWidth="1"/>
    <col min="26" max="26" width="16.58203125" style="227" customWidth="1"/>
    <col min="27" max="27" width="11.83203125" style="76" customWidth="1"/>
    <col min="28" max="28" width="7.08203125" style="223" customWidth="1"/>
    <col min="29" max="29" width="15.33203125" style="224" customWidth="1"/>
    <col min="30" max="30" width="7.58203125" style="77" customWidth="1"/>
    <col min="31" max="31" width="11.83203125" style="77" customWidth="1"/>
    <col min="32" max="32" width="16.08203125" style="69" hidden="1" customWidth="1"/>
    <col min="33" max="33" width="18.08203125" style="72" customWidth="1"/>
    <col min="34" max="34" width="10.25" style="72" hidden="1" customWidth="1"/>
    <col min="35" max="35" width="15.83203125" style="72" customWidth="1"/>
    <col min="36" max="36" width="11" style="72" hidden="1" customWidth="1"/>
    <col min="37" max="38" width="9.5" style="72" hidden="1" customWidth="1"/>
    <col min="39" max="40" width="9.5" style="72" customWidth="1"/>
    <col min="41" max="41" width="8.5" style="72" customWidth="1"/>
    <col min="42" max="42" width="13.08203125" style="74" customWidth="1"/>
    <col min="43" max="43" width="19.08203125" style="74" customWidth="1"/>
    <col min="44" max="44" width="12.08203125" style="78" customWidth="1"/>
    <col min="45" max="45" width="12" style="78" customWidth="1"/>
    <col min="46" max="46" width="56.58203125" style="74" customWidth="1"/>
    <col min="47" max="57" width="13.58203125" style="72" customWidth="1"/>
    <col min="58" max="62" width="10" style="79" customWidth="1"/>
    <col min="63" max="63" width="17.83203125" style="79" customWidth="1"/>
    <col min="64" max="70" width="10" style="79" customWidth="1"/>
    <col min="71" max="71" width="8.5" style="79" customWidth="1"/>
    <col min="72" max="72" width="10" style="79" customWidth="1"/>
    <col min="73" max="73" width="12.5" style="79" bestFit="1" customWidth="1"/>
    <col min="74" max="74" width="16.33203125" style="79" bestFit="1" customWidth="1"/>
    <col min="75" max="75" width="17.58203125" style="79" bestFit="1" customWidth="1"/>
    <col min="76" max="76" width="10.75" style="79" bestFit="1" customWidth="1"/>
    <col min="77" max="77" width="14.25" style="79" bestFit="1" customWidth="1"/>
    <col min="78" max="78" width="12.5" style="79" bestFit="1" customWidth="1"/>
    <col min="79" max="79" width="10" style="79" customWidth="1"/>
    <col min="80" max="80" width="14.83203125" style="79" bestFit="1" customWidth="1"/>
    <col min="81" max="82" width="18.08203125" style="713" customWidth="1"/>
    <col min="83" max="83" width="13.58203125" style="150" customWidth="1"/>
    <col min="84" max="85" width="5.83203125" style="174" customWidth="1"/>
    <col min="86" max="88" width="6.58203125" style="174" customWidth="1"/>
    <col min="89" max="89" width="13.58203125" style="150" customWidth="1"/>
    <col min="90" max="90" width="10" style="79" customWidth="1"/>
    <col min="91" max="91" width="11.58203125" style="79" bestFit="1" customWidth="1"/>
    <col min="92" max="92" width="9.25" style="79" bestFit="1" customWidth="1"/>
    <col min="93" max="93" width="10" style="79" bestFit="1" customWidth="1"/>
    <col min="94" max="95" width="9.5" style="79" bestFit="1" customWidth="1"/>
    <col min="96" max="96" width="21" style="74" customWidth="1"/>
    <col min="97" max="97" width="15" style="80" customWidth="1"/>
    <col min="98" max="109" width="7.33203125" style="81" customWidth="1"/>
    <col min="110" max="110" width="7.33203125" style="82" customWidth="1"/>
    <col min="111" max="16384" width="8.5" style="74"/>
  </cols>
  <sheetData>
    <row r="1" spans="1:110" customFormat="1" ht="27.75" customHeight="1" thickTop="1" thickBot="1">
      <c r="A1" s="824" t="s">
        <v>37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5"/>
      <c r="M1" s="825"/>
      <c r="N1" s="825"/>
      <c r="O1" s="825"/>
      <c r="P1" s="825"/>
      <c r="Q1" s="825"/>
      <c r="R1" s="825"/>
      <c r="S1" s="825"/>
      <c r="T1" s="825"/>
      <c r="U1" s="825"/>
      <c r="V1" s="825"/>
      <c r="W1" s="825"/>
      <c r="X1" s="825"/>
      <c r="Y1" s="825"/>
      <c r="Z1" s="825"/>
      <c r="AA1" s="825"/>
      <c r="AB1" s="825"/>
      <c r="AC1" s="825"/>
      <c r="AD1" s="825"/>
      <c r="AE1" s="825"/>
      <c r="AF1" s="825"/>
      <c r="AG1" s="825"/>
      <c r="AH1" s="825"/>
      <c r="AI1" s="825"/>
      <c r="AJ1" s="825"/>
      <c r="AK1" s="825"/>
      <c r="AL1" s="825"/>
      <c r="AM1" s="825"/>
      <c r="AN1" s="825"/>
      <c r="AO1" s="825"/>
      <c r="AP1" s="825"/>
      <c r="AQ1" s="825"/>
      <c r="AR1" s="825"/>
      <c r="AS1" s="825"/>
      <c r="AT1" s="825"/>
      <c r="AU1" s="825"/>
      <c r="AV1" s="581"/>
      <c r="AW1" s="581"/>
      <c r="AX1" s="581"/>
      <c r="AY1" s="581"/>
      <c r="AZ1" s="581"/>
      <c r="BA1" s="581"/>
      <c r="BB1" s="581"/>
      <c r="BC1" s="581"/>
      <c r="BD1" s="581"/>
      <c r="BE1" s="581"/>
      <c r="BF1" s="294"/>
      <c r="BG1" s="294"/>
      <c r="BH1" s="294"/>
      <c r="BI1" s="294"/>
      <c r="BJ1" s="294"/>
      <c r="BK1" s="294"/>
      <c r="BL1" s="294"/>
      <c r="BM1" s="294"/>
      <c r="BN1" s="294"/>
      <c r="BO1" s="294"/>
      <c r="BP1" s="294"/>
      <c r="BQ1" s="294"/>
      <c r="BR1" s="294"/>
      <c r="BS1" s="699"/>
      <c r="BT1" s="699"/>
      <c r="BU1" s="699"/>
      <c r="BV1" s="699"/>
      <c r="BW1" s="699"/>
      <c r="BX1" s="699"/>
      <c r="BY1" s="699"/>
      <c r="BZ1" s="699"/>
      <c r="CA1" s="699"/>
      <c r="CB1" s="699"/>
      <c r="CC1" s="709"/>
      <c r="CD1" s="709"/>
      <c r="CE1" s="803" t="s">
        <v>38</v>
      </c>
      <c r="CF1" s="804"/>
      <c r="CG1" s="804"/>
      <c r="CH1" s="804"/>
      <c r="CI1" s="804"/>
      <c r="CJ1" s="804"/>
      <c r="CK1" s="805"/>
      <c r="CL1" s="294"/>
      <c r="CM1" s="294"/>
      <c r="CN1" s="294"/>
      <c r="CO1" s="294"/>
      <c r="CP1" s="294"/>
      <c r="CQ1" s="294"/>
      <c r="CR1" s="294"/>
      <c r="CS1" s="294"/>
      <c r="CT1" s="294"/>
      <c r="CU1" s="294"/>
      <c r="CV1" s="294"/>
      <c r="CW1" s="294"/>
      <c r="CX1" s="294"/>
      <c r="CY1" s="294"/>
      <c r="CZ1" s="294"/>
      <c r="DA1" s="294"/>
      <c r="DB1" s="294"/>
      <c r="DC1" s="294"/>
      <c r="DD1" s="294"/>
      <c r="DE1" s="294"/>
      <c r="DF1" s="295"/>
    </row>
    <row r="2" spans="1:110" s="550" customFormat="1" ht="20.25" customHeight="1" thickTop="1" thickBot="1">
      <c r="A2" s="830" t="s">
        <v>39</v>
      </c>
      <c r="B2" s="831"/>
      <c r="C2" s="831"/>
      <c r="D2" s="831"/>
      <c r="E2" s="831"/>
      <c r="F2" s="832"/>
      <c r="G2" s="833" t="s">
        <v>40</v>
      </c>
      <c r="H2" s="834"/>
      <c r="I2" s="834"/>
      <c r="J2" s="834"/>
      <c r="K2" s="834"/>
      <c r="L2" s="834"/>
      <c r="M2" s="834"/>
      <c r="N2" s="834"/>
      <c r="O2" s="834"/>
      <c r="P2" s="835"/>
      <c r="Q2" s="839" t="s">
        <v>41</v>
      </c>
      <c r="R2" s="840"/>
      <c r="S2" s="840"/>
      <c r="T2" s="840"/>
      <c r="U2" s="840"/>
      <c r="V2" s="841"/>
      <c r="W2" s="845" t="s">
        <v>42</v>
      </c>
      <c r="X2" s="846"/>
      <c r="Y2" s="846"/>
      <c r="Z2" s="846"/>
      <c r="AA2" s="846"/>
      <c r="AB2" s="847"/>
      <c r="AC2" s="871"/>
      <c r="AD2" s="872"/>
      <c r="AE2" s="872"/>
      <c r="AF2" s="872"/>
      <c r="AG2" s="539"/>
      <c r="AH2" s="539"/>
      <c r="AI2" s="539"/>
      <c r="AJ2" s="539"/>
      <c r="AK2" s="539"/>
      <c r="AL2" s="539"/>
      <c r="AM2" s="539"/>
      <c r="AN2" s="540"/>
      <c r="AO2" s="541" t="s">
        <v>43</v>
      </c>
      <c r="AP2" s="542"/>
      <c r="AQ2" s="542"/>
      <c r="AR2" s="542"/>
      <c r="AS2" s="542"/>
      <c r="AT2" s="542"/>
      <c r="AU2" s="542"/>
      <c r="AV2" s="542"/>
      <c r="AW2" s="542"/>
      <c r="AX2" s="542"/>
      <c r="AY2" s="542"/>
      <c r="AZ2" s="542"/>
      <c r="BA2" s="542"/>
      <c r="BB2" s="542"/>
      <c r="BC2" s="542"/>
      <c r="BD2" s="542"/>
      <c r="BE2" s="542"/>
      <c r="BF2" s="542"/>
      <c r="BG2" s="542"/>
      <c r="BH2" s="542"/>
      <c r="BI2" s="542"/>
      <c r="BJ2" s="542"/>
      <c r="BK2" s="542"/>
      <c r="BL2" s="542"/>
      <c r="BM2" s="542"/>
      <c r="BN2" s="542"/>
      <c r="BO2" s="542"/>
      <c r="BP2" s="542"/>
      <c r="BQ2" s="542"/>
      <c r="BR2" s="542"/>
      <c r="BS2" s="701"/>
      <c r="BT2" s="702"/>
      <c r="BU2" s="702"/>
      <c r="BV2" s="702"/>
      <c r="BW2" s="702"/>
      <c r="BX2" s="702"/>
      <c r="BY2" s="702"/>
      <c r="BZ2" s="702"/>
      <c r="CA2" s="702"/>
      <c r="CB2" s="702"/>
      <c r="CC2" s="732"/>
      <c r="CD2" s="730"/>
      <c r="CE2" s="728" t="s">
        <v>44</v>
      </c>
      <c r="CF2" s="543"/>
      <c r="CG2" s="544"/>
      <c r="CH2" s="545"/>
      <c r="CI2" s="545"/>
      <c r="CJ2" s="546"/>
      <c r="CK2" s="547"/>
      <c r="CL2" s="548" t="s">
        <v>45</v>
      </c>
      <c r="CM2" s="806" t="s">
        <v>46</v>
      </c>
      <c r="CN2" s="806"/>
      <c r="CO2" s="549" t="s">
        <v>47</v>
      </c>
      <c r="CP2" s="807" t="s">
        <v>48</v>
      </c>
      <c r="CQ2" s="807"/>
      <c r="CR2" s="807"/>
      <c r="CS2" s="807"/>
      <c r="CT2" s="807"/>
      <c r="CU2" s="807"/>
      <c r="CV2" s="807"/>
      <c r="CW2" s="807"/>
      <c r="CX2" s="807"/>
      <c r="CY2" s="807"/>
      <c r="CZ2" s="807"/>
      <c r="DA2" s="807"/>
      <c r="DB2" s="807"/>
      <c r="DC2" s="807"/>
      <c r="DD2" s="807"/>
      <c r="DE2" s="807"/>
      <c r="DF2" s="808"/>
    </row>
    <row r="3" spans="1:110" s="562" customFormat="1" ht="20.25" customHeight="1" thickTop="1" thickBot="1">
      <c r="A3" s="830"/>
      <c r="B3" s="831"/>
      <c r="C3" s="831"/>
      <c r="D3" s="831"/>
      <c r="E3" s="831"/>
      <c r="F3" s="832"/>
      <c r="G3" s="836"/>
      <c r="H3" s="837"/>
      <c r="I3" s="837"/>
      <c r="J3" s="837"/>
      <c r="K3" s="837"/>
      <c r="L3" s="837"/>
      <c r="M3" s="837"/>
      <c r="N3" s="837"/>
      <c r="O3" s="837"/>
      <c r="P3" s="838"/>
      <c r="Q3" s="842"/>
      <c r="R3" s="843"/>
      <c r="S3" s="843"/>
      <c r="T3" s="843"/>
      <c r="U3" s="843"/>
      <c r="V3" s="844"/>
      <c r="W3" s="848"/>
      <c r="X3" s="849"/>
      <c r="Y3" s="849"/>
      <c r="Z3" s="849"/>
      <c r="AA3" s="849"/>
      <c r="AB3" s="850"/>
      <c r="AC3" s="809" t="s">
        <v>22</v>
      </c>
      <c r="AD3" s="810"/>
      <c r="AE3" s="811"/>
      <c r="AF3" s="551" t="s">
        <v>49</v>
      </c>
      <c r="AG3" s="810" t="s">
        <v>50</v>
      </c>
      <c r="AH3" s="811"/>
      <c r="AI3" s="810" t="s">
        <v>51</v>
      </c>
      <c r="AJ3" s="811"/>
      <c r="AK3" s="810" t="s">
        <v>52</v>
      </c>
      <c r="AL3" s="811"/>
      <c r="AM3" s="812" t="s">
        <v>53</v>
      </c>
      <c r="AN3" s="813"/>
      <c r="AO3" s="552" t="s">
        <v>54</v>
      </c>
      <c r="AP3" s="553"/>
      <c r="AQ3" s="553"/>
      <c r="AR3" s="553"/>
      <c r="AS3" s="553"/>
      <c r="AT3" s="553"/>
      <c r="AU3" s="554" t="s">
        <v>55</v>
      </c>
      <c r="AV3" s="580"/>
      <c r="AW3" s="580"/>
      <c r="AX3" s="580"/>
      <c r="AY3" s="580"/>
      <c r="AZ3" s="580"/>
      <c r="BA3" s="580"/>
      <c r="BB3" s="580"/>
      <c r="BC3" s="580"/>
      <c r="BD3" s="580"/>
      <c r="BE3" s="580"/>
      <c r="BF3" s="814" t="s">
        <v>56</v>
      </c>
      <c r="BG3" s="815"/>
      <c r="BH3" s="815"/>
      <c r="BI3" s="815"/>
      <c r="BJ3" s="816"/>
      <c r="BK3" s="815" t="s">
        <v>57</v>
      </c>
      <c r="BL3" s="815"/>
      <c r="BM3" s="815"/>
      <c r="BN3" s="815"/>
      <c r="BO3" s="815"/>
      <c r="BP3" s="815"/>
      <c r="BQ3" s="815"/>
      <c r="BR3" s="815"/>
      <c r="BS3" s="761"/>
      <c r="BT3" s="762"/>
      <c r="BU3" s="763"/>
      <c r="BV3" s="764" t="s">
        <v>58</v>
      </c>
      <c r="BW3" s="762"/>
      <c r="BX3" s="763"/>
      <c r="BY3" s="764" t="s">
        <v>59</v>
      </c>
      <c r="BZ3" s="762"/>
      <c r="CA3" s="762"/>
      <c r="CB3" s="765"/>
      <c r="CC3" s="734"/>
      <c r="CD3" s="731"/>
      <c r="CE3" s="729">
        <v>31110000</v>
      </c>
      <c r="CF3" s="817"/>
      <c r="CG3" s="818"/>
      <c r="CH3" s="555"/>
      <c r="CI3" s="555"/>
      <c r="CJ3" s="556"/>
      <c r="CK3" s="557"/>
      <c r="CL3" s="558">
        <v>1.7</v>
      </c>
      <c r="CM3" s="819">
        <v>1.8</v>
      </c>
      <c r="CN3" s="819"/>
      <c r="CO3" s="559">
        <v>1.3</v>
      </c>
      <c r="CP3" s="560"/>
      <c r="CQ3" s="560"/>
      <c r="CR3" s="560"/>
      <c r="CS3" s="561" t="s">
        <v>60</v>
      </c>
      <c r="CT3" s="820" t="s">
        <v>61</v>
      </c>
      <c r="CU3" s="821"/>
      <c r="CV3" s="821"/>
      <c r="CW3" s="821"/>
      <c r="CX3" s="821"/>
      <c r="CY3" s="821"/>
      <c r="CZ3" s="822"/>
      <c r="DA3" s="820" t="s">
        <v>62</v>
      </c>
      <c r="DB3" s="821"/>
      <c r="DC3" s="822"/>
      <c r="DD3" s="820" t="s">
        <v>63</v>
      </c>
      <c r="DE3" s="821"/>
      <c r="DF3" s="823"/>
    </row>
    <row r="4" spans="1:110" s="393" customFormat="1" ht="48" customHeight="1" thickTop="1" thickBot="1">
      <c r="A4" s="356" t="s">
        <v>64</v>
      </c>
      <c r="B4" s="357" t="s">
        <v>65</v>
      </c>
      <c r="C4" s="358" t="s">
        <v>66</v>
      </c>
      <c r="D4" s="359" t="s">
        <v>67</v>
      </c>
      <c r="E4" s="359" t="s">
        <v>68</v>
      </c>
      <c r="F4" s="360" t="s">
        <v>69</v>
      </c>
      <c r="G4" s="361" t="s">
        <v>70</v>
      </c>
      <c r="H4" s="362" t="s">
        <v>71</v>
      </c>
      <c r="I4" s="362" t="s">
        <v>72</v>
      </c>
      <c r="J4" s="362" t="s">
        <v>73</v>
      </c>
      <c r="K4" s="363" t="s">
        <v>74</v>
      </c>
      <c r="L4" s="362" t="s">
        <v>75</v>
      </c>
      <c r="M4" s="362" t="s">
        <v>76</v>
      </c>
      <c r="N4" s="362" t="s">
        <v>77</v>
      </c>
      <c r="O4" s="364" t="s">
        <v>78</v>
      </c>
      <c r="P4" s="365" t="s">
        <v>79</v>
      </c>
      <c r="Q4" s="366" t="s">
        <v>80</v>
      </c>
      <c r="R4" s="367" t="s">
        <v>81</v>
      </c>
      <c r="S4" s="368" t="s">
        <v>82</v>
      </c>
      <c r="T4" s="367" t="s">
        <v>83</v>
      </c>
      <c r="U4" s="367" t="s">
        <v>84</v>
      </c>
      <c r="V4" s="369" t="s">
        <v>85</v>
      </c>
      <c r="W4" s="759" t="s">
        <v>86</v>
      </c>
      <c r="X4" s="370" t="s">
        <v>87</v>
      </c>
      <c r="Y4" s="370" t="s">
        <v>88</v>
      </c>
      <c r="Z4" s="371" t="s">
        <v>89</v>
      </c>
      <c r="AA4" s="370" t="s">
        <v>90</v>
      </c>
      <c r="AB4" s="372" t="s">
        <v>91</v>
      </c>
      <c r="AC4" s="373" t="s">
        <v>92</v>
      </c>
      <c r="AD4" s="374" t="s">
        <v>93</v>
      </c>
      <c r="AE4" s="375" t="s">
        <v>94</v>
      </c>
      <c r="AF4" s="376" t="s">
        <v>95</v>
      </c>
      <c r="AG4" s="377" t="s">
        <v>96</v>
      </c>
      <c r="AH4" s="377" t="s">
        <v>97</v>
      </c>
      <c r="AI4" s="376" t="s">
        <v>98</v>
      </c>
      <c r="AJ4" s="376" t="s">
        <v>99</v>
      </c>
      <c r="AK4" s="376" t="s">
        <v>52</v>
      </c>
      <c r="AL4" s="376" t="s">
        <v>100</v>
      </c>
      <c r="AM4" s="368" t="s">
        <v>101</v>
      </c>
      <c r="AN4" s="368" t="s">
        <v>102</v>
      </c>
      <c r="AO4" s="378" t="s">
        <v>103</v>
      </c>
      <c r="AP4" s="379" t="s">
        <v>565</v>
      </c>
      <c r="AQ4" s="379" t="s">
        <v>105</v>
      </c>
      <c r="AR4" s="379" t="s">
        <v>106</v>
      </c>
      <c r="AS4" s="379" t="s">
        <v>107</v>
      </c>
      <c r="AT4" s="379" t="s">
        <v>108</v>
      </c>
      <c r="AU4" s="380" t="s">
        <v>109</v>
      </c>
      <c r="AV4" s="380" t="s">
        <v>110</v>
      </c>
      <c r="AW4" s="380" t="s">
        <v>111</v>
      </c>
      <c r="AX4" s="380" t="s">
        <v>112</v>
      </c>
      <c r="AY4" s="380" t="s">
        <v>113</v>
      </c>
      <c r="AZ4" s="380" t="s">
        <v>114</v>
      </c>
      <c r="BA4" s="380" t="s">
        <v>115</v>
      </c>
      <c r="BB4" s="380" t="s">
        <v>116</v>
      </c>
      <c r="BC4" s="380" t="s">
        <v>117</v>
      </c>
      <c r="BD4" s="380" t="s">
        <v>118</v>
      </c>
      <c r="BE4" s="380" t="s">
        <v>119</v>
      </c>
      <c r="BF4" s="381" t="s">
        <v>120</v>
      </c>
      <c r="BG4" s="381" t="s">
        <v>121</v>
      </c>
      <c r="BH4" s="381" t="s">
        <v>122</v>
      </c>
      <c r="BI4" s="381" t="s">
        <v>123</v>
      </c>
      <c r="BJ4" s="381" t="s">
        <v>124</v>
      </c>
      <c r="BK4" s="381" t="s">
        <v>125</v>
      </c>
      <c r="BL4" s="381" t="s">
        <v>126</v>
      </c>
      <c r="BM4" s="381" t="s">
        <v>127</v>
      </c>
      <c r="BN4" s="381" t="s">
        <v>128</v>
      </c>
      <c r="BO4" s="381" t="s">
        <v>129</v>
      </c>
      <c r="BP4" s="381" t="s">
        <v>130</v>
      </c>
      <c r="BQ4" s="381" t="s">
        <v>131</v>
      </c>
      <c r="BR4" s="381" t="s">
        <v>132</v>
      </c>
      <c r="BS4" s="703" t="s">
        <v>133</v>
      </c>
      <c r="BT4" s="704" t="s">
        <v>134</v>
      </c>
      <c r="BU4" s="705" t="s">
        <v>135</v>
      </c>
      <c r="BV4" s="706" t="s">
        <v>136</v>
      </c>
      <c r="BW4" s="704" t="s">
        <v>137</v>
      </c>
      <c r="BX4" s="707" t="s">
        <v>138</v>
      </c>
      <c r="BY4" s="706" t="s">
        <v>139</v>
      </c>
      <c r="BZ4" s="708" t="s">
        <v>140</v>
      </c>
      <c r="CA4" s="704" t="s">
        <v>141</v>
      </c>
      <c r="CB4" s="736" t="s">
        <v>142</v>
      </c>
      <c r="CC4" s="735" t="s">
        <v>143</v>
      </c>
      <c r="CD4" s="733" t="s">
        <v>144</v>
      </c>
      <c r="CE4" s="382" t="s">
        <v>145</v>
      </c>
      <c r="CF4" s="383" t="s">
        <v>146</v>
      </c>
      <c r="CG4" s="384" t="s">
        <v>147</v>
      </c>
      <c r="CH4" s="385" t="s">
        <v>148</v>
      </c>
      <c r="CI4" s="385" t="s">
        <v>149</v>
      </c>
      <c r="CJ4" s="386" t="s">
        <v>150</v>
      </c>
      <c r="CK4" s="387" t="s">
        <v>151</v>
      </c>
      <c r="CL4" s="388" t="s">
        <v>152</v>
      </c>
      <c r="CM4" s="389" t="s">
        <v>153</v>
      </c>
      <c r="CN4" s="390" t="s">
        <v>154</v>
      </c>
      <c r="CO4" s="390" t="s">
        <v>155</v>
      </c>
      <c r="CP4" s="391" t="s">
        <v>156</v>
      </c>
      <c r="CQ4" s="391" t="s">
        <v>157</v>
      </c>
      <c r="CR4" s="391" t="s">
        <v>158</v>
      </c>
      <c r="CS4" s="391" t="s">
        <v>159</v>
      </c>
      <c r="CT4" s="391" t="s">
        <v>160</v>
      </c>
      <c r="CU4" s="391" t="s">
        <v>161</v>
      </c>
      <c r="CV4" s="391" t="s">
        <v>162</v>
      </c>
      <c r="CW4" s="391" t="s">
        <v>163</v>
      </c>
      <c r="CX4" s="391" t="s">
        <v>164</v>
      </c>
      <c r="CY4" s="391" t="s">
        <v>165</v>
      </c>
      <c r="CZ4" s="391" t="s">
        <v>166</v>
      </c>
      <c r="DA4" s="391" t="s">
        <v>167</v>
      </c>
      <c r="DB4" s="391" t="s">
        <v>168</v>
      </c>
      <c r="DC4" s="391" t="s">
        <v>169</v>
      </c>
      <c r="DD4" s="391" t="s">
        <v>170</v>
      </c>
      <c r="DE4" s="391" t="s">
        <v>171</v>
      </c>
      <c r="DF4" s="392" t="s">
        <v>172</v>
      </c>
    </row>
    <row r="5" spans="1:110" s="393" customFormat="1" ht="20.25" customHeight="1" thickTop="1" thickBot="1">
      <c r="A5" s="394"/>
      <c r="B5" s="395">
        <v>1</v>
      </c>
      <c r="C5" s="396">
        <v>28</v>
      </c>
      <c r="D5" s="675">
        <v>0</v>
      </c>
      <c r="E5" s="397"/>
      <c r="F5" s="666">
        <v>0</v>
      </c>
      <c r="G5" s="399"/>
      <c r="H5" s="400"/>
      <c r="I5" s="400"/>
      <c r="J5" s="400"/>
      <c r="K5" s="400"/>
      <c r="L5" s="400"/>
      <c r="M5" s="400"/>
      <c r="N5" s="400"/>
      <c r="O5" s="400"/>
      <c r="P5" s="401"/>
      <c r="Q5" s="402" t="s">
        <v>173</v>
      </c>
      <c r="R5" s="658">
        <v>233.3</v>
      </c>
      <c r="S5" s="403">
        <v>233.3</v>
      </c>
      <c r="T5" s="669">
        <f>표3[[#This Row],[편입면적]]/(SUM(표3[공부면적]))</f>
        <v>2.9147926036981506E-2</v>
      </c>
      <c r="U5" s="662" t="s">
        <v>174</v>
      </c>
      <c r="V5" s="405"/>
      <c r="W5" s="406">
        <v>341.91</v>
      </c>
      <c r="X5" s="407">
        <v>113.57</v>
      </c>
      <c r="Y5" s="407">
        <v>455.48</v>
      </c>
      <c r="Z5" s="407">
        <v>455.48</v>
      </c>
      <c r="AA5" s="408"/>
      <c r="AB5" s="409"/>
      <c r="AC5" s="410" t="s">
        <v>175</v>
      </c>
      <c r="AD5" s="411">
        <v>36</v>
      </c>
      <c r="AE5" s="411" t="str" cm="1">
        <f t="array" ref="AE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5" s="412"/>
      <c r="AG5" s="413" t="s">
        <v>176</v>
      </c>
      <c r="AH5" s="413"/>
      <c r="AI5" s="413" t="s">
        <v>177</v>
      </c>
      <c r="AJ5" s="414"/>
      <c r="AK5" s="415"/>
      <c r="AL5" s="415"/>
      <c r="AM5" s="412">
        <v>3</v>
      </c>
      <c r="AN5" s="416">
        <v>1</v>
      </c>
      <c r="AO5" s="417" t="s">
        <v>178</v>
      </c>
      <c r="AP5" s="418" t="s">
        <v>179</v>
      </c>
      <c r="AQ5" s="418"/>
      <c r="AR5" s="419"/>
      <c r="AS5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5" s="420" t="s">
        <v>180</v>
      </c>
      <c r="AU5" s="421"/>
      <c r="AV5" s="421"/>
      <c r="AW5" s="421" t="str">
        <f>IF(COUNTIF('설명회 참석자 명부'!$W$4:$W$29,표3[[#This Row],[성  명]])&gt;0,"O","")</f>
        <v/>
      </c>
      <c r="AX5" s="421" t="str">
        <f>_xlfn.XLOOKUP(표3[[#This Row],[성  명]],'설명회 참석자 명부'!$W$4:$W$29,'설명회 참석자 명부'!$X$4:$X$29,"")</f>
        <v/>
      </c>
      <c r="AY5" s="421"/>
      <c r="AZ5" s="503" t="s">
        <v>174</v>
      </c>
      <c r="BA5" s="421"/>
      <c r="BB5" s="421"/>
      <c r="BC5" s="421"/>
      <c r="BD5" s="421"/>
      <c r="BE5" s="421"/>
      <c r="BF5" s="422"/>
      <c r="BG5" s="422"/>
      <c r="BH5" s="422"/>
      <c r="BI5" s="422"/>
      <c r="BJ5" s="422"/>
      <c r="BK5" s="422" t="str">
        <f>IFERROR(LEFT(표3[[#This Row],[주소]],FIND(" ",표3[[#This Row],[주소]])-1),"")</f>
        <v>서울특별시</v>
      </c>
      <c r="BL5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가락동</v>
      </c>
      <c r="BN5" s="422"/>
      <c r="BO5" s="422"/>
      <c r="BP5" s="422"/>
      <c r="BQ5" s="422"/>
      <c r="BR5" s="423"/>
      <c r="BS5" s="714">
        <v>233.3</v>
      </c>
      <c r="BT5" s="715">
        <v>11400000</v>
      </c>
      <c r="BU5" s="715">
        <v>2659620000</v>
      </c>
      <c r="BV5" s="715" t="s">
        <v>177</v>
      </c>
      <c r="BW5" s="715">
        <v>455.48</v>
      </c>
      <c r="BX5" s="715">
        <v>178548160</v>
      </c>
      <c r="BY5" s="715" t="s">
        <v>179</v>
      </c>
      <c r="BZ5" s="715" t="s">
        <v>179</v>
      </c>
      <c r="CA5" s="715" t="s">
        <v>179</v>
      </c>
      <c r="CB5" s="715" t="s">
        <v>179</v>
      </c>
      <c r="CC5" s="715">
        <v>2838168160</v>
      </c>
      <c r="CD5" s="726">
        <f>표3[[#This Row],[종전추정가액]]*1.5219</f>
        <v>4319408122.7040005</v>
      </c>
      <c r="CE5" s="424"/>
      <c r="CF5" s="425"/>
      <c r="CG5" s="425"/>
      <c r="CH5" s="426"/>
      <c r="CI5" s="426"/>
      <c r="CJ5" s="427"/>
      <c r="CK5" s="428"/>
      <c r="CL5" s="429"/>
      <c r="CM5" s="430"/>
      <c r="CN5" s="431"/>
      <c r="CO5" s="431"/>
      <c r="CP5" s="431"/>
      <c r="CQ5" s="431"/>
      <c r="CR5" s="431"/>
      <c r="CS5" s="432"/>
      <c r="CT5" s="433"/>
      <c r="CU5" s="433"/>
      <c r="CV5" s="433"/>
      <c r="CW5" s="433"/>
      <c r="CX5" s="433"/>
      <c r="CY5" s="433"/>
      <c r="CZ5" s="433"/>
      <c r="DA5" s="433"/>
      <c r="DB5" s="433"/>
      <c r="DC5" s="433"/>
      <c r="DD5" s="433"/>
      <c r="DE5" s="433"/>
      <c r="DF5" s="434"/>
    </row>
    <row r="6" spans="1:110" s="474" customFormat="1" ht="20.25" customHeight="1" thickTop="1">
      <c r="A6" s="435"/>
      <c r="B6" s="436"/>
      <c r="C6" s="437">
        <v>28</v>
      </c>
      <c r="D6" s="438">
        <v>1</v>
      </c>
      <c r="E6" s="438" t="s">
        <v>181</v>
      </c>
      <c r="F6" s="667">
        <v>0</v>
      </c>
      <c r="G6" s="439"/>
      <c r="H6" s="440"/>
      <c r="I6" s="440"/>
      <c r="J6" s="440"/>
      <c r="K6" s="440"/>
      <c r="L6" s="440"/>
      <c r="M6" s="440"/>
      <c r="N6" s="440"/>
      <c r="O6" s="440"/>
      <c r="P6" s="441"/>
      <c r="Q6" s="442" t="s">
        <v>173</v>
      </c>
      <c r="R6" s="443">
        <v>374.6</v>
      </c>
      <c r="S6" s="443"/>
      <c r="T6" s="670">
        <f>표3[[#This Row],[편입면적]]/(SUM(표3[공부면적]))</f>
        <v>0</v>
      </c>
      <c r="U6" s="444" t="s">
        <v>174</v>
      </c>
      <c r="V6" s="445"/>
      <c r="W6" s="446"/>
      <c r="X6" s="447"/>
      <c r="Y6" s="447">
        <v>0</v>
      </c>
      <c r="Z6" s="447">
        <v>864.2</v>
      </c>
      <c r="AA6" s="448"/>
      <c r="AB6" s="449"/>
      <c r="AC6" s="450" t="s">
        <v>182</v>
      </c>
      <c r="AD6" s="451">
        <v>23</v>
      </c>
      <c r="AE6" s="451" t="str" cm="1">
        <f t="array" ref="AE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" s="452"/>
      <c r="AG6" s="453" t="s">
        <v>176</v>
      </c>
      <c r="AH6" s="453"/>
      <c r="AI6" s="453" t="s">
        <v>183</v>
      </c>
      <c r="AJ6" s="453"/>
      <c r="AK6" s="454"/>
      <c r="AL6" s="454"/>
      <c r="AM6" s="452">
        <v>5</v>
      </c>
      <c r="AN6" s="455">
        <v>0</v>
      </c>
      <c r="AO6" s="456"/>
      <c r="AP6" s="457"/>
      <c r="AQ6" s="457"/>
      <c r="AR6" s="458"/>
      <c r="AS6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6" s="459"/>
      <c r="AU6" s="460"/>
      <c r="AV6" s="460"/>
      <c r="AW6" s="460" t="str">
        <f>IF(COUNTIF('설명회 참석자 명부'!$W$4:$W$29,표3[[#This Row],[성  명]])&gt;0,"O","")</f>
        <v/>
      </c>
      <c r="AX6" s="460">
        <f>_xlfn.XLOOKUP(표3[[#This Row],[성  명]],'설명회 참석자 명부'!$W$4:$W$29,'설명회 참석자 명부'!$X$4:$X$29,"")</f>
        <v>0</v>
      </c>
      <c r="AY6" s="460"/>
      <c r="AZ6" s="460"/>
      <c r="BA6" s="460"/>
      <c r="BB6" s="460"/>
      <c r="BC6" s="460"/>
      <c r="BD6" s="460"/>
      <c r="BE6" s="460"/>
      <c r="BF6" s="461"/>
      <c r="BG6" s="461"/>
      <c r="BH6" s="461"/>
      <c r="BI6" s="461"/>
      <c r="BJ6" s="461"/>
      <c r="BK6" s="461" t="str">
        <f>IFERROR(LEFT(표3[[#This Row],[주소]],FIND(" ",표3[[#This Row],[주소]])-1),"")</f>
        <v/>
      </c>
      <c r="BL6" s="461" t="str">
        <f>IFERROR(MID(표3[[#This Row],[주소]], FIND(" ", 표3[[#This Row],[주소]])+1, FIND(" ", 표3[[#This Row],[주소]], FIND(" ", 표3[[#This Row],[주소]])+1) - FIND(" ", 표3[[#This Row],[주소]])-1),"")</f>
        <v/>
      </c>
      <c r="BM6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6" s="461"/>
      <c r="BO6" s="461"/>
      <c r="BP6" s="461"/>
      <c r="BQ6" s="461"/>
      <c r="BR6" s="462"/>
      <c r="BS6" s="716"/>
      <c r="BT6" s="717"/>
      <c r="BU6" s="717"/>
      <c r="BV6" s="717"/>
      <c r="BW6" s="717"/>
      <c r="BX6" s="717"/>
      <c r="BY6" s="717"/>
      <c r="BZ6" s="717"/>
      <c r="CA6" s="717"/>
      <c r="CB6" s="717"/>
      <c r="CC6" s="717"/>
      <c r="CD6" s="727">
        <f>표3[[#This Row],[종전추정가액]]*1.5219</f>
        <v>0</v>
      </c>
      <c r="CE6" s="463"/>
      <c r="CF6" s="464"/>
      <c r="CG6" s="464"/>
      <c r="CH6" s="465"/>
      <c r="CI6" s="465"/>
      <c r="CJ6" s="466"/>
      <c r="CK6" s="467"/>
      <c r="CL6" s="468"/>
      <c r="CM6" s="469"/>
      <c r="CN6" s="470"/>
      <c r="CO6" s="470"/>
      <c r="CP6" s="470"/>
      <c r="CQ6" s="470"/>
      <c r="CR6" s="470"/>
      <c r="CS6" s="471"/>
      <c r="CT6" s="472"/>
      <c r="CU6" s="472"/>
      <c r="CV6" s="472"/>
      <c r="CW6" s="472"/>
      <c r="CX6" s="472"/>
      <c r="CY6" s="472"/>
      <c r="CZ6" s="472"/>
      <c r="DA6" s="472"/>
      <c r="DB6" s="472"/>
      <c r="DC6" s="472"/>
      <c r="DD6" s="472"/>
      <c r="DE6" s="472"/>
      <c r="DF6" s="473"/>
    </row>
    <row r="7" spans="1:110" s="393" customFormat="1" ht="20.25" customHeight="1">
      <c r="A7" s="475"/>
      <c r="B7" s="476">
        <v>2</v>
      </c>
      <c r="C7" s="477">
        <v>28</v>
      </c>
      <c r="D7" s="478">
        <v>1</v>
      </c>
      <c r="E7" s="478" t="s">
        <v>184</v>
      </c>
      <c r="F7" s="479">
        <v>101</v>
      </c>
      <c r="G7" s="480"/>
      <c r="H7" s="481"/>
      <c r="I7" s="481"/>
      <c r="J7" s="481"/>
      <c r="K7" s="481"/>
      <c r="L7" s="481"/>
      <c r="M7" s="481"/>
      <c r="N7" s="481"/>
      <c r="O7" s="481"/>
      <c r="P7" s="482"/>
      <c r="Q7" s="483" t="s">
        <v>179</v>
      </c>
      <c r="R7" s="484">
        <v>0</v>
      </c>
      <c r="S7" s="485">
        <v>44.45</v>
      </c>
      <c r="T7" s="671">
        <f>표3[[#This Row],[편입면적]]/(SUM(표3[공부면적]))</f>
        <v>5.5534732633683156E-3</v>
      </c>
      <c r="U7" s="486" t="s">
        <v>179</v>
      </c>
      <c r="V7" s="487"/>
      <c r="W7" s="488">
        <v>94.8</v>
      </c>
      <c r="X7" s="489">
        <v>7.47</v>
      </c>
      <c r="Y7" s="489">
        <v>102.27</v>
      </c>
      <c r="Z7" s="489" t="s">
        <v>179</v>
      </c>
      <c r="AA7" s="490"/>
      <c r="AB7" s="491"/>
      <c r="AC7" s="492"/>
      <c r="AD7" s="493"/>
      <c r="AE7" s="493" t="str" cm="1">
        <f t="array" ref="AE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" s="494"/>
      <c r="AG7" s="495" t="s">
        <v>176</v>
      </c>
      <c r="AH7" s="495"/>
      <c r="AI7" s="495" t="s">
        <v>183</v>
      </c>
      <c r="AJ7" s="496"/>
      <c r="AK7" s="497"/>
      <c r="AL7" s="497"/>
      <c r="AM7" s="494"/>
      <c r="AN7" s="498"/>
      <c r="AO7" s="499" t="s">
        <v>185</v>
      </c>
      <c r="AP7" s="500" t="s">
        <v>179</v>
      </c>
      <c r="AQ7" s="500"/>
      <c r="AR7" s="501">
        <v>49</v>
      </c>
      <c r="AS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7" s="502" t="s">
        <v>186</v>
      </c>
      <c r="AU7" s="503"/>
      <c r="AV7" s="503"/>
      <c r="AW7" s="503" t="str">
        <f>IF(COUNTIF('설명회 참석자 명부'!$W$4:$W$29,표3[[#This Row],[성  명]])&gt;0,"O","")</f>
        <v/>
      </c>
      <c r="AX7" s="503" t="str">
        <f>_xlfn.XLOOKUP(표3[[#This Row],[성  명]],'설명회 참석자 명부'!$W$4:$W$29,'설명회 참석자 명부'!$X$4:$X$29,"")</f>
        <v/>
      </c>
      <c r="AY7" s="503"/>
      <c r="AZ7" s="503" t="s">
        <v>174</v>
      </c>
      <c r="BA7" s="503"/>
      <c r="BB7" s="503"/>
      <c r="BC7" s="503"/>
      <c r="BD7" s="503"/>
      <c r="BE7" s="503"/>
      <c r="BF7" s="504"/>
      <c r="BG7" s="504"/>
      <c r="BH7" s="504"/>
      <c r="BI7" s="504"/>
      <c r="BJ7" s="504"/>
      <c r="BK7" s="504" t="str">
        <f>IFERROR(LEFT(표3[[#This Row],[주소]],FIND(" ",표3[[#This Row],[주소]])-1),"")</f>
        <v>서울</v>
      </c>
      <c r="BL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7" s="504"/>
      <c r="BO7" s="504"/>
      <c r="BP7" s="504"/>
      <c r="BQ7" s="504"/>
      <c r="BR7" s="505"/>
      <c r="BS7" s="718" t="s">
        <v>179</v>
      </c>
      <c r="BT7" s="719" t="s">
        <v>179</v>
      </c>
      <c r="BU7" s="719" t="s">
        <v>179</v>
      </c>
      <c r="BV7" s="719" t="s">
        <v>179</v>
      </c>
      <c r="BW7" s="719" t="s">
        <v>179</v>
      </c>
      <c r="BX7" s="719" t="s">
        <v>179</v>
      </c>
      <c r="BY7" s="719" t="s">
        <v>187</v>
      </c>
      <c r="BZ7" s="719">
        <v>94.8</v>
      </c>
      <c r="CA7" s="719">
        <v>44.45</v>
      </c>
      <c r="CB7" s="719">
        <v>669000000</v>
      </c>
      <c r="CC7" s="719">
        <v>669000000</v>
      </c>
      <c r="CD7" s="726">
        <f>표3[[#This Row],[종전추정가액]]*1.5219</f>
        <v>1018151100</v>
      </c>
      <c r="CE7" s="506"/>
      <c r="CF7" s="507"/>
      <c r="CG7" s="507"/>
      <c r="CH7" s="508"/>
      <c r="CI7" s="508"/>
      <c r="CJ7" s="509"/>
      <c r="CK7" s="510"/>
      <c r="CL7" s="511"/>
      <c r="CM7" s="512"/>
      <c r="CN7" s="513"/>
      <c r="CO7" s="513"/>
      <c r="CP7" s="513"/>
      <c r="CQ7" s="513"/>
      <c r="CR7" s="513"/>
      <c r="CS7" s="514"/>
      <c r="CT7" s="515"/>
      <c r="CU7" s="515"/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6"/>
    </row>
    <row r="8" spans="1:110" s="393" customFormat="1" ht="20.25" customHeight="1">
      <c r="A8" s="475"/>
      <c r="B8" s="476">
        <v>2</v>
      </c>
      <c r="C8" s="477">
        <v>28</v>
      </c>
      <c r="D8" s="478">
        <v>1</v>
      </c>
      <c r="E8" s="478" t="s">
        <v>184</v>
      </c>
      <c r="F8" s="479">
        <v>102</v>
      </c>
      <c r="G8" s="480"/>
      <c r="H8" s="481"/>
      <c r="I8" s="481"/>
      <c r="J8" s="481"/>
      <c r="K8" s="481"/>
      <c r="L8" s="481"/>
      <c r="M8" s="481"/>
      <c r="N8" s="481"/>
      <c r="O8" s="481"/>
      <c r="P8" s="482"/>
      <c r="Q8" s="483" t="s">
        <v>179</v>
      </c>
      <c r="R8" s="484">
        <v>0</v>
      </c>
      <c r="S8" s="485">
        <v>44.45</v>
      </c>
      <c r="T8" s="671">
        <f>표3[[#This Row],[편입면적]]/(SUM(표3[공부면적]))</f>
        <v>5.5534732633683156E-3</v>
      </c>
      <c r="U8" s="486" t="s">
        <v>179</v>
      </c>
      <c r="V8" s="487"/>
      <c r="W8" s="488">
        <v>94.8</v>
      </c>
      <c r="X8" s="489">
        <v>7.47</v>
      </c>
      <c r="Y8" s="489">
        <v>102.27</v>
      </c>
      <c r="Z8" s="489" t="s">
        <v>179</v>
      </c>
      <c r="AA8" s="490"/>
      <c r="AB8" s="491"/>
      <c r="AC8" s="492"/>
      <c r="AD8" s="493"/>
      <c r="AE8" s="493" t="str" cm="1">
        <f t="array" ref="AE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" s="494"/>
      <c r="AG8" s="495" t="s">
        <v>176</v>
      </c>
      <c r="AH8" s="495"/>
      <c r="AI8" s="495" t="s">
        <v>183</v>
      </c>
      <c r="AJ8" s="496"/>
      <c r="AK8" s="497"/>
      <c r="AL8" s="497"/>
      <c r="AM8" s="494"/>
      <c r="AN8" s="498"/>
      <c r="AO8" s="499" t="s">
        <v>185</v>
      </c>
      <c r="AP8" s="500" t="s">
        <v>179</v>
      </c>
      <c r="AQ8" s="500"/>
      <c r="AR8" s="501"/>
      <c r="AS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8" s="502" t="s">
        <v>186</v>
      </c>
      <c r="AU8" s="503"/>
      <c r="AV8" s="503"/>
      <c r="AW8" s="503" t="str">
        <f>IF(COUNTIF('설명회 참석자 명부'!$W$4:$W$29,표3[[#This Row],[성  명]])&gt;0,"O","")</f>
        <v/>
      </c>
      <c r="AX8" s="503" t="str">
        <f>_xlfn.XLOOKUP(표3[[#This Row],[성  명]],'설명회 참석자 명부'!$W$4:$W$29,'설명회 참석자 명부'!$X$4:$X$29,"")</f>
        <v/>
      </c>
      <c r="AY8" s="503"/>
      <c r="AZ8" s="503"/>
      <c r="BA8" s="503"/>
      <c r="BB8" s="503"/>
      <c r="BC8" s="503"/>
      <c r="BD8" s="503"/>
      <c r="BE8" s="503"/>
      <c r="BF8" s="504"/>
      <c r="BG8" s="504"/>
      <c r="BH8" s="504"/>
      <c r="BI8" s="504"/>
      <c r="BJ8" s="504"/>
      <c r="BK8" s="504" t="str">
        <f>IFERROR(LEFT(표3[[#This Row],[주소]],FIND(" ",표3[[#This Row],[주소]])-1),"")</f>
        <v>서울</v>
      </c>
      <c r="BL8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8" s="504"/>
      <c r="BO8" s="504"/>
      <c r="BP8" s="504"/>
      <c r="BQ8" s="504"/>
      <c r="BR8" s="505"/>
      <c r="BS8" s="718" t="s">
        <v>179</v>
      </c>
      <c r="BT8" s="719" t="s">
        <v>179</v>
      </c>
      <c r="BU8" s="719" t="s">
        <v>179</v>
      </c>
      <c r="BV8" s="719" t="s">
        <v>179</v>
      </c>
      <c r="BW8" s="719" t="s">
        <v>179</v>
      </c>
      <c r="BX8" s="719" t="s">
        <v>179</v>
      </c>
      <c r="BY8" s="719" t="s">
        <v>187</v>
      </c>
      <c r="BZ8" s="719">
        <v>94.8</v>
      </c>
      <c r="CA8" s="719">
        <v>44.45</v>
      </c>
      <c r="CB8" s="719">
        <v>669000000</v>
      </c>
      <c r="CC8" s="719">
        <v>669000000</v>
      </c>
      <c r="CD8" s="726">
        <f>표3[[#This Row],[종전추정가액]]*1.5219</f>
        <v>1018151100</v>
      </c>
      <c r="CE8" s="506"/>
      <c r="CF8" s="507"/>
      <c r="CG8" s="507"/>
      <c r="CH8" s="508"/>
      <c r="CI8" s="508"/>
      <c r="CJ8" s="509"/>
      <c r="CK8" s="510"/>
      <c r="CL8" s="511"/>
      <c r="CM8" s="512"/>
      <c r="CN8" s="513"/>
      <c r="CO8" s="513"/>
      <c r="CP8" s="513"/>
      <c r="CQ8" s="513"/>
      <c r="CR8" s="513"/>
      <c r="CS8" s="514"/>
      <c r="CT8" s="515"/>
      <c r="CU8" s="515"/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6"/>
    </row>
    <row r="9" spans="1:110" s="393" customFormat="1" ht="20.25" customHeight="1">
      <c r="A9" s="475"/>
      <c r="B9" s="476">
        <v>3</v>
      </c>
      <c r="C9" s="477">
        <v>28</v>
      </c>
      <c r="D9" s="478">
        <v>1</v>
      </c>
      <c r="E9" s="478" t="s">
        <v>184</v>
      </c>
      <c r="F9" s="479">
        <v>201</v>
      </c>
      <c r="G9" s="480"/>
      <c r="H9" s="481"/>
      <c r="I9" s="481"/>
      <c r="J9" s="481"/>
      <c r="K9" s="481"/>
      <c r="L9" s="481"/>
      <c r="M9" s="481"/>
      <c r="N9" s="481"/>
      <c r="O9" s="481"/>
      <c r="P9" s="482"/>
      <c r="Q9" s="483" t="s">
        <v>179</v>
      </c>
      <c r="R9" s="484">
        <v>0</v>
      </c>
      <c r="S9" s="485">
        <v>35.71</v>
      </c>
      <c r="T9" s="671">
        <f>표3[[#This Row],[편입면적]]/(SUM(표3[공부면적]))</f>
        <v>4.4615192403798095E-3</v>
      </c>
      <c r="U9" s="486" t="s">
        <v>179</v>
      </c>
      <c r="V9" s="487"/>
      <c r="W9" s="488">
        <v>76.2</v>
      </c>
      <c r="X9" s="489">
        <v>6.19</v>
      </c>
      <c r="Y9" s="489">
        <v>82.39</v>
      </c>
      <c r="Z9" s="489" t="s">
        <v>179</v>
      </c>
      <c r="AA9" s="490"/>
      <c r="AB9" s="491"/>
      <c r="AC9" s="492"/>
      <c r="AD9" s="493"/>
      <c r="AE9" s="493" t="str" cm="1">
        <f t="array" ref="AE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9" s="494"/>
      <c r="AG9" s="495" t="s">
        <v>176</v>
      </c>
      <c r="AH9" s="495"/>
      <c r="AI9" s="495" t="s">
        <v>183</v>
      </c>
      <c r="AJ9" s="496"/>
      <c r="AK9" s="497"/>
      <c r="AL9" s="497"/>
      <c r="AM9" s="494"/>
      <c r="AN9" s="498"/>
      <c r="AO9" s="499" t="s">
        <v>188</v>
      </c>
      <c r="AP9" s="500">
        <v>1041834048</v>
      </c>
      <c r="AQ9" s="500"/>
      <c r="AR9" s="501">
        <v>57</v>
      </c>
      <c r="AS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9" s="502" t="s">
        <v>189</v>
      </c>
      <c r="AU9" s="503" t="s">
        <v>190</v>
      </c>
      <c r="AV9" s="503"/>
      <c r="AW9" s="503" t="str">
        <f>IF(COUNTIF('설명회 참석자 명부'!$W$4:$W$29,표3[[#This Row],[성  명]])&gt;0,"O","")</f>
        <v/>
      </c>
      <c r="AX9" s="503" t="str">
        <f>_xlfn.XLOOKUP(표3[[#This Row],[성  명]],'설명회 참석자 명부'!$W$4:$W$29,'설명회 참석자 명부'!$X$4:$X$29,"")</f>
        <v/>
      </c>
      <c r="AY9" s="503"/>
      <c r="AZ9" s="503"/>
      <c r="BA9" s="503" t="s">
        <v>190</v>
      </c>
      <c r="BB9" s="503"/>
      <c r="BC9" s="503"/>
      <c r="BD9" s="503"/>
      <c r="BE9" s="503"/>
      <c r="BF9" s="504"/>
      <c r="BG9" s="504"/>
      <c r="BH9" s="504"/>
      <c r="BI9" s="504"/>
      <c r="BJ9" s="504"/>
      <c r="BK9" s="504" t="str">
        <f>IFERROR(LEFT(표3[[#This Row],[주소]],FIND(" ",표3[[#This Row],[주소]])-1),"")</f>
        <v>서울특별시</v>
      </c>
      <c r="BL9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</v>
      </c>
      <c r="BN9" s="504"/>
      <c r="BO9" s="504"/>
      <c r="BP9" s="504"/>
      <c r="BQ9" s="504"/>
      <c r="BR9" s="505"/>
      <c r="BS9" s="718" t="s">
        <v>179</v>
      </c>
      <c r="BT9" s="719" t="s">
        <v>179</v>
      </c>
      <c r="BU9" s="719" t="s">
        <v>179</v>
      </c>
      <c r="BV9" s="719" t="s">
        <v>179</v>
      </c>
      <c r="BW9" s="719" t="s">
        <v>179</v>
      </c>
      <c r="BX9" s="719" t="s">
        <v>179</v>
      </c>
      <c r="BY9" s="719" t="s">
        <v>191</v>
      </c>
      <c r="BZ9" s="719">
        <v>76.2</v>
      </c>
      <c r="CA9" s="719">
        <v>35.71</v>
      </c>
      <c r="CB9" s="719">
        <v>552000000</v>
      </c>
      <c r="CC9" s="719">
        <v>552000000</v>
      </c>
      <c r="CD9" s="726">
        <f>표3[[#This Row],[종전추정가액]]*1.5219</f>
        <v>840088800</v>
      </c>
      <c r="CE9" s="506"/>
      <c r="CF9" s="507"/>
      <c r="CG9" s="507"/>
      <c r="CH9" s="508"/>
      <c r="CI9" s="508"/>
      <c r="CJ9" s="509"/>
      <c r="CK9" s="510"/>
      <c r="CL9" s="511"/>
      <c r="CM9" s="512"/>
      <c r="CN9" s="513"/>
      <c r="CO9" s="513"/>
      <c r="CP9" s="513"/>
      <c r="CQ9" s="513"/>
      <c r="CR9" s="513"/>
      <c r="CS9" s="514"/>
      <c r="CT9" s="515"/>
      <c r="CU9" s="515"/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6"/>
    </row>
    <row r="10" spans="1:110" s="393" customFormat="1" ht="20.25" customHeight="1">
      <c r="A10" s="475"/>
      <c r="B10" s="476">
        <v>4</v>
      </c>
      <c r="C10" s="477">
        <v>28</v>
      </c>
      <c r="D10" s="478">
        <v>1</v>
      </c>
      <c r="E10" s="478" t="s">
        <v>184</v>
      </c>
      <c r="F10" s="479">
        <v>202</v>
      </c>
      <c r="G10" s="480"/>
      <c r="H10" s="481"/>
      <c r="I10" s="481"/>
      <c r="J10" s="481"/>
      <c r="K10" s="481"/>
      <c r="L10" s="481"/>
      <c r="M10" s="481"/>
      <c r="N10" s="481"/>
      <c r="O10" s="481"/>
      <c r="P10" s="482"/>
      <c r="Q10" s="483" t="s">
        <v>179</v>
      </c>
      <c r="R10" s="484">
        <v>0</v>
      </c>
      <c r="S10" s="485">
        <v>35.71</v>
      </c>
      <c r="T10" s="671">
        <f>표3[[#This Row],[편입면적]]/(SUM(표3[공부면적]))</f>
        <v>4.4615192403798095E-3</v>
      </c>
      <c r="U10" s="486" t="s">
        <v>179</v>
      </c>
      <c r="V10" s="487"/>
      <c r="W10" s="488">
        <v>76.2</v>
      </c>
      <c r="X10" s="489">
        <v>6.19</v>
      </c>
      <c r="Y10" s="489">
        <v>82.39</v>
      </c>
      <c r="Z10" s="489" t="s">
        <v>179</v>
      </c>
      <c r="AA10" s="490"/>
      <c r="AB10" s="491"/>
      <c r="AC10" s="492"/>
      <c r="AD10" s="493"/>
      <c r="AE10" s="493" t="str" cm="1">
        <f t="array" ref="AE1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0" s="494"/>
      <c r="AG10" s="495" t="s">
        <v>176</v>
      </c>
      <c r="AH10" s="495"/>
      <c r="AI10" s="495" t="s">
        <v>183</v>
      </c>
      <c r="AJ10" s="496"/>
      <c r="AK10" s="497"/>
      <c r="AL10" s="497"/>
      <c r="AM10" s="494"/>
      <c r="AN10" s="498"/>
      <c r="AO10" s="499" t="s">
        <v>192</v>
      </c>
      <c r="AP10" s="500">
        <v>1089568848</v>
      </c>
      <c r="AQ10" s="500"/>
      <c r="AR10" s="501">
        <v>60</v>
      </c>
      <c r="AS1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0" s="502" t="s">
        <v>193</v>
      </c>
      <c r="AU10" s="503"/>
      <c r="AV10" s="503"/>
      <c r="AW10" s="503" t="str">
        <f>IF(COUNTIF('설명회 참석자 명부'!$W$4:$W$29,표3[[#This Row],[성  명]])&gt;0,"O","")</f>
        <v/>
      </c>
      <c r="AX10" s="503" t="str">
        <f>_xlfn.XLOOKUP(표3[[#This Row],[성  명]],'설명회 참석자 명부'!$W$4:$W$29,'설명회 참석자 명부'!$X$4:$X$29,"")</f>
        <v/>
      </c>
      <c r="AY10" s="503"/>
      <c r="AZ10" s="503" t="s">
        <v>174</v>
      </c>
      <c r="BA10" s="503"/>
      <c r="BB10" s="503"/>
      <c r="BC10" s="503"/>
      <c r="BD10" s="503"/>
      <c r="BE10" s="503"/>
      <c r="BF10" s="504"/>
      <c r="BG10" s="504"/>
      <c r="BH10" s="504"/>
      <c r="BI10" s="504"/>
      <c r="BJ10" s="504"/>
      <c r="BK10" s="504" t="str">
        <f>IFERROR(LEFT(표3[[#This Row],[주소]],FIND(" ",표3[[#This Row],[주소]])-1),"")</f>
        <v>서울특별시</v>
      </c>
      <c r="BL1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가락동</v>
      </c>
      <c r="BN10" s="504"/>
      <c r="BO10" s="504"/>
      <c r="BP10" s="504"/>
      <c r="BQ10" s="504"/>
      <c r="BR10" s="505"/>
      <c r="BS10" s="718" t="s">
        <v>179</v>
      </c>
      <c r="BT10" s="719" t="s">
        <v>179</v>
      </c>
      <c r="BU10" s="719" t="s">
        <v>179</v>
      </c>
      <c r="BV10" s="719" t="s">
        <v>179</v>
      </c>
      <c r="BW10" s="719" t="s">
        <v>179</v>
      </c>
      <c r="BX10" s="719" t="s">
        <v>179</v>
      </c>
      <c r="BY10" s="719" t="s">
        <v>191</v>
      </c>
      <c r="BZ10" s="719">
        <v>76.2</v>
      </c>
      <c r="CA10" s="719">
        <v>35.71</v>
      </c>
      <c r="CB10" s="719">
        <v>552000000</v>
      </c>
      <c r="CC10" s="719">
        <v>552000000</v>
      </c>
      <c r="CD10" s="726">
        <f>표3[[#This Row],[종전추정가액]]*1.5219</f>
        <v>840088800</v>
      </c>
      <c r="CE10" s="506"/>
      <c r="CF10" s="507"/>
      <c r="CG10" s="507"/>
      <c r="CH10" s="508"/>
      <c r="CI10" s="508"/>
      <c r="CJ10" s="509"/>
      <c r="CK10" s="510"/>
      <c r="CL10" s="511"/>
      <c r="CM10" s="512"/>
      <c r="CN10" s="513"/>
      <c r="CO10" s="513"/>
      <c r="CP10" s="513"/>
      <c r="CQ10" s="513"/>
      <c r="CR10" s="513"/>
      <c r="CS10" s="514"/>
      <c r="CT10" s="515"/>
      <c r="CU10" s="515"/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6"/>
    </row>
    <row r="11" spans="1:110" s="393" customFormat="1" ht="37.5" customHeight="1">
      <c r="A11" s="475"/>
      <c r="B11" s="476">
        <v>5</v>
      </c>
      <c r="C11" s="477">
        <v>28</v>
      </c>
      <c r="D11" s="478">
        <v>1</v>
      </c>
      <c r="E11" s="478" t="s">
        <v>184</v>
      </c>
      <c r="F11" s="479">
        <v>301</v>
      </c>
      <c r="G11" s="480"/>
      <c r="H11" s="481"/>
      <c r="I11" s="481"/>
      <c r="J11" s="481"/>
      <c r="K11" s="481"/>
      <c r="L11" s="481"/>
      <c r="M11" s="481"/>
      <c r="N11" s="481"/>
      <c r="O11" s="481"/>
      <c r="P11" s="482" t="s">
        <v>194</v>
      </c>
      <c r="Q11" s="483" t="s">
        <v>179</v>
      </c>
      <c r="R11" s="484">
        <v>0</v>
      </c>
      <c r="S11" s="485">
        <v>35.71</v>
      </c>
      <c r="T11" s="671">
        <f>표3[[#This Row],[편입면적]]/(SUM(표3[공부면적]))</f>
        <v>4.4615192403798095E-3</v>
      </c>
      <c r="U11" s="486" t="s">
        <v>179</v>
      </c>
      <c r="V11" s="487"/>
      <c r="W11" s="488">
        <v>76.2</v>
      </c>
      <c r="X11" s="489">
        <v>6.19</v>
      </c>
      <c r="Y11" s="489">
        <v>82.39</v>
      </c>
      <c r="Z11" s="489" t="s">
        <v>179</v>
      </c>
      <c r="AA11" s="490"/>
      <c r="AB11" s="491"/>
      <c r="AC11" s="492"/>
      <c r="AD11" s="493"/>
      <c r="AE11" s="493" t="str" cm="1">
        <f t="array" ref="AE1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1" s="494"/>
      <c r="AG11" s="495" t="s">
        <v>176</v>
      </c>
      <c r="AH11" s="495"/>
      <c r="AI11" s="495" t="s">
        <v>183</v>
      </c>
      <c r="AJ11" s="496"/>
      <c r="AK11" s="497"/>
      <c r="AL11" s="497"/>
      <c r="AM11" s="494"/>
      <c r="AN11" s="498"/>
      <c r="AO11" s="499" t="s">
        <v>195</v>
      </c>
      <c r="AP11" s="626" t="s">
        <v>196</v>
      </c>
      <c r="AQ11" s="500" t="s">
        <v>197</v>
      </c>
      <c r="AR11" s="501">
        <v>61</v>
      </c>
      <c r="AS1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1" s="502" t="s">
        <v>198</v>
      </c>
      <c r="AU11" s="503" t="s">
        <v>190</v>
      </c>
      <c r="AV11" s="503" t="s">
        <v>174</v>
      </c>
      <c r="AW11" s="503" t="str">
        <f>IF(COUNTIF('설명회 참석자 명부'!$W$4:$W$29,표3[[#This Row],[성  명]])&gt;0,"O","")</f>
        <v/>
      </c>
      <c r="AX11" s="503" t="str">
        <f>_xlfn.XLOOKUP(표3[[#This Row],[성  명]],'설명회 참석자 명부'!$W$4:$W$29,'설명회 참석자 명부'!$X$4:$X$29,"")</f>
        <v/>
      </c>
      <c r="AY11" s="503"/>
      <c r="AZ11" s="503"/>
      <c r="BA11" s="503"/>
      <c r="BB11" s="503" t="s">
        <v>190</v>
      </c>
      <c r="BC11" s="503"/>
      <c r="BD11" s="503"/>
      <c r="BE11" s="503"/>
      <c r="BF11" s="504"/>
      <c r="BG11" s="504"/>
      <c r="BH11" s="504"/>
      <c r="BI11" s="504"/>
      <c r="BJ11" s="504"/>
      <c r="BK11" s="504" t="str">
        <f>IFERROR(LEFT(표3[[#This Row],[주소]],FIND(" ",표3[[#This Row],[주소]])-1),"")</f>
        <v>서울특별시</v>
      </c>
      <c r="BL1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문정동28-1</v>
      </c>
      <c r="BN11" s="504"/>
      <c r="BO11" s="504"/>
      <c r="BP11" s="504"/>
      <c r="BQ11" s="504"/>
      <c r="BR11" s="505"/>
      <c r="BS11" s="718" t="s">
        <v>179</v>
      </c>
      <c r="BT11" s="719" t="s">
        <v>179</v>
      </c>
      <c r="BU11" s="719" t="s">
        <v>179</v>
      </c>
      <c r="BV11" s="719" t="s">
        <v>179</v>
      </c>
      <c r="BW11" s="719" t="s">
        <v>179</v>
      </c>
      <c r="BX11" s="719" t="s">
        <v>179</v>
      </c>
      <c r="BY11" s="719" t="s">
        <v>191</v>
      </c>
      <c r="BZ11" s="719">
        <v>76.2</v>
      </c>
      <c r="CA11" s="719">
        <v>35.71</v>
      </c>
      <c r="CB11" s="719">
        <v>557000000</v>
      </c>
      <c r="CC11" s="719">
        <v>557000000</v>
      </c>
      <c r="CD11" s="726">
        <f>표3[[#This Row],[종전추정가액]]*1.5219</f>
        <v>847698300</v>
      </c>
      <c r="CE11" s="506"/>
      <c r="CF11" s="507"/>
      <c r="CG11" s="507"/>
      <c r="CH11" s="508"/>
      <c r="CI11" s="508"/>
      <c r="CJ11" s="509"/>
      <c r="CK11" s="510"/>
      <c r="CL11" s="511"/>
      <c r="CM11" s="512"/>
      <c r="CN11" s="513"/>
      <c r="CO11" s="513"/>
      <c r="CP11" s="513"/>
      <c r="CQ11" s="513"/>
      <c r="CR11" s="513"/>
      <c r="CS11" s="514"/>
      <c r="CT11" s="515"/>
      <c r="CU11" s="515"/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6"/>
    </row>
    <row r="12" spans="1:110" s="393" customFormat="1" ht="20.25" customHeight="1">
      <c r="A12" s="475"/>
      <c r="B12" s="476">
        <v>6</v>
      </c>
      <c r="C12" s="477">
        <v>28</v>
      </c>
      <c r="D12" s="478">
        <v>1</v>
      </c>
      <c r="E12" s="478" t="s">
        <v>184</v>
      </c>
      <c r="F12" s="479">
        <v>302</v>
      </c>
      <c r="G12" s="480"/>
      <c r="H12" s="481"/>
      <c r="I12" s="481"/>
      <c r="J12" s="481"/>
      <c r="K12" s="481"/>
      <c r="L12" s="481"/>
      <c r="M12" s="481"/>
      <c r="N12" s="481"/>
      <c r="O12" s="481"/>
      <c r="P12" s="482"/>
      <c r="Q12" s="483" t="s">
        <v>179</v>
      </c>
      <c r="R12" s="484">
        <v>0</v>
      </c>
      <c r="S12" s="485">
        <v>35.71</v>
      </c>
      <c r="T12" s="671">
        <f>표3[[#This Row],[편입면적]]/(SUM(표3[공부면적]))</f>
        <v>4.4615192403798095E-3</v>
      </c>
      <c r="U12" s="486" t="s">
        <v>179</v>
      </c>
      <c r="V12" s="487"/>
      <c r="W12" s="488">
        <v>76.2</v>
      </c>
      <c r="X12" s="489">
        <v>6.19</v>
      </c>
      <c r="Y12" s="489">
        <v>82.39</v>
      </c>
      <c r="Z12" s="489" t="s">
        <v>179</v>
      </c>
      <c r="AA12" s="490"/>
      <c r="AB12" s="491"/>
      <c r="AC12" s="492"/>
      <c r="AD12" s="493"/>
      <c r="AE12" s="493" t="str" cm="1">
        <f t="array" ref="AE1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2" s="494"/>
      <c r="AG12" s="495" t="s">
        <v>176</v>
      </c>
      <c r="AH12" s="495"/>
      <c r="AI12" s="495" t="s">
        <v>183</v>
      </c>
      <c r="AJ12" s="496"/>
      <c r="AK12" s="497"/>
      <c r="AL12" s="497"/>
      <c r="AM12" s="494"/>
      <c r="AN12" s="498"/>
      <c r="AO12" s="499" t="s">
        <v>199</v>
      </c>
      <c r="AP12" s="500" t="s">
        <v>179</v>
      </c>
      <c r="AQ12" s="500"/>
      <c r="AR12" s="501">
        <v>91</v>
      </c>
      <c r="AS1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 미만</v>
      </c>
      <c r="AT12" s="502" t="s">
        <v>200</v>
      </c>
      <c r="AU12" s="503"/>
      <c r="AV12" s="503"/>
      <c r="AW12" s="503" t="str">
        <f>IF(COUNTIF('설명회 참석자 명부'!$W$4:$W$29,표3[[#This Row],[성  명]])&gt;0,"O","")</f>
        <v/>
      </c>
      <c r="AX12" s="503" t="str">
        <f>_xlfn.XLOOKUP(표3[[#This Row],[성  명]],'설명회 참석자 명부'!$W$4:$W$29,'설명회 참석자 명부'!$X$4:$X$29,"")</f>
        <v/>
      </c>
      <c r="AY12" s="503"/>
      <c r="AZ12" s="503"/>
      <c r="BA12" s="503"/>
      <c r="BB12" s="503"/>
      <c r="BC12" s="503"/>
      <c r="BD12" s="503"/>
      <c r="BE12" s="503"/>
      <c r="BF12" s="504"/>
      <c r="BG12" s="504"/>
      <c r="BH12" s="504"/>
      <c r="BI12" s="504"/>
      <c r="BJ12" s="504"/>
      <c r="BK12" s="504" t="str">
        <f>IFERROR(LEFT(표3[[#This Row],[주소]],FIND(" ",표3[[#This Row],[주소]])-1),"")</f>
        <v>서울특별시</v>
      </c>
      <c r="BL1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백제고분로27길</v>
      </c>
      <c r="BN12" s="504"/>
      <c r="BO12" s="504"/>
      <c r="BP12" s="504"/>
      <c r="BQ12" s="504"/>
      <c r="BR12" s="505"/>
      <c r="BS12" s="718" t="s">
        <v>179</v>
      </c>
      <c r="BT12" s="719" t="s">
        <v>179</v>
      </c>
      <c r="BU12" s="719" t="s">
        <v>179</v>
      </c>
      <c r="BV12" s="719" t="s">
        <v>179</v>
      </c>
      <c r="BW12" s="719" t="s">
        <v>179</v>
      </c>
      <c r="BX12" s="719" t="s">
        <v>179</v>
      </c>
      <c r="BY12" s="719" t="s">
        <v>191</v>
      </c>
      <c r="BZ12" s="719">
        <v>76.2</v>
      </c>
      <c r="CA12" s="719">
        <v>35.71</v>
      </c>
      <c r="CB12" s="719">
        <v>557000000</v>
      </c>
      <c r="CC12" s="719">
        <v>557000000</v>
      </c>
      <c r="CD12" s="726">
        <f>표3[[#This Row],[종전추정가액]]*1.5219</f>
        <v>847698300</v>
      </c>
      <c r="CE12" s="506"/>
      <c r="CF12" s="507"/>
      <c r="CG12" s="507"/>
      <c r="CH12" s="508"/>
      <c r="CI12" s="508"/>
      <c r="CJ12" s="509"/>
      <c r="CK12" s="510"/>
      <c r="CL12" s="511"/>
      <c r="CM12" s="512"/>
      <c r="CN12" s="513"/>
      <c r="CO12" s="513"/>
      <c r="CP12" s="513"/>
      <c r="CQ12" s="513"/>
      <c r="CR12" s="513"/>
      <c r="CS12" s="514"/>
      <c r="CT12" s="515"/>
      <c r="CU12" s="515"/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6"/>
    </row>
    <row r="13" spans="1:110" s="393" customFormat="1" ht="20.25" customHeight="1">
      <c r="A13" s="475"/>
      <c r="B13" s="476">
        <v>7</v>
      </c>
      <c r="C13" s="477">
        <v>28</v>
      </c>
      <c r="D13" s="478">
        <v>1</v>
      </c>
      <c r="E13" s="478" t="s">
        <v>184</v>
      </c>
      <c r="F13" s="479">
        <v>401</v>
      </c>
      <c r="G13" s="480"/>
      <c r="H13" s="481"/>
      <c r="I13" s="481"/>
      <c r="J13" s="481"/>
      <c r="K13" s="481" t="s">
        <v>174</v>
      </c>
      <c r="L13" s="481"/>
      <c r="M13" s="481"/>
      <c r="N13" s="481"/>
      <c r="O13" s="481"/>
      <c r="P13" s="482" t="s">
        <v>867</v>
      </c>
      <c r="Q13" s="483" t="s">
        <v>179</v>
      </c>
      <c r="R13" s="484">
        <v>0</v>
      </c>
      <c r="S13" s="485">
        <v>35.71</v>
      </c>
      <c r="T13" s="671">
        <f>표3[[#This Row],[편입면적]]/(SUM(표3[공부면적]))</f>
        <v>4.4615192403798095E-3</v>
      </c>
      <c r="U13" s="486" t="s">
        <v>179</v>
      </c>
      <c r="V13" s="487"/>
      <c r="W13" s="488">
        <v>76.2</v>
      </c>
      <c r="X13" s="489">
        <v>6.19</v>
      </c>
      <c r="Y13" s="489">
        <v>82.39</v>
      </c>
      <c r="Z13" s="489" t="s">
        <v>179</v>
      </c>
      <c r="AA13" s="490"/>
      <c r="AB13" s="491"/>
      <c r="AC13" s="492"/>
      <c r="AD13" s="493"/>
      <c r="AE13" s="493" t="str" cm="1">
        <f t="array" ref="AE1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3" s="494"/>
      <c r="AG13" s="495" t="s">
        <v>176</v>
      </c>
      <c r="AH13" s="495"/>
      <c r="AI13" s="495" t="s">
        <v>183</v>
      </c>
      <c r="AJ13" s="496"/>
      <c r="AK13" s="497"/>
      <c r="AL13" s="497"/>
      <c r="AM13" s="494"/>
      <c r="AN13" s="498"/>
      <c r="AO13" s="499" t="s">
        <v>201</v>
      </c>
      <c r="AP13" s="626" t="s">
        <v>202</v>
      </c>
      <c r="AQ13" s="500" t="s">
        <v>203</v>
      </c>
      <c r="AR13" s="501">
        <v>65</v>
      </c>
      <c r="AS1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3" s="502" t="s">
        <v>204</v>
      </c>
      <c r="AU13" s="503" t="s">
        <v>190</v>
      </c>
      <c r="AV13" s="503" t="s">
        <v>190</v>
      </c>
      <c r="AW13" s="503" t="str">
        <f>IF(COUNTIF('설명회 참석자 명부'!$W$4:$W$29,표3[[#This Row],[성  명]])&gt;0,"O","")</f>
        <v/>
      </c>
      <c r="AX13" s="503"/>
      <c r="AY13" s="503"/>
      <c r="AZ13" s="503"/>
      <c r="BA13" s="503" t="s">
        <v>190</v>
      </c>
      <c r="BB13" s="503" t="s">
        <v>190</v>
      </c>
      <c r="BC13" s="503"/>
      <c r="BD13" s="503"/>
      <c r="BE13" s="503"/>
      <c r="BF13" s="504"/>
      <c r="BG13" s="504"/>
      <c r="BH13" s="504"/>
      <c r="BI13" s="504"/>
      <c r="BJ13" s="504"/>
      <c r="BK13" s="504" t="str">
        <f>IFERROR(LEFT(표3[[#This Row],[주소]],FIND(" ",표3[[#This Row],[주소]])-1),"")</f>
        <v>서울특별시</v>
      </c>
      <c r="BL1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</v>
      </c>
      <c r="BN13" s="504"/>
      <c r="BO13" s="504"/>
      <c r="BP13" s="504"/>
      <c r="BQ13" s="504"/>
      <c r="BR13" s="505"/>
      <c r="BS13" s="718" t="s">
        <v>179</v>
      </c>
      <c r="BT13" s="719" t="s">
        <v>179</v>
      </c>
      <c r="BU13" s="719" t="s">
        <v>179</v>
      </c>
      <c r="BV13" s="719" t="s">
        <v>179</v>
      </c>
      <c r="BW13" s="719" t="s">
        <v>179</v>
      </c>
      <c r="BX13" s="719" t="s">
        <v>179</v>
      </c>
      <c r="BY13" s="719" t="s">
        <v>191</v>
      </c>
      <c r="BZ13" s="719">
        <v>76.2</v>
      </c>
      <c r="CA13" s="719">
        <v>35.71</v>
      </c>
      <c r="CB13" s="719">
        <v>557000000</v>
      </c>
      <c r="CC13" s="719">
        <v>557000000</v>
      </c>
      <c r="CD13" s="726">
        <f>표3[[#This Row],[종전추정가액]]*1.5219</f>
        <v>847698300</v>
      </c>
      <c r="CE13" s="506"/>
      <c r="CF13" s="507"/>
      <c r="CG13" s="507"/>
      <c r="CH13" s="508"/>
      <c r="CI13" s="508"/>
      <c r="CJ13" s="509"/>
      <c r="CK13" s="510"/>
      <c r="CL13" s="511"/>
      <c r="CM13" s="512"/>
      <c r="CN13" s="513"/>
      <c r="CO13" s="513"/>
      <c r="CP13" s="513"/>
      <c r="CQ13" s="513"/>
      <c r="CR13" s="513"/>
      <c r="CS13" s="514"/>
      <c r="CT13" s="515"/>
      <c r="CU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6"/>
    </row>
    <row r="14" spans="1:110" s="393" customFormat="1" ht="20.25" customHeight="1">
      <c r="A14" s="475"/>
      <c r="B14" s="476">
        <v>8</v>
      </c>
      <c r="C14" s="477">
        <v>28</v>
      </c>
      <c r="D14" s="478">
        <v>1</v>
      </c>
      <c r="E14" s="478" t="s">
        <v>184</v>
      </c>
      <c r="F14" s="479">
        <v>402</v>
      </c>
      <c r="G14" s="480"/>
      <c r="H14" s="481"/>
      <c r="I14" s="481"/>
      <c r="J14" s="481"/>
      <c r="K14" s="481" t="s">
        <v>174</v>
      </c>
      <c r="L14" s="481" t="s">
        <v>174</v>
      </c>
      <c r="M14" s="481" t="s">
        <v>174</v>
      </c>
      <c r="N14" s="481"/>
      <c r="O14" s="481"/>
      <c r="P14" s="482"/>
      <c r="Q14" s="483" t="s">
        <v>179</v>
      </c>
      <c r="R14" s="484">
        <v>0</v>
      </c>
      <c r="S14" s="485">
        <v>35.71</v>
      </c>
      <c r="T14" s="671">
        <f>표3[[#This Row],[편입면적]]/(SUM(표3[공부면적]))</f>
        <v>4.4615192403798095E-3</v>
      </c>
      <c r="U14" s="486" t="s">
        <v>179</v>
      </c>
      <c r="V14" s="487"/>
      <c r="W14" s="488">
        <v>76.2</v>
      </c>
      <c r="X14" s="489">
        <v>6.19</v>
      </c>
      <c r="Y14" s="489">
        <v>82.39</v>
      </c>
      <c r="Z14" s="489" t="s">
        <v>179</v>
      </c>
      <c r="AA14" s="490"/>
      <c r="AB14" s="491"/>
      <c r="AC14" s="492"/>
      <c r="AD14" s="493"/>
      <c r="AE14" s="493" t="str" cm="1">
        <f t="array" ref="AE1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4" s="494"/>
      <c r="AG14" s="495" t="s">
        <v>176</v>
      </c>
      <c r="AH14" s="495"/>
      <c r="AI14" s="495" t="s">
        <v>183</v>
      </c>
      <c r="AJ14" s="496"/>
      <c r="AK14" s="497"/>
      <c r="AL14" s="497"/>
      <c r="AM14" s="494"/>
      <c r="AN14" s="498"/>
      <c r="AO14" s="499" t="s">
        <v>205</v>
      </c>
      <c r="AP14" s="500">
        <v>1088475510</v>
      </c>
      <c r="AQ14" s="500"/>
      <c r="AR14" s="501">
        <v>65</v>
      </c>
      <c r="AS1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4" s="502" t="s">
        <v>206</v>
      </c>
      <c r="AU14" s="503"/>
      <c r="AV14" s="503"/>
      <c r="AW14" s="503" t="str">
        <f>IF(COUNTIF('설명회 참석자 명부'!$W$4:$W$29,표3[[#This Row],[성  명]])&gt;0,"O","")</f>
        <v/>
      </c>
      <c r="AX14" s="503"/>
      <c r="AY14" s="503"/>
      <c r="AZ14" s="503"/>
      <c r="BA14" s="503" t="s">
        <v>190</v>
      </c>
      <c r="BB14" s="503" t="s">
        <v>190</v>
      </c>
      <c r="BC14" s="503"/>
      <c r="BD14" s="503"/>
      <c r="BE14" s="503"/>
      <c r="BF14" s="504"/>
      <c r="BG14" s="504"/>
      <c r="BH14" s="504"/>
      <c r="BI14" s="504"/>
      <c r="BJ14" s="504"/>
      <c r="BK14" s="504" t="str">
        <f>IFERROR(LEFT(표3[[#This Row],[주소]],FIND(" ",표3[[#This Row],[주소]])-1),"")</f>
        <v>서울특별시</v>
      </c>
      <c r="BL1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문정동28-1</v>
      </c>
      <c r="BN14" s="504"/>
      <c r="BO14" s="504"/>
      <c r="BP14" s="504"/>
      <c r="BQ14" s="504"/>
      <c r="BR14" s="505"/>
      <c r="BS14" s="718" t="s">
        <v>179</v>
      </c>
      <c r="BT14" s="719" t="s">
        <v>179</v>
      </c>
      <c r="BU14" s="719" t="s">
        <v>179</v>
      </c>
      <c r="BV14" s="719" t="s">
        <v>179</v>
      </c>
      <c r="BW14" s="719" t="s">
        <v>179</v>
      </c>
      <c r="BX14" s="719" t="s">
        <v>179</v>
      </c>
      <c r="BY14" s="719" t="s">
        <v>191</v>
      </c>
      <c r="BZ14" s="719">
        <v>76.2</v>
      </c>
      <c r="CA14" s="719">
        <v>35.71</v>
      </c>
      <c r="CB14" s="719">
        <v>557000000</v>
      </c>
      <c r="CC14" s="719">
        <v>557000000</v>
      </c>
      <c r="CD14" s="726">
        <f>표3[[#This Row],[종전추정가액]]*1.5219</f>
        <v>847698300</v>
      </c>
      <c r="CE14" s="506"/>
      <c r="CF14" s="507"/>
      <c r="CG14" s="507"/>
      <c r="CH14" s="508"/>
      <c r="CI14" s="508"/>
      <c r="CJ14" s="509"/>
      <c r="CK14" s="510"/>
      <c r="CL14" s="511"/>
      <c r="CM14" s="512"/>
      <c r="CN14" s="513"/>
      <c r="CO14" s="513"/>
      <c r="CP14" s="513"/>
      <c r="CQ14" s="513"/>
      <c r="CR14" s="513"/>
      <c r="CS14" s="514"/>
      <c r="CT14" s="515"/>
      <c r="CU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6"/>
    </row>
    <row r="15" spans="1:110" s="393" customFormat="1" ht="20.25" customHeight="1">
      <c r="A15" s="475"/>
      <c r="B15" s="476">
        <v>9</v>
      </c>
      <c r="C15" s="477">
        <v>28</v>
      </c>
      <c r="D15" s="478">
        <v>1</v>
      </c>
      <c r="E15" s="478" t="s">
        <v>184</v>
      </c>
      <c r="F15" s="479">
        <v>501</v>
      </c>
      <c r="G15" s="480"/>
      <c r="H15" s="481"/>
      <c r="I15" s="481"/>
      <c r="J15" s="481"/>
      <c r="K15" s="481"/>
      <c r="L15" s="481"/>
      <c r="M15" s="481"/>
      <c r="N15" s="481"/>
      <c r="O15" s="481"/>
      <c r="P15" s="482"/>
      <c r="Q15" s="483" t="s">
        <v>179</v>
      </c>
      <c r="R15" s="484">
        <v>0</v>
      </c>
      <c r="S15" s="485">
        <v>35.71</v>
      </c>
      <c r="T15" s="671">
        <f>표3[[#This Row],[편입면적]]/(SUM(표3[공부면적]))</f>
        <v>4.4615192403798095E-3</v>
      </c>
      <c r="U15" s="486" t="s">
        <v>179</v>
      </c>
      <c r="V15" s="487"/>
      <c r="W15" s="488">
        <v>76.2</v>
      </c>
      <c r="X15" s="489">
        <v>6.19</v>
      </c>
      <c r="Y15" s="489">
        <v>82.39</v>
      </c>
      <c r="Z15" s="489" t="s">
        <v>179</v>
      </c>
      <c r="AA15" s="490"/>
      <c r="AB15" s="491"/>
      <c r="AC15" s="492"/>
      <c r="AD15" s="493"/>
      <c r="AE15" s="493" t="str" cm="1">
        <f t="array" ref="AE1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5" s="494"/>
      <c r="AG15" s="495" t="s">
        <v>176</v>
      </c>
      <c r="AH15" s="495"/>
      <c r="AI15" s="495" t="s">
        <v>183</v>
      </c>
      <c r="AJ15" s="496"/>
      <c r="AK15" s="497"/>
      <c r="AL15" s="497"/>
      <c r="AM15" s="494"/>
      <c r="AN15" s="498"/>
      <c r="AO15" s="499" t="s">
        <v>207</v>
      </c>
      <c r="AP15" s="500">
        <v>1099885738</v>
      </c>
      <c r="AQ15" s="500" t="s">
        <v>208</v>
      </c>
      <c r="AR15" s="501">
        <v>75</v>
      </c>
      <c r="AS1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15" s="502" t="s">
        <v>209</v>
      </c>
      <c r="AU15" s="503" t="s">
        <v>190</v>
      </c>
      <c r="AV15" s="503"/>
      <c r="AW15" s="503" t="str">
        <f>IF(COUNTIF('설명회 참석자 명부'!$W$4:$W$29,표3[[#This Row],[성  명]])&gt;0,"O","")</f>
        <v/>
      </c>
      <c r="AX15" s="503" t="str">
        <f>_xlfn.XLOOKUP(표3[[#This Row],[성  명]],'설명회 참석자 명부'!$W$4:$W$29,'설명회 참석자 명부'!$X$4:$X$29,"")</f>
        <v/>
      </c>
      <c r="AY15" s="503"/>
      <c r="AZ15" s="503"/>
      <c r="BA15" s="503"/>
      <c r="BB15" s="503" t="s">
        <v>190</v>
      </c>
      <c r="BC15" s="503"/>
      <c r="BD15" s="503"/>
      <c r="BE15" s="503"/>
      <c r="BF15" s="504"/>
      <c r="BG15" s="504"/>
      <c r="BH15" s="504"/>
      <c r="BI15" s="504"/>
      <c r="BJ15" s="504"/>
      <c r="BK15" s="504" t="str">
        <f>IFERROR(LEFT(표3[[#This Row],[주소]],FIND(" ",표3[[#This Row],[주소]])-1),"")</f>
        <v>서울특별시</v>
      </c>
      <c r="BL1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</v>
      </c>
      <c r="BN15" s="504"/>
      <c r="BO15" s="504"/>
      <c r="BP15" s="504"/>
      <c r="BQ15" s="504"/>
      <c r="BR15" s="505"/>
      <c r="BS15" s="718" t="s">
        <v>179</v>
      </c>
      <c r="BT15" s="719" t="s">
        <v>179</v>
      </c>
      <c r="BU15" s="719" t="s">
        <v>179</v>
      </c>
      <c r="BV15" s="719" t="s">
        <v>179</v>
      </c>
      <c r="BW15" s="719" t="s">
        <v>179</v>
      </c>
      <c r="BX15" s="719" t="s">
        <v>179</v>
      </c>
      <c r="BY15" s="719" t="s">
        <v>191</v>
      </c>
      <c r="BZ15" s="719">
        <v>76.2</v>
      </c>
      <c r="CA15" s="719">
        <v>35.71</v>
      </c>
      <c r="CB15" s="719">
        <v>557000000</v>
      </c>
      <c r="CC15" s="719">
        <v>557000000</v>
      </c>
      <c r="CD15" s="726">
        <f>표3[[#This Row],[종전추정가액]]*1.5219</f>
        <v>847698300</v>
      </c>
      <c r="CE15" s="506"/>
      <c r="CF15" s="507"/>
      <c r="CG15" s="507"/>
      <c r="CH15" s="508"/>
      <c r="CI15" s="508"/>
      <c r="CJ15" s="509"/>
      <c r="CK15" s="510"/>
      <c r="CL15" s="511"/>
      <c r="CM15" s="512"/>
      <c r="CN15" s="513"/>
      <c r="CO15" s="513"/>
      <c r="CP15" s="513"/>
      <c r="CQ15" s="513"/>
      <c r="CR15" s="513"/>
      <c r="CS15" s="514"/>
      <c r="CT15" s="515"/>
      <c r="CU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6"/>
    </row>
    <row r="16" spans="1:110" s="393" customFormat="1" ht="20.25" customHeight="1" thickBot="1">
      <c r="A16" s="394"/>
      <c r="B16" s="395">
        <v>10</v>
      </c>
      <c r="C16" s="396">
        <v>28</v>
      </c>
      <c r="D16" s="397">
        <v>1</v>
      </c>
      <c r="E16" s="397" t="s">
        <v>184</v>
      </c>
      <c r="F16" s="398">
        <v>502</v>
      </c>
      <c r="G16" s="399"/>
      <c r="H16" s="400"/>
      <c r="I16" s="400"/>
      <c r="J16" s="400"/>
      <c r="K16" s="400"/>
      <c r="L16" s="400"/>
      <c r="M16" s="400"/>
      <c r="N16" s="400"/>
      <c r="O16" s="400"/>
      <c r="P16" s="401"/>
      <c r="Q16" s="402" t="s">
        <v>179</v>
      </c>
      <c r="R16" s="403">
        <v>0</v>
      </c>
      <c r="S16" s="404">
        <v>35.71</v>
      </c>
      <c r="T16" s="672">
        <f>표3[[#This Row],[편입면적]]/(SUM(표3[공부면적]))</f>
        <v>4.4615192403798095E-3</v>
      </c>
      <c r="U16" s="662" t="s">
        <v>179</v>
      </c>
      <c r="V16" s="405"/>
      <c r="W16" s="406">
        <v>76.2</v>
      </c>
      <c r="X16" s="407">
        <v>6.19</v>
      </c>
      <c r="Y16" s="407">
        <v>82.39</v>
      </c>
      <c r="Z16" s="407" t="s">
        <v>179</v>
      </c>
      <c r="AA16" s="408"/>
      <c r="AB16" s="409"/>
      <c r="AC16" s="410"/>
      <c r="AD16" s="411"/>
      <c r="AE16" s="411" t="str" cm="1">
        <f t="array" ref="AE1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6" s="412"/>
      <c r="AG16" s="413" t="s">
        <v>176</v>
      </c>
      <c r="AH16" s="413"/>
      <c r="AI16" s="413" t="s">
        <v>183</v>
      </c>
      <c r="AJ16" s="414"/>
      <c r="AK16" s="415"/>
      <c r="AL16" s="415"/>
      <c r="AM16" s="412"/>
      <c r="AN16" s="416"/>
      <c r="AO16" s="417" t="s">
        <v>210</v>
      </c>
      <c r="AP16" s="418">
        <v>1023796112</v>
      </c>
      <c r="AQ16" s="418"/>
      <c r="AR16" s="419">
        <v>59</v>
      </c>
      <c r="AS16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6" s="420" t="s">
        <v>211</v>
      </c>
      <c r="AU16" s="421" t="s">
        <v>190</v>
      </c>
      <c r="AV16" s="421"/>
      <c r="AW16" s="421" t="str">
        <f>IF(COUNTIF('설명회 참석자 명부'!$W$4:$W$29,표3[[#This Row],[성  명]])&gt;0,"O","")</f>
        <v/>
      </c>
      <c r="AX16" s="421" t="str">
        <f>_xlfn.XLOOKUP(표3[[#This Row],[성  명]],'설명회 참석자 명부'!$W$4:$W$29,'설명회 참석자 명부'!$X$4:$X$29,"")</f>
        <v/>
      </c>
      <c r="AY16" s="421"/>
      <c r="AZ16" s="421"/>
      <c r="BA16" s="421" t="s">
        <v>190</v>
      </c>
      <c r="BB16" s="421" t="s">
        <v>190</v>
      </c>
      <c r="BC16" s="421"/>
      <c r="BD16" s="421"/>
      <c r="BE16" s="421"/>
      <c r="BF16" s="422"/>
      <c r="BG16" s="422"/>
      <c r="BH16" s="422"/>
      <c r="BI16" s="422"/>
      <c r="BJ16" s="422"/>
      <c r="BK16" s="422" t="str">
        <f>IFERROR(LEFT(표3[[#This Row],[주소]],FIND(" ",표3[[#This Row],[주소]])-1),"")</f>
        <v>서울특별시</v>
      </c>
      <c r="BL16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6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</v>
      </c>
      <c r="BN16" s="422"/>
      <c r="BO16" s="422"/>
      <c r="BP16" s="422"/>
      <c r="BQ16" s="422"/>
      <c r="BR16" s="423"/>
      <c r="BS16" s="720" t="s">
        <v>179</v>
      </c>
      <c r="BT16" s="721" t="s">
        <v>179</v>
      </c>
      <c r="BU16" s="721" t="s">
        <v>179</v>
      </c>
      <c r="BV16" s="721" t="s">
        <v>179</v>
      </c>
      <c r="BW16" s="721" t="s">
        <v>179</v>
      </c>
      <c r="BX16" s="721" t="s">
        <v>179</v>
      </c>
      <c r="BY16" s="721" t="s">
        <v>191</v>
      </c>
      <c r="BZ16" s="721">
        <v>76.2</v>
      </c>
      <c r="CA16" s="721">
        <v>35.71</v>
      </c>
      <c r="CB16" s="721">
        <v>557000000</v>
      </c>
      <c r="CC16" s="721">
        <v>557000000</v>
      </c>
      <c r="CD16" s="726">
        <f>표3[[#This Row],[종전추정가액]]*1.5219</f>
        <v>847698300</v>
      </c>
      <c r="CE16" s="424"/>
      <c r="CF16" s="425"/>
      <c r="CG16" s="425"/>
      <c r="CH16" s="426"/>
      <c r="CI16" s="426"/>
      <c r="CJ16" s="427"/>
      <c r="CK16" s="428"/>
      <c r="CL16" s="429"/>
      <c r="CM16" s="430"/>
      <c r="CN16" s="431"/>
      <c r="CO16" s="431"/>
      <c r="CP16" s="431"/>
      <c r="CQ16" s="431"/>
      <c r="CR16" s="431"/>
      <c r="CS16" s="432"/>
      <c r="CT16" s="433"/>
      <c r="CU16" s="433"/>
      <c r="CV16" s="433"/>
      <c r="CW16" s="433"/>
      <c r="CX16" s="433"/>
      <c r="CY16" s="433"/>
      <c r="CZ16" s="433"/>
      <c r="DA16" s="433"/>
      <c r="DB16" s="433"/>
      <c r="DC16" s="433"/>
      <c r="DD16" s="433"/>
      <c r="DE16" s="433"/>
      <c r="DF16" s="434"/>
    </row>
    <row r="17" spans="1:110" s="474" customFormat="1" ht="20.25" customHeight="1" thickTop="1">
      <c r="A17" s="435"/>
      <c r="B17" s="436"/>
      <c r="C17" s="437">
        <v>28</v>
      </c>
      <c r="D17" s="438">
        <v>2</v>
      </c>
      <c r="E17" s="438" t="s">
        <v>212</v>
      </c>
      <c r="F17" s="667">
        <v>0</v>
      </c>
      <c r="G17" s="439"/>
      <c r="H17" s="440"/>
      <c r="I17" s="440"/>
      <c r="J17" s="440"/>
      <c r="K17" s="440"/>
      <c r="L17" s="440"/>
      <c r="M17" s="440"/>
      <c r="N17" s="440"/>
      <c r="O17" s="440"/>
      <c r="P17" s="441"/>
      <c r="Q17" s="442" t="s">
        <v>173</v>
      </c>
      <c r="R17" s="443">
        <v>353.7</v>
      </c>
      <c r="S17" s="443"/>
      <c r="T17" s="670">
        <f>표3[[#This Row],[편입면적]]/(SUM(표3[공부면적]))</f>
        <v>0</v>
      </c>
      <c r="U17" s="444" t="s">
        <v>174</v>
      </c>
      <c r="V17" s="445"/>
      <c r="W17" s="446"/>
      <c r="X17" s="447"/>
      <c r="Y17" s="447">
        <v>0</v>
      </c>
      <c r="Z17" s="447">
        <v>853.26</v>
      </c>
      <c r="AA17" s="517"/>
      <c r="AB17" s="449"/>
      <c r="AC17" s="450" t="s">
        <v>213</v>
      </c>
      <c r="AD17" s="451">
        <v>23</v>
      </c>
      <c r="AE17" s="451" t="str" cm="1">
        <f t="array" ref="AE1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7" s="452"/>
      <c r="AG17" s="453" t="s">
        <v>176</v>
      </c>
      <c r="AH17" s="453"/>
      <c r="AI17" s="453" t="s">
        <v>183</v>
      </c>
      <c r="AJ17" s="453"/>
      <c r="AK17" s="454"/>
      <c r="AL17" s="454"/>
      <c r="AM17" s="452">
        <v>5</v>
      </c>
      <c r="AN17" s="455">
        <v>1</v>
      </c>
      <c r="AO17" s="456"/>
      <c r="AP17" s="457"/>
      <c r="AQ17" s="457"/>
      <c r="AR17" s="458"/>
      <c r="AS17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7" s="459"/>
      <c r="AU17" s="460"/>
      <c r="AV17" s="460"/>
      <c r="AW17" s="460" t="str">
        <f>IF(COUNTIF('설명회 참석자 명부'!$W$4:$W$29,표3[[#This Row],[성  명]])&gt;0,"O","")</f>
        <v/>
      </c>
      <c r="AX17" s="460">
        <f>_xlfn.XLOOKUP(표3[[#This Row],[성  명]],'설명회 참석자 명부'!$W$4:$W$29,'설명회 참석자 명부'!$X$4:$X$29,"")</f>
        <v>0</v>
      </c>
      <c r="AY17" s="460"/>
      <c r="AZ17" s="460"/>
      <c r="BA17" s="460"/>
      <c r="BB17" s="460"/>
      <c r="BC17" s="460"/>
      <c r="BD17" s="460"/>
      <c r="BE17" s="460"/>
      <c r="BF17" s="461"/>
      <c r="BG17" s="461"/>
      <c r="BH17" s="461"/>
      <c r="BI17" s="461"/>
      <c r="BJ17" s="461"/>
      <c r="BK17" s="461" t="str">
        <f>IFERROR(LEFT(표3[[#This Row],[주소]],FIND(" ",표3[[#This Row],[주소]])-1),"")</f>
        <v/>
      </c>
      <c r="BL17" s="461" t="str">
        <f>IFERROR(MID(표3[[#This Row],[주소]], FIND(" ", 표3[[#This Row],[주소]])+1, FIND(" ", 표3[[#This Row],[주소]], FIND(" ", 표3[[#This Row],[주소]])+1) - FIND(" ", 표3[[#This Row],[주소]])-1),"")</f>
        <v/>
      </c>
      <c r="BM17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17" s="461"/>
      <c r="BO17" s="461"/>
      <c r="BP17" s="461"/>
      <c r="BQ17" s="461"/>
      <c r="BR17" s="462"/>
      <c r="BS17" s="716"/>
      <c r="BT17" s="717"/>
      <c r="BU17" s="717"/>
      <c r="BV17" s="717"/>
      <c r="BW17" s="717"/>
      <c r="BX17" s="717"/>
      <c r="BY17" s="717"/>
      <c r="BZ17" s="717"/>
      <c r="CA17" s="717"/>
      <c r="CB17" s="717"/>
      <c r="CC17" s="717"/>
      <c r="CD17" s="727">
        <f>표3[[#This Row],[종전추정가액]]*1.5219</f>
        <v>0</v>
      </c>
      <c r="CE17" s="463"/>
      <c r="CF17" s="464"/>
      <c r="CG17" s="464"/>
      <c r="CH17" s="465"/>
      <c r="CI17" s="465"/>
      <c r="CJ17" s="466"/>
      <c r="CK17" s="467"/>
      <c r="CL17" s="468"/>
      <c r="CM17" s="469"/>
      <c r="CN17" s="470"/>
      <c r="CO17" s="470"/>
      <c r="CP17" s="470"/>
      <c r="CQ17" s="470"/>
      <c r="CR17" s="470"/>
      <c r="CS17" s="471"/>
      <c r="CT17" s="472"/>
      <c r="CU17" s="472"/>
      <c r="CV17" s="472"/>
      <c r="CW17" s="472"/>
      <c r="CX17" s="472"/>
      <c r="CY17" s="472"/>
      <c r="CZ17" s="472"/>
      <c r="DA17" s="472"/>
      <c r="DB17" s="472"/>
      <c r="DC17" s="472"/>
      <c r="DD17" s="472"/>
      <c r="DE17" s="472"/>
      <c r="DF17" s="473"/>
    </row>
    <row r="18" spans="1:110" s="393" customFormat="1" ht="19">
      <c r="A18" s="475"/>
      <c r="B18" s="476">
        <v>11</v>
      </c>
      <c r="C18" s="477">
        <v>28</v>
      </c>
      <c r="D18" s="478">
        <v>2</v>
      </c>
      <c r="E18" s="478" t="s">
        <v>214</v>
      </c>
      <c r="F18" s="479">
        <v>101</v>
      </c>
      <c r="G18" s="480"/>
      <c r="H18" s="481"/>
      <c r="I18" s="481"/>
      <c r="J18" s="481"/>
      <c r="K18" s="481" t="s">
        <v>174</v>
      </c>
      <c r="L18" s="481" t="s">
        <v>174</v>
      </c>
      <c r="M18" s="481" t="s">
        <v>174</v>
      </c>
      <c r="N18" s="481"/>
      <c r="O18" s="481"/>
      <c r="P18" s="482" t="s">
        <v>215</v>
      </c>
      <c r="Q18" s="483" t="s">
        <v>179</v>
      </c>
      <c r="R18" s="484">
        <v>0</v>
      </c>
      <c r="S18" s="485">
        <v>62.45</v>
      </c>
      <c r="T18" s="671">
        <f>표3[[#This Row],[편입면적]]/(SUM(표3[공부면적]))</f>
        <v>7.802348825587206E-3</v>
      </c>
      <c r="U18" s="486" t="s">
        <v>179</v>
      </c>
      <c r="V18" s="487"/>
      <c r="W18" s="488">
        <v>140.18</v>
      </c>
      <c r="X18" s="489">
        <v>10.53</v>
      </c>
      <c r="Y18" s="489">
        <v>150.71</v>
      </c>
      <c r="Z18" s="489" t="s">
        <v>179</v>
      </c>
      <c r="AA18" s="518"/>
      <c r="AB18" s="491"/>
      <c r="AC18" s="492"/>
      <c r="AD18" s="493"/>
      <c r="AE18" s="493" t="str" cm="1">
        <f t="array" ref="AE1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8" s="494"/>
      <c r="AG18" s="495" t="s">
        <v>176</v>
      </c>
      <c r="AH18" s="495"/>
      <c r="AI18" s="495" t="s">
        <v>183</v>
      </c>
      <c r="AJ18" s="496"/>
      <c r="AK18" s="497"/>
      <c r="AL18" s="497"/>
      <c r="AM18" s="494"/>
      <c r="AN18" s="498"/>
      <c r="AO18" s="499" t="s">
        <v>216</v>
      </c>
      <c r="AP18" s="500">
        <v>1094840777</v>
      </c>
      <c r="AQ18" s="500"/>
      <c r="AR18" s="501">
        <v>65</v>
      </c>
      <c r="AS1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8" s="519" t="s">
        <v>217</v>
      </c>
      <c r="AU18" s="503"/>
      <c r="AV18" s="503" t="s">
        <v>174</v>
      </c>
      <c r="AW18" s="503" t="str">
        <f>IF(COUNTIF('설명회 참석자 명부'!$W$4:$W$29,표3[[#This Row],[성  명]])&gt;0,"O","")</f>
        <v/>
      </c>
      <c r="AX18" s="503" t="str">
        <f>_xlfn.XLOOKUP(표3[[#This Row],[성  명]],'설명회 참석자 명부'!$W$4:$W$29,'설명회 참석자 명부'!$X$4:$X$29,"")</f>
        <v/>
      </c>
      <c r="AY18" s="503"/>
      <c r="AZ18" s="503"/>
      <c r="BA18" s="503"/>
      <c r="BB18" s="503" t="s">
        <v>190</v>
      </c>
      <c r="BC18" s="503"/>
      <c r="BD18" s="503"/>
      <c r="BE18" s="503"/>
      <c r="BF18" s="504"/>
      <c r="BG18" s="504"/>
      <c r="BH18" s="504"/>
      <c r="BI18" s="504"/>
      <c r="BJ18" s="504"/>
      <c r="BK18" s="504" t="str">
        <f>IFERROR(LEFT(표3[[#This Row],[주소]],FIND(" ",표3[[#This Row],[주소]])-1),"")</f>
        <v>경기도</v>
      </c>
      <c r="BL18" s="504" t="str">
        <f>IFERROR(MID(표3[[#This Row],[주소]], FIND(" ", 표3[[#This Row],[주소]])+1, FIND(" ", 표3[[#This Row],[주소]], FIND(" ", 표3[[#This Row],[주소]])+1) - FIND(" ", 표3[[#This Row],[주소]])-1),"")</f>
        <v>용인시</v>
      </c>
      <c r="BM1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수지구</v>
      </c>
      <c r="BN18" s="504"/>
      <c r="BO18" s="504"/>
      <c r="BP18" s="504"/>
      <c r="BQ18" s="504"/>
      <c r="BR18" s="505"/>
      <c r="BS18" s="718" t="s">
        <v>179</v>
      </c>
      <c r="BT18" s="719" t="s">
        <v>179</v>
      </c>
      <c r="BU18" s="719" t="s">
        <v>179</v>
      </c>
      <c r="BV18" s="719" t="s">
        <v>179</v>
      </c>
      <c r="BW18" s="719" t="s">
        <v>179</v>
      </c>
      <c r="BX18" s="719" t="s">
        <v>179</v>
      </c>
      <c r="BY18" s="719" t="s">
        <v>218</v>
      </c>
      <c r="BZ18" s="719">
        <v>140.18</v>
      </c>
      <c r="CA18" s="719">
        <v>62.45</v>
      </c>
      <c r="CB18" s="719">
        <v>963000000</v>
      </c>
      <c r="CC18" s="719">
        <v>963000000</v>
      </c>
      <c r="CD18" s="726">
        <f>표3[[#This Row],[종전추정가액]]*1.5219</f>
        <v>1465589700</v>
      </c>
      <c r="CE18" s="506"/>
      <c r="CF18" s="507"/>
      <c r="CG18" s="507"/>
      <c r="CH18" s="508"/>
      <c r="CI18" s="508"/>
      <c r="CJ18" s="509"/>
      <c r="CK18" s="510"/>
      <c r="CL18" s="511"/>
      <c r="CM18" s="512"/>
      <c r="CN18" s="513"/>
      <c r="CO18" s="513"/>
      <c r="CP18" s="513"/>
      <c r="CQ18" s="513"/>
      <c r="CR18" s="513"/>
      <c r="CS18" s="514"/>
      <c r="CT18" s="515"/>
      <c r="CU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6"/>
    </row>
    <row r="19" spans="1:110" s="393" customFormat="1" ht="30" customHeight="1">
      <c r="A19" s="475"/>
      <c r="B19" s="476">
        <v>11</v>
      </c>
      <c r="C19" s="477">
        <v>28</v>
      </c>
      <c r="D19" s="478">
        <v>2</v>
      </c>
      <c r="E19" s="478" t="s">
        <v>214</v>
      </c>
      <c r="F19" s="479">
        <v>102</v>
      </c>
      <c r="G19" s="480"/>
      <c r="H19" s="481"/>
      <c r="I19" s="481"/>
      <c r="J19" s="481"/>
      <c r="K19" s="481" t="s">
        <v>174</v>
      </c>
      <c r="L19" s="481" t="s">
        <v>174</v>
      </c>
      <c r="M19" s="481" t="s">
        <v>174</v>
      </c>
      <c r="N19" s="481"/>
      <c r="O19" s="481"/>
      <c r="P19" s="482" t="s">
        <v>215</v>
      </c>
      <c r="Q19" s="483" t="s">
        <v>179</v>
      </c>
      <c r="R19" s="484">
        <v>0</v>
      </c>
      <c r="S19" s="485">
        <v>18.829999999999998</v>
      </c>
      <c r="T19" s="671">
        <f>표3[[#This Row],[편입면적]]/(SUM(표3[공부면적]))</f>
        <v>2.3525737131434277E-3</v>
      </c>
      <c r="U19" s="486" t="s">
        <v>179</v>
      </c>
      <c r="V19" s="487"/>
      <c r="W19" s="488">
        <v>42.28</v>
      </c>
      <c r="X19" s="489">
        <v>3.15</v>
      </c>
      <c r="Y19" s="489">
        <v>45.43</v>
      </c>
      <c r="Z19" s="489" t="s">
        <v>179</v>
      </c>
      <c r="AA19" s="518"/>
      <c r="AB19" s="491"/>
      <c r="AC19" s="492"/>
      <c r="AD19" s="493"/>
      <c r="AE19" s="493" t="str" cm="1">
        <f t="array" ref="AE1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9" s="494"/>
      <c r="AG19" s="495" t="s">
        <v>176</v>
      </c>
      <c r="AH19" s="495"/>
      <c r="AI19" s="495" t="s">
        <v>183</v>
      </c>
      <c r="AJ19" s="496"/>
      <c r="AK19" s="497"/>
      <c r="AL19" s="497"/>
      <c r="AM19" s="494"/>
      <c r="AN19" s="498"/>
      <c r="AO19" s="499" t="s">
        <v>216</v>
      </c>
      <c r="AP19" s="500">
        <v>1044530114</v>
      </c>
      <c r="AQ19" s="500"/>
      <c r="AR19" s="501"/>
      <c r="AS1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9" s="519" t="s">
        <v>217</v>
      </c>
      <c r="AU19" s="503"/>
      <c r="AV19" s="503"/>
      <c r="AW19" s="503" t="str">
        <f>IF(COUNTIF('설명회 참석자 명부'!$W$4:$W$29,표3[[#This Row],[성  명]])&gt;0,"O","")</f>
        <v/>
      </c>
      <c r="AX19" s="503" t="str">
        <f>_xlfn.XLOOKUP(표3[[#This Row],[성  명]],'설명회 참석자 명부'!$W$4:$W$29,'설명회 참석자 명부'!$X$4:$X$29,"")</f>
        <v/>
      </c>
      <c r="AY19" s="503"/>
      <c r="AZ19" s="503"/>
      <c r="BA19" s="503"/>
      <c r="BB19" s="503" t="s">
        <v>190</v>
      </c>
      <c r="BC19" s="503"/>
      <c r="BD19" s="503"/>
      <c r="BE19" s="503"/>
      <c r="BF19" s="504"/>
      <c r="BG19" s="504"/>
      <c r="BH19" s="504"/>
      <c r="BI19" s="504"/>
      <c r="BJ19" s="504"/>
      <c r="BK19" s="504" t="str">
        <f>IFERROR(LEFT(표3[[#This Row],[주소]],FIND(" ",표3[[#This Row],[주소]])-1),"")</f>
        <v>경기도</v>
      </c>
      <c r="BL19" s="504" t="str">
        <f>IFERROR(MID(표3[[#This Row],[주소]], FIND(" ", 표3[[#This Row],[주소]])+1, FIND(" ", 표3[[#This Row],[주소]], FIND(" ", 표3[[#This Row],[주소]])+1) - FIND(" ", 표3[[#This Row],[주소]])-1),"")</f>
        <v>용인시</v>
      </c>
      <c r="BM1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수지구</v>
      </c>
      <c r="BN19" s="504"/>
      <c r="BO19" s="504"/>
      <c r="BP19" s="504"/>
      <c r="BQ19" s="504"/>
      <c r="BR19" s="505"/>
      <c r="BS19" s="718" t="s">
        <v>179</v>
      </c>
      <c r="BT19" s="719" t="s">
        <v>179</v>
      </c>
      <c r="BU19" s="719" t="s">
        <v>179</v>
      </c>
      <c r="BV19" s="719" t="s">
        <v>179</v>
      </c>
      <c r="BW19" s="719" t="s">
        <v>179</v>
      </c>
      <c r="BX19" s="719" t="s">
        <v>179</v>
      </c>
      <c r="BY19" s="719" t="s">
        <v>218</v>
      </c>
      <c r="BZ19" s="719">
        <v>42.28</v>
      </c>
      <c r="CA19" s="719">
        <v>18.829999999999998</v>
      </c>
      <c r="CB19" s="719">
        <v>290000000</v>
      </c>
      <c r="CC19" s="719">
        <v>290000000</v>
      </c>
      <c r="CD19" s="726">
        <f>표3[[#This Row],[종전추정가액]]*1.5219</f>
        <v>441351000</v>
      </c>
      <c r="CE19" s="506"/>
      <c r="CF19" s="507"/>
      <c r="CG19" s="507"/>
      <c r="CH19" s="508"/>
      <c r="CI19" s="508"/>
      <c r="CJ19" s="509"/>
      <c r="CK19" s="510"/>
      <c r="CL19" s="511"/>
      <c r="CM19" s="512"/>
      <c r="CN19" s="513"/>
      <c r="CO19" s="513"/>
      <c r="CP19" s="513"/>
      <c r="CQ19" s="513"/>
      <c r="CR19" s="513"/>
      <c r="CS19" s="514"/>
      <c r="CT19" s="515"/>
      <c r="CU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6"/>
    </row>
    <row r="20" spans="1:110" s="393" customFormat="1" ht="20.25" customHeight="1">
      <c r="A20" s="475"/>
      <c r="B20" s="476">
        <v>12</v>
      </c>
      <c r="C20" s="477">
        <v>28</v>
      </c>
      <c r="D20" s="478">
        <v>2</v>
      </c>
      <c r="E20" s="478" t="s">
        <v>214</v>
      </c>
      <c r="F20" s="479">
        <v>201</v>
      </c>
      <c r="G20" s="480"/>
      <c r="H20" s="481"/>
      <c r="I20" s="481"/>
      <c r="J20" s="481"/>
      <c r="K20" s="481"/>
      <c r="L20" s="481"/>
      <c r="M20" s="481"/>
      <c r="N20" s="481"/>
      <c r="O20" s="481"/>
      <c r="P20" s="482"/>
      <c r="Q20" s="483" t="s">
        <v>179</v>
      </c>
      <c r="R20" s="484">
        <v>0</v>
      </c>
      <c r="S20" s="485">
        <v>34.049999999999997</v>
      </c>
      <c r="T20" s="671">
        <f>표3[[#This Row],[편입면적]]/(SUM(표3[공부면적]))</f>
        <v>4.254122938530734E-3</v>
      </c>
      <c r="U20" s="486" t="s">
        <v>179</v>
      </c>
      <c r="V20" s="487"/>
      <c r="W20" s="488">
        <v>76.44</v>
      </c>
      <c r="X20" s="489">
        <v>5.7</v>
      </c>
      <c r="Y20" s="489">
        <v>82.14</v>
      </c>
      <c r="Z20" s="489" t="s">
        <v>179</v>
      </c>
      <c r="AA20" s="518"/>
      <c r="AB20" s="491"/>
      <c r="AC20" s="492"/>
      <c r="AD20" s="493"/>
      <c r="AE20" s="493" t="str" cm="1">
        <f t="array" ref="AE2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0" s="494"/>
      <c r="AG20" s="495" t="s">
        <v>176</v>
      </c>
      <c r="AH20" s="495"/>
      <c r="AI20" s="495" t="s">
        <v>183</v>
      </c>
      <c r="AJ20" s="496"/>
      <c r="AK20" s="497"/>
      <c r="AL20" s="497"/>
      <c r="AM20" s="494"/>
      <c r="AN20" s="498"/>
      <c r="AO20" s="499" t="s">
        <v>219</v>
      </c>
      <c r="AP20" s="500">
        <v>1090234936</v>
      </c>
      <c r="AQ20" s="500"/>
      <c r="AR20" s="501">
        <v>64</v>
      </c>
      <c r="AS2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20" s="519" t="s">
        <v>220</v>
      </c>
      <c r="AU20" s="503"/>
      <c r="AV20" s="503"/>
      <c r="AW20" s="503" t="str">
        <f>IF(COUNTIF('설명회 참석자 명부'!$W$4:$W$29,표3[[#This Row],[성  명]])&gt;0,"O","")</f>
        <v/>
      </c>
      <c r="AX20" s="503" t="str">
        <f>_xlfn.XLOOKUP(표3[[#This Row],[성  명]],'설명회 참석자 명부'!$W$4:$W$29,'설명회 참석자 명부'!$X$4:$X$29,"")</f>
        <v/>
      </c>
      <c r="AY20" s="503"/>
      <c r="AZ20" s="503"/>
      <c r="BA20" s="503"/>
      <c r="BB20" s="503"/>
      <c r="BC20" s="503"/>
      <c r="BD20" s="503"/>
      <c r="BE20" s="503"/>
      <c r="BF20" s="504"/>
      <c r="BG20" s="504"/>
      <c r="BH20" s="504"/>
      <c r="BI20" s="504"/>
      <c r="BJ20" s="504"/>
      <c r="BK20" s="504" t="str">
        <f>IFERROR(LEFT(표3[[#This Row],[주소]],FIND(" ",표3[[#This Row],[주소]])-1),"")</f>
        <v>서울</v>
      </c>
      <c r="BL2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2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20" s="504"/>
      <c r="BO20" s="504"/>
      <c r="BP20" s="504"/>
      <c r="BQ20" s="504"/>
      <c r="BR20" s="505"/>
      <c r="BS20" s="718" t="s">
        <v>179</v>
      </c>
      <c r="BT20" s="719" t="s">
        <v>179</v>
      </c>
      <c r="BU20" s="719" t="s">
        <v>179</v>
      </c>
      <c r="BV20" s="719" t="s">
        <v>179</v>
      </c>
      <c r="BW20" s="719" t="s">
        <v>179</v>
      </c>
      <c r="BX20" s="719" t="s">
        <v>179</v>
      </c>
      <c r="BY20" s="719" t="s">
        <v>191</v>
      </c>
      <c r="BZ20" s="719">
        <v>76.44</v>
      </c>
      <c r="CA20" s="719">
        <v>34.049999999999997</v>
      </c>
      <c r="CB20" s="719">
        <v>539000000</v>
      </c>
      <c r="CC20" s="719">
        <v>539000000</v>
      </c>
      <c r="CD20" s="726">
        <f>표3[[#This Row],[종전추정가액]]*1.5219</f>
        <v>820304100</v>
      </c>
      <c r="CE20" s="506"/>
      <c r="CF20" s="507"/>
      <c r="CG20" s="507"/>
      <c r="CH20" s="508"/>
      <c r="CI20" s="508"/>
      <c r="CJ20" s="509"/>
      <c r="CK20" s="510"/>
      <c r="CL20" s="511"/>
      <c r="CM20" s="512"/>
      <c r="CN20" s="513"/>
      <c r="CO20" s="513"/>
      <c r="CP20" s="513"/>
      <c r="CQ20" s="513"/>
      <c r="CR20" s="513"/>
      <c r="CS20" s="514"/>
      <c r="CT20" s="515"/>
      <c r="CU20" s="515"/>
      <c r="CV20" s="515"/>
      <c r="CW20" s="515"/>
      <c r="CX20" s="515"/>
      <c r="CY20" s="515"/>
      <c r="CZ20" s="515"/>
      <c r="DA20" s="515"/>
      <c r="DB20" s="515"/>
      <c r="DC20" s="515"/>
      <c r="DD20" s="515"/>
      <c r="DE20" s="515"/>
      <c r="DF20" s="516"/>
    </row>
    <row r="21" spans="1:110" s="393" customFormat="1" ht="20.25" customHeight="1">
      <c r="A21" s="475"/>
      <c r="B21" s="476">
        <v>13</v>
      </c>
      <c r="C21" s="477">
        <v>28</v>
      </c>
      <c r="D21" s="478">
        <v>2</v>
      </c>
      <c r="E21" s="478" t="s">
        <v>214</v>
      </c>
      <c r="F21" s="479">
        <v>202</v>
      </c>
      <c r="G21" s="480"/>
      <c r="H21" s="481"/>
      <c r="I21" s="481"/>
      <c r="J21" s="481"/>
      <c r="K21" s="481"/>
      <c r="L21" s="481"/>
      <c r="M21" s="481"/>
      <c r="N21" s="481"/>
      <c r="O21" s="481"/>
      <c r="P21" s="482"/>
      <c r="Q21" s="483" t="s">
        <v>179</v>
      </c>
      <c r="R21" s="484">
        <v>0</v>
      </c>
      <c r="S21" s="485">
        <v>34.049999999999997</v>
      </c>
      <c r="T21" s="671">
        <f>표3[[#This Row],[편입면적]]/(SUM(표3[공부면적]))</f>
        <v>4.254122938530734E-3</v>
      </c>
      <c r="U21" s="486" t="s">
        <v>179</v>
      </c>
      <c r="V21" s="487"/>
      <c r="W21" s="488">
        <v>76.44</v>
      </c>
      <c r="X21" s="489">
        <v>5.7</v>
      </c>
      <c r="Y21" s="489">
        <v>82.14</v>
      </c>
      <c r="Z21" s="489" t="s">
        <v>179</v>
      </c>
      <c r="AA21" s="518"/>
      <c r="AB21" s="491"/>
      <c r="AC21" s="492"/>
      <c r="AD21" s="493"/>
      <c r="AE21" s="493" t="str" cm="1">
        <f t="array" ref="AE2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1" s="494"/>
      <c r="AG21" s="495" t="s">
        <v>176</v>
      </c>
      <c r="AH21" s="495"/>
      <c r="AI21" s="495" t="s">
        <v>183</v>
      </c>
      <c r="AJ21" s="496"/>
      <c r="AK21" s="497"/>
      <c r="AL21" s="497"/>
      <c r="AM21" s="494"/>
      <c r="AN21" s="498"/>
      <c r="AO21" s="499" t="s">
        <v>221</v>
      </c>
      <c r="AP21" s="500">
        <v>1052729620</v>
      </c>
      <c r="AQ21" s="500"/>
      <c r="AR21" s="501">
        <v>60</v>
      </c>
      <c r="AS2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21" s="502" t="s">
        <v>222</v>
      </c>
      <c r="AU21" s="503" t="s">
        <v>190</v>
      </c>
      <c r="AV21" s="503"/>
      <c r="AW21" s="503" t="str">
        <f>IF(COUNTIF('설명회 참석자 명부'!$W$4:$W$29,표3[[#This Row],[성  명]])&gt;0,"O","")</f>
        <v/>
      </c>
      <c r="AX21" s="503"/>
      <c r="AY21" s="503"/>
      <c r="AZ21" s="503"/>
      <c r="BA21" s="503" t="s">
        <v>190</v>
      </c>
      <c r="BB21" s="503" t="s">
        <v>190</v>
      </c>
      <c r="BC21" s="503"/>
      <c r="BD21" s="503"/>
      <c r="BE21" s="503"/>
      <c r="BF21" s="504"/>
      <c r="BG21" s="504"/>
      <c r="BH21" s="504"/>
      <c r="BI21" s="504"/>
      <c r="BJ21" s="504"/>
      <c r="BK21" s="504" t="str">
        <f>IFERROR(LEFT(표3[[#This Row],[주소]],FIND(" ",표3[[#This Row],[주소]])-1),"")</f>
        <v>서울</v>
      </c>
      <c r="BL2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2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21" s="504"/>
      <c r="BO21" s="504"/>
      <c r="BP21" s="504"/>
      <c r="BQ21" s="504"/>
      <c r="BR21" s="505"/>
      <c r="BS21" s="718" t="s">
        <v>179</v>
      </c>
      <c r="BT21" s="719" t="s">
        <v>179</v>
      </c>
      <c r="BU21" s="719" t="s">
        <v>179</v>
      </c>
      <c r="BV21" s="719" t="s">
        <v>179</v>
      </c>
      <c r="BW21" s="719" t="s">
        <v>179</v>
      </c>
      <c r="BX21" s="719" t="s">
        <v>179</v>
      </c>
      <c r="BY21" s="719" t="s">
        <v>191</v>
      </c>
      <c r="BZ21" s="719">
        <v>76.44</v>
      </c>
      <c r="CA21" s="719">
        <v>34.049999999999997</v>
      </c>
      <c r="CB21" s="719">
        <v>539000000</v>
      </c>
      <c r="CC21" s="719">
        <v>539000000</v>
      </c>
      <c r="CD21" s="726">
        <f>표3[[#This Row],[종전추정가액]]*1.5219</f>
        <v>820304100</v>
      </c>
      <c r="CE21" s="506"/>
      <c r="CF21" s="507"/>
      <c r="CG21" s="507"/>
      <c r="CH21" s="508"/>
      <c r="CI21" s="508"/>
      <c r="CJ21" s="509"/>
      <c r="CK21" s="510"/>
      <c r="CL21" s="511"/>
      <c r="CM21" s="512"/>
      <c r="CN21" s="513"/>
      <c r="CO21" s="513"/>
      <c r="CP21" s="513"/>
      <c r="CQ21" s="513"/>
      <c r="CR21" s="513"/>
      <c r="CS21" s="514"/>
      <c r="CT21" s="515"/>
      <c r="CU21" s="515"/>
      <c r="CV21" s="515"/>
      <c r="CW21" s="515"/>
      <c r="CX21" s="515"/>
      <c r="CY21" s="515"/>
      <c r="CZ21" s="515"/>
      <c r="DA21" s="515"/>
      <c r="DB21" s="515"/>
      <c r="DC21" s="515"/>
      <c r="DD21" s="515"/>
      <c r="DE21" s="515"/>
      <c r="DF21" s="516"/>
    </row>
    <row r="22" spans="1:110" s="393" customFormat="1" ht="20.25" customHeight="1">
      <c r="A22" s="475"/>
      <c r="B22" s="476">
        <v>14</v>
      </c>
      <c r="C22" s="477">
        <v>28</v>
      </c>
      <c r="D22" s="478">
        <v>2</v>
      </c>
      <c r="E22" s="478" t="s">
        <v>214</v>
      </c>
      <c r="F22" s="479">
        <v>301</v>
      </c>
      <c r="G22" s="480"/>
      <c r="H22" s="481"/>
      <c r="I22" s="481"/>
      <c r="J22" s="481"/>
      <c r="K22" s="481"/>
      <c r="L22" s="481"/>
      <c r="M22" s="481"/>
      <c r="N22" s="481"/>
      <c r="O22" s="481"/>
      <c r="P22" s="482" t="s">
        <v>223</v>
      </c>
      <c r="Q22" s="483" t="s">
        <v>179</v>
      </c>
      <c r="R22" s="484">
        <v>0</v>
      </c>
      <c r="S22" s="485">
        <v>34.049999999999997</v>
      </c>
      <c r="T22" s="671">
        <f>표3[[#This Row],[편입면적]]/(SUM(표3[공부면적]))</f>
        <v>4.254122938530734E-3</v>
      </c>
      <c r="U22" s="486" t="s">
        <v>179</v>
      </c>
      <c r="V22" s="487"/>
      <c r="W22" s="488">
        <v>76.44</v>
      </c>
      <c r="X22" s="489">
        <v>5.7</v>
      </c>
      <c r="Y22" s="489">
        <v>82.14</v>
      </c>
      <c r="Z22" s="489" t="s">
        <v>179</v>
      </c>
      <c r="AA22" s="518"/>
      <c r="AB22" s="491"/>
      <c r="AC22" s="492"/>
      <c r="AD22" s="493"/>
      <c r="AE22" s="493" t="str" cm="1">
        <f t="array" ref="AE2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2" s="494"/>
      <c r="AG22" s="495" t="s">
        <v>176</v>
      </c>
      <c r="AH22" s="495"/>
      <c r="AI22" s="495" t="s">
        <v>183</v>
      </c>
      <c r="AJ22" s="496"/>
      <c r="AK22" s="497"/>
      <c r="AL22" s="497"/>
      <c r="AM22" s="494"/>
      <c r="AN22" s="498"/>
      <c r="AO22" s="499" t="s">
        <v>224</v>
      </c>
      <c r="AP22" s="500">
        <v>1088667967</v>
      </c>
      <c r="AQ22" s="500"/>
      <c r="AR22" s="501">
        <v>83</v>
      </c>
      <c r="AS2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</v>
      </c>
      <c r="AT22" s="502" t="s">
        <v>225</v>
      </c>
      <c r="AU22" s="503" t="s">
        <v>190</v>
      </c>
      <c r="AV22" s="503"/>
      <c r="AW22" s="503" t="str">
        <f>IF(COUNTIF('설명회 참석자 명부'!$W$4:$W$29,표3[[#This Row],[성  명]])&gt;0,"O","")</f>
        <v/>
      </c>
      <c r="AX22" s="503" t="str">
        <f>_xlfn.XLOOKUP(표3[[#This Row],[성  명]],'설명회 참석자 명부'!$W$4:$W$29,'설명회 참석자 명부'!$X$4:$X$29,"")</f>
        <v/>
      </c>
      <c r="AY22" s="503"/>
      <c r="AZ22" s="503"/>
      <c r="BA22" s="503"/>
      <c r="BB22" s="503" t="s">
        <v>190</v>
      </c>
      <c r="BC22" s="503"/>
      <c r="BD22" s="503"/>
      <c r="BE22" s="503"/>
      <c r="BF22" s="504"/>
      <c r="BG22" s="504"/>
      <c r="BH22" s="504"/>
      <c r="BI22" s="504"/>
      <c r="BJ22" s="504"/>
      <c r="BK22" s="504" t="str">
        <f>IFERROR(LEFT(표3[[#This Row],[주소]],FIND(" ",표3[[#This Row],[주소]])-1),"")</f>
        <v>문정로55</v>
      </c>
      <c r="BL22" s="504" t="str">
        <f>IFERROR(MID(표3[[#This Row],[주소]], FIND(" ", 표3[[#This Row],[주소]])+1, FIND(" ", 표3[[#This Row],[주소]], FIND(" ", 표3[[#This Row],[주소]])+1) - FIND(" ", 표3[[#This Row],[주소]])-1),"")</f>
        <v/>
      </c>
      <c r="BM2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22" s="504"/>
      <c r="BO22" s="504"/>
      <c r="BP22" s="504"/>
      <c r="BQ22" s="504"/>
      <c r="BR22" s="505"/>
      <c r="BS22" s="718" t="s">
        <v>179</v>
      </c>
      <c r="BT22" s="719" t="s">
        <v>179</v>
      </c>
      <c r="BU22" s="719" t="s">
        <v>179</v>
      </c>
      <c r="BV22" s="719" t="s">
        <v>179</v>
      </c>
      <c r="BW22" s="719" t="s">
        <v>179</v>
      </c>
      <c r="BX22" s="719" t="s">
        <v>179</v>
      </c>
      <c r="BY22" s="719" t="s">
        <v>191</v>
      </c>
      <c r="BZ22" s="719">
        <v>76.44</v>
      </c>
      <c r="CA22" s="719">
        <v>34.049999999999997</v>
      </c>
      <c r="CB22" s="719">
        <v>544000000</v>
      </c>
      <c r="CC22" s="719">
        <v>544000000</v>
      </c>
      <c r="CD22" s="726">
        <f>표3[[#This Row],[종전추정가액]]*1.5219</f>
        <v>827913600</v>
      </c>
      <c r="CE22" s="506"/>
      <c r="CF22" s="507"/>
      <c r="CG22" s="507"/>
      <c r="CH22" s="508"/>
      <c r="CI22" s="508"/>
      <c r="CJ22" s="509"/>
      <c r="CK22" s="510"/>
      <c r="CL22" s="511"/>
      <c r="CM22" s="512"/>
      <c r="CN22" s="513"/>
      <c r="CO22" s="513"/>
      <c r="CP22" s="513"/>
      <c r="CQ22" s="513"/>
      <c r="CR22" s="513"/>
      <c r="CS22" s="514"/>
      <c r="CT22" s="515"/>
      <c r="CU22" s="515"/>
      <c r="CV22" s="515"/>
      <c r="CW22" s="515"/>
      <c r="CX22" s="515"/>
      <c r="CY22" s="515"/>
      <c r="CZ22" s="515"/>
      <c r="DA22" s="515"/>
      <c r="DB22" s="515"/>
      <c r="DC22" s="515"/>
      <c r="DD22" s="515"/>
      <c r="DE22" s="515"/>
      <c r="DF22" s="516"/>
    </row>
    <row r="23" spans="1:110" s="393" customFormat="1" ht="23">
      <c r="A23" s="475"/>
      <c r="B23" s="476">
        <v>15</v>
      </c>
      <c r="C23" s="477">
        <v>28</v>
      </c>
      <c r="D23" s="478">
        <v>2</v>
      </c>
      <c r="E23" s="478" t="s">
        <v>214</v>
      </c>
      <c r="F23" s="479">
        <v>302</v>
      </c>
      <c r="G23" s="480"/>
      <c r="H23" s="481"/>
      <c r="I23" s="481"/>
      <c r="J23" s="481"/>
      <c r="K23" s="481" t="s">
        <v>174</v>
      </c>
      <c r="L23" s="481" t="s">
        <v>174</v>
      </c>
      <c r="M23" s="481" t="s">
        <v>174</v>
      </c>
      <c r="N23" s="481"/>
      <c r="O23" s="481"/>
      <c r="P23" s="482" t="s">
        <v>226</v>
      </c>
      <c r="Q23" s="483" t="s">
        <v>179</v>
      </c>
      <c r="R23" s="484">
        <v>0</v>
      </c>
      <c r="S23" s="485">
        <v>34.049999999999997</v>
      </c>
      <c r="T23" s="671">
        <f>표3[[#This Row],[편입면적]]/(SUM(표3[공부면적]))</f>
        <v>4.254122938530734E-3</v>
      </c>
      <c r="U23" s="486" t="s">
        <v>179</v>
      </c>
      <c r="V23" s="487"/>
      <c r="W23" s="488">
        <v>76.44</v>
      </c>
      <c r="X23" s="489">
        <v>5.7</v>
      </c>
      <c r="Y23" s="489">
        <v>82.14</v>
      </c>
      <c r="Z23" s="489" t="s">
        <v>179</v>
      </c>
      <c r="AA23" s="518"/>
      <c r="AB23" s="491"/>
      <c r="AC23" s="492"/>
      <c r="AD23" s="493"/>
      <c r="AE23" s="493" t="str" cm="1">
        <f t="array" ref="AE2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3" s="494"/>
      <c r="AG23" s="495" t="s">
        <v>176</v>
      </c>
      <c r="AH23" s="495"/>
      <c r="AI23" s="495" t="s">
        <v>183</v>
      </c>
      <c r="AJ23" s="496"/>
      <c r="AK23" s="497"/>
      <c r="AL23" s="497"/>
      <c r="AM23" s="494"/>
      <c r="AN23" s="498"/>
      <c r="AO23" s="499" t="s">
        <v>227</v>
      </c>
      <c r="AP23" s="626" t="s">
        <v>228</v>
      </c>
      <c r="AQ23" s="500" t="s">
        <v>229</v>
      </c>
      <c r="AR23" s="501">
        <v>67</v>
      </c>
      <c r="AS2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23" s="502" t="s">
        <v>230</v>
      </c>
      <c r="AU23" s="503" t="s">
        <v>190</v>
      </c>
      <c r="AV23" s="503" t="s">
        <v>190</v>
      </c>
      <c r="AW23" s="503" t="str">
        <f>IF(COUNTIF('설명회 참석자 명부'!$W$4:$W$29,표3[[#This Row],[성  명]])&gt;0,"O","")</f>
        <v/>
      </c>
      <c r="AX23" s="503" t="str">
        <f>_xlfn.XLOOKUP(표3[[#This Row],[성  명]],'설명회 참석자 명부'!$W$4:$W$29,'설명회 참석자 명부'!$X$4:$X$29,"")</f>
        <v/>
      </c>
      <c r="AY23" s="503"/>
      <c r="AZ23" s="503"/>
      <c r="BA23" s="503"/>
      <c r="BB23" s="503" t="s">
        <v>190</v>
      </c>
      <c r="BC23" s="503"/>
      <c r="BD23" s="503"/>
      <c r="BE23" s="503"/>
      <c r="BF23" s="504"/>
      <c r="BG23" s="504"/>
      <c r="BH23" s="504"/>
      <c r="BI23" s="504"/>
      <c r="BJ23" s="504"/>
      <c r="BK23" s="504" t="str">
        <f>IFERROR(LEFT(표3[[#This Row],[주소]],FIND(" ",표3[[#This Row],[주소]])-1),"")</f>
        <v>서울특별시</v>
      </c>
      <c r="BL2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2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23" s="504"/>
      <c r="BO23" s="504"/>
      <c r="BP23" s="504"/>
      <c r="BQ23" s="504"/>
      <c r="BR23" s="505"/>
      <c r="BS23" s="718" t="s">
        <v>179</v>
      </c>
      <c r="BT23" s="719" t="s">
        <v>179</v>
      </c>
      <c r="BU23" s="719" t="s">
        <v>179</v>
      </c>
      <c r="BV23" s="719" t="s">
        <v>179</v>
      </c>
      <c r="BW23" s="719" t="s">
        <v>179</v>
      </c>
      <c r="BX23" s="719" t="s">
        <v>179</v>
      </c>
      <c r="BY23" s="719" t="s">
        <v>191</v>
      </c>
      <c r="BZ23" s="719">
        <v>76.44</v>
      </c>
      <c r="CA23" s="719">
        <v>34.049999999999997</v>
      </c>
      <c r="CB23" s="719">
        <v>544000000</v>
      </c>
      <c r="CC23" s="719">
        <v>544000000</v>
      </c>
      <c r="CD23" s="726">
        <f>표3[[#This Row],[종전추정가액]]*1.5219</f>
        <v>827913600</v>
      </c>
      <c r="CE23" s="506"/>
      <c r="CF23" s="507"/>
      <c r="CG23" s="507"/>
      <c r="CH23" s="508"/>
      <c r="CI23" s="508"/>
      <c r="CJ23" s="509"/>
      <c r="CK23" s="510"/>
      <c r="CL23" s="511"/>
      <c r="CM23" s="512"/>
      <c r="CN23" s="513"/>
      <c r="CO23" s="513"/>
      <c r="CP23" s="513"/>
      <c r="CQ23" s="513"/>
      <c r="CR23" s="513"/>
      <c r="CS23" s="514"/>
      <c r="CT23" s="515"/>
      <c r="CU23" s="515"/>
      <c r="CV23" s="515"/>
      <c r="CW23" s="515"/>
      <c r="CX23" s="515"/>
      <c r="CY23" s="515"/>
      <c r="CZ23" s="515"/>
      <c r="DA23" s="515"/>
      <c r="DB23" s="515"/>
      <c r="DC23" s="515"/>
      <c r="DD23" s="515"/>
      <c r="DE23" s="515"/>
      <c r="DF23" s="516"/>
    </row>
    <row r="24" spans="1:110" s="393" customFormat="1" ht="20.25" customHeight="1">
      <c r="A24" s="475"/>
      <c r="B24" s="476">
        <v>16</v>
      </c>
      <c r="C24" s="477">
        <v>28</v>
      </c>
      <c r="D24" s="478">
        <v>2</v>
      </c>
      <c r="E24" s="478" t="s">
        <v>214</v>
      </c>
      <c r="F24" s="479">
        <v>401</v>
      </c>
      <c r="G24" s="480"/>
      <c r="H24" s="481"/>
      <c r="I24" s="481"/>
      <c r="J24" s="481"/>
      <c r="K24" s="481" t="s">
        <v>174</v>
      </c>
      <c r="L24" s="481" t="s">
        <v>174</v>
      </c>
      <c r="M24" s="481" t="s">
        <v>174</v>
      </c>
      <c r="N24" s="481"/>
      <c r="O24" s="481"/>
      <c r="P24" s="482" t="s">
        <v>231</v>
      </c>
      <c r="Q24" s="483" t="s">
        <v>179</v>
      </c>
      <c r="R24" s="484">
        <v>0</v>
      </c>
      <c r="S24" s="485">
        <v>34.049999999999997</v>
      </c>
      <c r="T24" s="671">
        <f>표3[[#This Row],[편입면적]]/(SUM(표3[공부면적]))</f>
        <v>4.254122938530734E-3</v>
      </c>
      <c r="U24" s="486" t="s">
        <v>179</v>
      </c>
      <c r="V24" s="487"/>
      <c r="W24" s="488">
        <v>76.44</v>
      </c>
      <c r="X24" s="489">
        <v>5.7</v>
      </c>
      <c r="Y24" s="489">
        <v>82.14</v>
      </c>
      <c r="Z24" s="489" t="s">
        <v>179</v>
      </c>
      <c r="AA24" s="518"/>
      <c r="AB24" s="491"/>
      <c r="AC24" s="492"/>
      <c r="AD24" s="493"/>
      <c r="AE24" s="493" t="str" cm="1">
        <f t="array" ref="AE2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4" s="494"/>
      <c r="AG24" s="495" t="s">
        <v>176</v>
      </c>
      <c r="AH24" s="495"/>
      <c r="AI24" s="495" t="s">
        <v>183</v>
      </c>
      <c r="AJ24" s="496"/>
      <c r="AK24" s="497"/>
      <c r="AL24" s="497"/>
      <c r="AM24" s="494"/>
      <c r="AN24" s="498"/>
      <c r="AO24" s="499" t="s">
        <v>232</v>
      </c>
      <c r="AP24" s="500">
        <v>1053684927</v>
      </c>
      <c r="AQ24" s="500"/>
      <c r="AR24" s="501">
        <v>70</v>
      </c>
      <c r="AS2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24" s="502" t="s">
        <v>233</v>
      </c>
      <c r="AU24" s="503"/>
      <c r="AV24" s="503"/>
      <c r="AW24" s="503" t="str">
        <f>IF(COUNTIF('설명회 참석자 명부'!$W$4:$W$29,표3[[#This Row],[성  명]])&gt;0,"O","")</f>
        <v/>
      </c>
      <c r="AX24" s="503" t="str">
        <f>_xlfn.XLOOKUP(표3[[#This Row],[성  명]],'설명회 참석자 명부'!$W$4:$W$29,'설명회 참석자 명부'!$X$4:$X$29,"")</f>
        <v/>
      </c>
      <c r="AY24" s="503"/>
      <c r="AZ24" s="503"/>
      <c r="BA24" s="503"/>
      <c r="BB24" s="503" t="s">
        <v>190</v>
      </c>
      <c r="BC24" s="503"/>
      <c r="BD24" s="503"/>
      <c r="BE24" s="503"/>
      <c r="BF24" s="504"/>
      <c r="BG24" s="504"/>
      <c r="BH24" s="504"/>
      <c r="BI24" s="504"/>
      <c r="BJ24" s="504"/>
      <c r="BK24" s="504" t="str">
        <f>IFERROR(LEFT(표3[[#This Row],[주소]],FIND(" ",표3[[#This Row],[주소]])-1),"")</f>
        <v>서울특별시</v>
      </c>
      <c r="BL2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2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</v>
      </c>
      <c r="BN24" s="504"/>
      <c r="BO24" s="504"/>
      <c r="BP24" s="504"/>
      <c r="BQ24" s="504"/>
      <c r="BR24" s="505"/>
      <c r="BS24" s="718" t="s">
        <v>179</v>
      </c>
      <c r="BT24" s="719" t="s">
        <v>179</v>
      </c>
      <c r="BU24" s="719" t="s">
        <v>179</v>
      </c>
      <c r="BV24" s="719" t="s">
        <v>179</v>
      </c>
      <c r="BW24" s="719" t="s">
        <v>179</v>
      </c>
      <c r="BX24" s="719" t="s">
        <v>179</v>
      </c>
      <c r="BY24" s="719" t="s">
        <v>191</v>
      </c>
      <c r="BZ24" s="719">
        <v>76.44</v>
      </c>
      <c r="CA24" s="719">
        <v>34.049999999999997</v>
      </c>
      <c r="CB24" s="719">
        <v>544000000</v>
      </c>
      <c r="CC24" s="719">
        <v>544000000</v>
      </c>
      <c r="CD24" s="726">
        <f>표3[[#This Row],[종전추정가액]]*1.5219</f>
        <v>827913600</v>
      </c>
      <c r="CE24" s="506"/>
      <c r="CF24" s="507"/>
      <c r="CG24" s="507"/>
      <c r="CH24" s="508"/>
      <c r="CI24" s="508"/>
      <c r="CJ24" s="509"/>
      <c r="CK24" s="510"/>
      <c r="CL24" s="511"/>
      <c r="CM24" s="512"/>
      <c r="CN24" s="513"/>
      <c r="CO24" s="513"/>
      <c r="CP24" s="513"/>
      <c r="CQ24" s="513"/>
      <c r="CR24" s="513"/>
      <c r="CS24" s="514"/>
      <c r="CT24" s="515"/>
      <c r="CU24" s="515"/>
      <c r="CV24" s="515"/>
      <c r="CW24" s="515"/>
      <c r="CX24" s="515"/>
      <c r="CY24" s="515"/>
      <c r="CZ24" s="515"/>
      <c r="DA24" s="515"/>
      <c r="DB24" s="515"/>
      <c r="DC24" s="515"/>
      <c r="DD24" s="515"/>
      <c r="DE24" s="515"/>
      <c r="DF24" s="516"/>
    </row>
    <row r="25" spans="1:110" s="393" customFormat="1" ht="20.25" customHeight="1">
      <c r="A25" s="475"/>
      <c r="B25" s="476">
        <v>17</v>
      </c>
      <c r="C25" s="477">
        <v>28</v>
      </c>
      <c r="D25" s="478">
        <v>2</v>
      </c>
      <c r="E25" s="478" t="s">
        <v>214</v>
      </c>
      <c r="F25" s="479">
        <v>402</v>
      </c>
      <c r="G25" s="480"/>
      <c r="H25" s="481"/>
      <c r="I25" s="481"/>
      <c r="J25" s="481"/>
      <c r="K25" s="481"/>
      <c r="L25" s="481"/>
      <c r="M25" s="481"/>
      <c r="N25" s="481"/>
      <c r="O25" s="481"/>
      <c r="P25" s="482"/>
      <c r="Q25" s="483" t="s">
        <v>179</v>
      </c>
      <c r="R25" s="484">
        <v>0</v>
      </c>
      <c r="S25" s="485">
        <v>34.020000000000003</v>
      </c>
      <c r="T25" s="671">
        <f>표3[[#This Row],[편입면적]]/(SUM(표3[공부면적]))</f>
        <v>4.2503748125937027E-3</v>
      </c>
      <c r="U25" s="486" t="s">
        <v>179</v>
      </c>
      <c r="V25" s="487"/>
      <c r="W25" s="488">
        <v>76.44</v>
      </c>
      <c r="X25" s="489">
        <v>5.7</v>
      </c>
      <c r="Y25" s="489">
        <v>82.14</v>
      </c>
      <c r="Z25" s="489" t="s">
        <v>179</v>
      </c>
      <c r="AA25" s="518"/>
      <c r="AB25" s="491"/>
      <c r="AC25" s="492"/>
      <c r="AD25" s="493"/>
      <c r="AE25" s="493" t="str" cm="1">
        <f t="array" ref="AE2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5" s="494"/>
      <c r="AG25" s="495" t="s">
        <v>176</v>
      </c>
      <c r="AH25" s="495"/>
      <c r="AI25" s="495" t="s">
        <v>183</v>
      </c>
      <c r="AJ25" s="496"/>
      <c r="AK25" s="497"/>
      <c r="AL25" s="497"/>
      <c r="AM25" s="494"/>
      <c r="AN25" s="498"/>
      <c r="AO25" s="499" t="s">
        <v>234</v>
      </c>
      <c r="AP25" s="626" t="s">
        <v>235</v>
      </c>
      <c r="AQ25" s="500"/>
      <c r="AR25" s="501">
        <v>45</v>
      </c>
      <c r="AS2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25" s="502" t="s">
        <v>236</v>
      </c>
      <c r="AU25" s="503"/>
      <c r="AV25" s="503"/>
      <c r="AW25" s="503" t="str">
        <f>IF(COUNTIF('설명회 참석자 명부'!$W$4:$W$29,표3[[#This Row],[성  명]])&gt;0,"O","")</f>
        <v/>
      </c>
      <c r="AX25" s="503" t="str">
        <f>_xlfn.XLOOKUP(표3[[#This Row],[성  명]],'설명회 참석자 명부'!$W$4:$W$29,'설명회 참석자 명부'!$X$4:$X$29,"")</f>
        <v/>
      </c>
      <c r="AY25" s="503"/>
      <c r="AZ25" s="503"/>
      <c r="BA25" s="503"/>
      <c r="BB25" s="503" t="s">
        <v>190</v>
      </c>
      <c r="BC25" s="503"/>
      <c r="BD25" s="503"/>
      <c r="BE25" s="503"/>
      <c r="BF25" s="504"/>
      <c r="BG25" s="504"/>
      <c r="BH25" s="504"/>
      <c r="BI25" s="504"/>
      <c r="BJ25" s="504"/>
      <c r="BK25" s="504" t="str">
        <f>IFERROR(LEFT(표3[[#This Row],[주소]],FIND(" ",표3[[#This Row],[주소]])-1),"")</f>
        <v>경기도</v>
      </c>
      <c r="BL25" s="504" t="str">
        <f>IFERROR(MID(표3[[#This Row],[주소]], FIND(" ", 표3[[#This Row],[주소]])+1, FIND(" ", 표3[[#This Row],[주소]], FIND(" ", 표3[[#This Row],[주소]])+1) - FIND(" ", 표3[[#This Row],[주소]])-1),"")</f>
        <v>남양주시</v>
      </c>
      <c r="BM2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다산순환로</v>
      </c>
      <c r="BN25" s="504"/>
      <c r="BO25" s="504"/>
      <c r="BP25" s="504"/>
      <c r="BQ25" s="504"/>
      <c r="BR25" s="505"/>
      <c r="BS25" s="718" t="s">
        <v>179</v>
      </c>
      <c r="BT25" s="719" t="s">
        <v>179</v>
      </c>
      <c r="BU25" s="719" t="s">
        <v>179</v>
      </c>
      <c r="BV25" s="719" t="s">
        <v>179</v>
      </c>
      <c r="BW25" s="719" t="s">
        <v>179</v>
      </c>
      <c r="BX25" s="719" t="s">
        <v>179</v>
      </c>
      <c r="BY25" s="719" t="s">
        <v>191</v>
      </c>
      <c r="BZ25" s="719">
        <v>76.44</v>
      </c>
      <c r="CA25" s="719">
        <v>34.020000000000003</v>
      </c>
      <c r="CB25" s="719">
        <v>544000000</v>
      </c>
      <c r="CC25" s="719">
        <v>544000000</v>
      </c>
      <c r="CD25" s="726">
        <f>표3[[#This Row],[종전추정가액]]*1.5219</f>
        <v>827913600</v>
      </c>
      <c r="CE25" s="506"/>
      <c r="CF25" s="507"/>
      <c r="CG25" s="507"/>
      <c r="CH25" s="508"/>
      <c r="CI25" s="508"/>
      <c r="CJ25" s="509"/>
      <c r="CK25" s="510"/>
      <c r="CL25" s="511"/>
      <c r="CM25" s="512"/>
      <c r="CN25" s="513"/>
      <c r="CO25" s="513"/>
      <c r="CP25" s="513"/>
      <c r="CQ25" s="513"/>
      <c r="CR25" s="513"/>
      <c r="CS25" s="514"/>
      <c r="CT25" s="515"/>
      <c r="CU25" s="515"/>
      <c r="CV25" s="515"/>
      <c r="CW25" s="515"/>
      <c r="CX25" s="515"/>
      <c r="CY25" s="515"/>
      <c r="CZ25" s="515"/>
      <c r="DA25" s="515"/>
      <c r="DB25" s="515"/>
      <c r="DC25" s="515"/>
      <c r="DD25" s="515"/>
      <c r="DE25" s="515"/>
      <c r="DF25" s="516"/>
    </row>
    <row r="26" spans="1:110" s="393" customFormat="1" ht="20.25" customHeight="1">
      <c r="A26" s="475"/>
      <c r="B26" s="476">
        <v>18</v>
      </c>
      <c r="C26" s="477">
        <v>28</v>
      </c>
      <c r="D26" s="478">
        <v>2</v>
      </c>
      <c r="E26" s="478" t="s">
        <v>214</v>
      </c>
      <c r="F26" s="479">
        <v>501</v>
      </c>
      <c r="G26" s="480"/>
      <c r="H26" s="481"/>
      <c r="I26" s="481"/>
      <c r="J26" s="481"/>
      <c r="K26" s="481"/>
      <c r="L26" s="481"/>
      <c r="M26" s="481"/>
      <c r="N26" s="481"/>
      <c r="O26" s="481"/>
      <c r="P26" s="482"/>
      <c r="Q26" s="483" t="s">
        <v>179</v>
      </c>
      <c r="R26" s="484">
        <v>0</v>
      </c>
      <c r="S26" s="485">
        <v>34.049999999999997</v>
      </c>
      <c r="T26" s="671">
        <f>표3[[#This Row],[편입면적]]/(SUM(표3[공부면적]))</f>
        <v>4.254122938530734E-3</v>
      </c>
      <c r="U26" s="486" t="s">
        <v>179</v>
      </c>
      <c r="V26" s="487"/>
      <c r="W26" s="488">
        <v>76.44</v>
      </c>
      <c r="X26" s="489">
        <v>5.7</v>
      </c>
      <c r="Y26" s="489">
        <v>82.14</v>
      </c>
      <c r="Z26" s="489" t="s">
        <v>179</v>
      </c>
      <c r="AA26" s="518"/>
      <c r="AB26" s="491"/>
      <c r="AC26" s="492"/>
      <c r="AD26" s="493"/>
      <c r="AE26" s="493" t="str" cm="1">
        <f t="array" ref="AE2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6" s="494"/>
      <c r="AG26" s="495" t="s">
        <v>176</v>
      </c>
      <c r="AH26" s="495"/>
      <c r="AI26" s="495" t="s">
        <v>183</v>
      </c>
      <c r="AJ26" s="496"/>
      <c r="AK26" s="497"/>
      <c r="AL26" s="497"/>
      <c r="AM26" s="494"/>
      <c r="AN26" s="498"/>
      <c r="AO26" s="499" t="s">
        <v>237</v>
      </c>
      <c r="AP26" s="500" t="s">
        <v>179</v>
      </c>
      <c r="AQ26" s="500"/>
      <c r="AR26" s="501">
        <v>62</v>
      </c>
      <c r="AS2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26" s="502" t="s">
        <v>238</v>
      </c>
      <c r="AU26" s="503"/>
      <c r="AV26" s="503"/>
      <c r="AW26" s="503" t="str">
        <f>IF(COUNTIF('설명회 참석자 명부'!$W$4:$W$29,표3[[#This Row],[성  명]])&gt;0,"O","")</f>
        <v/>
      </c>
      <c r="AX26" s="503" t="str">
        <f>_xlfn.XLOOKUP(표3[[#This Row],[성  명]],'설명회 참석자 명부'!$W$4:$W$29,'설명회 참석자 명부'!$X$4:$X$29,"")</f>
        <v/>
      </c>
      <c r="AY26" s="503"/>
      <c r="AZ26" s="503"/>
      <c r="BA26" s="503"/>
      <c r="BB26" s="503"/>
      <c r="BC26" s="503"/>
      <c r="BD26" s="503"/>
      <c r="BE26" s="503"/>
      <c r="BF26" s="504"/>
      <c r="BG26" s="504"/>
      <c r="BH26" s="504"/>
      <c r="BI26" s="504"/>
      <c r="BJ26" s="504"/>
      <c r="BK26" s="504" t="str">
        <f>IFERROR(LEFT(표3[[#This Row],[주소]],FIND(" ",표3[[#This Row],[주소]])-1),"")</f>
        <v>서울특별시</v>
      </c>
      <c r="BL26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2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26" s="504"/>
      <c r="BO26" s="504"/>
      <c r="BP26" s="504"/>
      <c r="BQ26" s="504"/>
      <c r="BR26" s="505"/>
      <c r="BS26" s="718" t="s">
        <v>179</v>
      </c>
      <c r="BT26" s="719" t="s">
        <v>179</v>
      </c>
      <c r="BU26" s="719" t="s">
        <v>179</v>
      </c>
      <c r="BV26" s="719" t="s">
        <v>179</v>
      </c>
      <c r="BW26" s="719" t="s">
        <v>179</v>
      </c>
      <c r="BX26" s="719" t="s">
        <v>179</v>
      </c>
      <c r="BY26" s="719" t="s">
        <v>191</v>
      </c>
      <c r="BZ26" s="719">
        <v>76.44</v>
      </c>
      <c r="CA26" s="719">
        <v>34.049999999999997</v>
      </c>
      <c r="CB26" s="719">
        <v>544000000</v>
      </c>
      <c r="CC26" s="719">
        <v>544000000</v>
      </c>
      <c r="CD26" s="726">
        <f>표3[[#This Row],[종전추정가액]]*1.5219</f>
        <v>827913600</v>
      </c>
      <c r="CE26" s="506"/>
      <c r="CF26" s="507"/>
      <c r="CG26" s="507"/>
      <c r="CH26" s="508"/>
      <c r="CI26" s="508"/>
      <c r="CJ26" s="509"/>
      <c r="CK26" s="510"/>
      <c r="CL26" s="511"/>
      <c r="CM26" s="512"/>
      <c r="CN26" s="513"/>
      <c r="CO26" s="513"/>
      <c r="CP26" s="513"/>
      <c r="CQ26" s="513"/>
      <c r="CR26" s="513"/>
      <c r="CS26" s="514"/>
      <c r="CT26" s="515"/>
      <c r="CU26" s="515"/>
      <c r="CV26" s="515"/>
      <c r="CW26" s="515"/>
      <c r="CX26" s="515"/>
      <c r="CY26" s="515"/>
      <c r="CZ26" s="515"/>
      <c r="DA26" s="515"/>
      <c r="DB26" s="515"/>
      <c r="DC26" s="515"/>
      <c r="DD26" s="515"/>
      <c r="DE26" s="515"/>
      <c r="DF26" s="516"/>
    </row>
    <row r="27" spans="1:110" s="393" customFormat="1" ht="20.25" customHeight="1" thickBot="1">
      <c r="A27" s="394"/>
      <c r="B27" s="395">
        <v>19</v>
      </c>
      <c r="C27" s="396">
        <v>28</v>
      </c>
      <c r="D27" s="397">
        <v>2</v>
      </c>
      <c r="E27" s="397" t="s">
        <v>214</v>
      </c>
      <c r="F27" s="398">
        <v>502</v>
      </c>
      <c r="G27" s="399"/>
      <c r="H27" s="400"/>
      <c r="I27" s="400"/>
      <c r="J27" s="400"/>
      <c r="K27" s="400" t="s">
        <v>174</v>
      </c>
      <c r="L27" s="400" t="s">
        <v>174</v>
      </c>
      <c r="M27" s="400" t="s">
        <v>174</v>
      </c>
      <c r="N27" s="400"/>
      <c r="O27" s="400"/>
      <c r="P27" s="401" t="s">
        <v>868</v>
      </c>
      <c r="Q27" s="402" t="s">
        <v>179</v>
      </c>
      <c r="R27" s="403">
        <v>0</v>
      </c>
      <c r="S27" s="404">
        <v>34.049999999999997</v>
      </c>
      <c r="T27" s="672">
        <f>표3[[#This Row],[편입면적]]/(SUM(표3[공부면적]))</f>
        <v>4.254122938530734E-3</v>
      </c>
      <c r="U27" s="662" t="s">
        <v>179</v>
      </c>
      <c r="V27" s="405"/>
      <c r="W27" s="406">
        <v>76.44</v>
      </c>
      <c r="X27" s="407">
        <v>5.7</v>
      </c>
      <c r="Y27" s="407">
        <v>82.14</v>
      </c>
      <c r="Z27" s="407" t="s">
        <v>179</v>
      </c>
      <c r="AA27" s="520"/>
      <c r="AB27" s="409"/>
      <c r="AC27" s="410"/>
      <c r="AD27" s="411"/>
      <c r="AE27" s="411" t="str" cm="1">
        <f t="array" ref="AE2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7" s="412"/>
      <c r="AG27" s="413" t="s">
        <v>176</v>
      </c>
      <c r="AH27" s="413"/>
      <c r="AI27" s="413" t="s">
        <v>183</v>
      </c>
      <c r="AJ27" s="414"/>
      <c r="AK27" s="415"/>
      <c r="AL27" s="415"/>
      <c r="AM27" s="412"/>
      <c r="AN27" s="416"/>
      <c r="AO27" s="417" t="s">
        <v>239</v>
      </c>
      <c r="AP27" s="418">
        <v>1062694936</v>
      </c>
      <c r="AQ27" s="418" t="s">
        <v>240</v>
      </c>
      <c r="AR27" s="419"/>
      <c r="AS27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27" s="521" t="s">
        <v>241</v>
      </c>
      <c r="AU27" s="421" t="s">
        <v>190</v>
      </c>
      <c r="AV27" s="421" t="s">
        <v>174</v>
      </c>
      <c r="AW27" s="421" t="str">
        <f>IF(COUNTIF('설명회 참석자 명부'!$W$4:$W$29,표3[[#This Row],[성  명]])&gt;0,"O","")</f>
        <v/>
      </c>
      <c r="AX27" s="421" t="str">
        <f>_xlfn.XLOOKUP(표3[[#This Row],[성  명]],'설명회 참석자 명부'!$W$4:$W$29,'설명회 참석자 명부'!$X$4:$X$29,"")</f>
        <v/>
      </c>
      <c r="AY27" s="421"/>
      <c r="AZ27" s="421"/>
      <c r="BA27" s="421" t="s">
        <v>190</v>
      </c>
      <c r="BB27" s="421" t="s">
        <v>190</v>
      </c>
      <c r="BC27" s="421"/>
      <c r="BD27" s="421"/>
      <c r="BE27" s="421"/>
      <c r="BF27" s="422"/>
      <c r="BG27" s="422"/>
      <c r="BH27" s="422"/>
      <c r="BI27" s="422"/>
      <c r="BJ27" s="422"/>
      <c r="BK27" s="422" t="str">
        <f>IFERROR(LEFT(표3[[#This Row],[주소]],FIND(" ",표3[[#This Row],[주소]])-1),"")</f>
        <v>서울특별시</v>
      </c>
      <c r="BL27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27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동남로8길6,</v>
      </c>
      <c r="BN27" s="422"/>
      <c r="BO27" s="422"/>
      <c r="BP27" s="422"/>
      <c r="BQ27" s="422"/>
      <c r="BR27" s="423"/>
      <c r="BS27" s="720" t="s">
        <v>179</v>
      </c>
      <c r="BT27" s="721" t="s">
        <v>179</v>
      </c>
      <c r="BU27" s="721" t="s">
        <v>179</v>
      </c>
      <c r="BV27" s="721" t="s">
        <v>179</v>
      </c>
      <c r="BW27" s="721" t="s">
        <v>179</v>
      </c>
      <c r="BX27" s="721" t="s">
        <v>179</v>
      </c>
      <c r="BY27" s="721" t="s">
        <v>191</v>
      </c>
      <c r="BZ27" s="721">
        <v>76.44</v>
      </c>
      <c r="CA27" s="721">
        <v>34.049999999999997</v>
      </c>
      <c r="CB27" s="721">
        <v>544000000</v>
      </c>
      <c r="CC27" s="721">
        <v>544000000</v>
      </c>
      <c r="CD27" s="726">
        <f>표3[[#This Row],[종전추정가액]]*1.5219</f>
        <v>827913600</v>
      </c>
      <c r="CE27" s="424"/>
      <c r="CF27" s="425"/>
      <c r="CG27" s="425"/>
      <c r="CH27" s="426"/>
      <c r="CI27" s="426"/>
      <c r="CJ27" s="427"/>
      <c r="CK27" s="428"/>
      <c r="CL27" s="429"/>
      <c r="CM27" s="430"/>
      <c r="CN27" s="431"/>
      <c r="CO27" s="431"/>
      <c r="CP27" s="431"/>
      <c r="CQ27" s="431"/>
      <c r="CR27" s="431"/>
      <c r="CS27" s="432"/>
      <c r="CT27" s="433"/>
      <c r="CU27" s="433"/>
      <c r="CV27" s="433"/>
      <c r="CW27" s="433"/>
      <c r="CX27" s="433"/>
      <c r="CY27" s="433"/>
      <c r="CZ27" s="433"/>
      <c r="DA27" s="433"/>
      <c r="DB27" s="433"/>
      <c r="DC27" s="433"/>
      <c r="DD27" s="433"/>
      <c r="DE27" s="433"/>
      <c r="DF27" s="434"/>
    </row>
    <row r="28" spans="1:110" s="474" customFormat="1" ht="20.25" customHeight="1" thickTop="1">
      <c r="A28" s="435"/>
      <c r="B28" s="436"/>
      <c r="C28" s="437">
        <v>28</v>
      </c>
      <c r="D28" s="438">
        <v>3</v>
      </c>
      <c r="E28" s="438" t="s">
        <v>242</v>
      </c>
      <c r="F28" s="667">
        <v>0</v>
      </c>
      <c r="G28" s="439"/>
      <c r="H28" s="440"/>
      <c r="I28" s="440"/>
      <c r="J28" s="440"/>
      <c r="K28" s="440"/>
      <c r="L28" s="440"/>
      <c r="M28" s="440"/>
      <c r="N28" s="440"/>
      <c r="O28" s="440"/>
      <c r="P28" s="441"/>
      <c r="Q28" s="442" t="s">
        <v>173</v>
      </c>
      <c r="R28" s="443">
        <v>223.9</v>
      </c>
      <c r="S28" s="443"/>
      <c r="T28" s="670">
        <f>표3[[#This Row],[편입면적]]/(SUM(표3[공부면적]))</f>
        <v>0</v>
      </c>
      <c r="U28" s="444" t="s">
        <v>174</v>
      </c>
      <c r="V28" s="445"/>
      <c r="W28" s="446"/>
      <c r="X28" s="447"/>
      <c r="Y28" s="447">
        <v>0</v>
      </c>
      <c r="Z28" s="447">
        <v>544.26</v>
      </c>
      <c r="AA28" s="517"/>
      <c r="AB28" s="449"/>
      <c r="AC28" s="450" t="s">
        <v>243</v>
      </c>
      <c r="AD28" s="451">
        <v>21</v>
      </c>
      <c r="AE28" s="451" t="str" cm="1">
        <f t="array" ref="AE2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8" s="452"/>
      <c r="AG28" s="453" t="s">
        <v>176</v>
      </c>
      <c r="AH28" s="453"/>
      <c r="AI28" s="453" t="s">
        <v>183</v>
      </c>
      <c r="AJ28" s="453"/>
      <c r="AK28" s="454"/>
      <c r="AL28" s="454"/>
      <c r="AM28" s="452">
        <v>5</v>
      </c>
      <c r="AN28" s="455">
        <v>0</v>
      </c>
      <c r="AO28" s="522"/>
      <c r="AP28" s="457" t="s">
        <v>179</v>
      </c>
      <c r="AQ28" s="457"/>
      <c r="AR28" s="523"/>
      <c r="AS28" s="523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28" s="524"/>
      <c r="AU28" s="460"/>
      <c r="AV28" s="460"/>
      <c r="AW28" s="460" t="str">
        <f>IF(COUNTIF('설명회 참석자 명부'!$W$4:$W$29,표3[[#This Row],[성  명]])&gt;0,"O","")</f>
        <v/>
      </c>
      <c r="AX28" s="460">
        <f>_xlfn.XLOOKUP(표3[[#This Row],[성  명]],'설명회 참석자 명부'!$W$4:$W$29,'설명회 참석자 명부'!$X$4:$X$29,"")</f>
        <v>0</v>
      </c>
      <c r="AY28" s="460"/>
      <c r="AZ28" s="460"/>
      <c r="BA28" s="460"/>
      <c r="BB28" s="460"/>
      <c r="BC28" s="460"/>
      <c r="BD28" s="460"/>
      <c r="BE28" s="460"/>
      <c r="BF28" s="461"/>
      <c r="BG28" s="461"/>
      <c r="BH28" s="461"/>
      <c r="BI28" s="461"/>
      <c r="BJ28" s="461"/>
      <c r="BK28" s="461" t="str">
        <f>IFERROR(LEFT(표3[[#This Row],[주소]],FIND(" ",표3[[#This Row],[주소]])-1),"")</f>
        <v/>
      </c>
      <c r="BL28" s="461" t="str">
        <f>IFERROR(MID(표3[[#This Row],[주소]], FIND(" ", 표3[[#This Row],[주소]])+1, FIND(" ", 표3[[#This Row],[주소]], FIND(" ", 표3[[#This Row],[주소]])+1) - FIND(" ", 표3[[#This Row],[주소]])-1),"")</f>
        <v/>
      </c>
      <c r="BM28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28" s="461"/>
      <c r="BO28" s="461"/>
      <c r="BP28" s="461"/>
      <c r="BQ28" s="461"/>
      <c r="BR28" s="462"/>
      <c r="BS28" s="716"/>
      <c r="BT28" s="717"/>
      <c r="BU28" s="717"/>
      <c r="BV28" s="717"/>
      <c r="BW28" s="717"/>
      <c r="BX28" s="717"/>
      <c r="BY28" s="717"/>
      <c r="BZ28" s="717"/>
      <c r="CA28" s="717"/>
      <c r="CB28" s="717"/>
      <c r="CC28" s="717"/>
      <c r="CD28" s="727">
        <f>표3[[#This Row],[종전추정가액]]*1.5219</f>
        <v>0</v>
      </c>
      <c r="CE28" s="463"/>
      <c r="CF28" s="464"/>
      <c r="CG28" s="464"/>
      <c r="CH28" s="465"/>
      <c r="CI28" s="465"/>
      <c r="CJ28" s="466"/>
      <c r="CK28" s="467"/>
      <c r="CL28" s="468"/>
      <c r="CM28" s="469"/>
      <c r="CN28" s="470"/>
      <c r="CO28" s="470"/>
      <c r="CP28" s="470"/>
      <c r="CQ28" s="470"/>
      <c r="CR28" s="470"/>
      <c r="CS28" s="471"/>
      <c r="CT28" s="472"/>
      <c r="CU28" s="472"/>
      <c r="CV28" s="472"/>
      <c r="CW28" s="472"/>
      <c r="CX28" s="472"/>
      <c r="CY28" s="472"/>
      <c r="CZ28" s="472"/>
      <c r="DA28" s="472"/>
      <c r="DB28" s="472"/>
      <c r="DC28" s="472"/>
      <c r="DD28" s="472"/>
      <c r="DE28" s="472"/>
      <c r="DF28" s="473"/>
    </row>
    <row r="29" spans="1:110" s="393" customFormat="1" ht="20.25" customHeight="1">
      <c r="A29" s="475"/>
      <c r="B29" s="476">
        <v>20</v>
      </c>
      <c r="C29" s="477">
        <v>28</v>
      </c>
      <c r="D29" s="478">
        <v>3</v>
      </c>
      <c r="E29" s="478" t="s">
        <v>244</v>
      </c>
      <c r="F29" s="479">
        <v>201</v>
      </c>
      <c r="G29" s="480"/>
      <c r="H29" s="481"/>
      <c r="I29" s="481"/>
      <c r="J29" s="481"/>
      <c r="K29" s="481" t="s">
        <v>174</v>
      </c>
      <c r="L29" s="481" t="s">
        <v>174</v>
      </c>
      <c r="M29" s="481" t="s">
        <v>174</v>
      </c>
      <c r="N29" s="481"/>
      <c r="O29" s="481"/>
      <c r="P29" s="482" t="s">
        <v>869</v>
      </c>
      <c r="Q29" s="483" t="s">
        <v>179</v>
      </c>
      <c r="R29" s="484">
        <v>0</v>
      </c>
      <c r="S29" s="485">
        <v>29</v>
      </c>
      <c r="T29" s="671">
        <f>표3[[#This Row],[편입면적]]/(SUM(표3[공부면적]))</f>
        <v>3.6231884057971011E-3</v>
      </c>
      <c r="U29" s="486" t="s">
        <v>179</v>
      </c>
      <c r="V29" s="487"/>
      <c r="W29" s="488">
        <v>61.65</v>
      </c>
      <c r="X29" s="489">
        <v>8.7200000000000006</v>
      </c>
      <c r="Y29" s="489">
        <v>70.37</v>
      </c>
      <c r="Z29" s="489" t="s">
        <v>179</v>
      </c>
      <c r="AA29" s="518"/>
      <c r="AB29" s="491"/>
      <c r="AC29" s="492"/>
      <c r="AD29" s="493"/>
      <c r="AE29" s="493" t="str" cm="1">
        <f t="array" ref="AE2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29" s="494"/>
      <c r="AG29" s="495" t="s">
        <v>176</v>
      </c>
      <c r="AH29" s="495"/>
      <c r="AI29" s="495" t="s">
        <v>183</v>
      </c>
      <c r="AJ29" s="496"/>
      <c r="AK29" s="497"/>
      <c r="AL29" s="497"/>
      <c r="AM29" s="494"/>
      <c r="AN29" s="498"/>
      <c r="AO29" s="525" t="s">
        <v>245</v>
      </c>
      <c r="AP29" s="500">
        <v>1083435510</v>
      </c>
      <c r="AQ29" s="500" t="s">
        <v>246</v>
      </c>
      <c r="AR29" s="526">
        <v>56</v>
      </c>
      <c r="AS29" s="526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29" s="519" t="s">
        <v>247</v>
      </c>
      <c r="AU29" s="503" t="s">
        <v>190</v>
      </c>
      <c r="AV29" s="503" t="s">
        <v>174</v>
      </c>
      <c r="AW29" s="503" t="str">
        <f>IF(COUNTIF('설명회 참석자 명부'!$W$4:$W$29,표3[[#This Row],[성  명]])&gt;0,"O","")</f>
        <v/>
      </c>
      <c r="AX29" s="503" t="str">
        <f>_xlfn.XLOOKUP(표3[[#This Row],[성  명]],'설명회 참석자 명부'!$W$4:$W$29,'설명회 참석자 명부'!$X$4:$X$29,"")</f>
        <v/>
      </c>
      <c r="AY29" s="503"/>
      <c r="AZ29" s="503"/>
      <c r="BA29" s="503" t="s">
        <v>190</v>
      </c>
      <c r="BB29" s="503"/>
      <c r="BC29" s="503"/>
      <c r="BD29" s="503"/>
      <c r="BE29" s="503"/>
      <c r="BF29" s="504"/>
      <c r="BG29" s="504"/>
      <c r="BH29" s="504"/>
      <c r="BI29" s="504"/>
      <c r="BJ29" s="504"/>
      <c r="BK29" s="504" t="str">
        <f>IFERROR(LEFT(표3[[#This Row],[주소]],FIND(" ",표3[[#This Row],[주소]])-1),"")</f>
        <v>서울특별시</v>
      </c>
      <c r="BL29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2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29" s="504"/>
      <c r="BO29" s="504"/>
      <c r="BP29" s="504"/>
      <c r="BQ29" s="504"/>
      <c r="BR29" s="505"/>
      <c r="BS29" s="718" t="s">
        <v>179</v>
      </c>
      <c r="BT29" s="719" t="s">
        <v>179</v>
      </c>
      <c r="BU29" s="719" t="s">
        <v>179</v>
      </c>
      <c r="BV29" s="719" t="s">
        <v>179</v>
      </c>
      <c r="BW29" s="719" t="s">
        <v>179</v>
      </c>
      <c r="BX29" s="719" t="s">
        <v>179</v>
      </c>
      <c r="BY29" s="719" t="s">
        <v>191</v>
      </c>
      <c r="BZ29" s="719">
        <v>61.65</v>
      </c>
      <c r="CA29" s="719">
        <v>29</v>
      </c>
      <c r="CB29" s="719">
        <v>452000000</v>
      </c>
      <c r="CC29" s="719">
        <v>452000000</v>
      </c>
      <c r="CD29" s="726">
        <f>표3[[#This Row],[종전추정가액]]*1.5219</f>
        <v>687898800</v>
      </c>
      <c r="CE29" s="506"/>
      <c r="CF29" s="507"/>
      <c r="CG29" s="507"/>
      <c r="CH29" s="508"/>
      <c r="CI29" s="508"/>
      <c r="CJ29" s="509"/>
      <c r="CK29" s="510"/>
      <c r="CL29" s="511"/>
      <c r="CM29" s="512"/>
      <c r="CN29" s="513"/>
      <c r="CO29" s="513"/>
      <c r="CP29" s="513"/>
      <c r="CQ29" s="513"/>
      <c r="CR29" s="513"/>
      <c r="CS29" s="514"/>
      <c r="CT29" s="515"/>
      <c r="CU29" s="515"/>
      <c r="CV29" s="515"/>
      <c r="CW29" s="515"/>
      <c r="CX29" s="515"/>
      <c r="CY29" s="515"/>
      <c r="CZ29" s="515"/>
      <c r="DA29" s="515"/>
      <c r="DB29" s="515"/>
      <c r="DC29" s="515"/>
      <c r="DD29" s="515"/>
      <c r="DE29" s="515"/>
      <c r="DF29" s="516"/>
    </row>
    <row r="30" spans="1:110" s="393" customFormat="1" ht="20.25" customHeight="1">
      <c r="A30" s="475"/>
      <c r="B30" s="476">
        <v>21</v>
      </c>
      <c r="C30" s="477">
        <v>28</v>
      </c>
      <c r="D30" s="478">
        <v>3</v>
      </c>
      <c r="E30" s="478" t="s">
        <v>244</v>
      </c>
      <c r="F30" s="479">
        <v>202</v>
      </c>
      <c r="G30" s="480"/>
      <c r="H30" s="481"/>
      <c r="I30" s="481"/>
      <c r="J30" s="481"/>
      <c r="K30" s="481"/>
      <c r="L30" s="481"/>
      <c r="M30" s="481"/>
      <c r="N30" s="481"/>
      <c r="O30" s="481"/>
      <c r="P30" s="482"/>
      <c r="Q30" s="483" t="s">
        <v>179</v>
      </c>
      <c r="R30" s="484">
        <v>0</v>
      </c>
      <c r="S30" s="485">
        <v>29</v>
      </c>
      <c r="T30" s="671">
        <f>표3[[#This Row],[편입면적]]/(SUM(표3[공부면적]))</f>
        <v>3.6231884057971011E-3</v>
      </c>
      <c r="U30" s="486" t="s">
        <v>179</v>
      </c>
      <c r="V30" s="487"/>
      <c r="W30" s="488">
        <v>61.65</v>
      </c>
      <c r="X30" s="489">
        <v>8.7200000000000006</v>
      </c>
      <c r="Y30" s="489">
        <v>70.37</v>
      </c>
      <c r="Z30" s="489" t="s">
        <v>179</v>
      </c>
      <c r="AA30" s="518"/>
      <c r="AB30" s="491"/>
      <c r="AC30" s="492"/>
      <c r="AD30" s="493"/>
      <c r="AE30" s="493" t="str" cm="1">
        <f t="array" ref="AE3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0" s="494"/>
      <c r="AG30" s="495" t="s">
        <v>176</v>
      </c>
      <c r="AH30" s="495"/>
      <c r="AI30" s="495" t="s">
        <v>183</v>
      </c>
      <c r="AJ30" s="496"/>
      <c r="AK30" s="497"/>
      <c r="AL30" s="497"/>
      <c r="AM30" s="494"/>
      <c r="AN30" s="498"/>
      <c r="AO30" s="525" t="s">
        <v>248</v>
      </c>
      <c r="AP30" s="500" t="s">
        <v>179</v>
      </c>
      <c r="AQ30" s="500"/>
      <c r="AR30" s="526">
        <v>87</v>
      </c>
      <c r="AS30" s="526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 미만</v>
      </c>
      <c r="AT30" s="519" t="s">
        <v>249</v>
      </c>
      <c r="AU30" s="503"/>
      <c r="AV30" s="503"/>
      <c r="AW30" s="503" t="str">
        <f>IF(COUNTIF('설명회 참석자 명부'!$W$4:$W$29,표3[[#This Row],[성  명]])&gt;0,"O","")</f>
        <v/>
      </c>
      <c r="AX30" s="503" t="str">
        <f>_xlfn.XLOOKUP(표3[[#This Row],[성  명]],'설명회 참석자 명부'!$W$4:$W$29,'설명회 참석자 명부'!$X$4:$X$29,"")</f>
        <v/>
      </c>
      <c r="AY30" s="503"/>
      <c r="AZ30" s="503"/>
      <c r="BA30" s="503"/>
      <c r="BB30" s="503"/>
      <c r="BC30" s="503"/>
      <c r="BD30" s="503"/>
      <c r="BE30" s="503"/>
      <c r="BF30" s="504"/>
      <c r="BG30" s="504"/>
      <c r="BH30" s="504"/>
      <c r="BI30" s="504"/>
      <c r="BJ30" s="504"/>
      <c r="BK30" s="504" t="str">
        <f>IFERROR(LEFT(표3[[#This Row],[주소]],FIND(" ",표3[[#This Row],[주소]])-1),"")</f>
        <v>서울특별시</v>
      </c>
      <c r="BL3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3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새말로12길</v>
      </c>
      <c r="BN30" s="504"/>
      <c r="BO30" s="504"/>
      <c r="BP30" s="504"/>
      <c r="BQ30" s="504"/>
      <c r="BR30" s="505"/>
      <c r="BS30" s="718" t="s">
        <v>179</v>
      </c>
      <c r="BT30" s="719" t="s">
        <v>179</v>
      </c>
      <c r="BU30" s="719" t="s">
        <v>179</v>
      </c>
      <c r="BV30" s="719" t="s">
        <v>179</v>
      </c>
      <c r="BW30" s="719" t="s">
        <v>179</v>
      </c>
      <c r="BX30" s="719" t="s">
        <v>179</v>
      </c>
      <c r="BY30" s="719" t="s">
        <v>191</v>
      </c>
      <c r="BZ30" s="719">
        <v>61.65</v>
      </c>
      <c r="CA30" s="719">
        <v>29</v>
      </c>
      <c r="CB30" s="719">
        <v>452000000</v>
      </c>
      <c r="CC30" s="719">
        <v>452000000</v>
      </c>
      <c r="CD30" s="726">
        <f>표3[[#This Row],[종전추정가액]]*1.5219</f>
        <v>687898800</v>
      </c>
      <c r="CE30" s="506"/>
      <c r="CF30" s="507"/>
      <c r="CG30" s="507"/>
      <c r="CH30" s="508"/>
      <c r="CI30" s="508"/>
      <c r="CJ30" s="509"/>
      <c r="CK30" s="510"/>
      <c r="CL30" s="511"/>
      <c r="CM30" s="512"/>
      <c r="CN30" s="513"/>
      <c r="CO30" s="513"/>
      <c r="CP30" s="513"/>
      <c r="CQ30" s="513"/>
      <c r="CR30" s="513"/>
      <c r="CS30" s="514"/>
      <c r="CT30" s="515"/>
      <c r="CU30" s="515"/>
      <c r="CV30" s="515"/>
      <c r="CW30" s="515"/>
      <c r="CX30" s="515"/>
      <c r="CY30" s="515"/>
      <c r="CZ30" s="515"/>
      <c r="DA30" s="515"/>
      <c r="DB30" s="515"/>
      <c r="DC30" s="515"/>
      <c r="DD30" s="515"/>
      <c r="DE30" s="515"/>
      <c r="DF30" s="516"/>
    </row>
    <row r="31" spans="1:110" s="393" customFormat="1" ht="20.25" customHeight="1">
      <c r="A31" s="475"/>
      <c r="B31" s="476">
        <v>22</v>
      </c>
      <c r="C31" s="477">
        <v>28</v>
      </c>
      <c r="D31" s="478">
        <v>3</v>
      </c>
      <c r="E31" s="478" t="s">
        <v>244</v>
      </c>
      <c r="F31" s="479">
        <v>301</v>
      </c>
      <c r="G31" s="480"/>
      <c r="H31" s="481"/>
      <c r="I31" s="481"/>
      <c r="J31" s="481"/>
      <c r="K31" s="481" t="s">
        <v>174</v>
      </c>
      <c r="L31" s="481" t="s">
        <v>174</v>
      </c>
      <c r="M31" s="481" t="s">
        <v>174</v>
      </c>
      <c r="N31" s="481"/>
      <c r="O31" s="481"/>
      <c r="P31" s="482" t="s">
        <v>870</v>
      </c>
      <c r="Q31" s="483" t="s">
        <v>179</v>
      </c>
      <c r="R31" s="484">
        <v>0</v>
      </c>
      <c r="S31" s="485">
        <v>29</v>
      </c>
      <c r="T31" s="671">
        <f>표3[[#This Row],[편입면적]]/(SUM(표3[공부면적]))</f>
        <v>3.6231884057971011E-3</v>
      </c>
      <c r="U31" s="486" t="s">
        <v>179</v>
      </c>
      <c r="V31" s="487"/>
      <c r="W31" s="488">
        <v>61.65</v>
      </c>
      <c r="X31" s="489">
        <v>8.7200000000000006</v>
      </c>
      <c r="Y31" s="489">
        <v>70.37</v>
      </c>
      <c r="Z31" s="489" t="s">
        <v>179</v>
      </c>
      <c r="AA31" s="518"/>
      <c r="AB31" s="491"/>
      <c r="AC31" s="492"/>
      <c r="AD31" s="493"/>
      <c r="AE31" s="493" t="str" cm="1">
        <f t="array" ref="AE3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1" s="494"/>
      <c r="AG31" s="495" t="s">
        <v>176</v>
      </c>
      <c r="AH31" s="495"/>
      <c r="AI31" s="495" t="s">
        <v>183</v>
      </c>
      <c r="AJ31" s="496"/>
      <c r="AK31" s="497"/>
      <c r="AL31" s="497"/>
      <c r="AM31" s="494"/>
      <c r="AN31" s="498"/>
      <c r="AO31" s="525" t="s">
        <v>250</v>
      </c>
      <c r="AP31" s="500" t="s">
        <v>179</v>
      </c>
      <c r="AQ31" s="500"/>
      <c r="AR31" s="526">
        <v>56</v>
      </c>
      <c r="AS31" s="526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31" s="519" t="s">
        <v>251</v>
      </c>
      <c r="AU31" s="503"/>
      <c r="AV31" s="503"/>
      <c r="AW31" s="503" t="str">
        <f>IF(COUNTIF('설명회 참석자 명부'!$W$4:$W$29,표3[[#This Row],[성  명]])&gt;0,"O","")</f>
        <v>O</v>
      </c>
      <c r="AX31" s="503" t="str">
        <f>_xlfn.XLOOKUP(표3[[#This Row],[성  명]],'설명회 참석자 명부'!$W$4:$W$29,'설명회 참석자 명부'!$X$4:$X$29,"")</f>
        <v>재건축</v>
      </c>
      <c r="AY31" s="503"/>
      <c r="AZ31" s="503"/>
      <c r="BA31" s="503"/>
      <c r="BB31" s="503"/>
      <c r="BC31" s="503"/>
      <c r="BD31" s="503"/>
      <c r="BE31" s="503"/>
      <c r="BF31" s="504"/>
      <c r="BG31" s="504"/>
      <c r="BH31" s="504"/>
      <c r="BI31" s="504"/>
      <c r="BJ31" s="504"/>
      <c r="BK31" s="504" t="str">
        <f>IFERROR(LEFT(표3[[#This Row],[주소]],FIND(" ",표3[[#This Row],[주소]])-1),"")</f>
        <v>서울특별시</v>
      </c>
      <c r="BL3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3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송이로31길</v>
      </c>
      <c r="BN31" s="504"/>
      <c r="BO31" s="504"/>
      <c r="BP31" s="504"/>
      <c r="BQ31" s="504"/>
      <c r="BR31" s="505"/>
      <c r="BS31" s="718" t="s">
        <v>179</v>
      </c>
      <c r="BT31" s="719" t="s">
        <v>179</v>
      </c>
      <c r="BU31" s="719" t="s">
        <v>179</v>
      </c>
      <c r="BV31" s="719" t="s">
        <v>179</v>
      </c>
      <c r="BW31" s="719" t="s">
        <v>179</v>
      </c>
      <c r="BX31" s="719" t="s">
        <v>179</v>
      </c>
      <c r="BY31" s="719" t="s">
        <v>191</v>
      </c>
      <c r="BZ31" s="719">
        <v>61.65</v>
      </c>
      <c r="CA31" s="719">
        <v>29</v>
      </c>
      <c r="CB31" s="719">
        <v>457000000</v>
      </c>
      <c r="CC31" s="719">
        <v>457000000</v>
      </c>
      <c r="CD31" s="726">
        <f>표3[[#This Row],[종전추정가액]]*1.5219</f>
        <v>695508300</v>
      </c>
      <c r="CE31" s="506"/>
      <c r="CF31" s="507"/>
      <c r="CG31" s="507"/>
      <c r="CH31" s="508"/>
      <c r="CI31" s="508"/>
      <c r="CJ31" s="509"/>
      <c r="CK31" s="510"/>
      <c r="CL31" s="511"/>
      <c r="CM31" s="512"/>
      <c r="CN31" s="513"/>
      <c r="CO31" s="513"/>
      <c r="CP31" s="513"/>
      <c r="CQ31" s="513"/>
      <c r="CR31" s="513"/>
      <c r="CS31" s="514"/>
      <c r="CT31" s="515"/>
      <c r="CU31" s="515"/>
      <c r="CV31" s="515"/>
      <c r="CW31" s="515"/>
      <c r="CX31" s="515"/>
      <c r="CY31" s="515"/>
      <c r="CZ31" s="515"/>
      <c r="DA31" s="515"/>
      <c r="DB31" s="515"/>
      <c r="DC31" s="515"/>
      <c r="DD31" s="515"/>
      <c r="DE31" s="515"/>
      <c r="DF31" s="516"/>
    </row>
    <row r="32" spans="1:110" s="393" customFormat="1" ht="20.25" customHeight="1">
      <c r="A32" s="475"/>
      <c r="B32" s="476">
        <v>23</v>
      </c>
      <c r="C32" s="477">
        <v>28</v>
      </c>
      <c r="D32" s="478">
        <v>3</v>
      </c>
      <c r="E32" s="478" t="s">
        <v>244</v>
      </c>
      <c r="F32" s="479">
        <v>302</v>
      </c>
      <c r="G32" s="480"/>
      <c r="H32" s="481"/>
      <c r="I32" s="481"/>
      <c r="J32" s="481"/>
      <c r="K32" s="481"/>
      <c r="L32" s="481"/>
      <c r="M32" s="481"/>
      <c r="N32" s="481"/>
      <c r="O32" s="481"/>
      <c r="P32" s="482"/>
      <c r="Q32" s="483" t="s">
        <v>179</v>
      </c>
      <c r="R32" s="484">
        <v>0</v>
      </c>
      <c r="S32" s="485">
        <v>29</v>
      </c>
      <c r="T32" s="671">
        <f>표3[[#This Row],[편입면적]]/(SUM(표3[공부면적]))</f>
        <v>3.6231884057971011E-3</v>
      </c>
      <c r="U32" s="486" t="s">
        <v>179</v>
      </c>
      <c r="V32" s="487"/>
      <c r="W32" s="488">
        <v>61.65</v>
      </c>
      <c r="X32" s="489">
        <v>8.7200000000000006</v>
      </c>
      <c r="Y32" s="489">
        <v>70.37</v>
      </c>
      <c r="Z32" s="489" t="s">
        <v>179</v>
      </c>
      <c r="AA32" s="518"/>
      <c r="AB32" s="491"/>
      <c r="AC32" s="492"/>
      <c r="AD32" s="493"/>
      <c r="AE32" s="493" t="str" cm="1">
        <f t="array" ref="AE3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2" s="494"/>
      <c r="AG32" s="495" t="s">
        <v>176</v>
      </c>
      <c r="AH32" s="495"/>
      <c r="AI32" s="495" t="s">
        <v>183</v>
      </c>
      <c r="AJ32" s="496"/>
      <c r="AK32" s="497"/>
      <c r="AL32" s="497"/>
      <c r="AM32" s="494"/>
      <c r="AN32" s="498"/>
      <c r="AO32" s="525" t="s">
        <v>252</v>
      </c>
      <c r="AP32" s="500" t="s">
        <v>179</v>
      </c>
      <c r="AQ32" s="500"/>
      <c r="AR32" s="526">
        <v>73</v>
      </c>
      <c r="AS32" s="526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32" s="519" t="s">
        <v>253</v>
      </c>
      <c r="AU32" s="503"/>
      <c r="AV32" s="503"/>
      <c r="AW32" s="503" t="str">
        <f>IF(COUNTIF('설명회 참석자 명부'!$W$4:$W$29,표3[[#This Row],[성  명]])&gt;0,"O","")</f>
        <v/>
      </c>
      <c r="AX32" s="503" t="str">
        <f>_xlfn.XLOOKUP(표3[[#This Row],[성  명]],'설명회 참석자 명부'!$W$4:$W$29,'설명회 참석자 명부'!$X$4:$X$29,"")</f>
        <v/>
      </c>
      <c r="AY32" s="503"/>
      <c r="AZ32" s="503"/>
      <c r="BA32" s="503"/>
      <c r="BB32" s="503"/>
      <c r="BC32" s="503"/>
      <c r="BD32" s="503"/>
      <c r="BE32" s="503"/>
      <c r="BF32" s="504"/>
      <c r="BG32" s="504"/>
      <c r="BH32" s="504"/>
      <c r="BI32" s="504"/>
      <c r="BJ32" s="504"/>
      <c r="BK32" s="504" t="str">
        <f>IFERROR(LEFT(표3[[#This Row],[주소]],FIND(" ",표3[[#This Row],[주소]])-1),"")</f>
        <v>서울특별시</v>
      </c>
      <c r="BL3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3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새말로17길</v>
      </c>
      <c r="BN32" s="504"/>
      <c r="BO32" s="504"/>
      <c r="BP32" s="504"/>
      <c r="BQ32" s="504"/>
      <c r="BR32" s="505"/>
      <c r="BS32" s="718" t="s">
        <v>179</v>
      </c>
      <c r="BT32" s="719" t="s">
        <v>179</v>
      </c>
      <c r="BU32" s="719" t="s">
        <v>179</v>
      </c>
      <c r="BV32" s="719" t="s">
        <v>179</v>
      </c>
      <c r="BW32" s="719" t="s">
        <v>179</v>
      </c>
      <c r="BX32" s="719" t="s">
        <v>179</v>
      </c>
      <c r="BY32" s="719" t="s">
        <v>191</v>
      </c>
      <c r="BZ32" s="719">
        <v>61.65</v>
      </c>
      <c r="CA32" s="719">
        <v>29</v>
      </c>
      <c r="CB32" s="719">
        <v>457000000</v>
      </c>
      <c r="CC32" s="719">
        <v>457000000</v>
      </c>
      <c r="CD32" s="726">
        <f>표3[[#This Row],[종전추정가액]]*1.5219</f>
        <v>695508300</v>
      </c>
      <c r="CE32" s="506"/>
      <c r="CF32" s="507"/>
      <c r="CG32" s="507"/>
      <c r="CH32" s="508"/>
      <c r="CI32" s="508"/>
      <c r="CJ32" s="509"/>
      <c r="CK32" s="510"/>
      <c r="CL32" s="511"/>
      <c r="CM32" s="512"/>
      <c r="CN32" s="513"/>
      <c r="CO32" s="513"/>
      <c r="CP32" s="513"/>
      <c r="CQ32" s="513"/>
      <c r="CR32" s="513"/>
      <c r="CS32" s="514"/>
      <c r="CT32" s="515"/>
      <c r="CU32" s="515"/>
      <c r="CV32" s="515"/>
      <c r="CW32" s="515"/>
      <c r="CX32" s="515"/>
      <c r="CY32" s="515"/>
      <c r="CZ32" s="515"/>
      <c r="DA32" s="515"/>
      <c r="DB32" s="515"/>
      <c r="DC32" s="515"/>
      <c r="DD32" s="515"/>
      <c r="DE32" s="515"/>
      <c r="DF32" s="516"/>
    </row>
    <row r="33" spans="1:110" s="393" customFormat="1" ht="20.25" customHeight="1">
      <c r="A33" s="475"/>
      <c r="B33" s="476">
        <v>24</v>
      </c>
      <c r="C33" s="477">
        <v>28</v>
      </c>
      <c r="D33" s="478">
        <v>3</v>
      </c>
      <c r="E33" s="478" t="s">
        <v>244</v>
      </c>
      <c r="F33" s="479">
        <v>401</v>
      </c>
      <c r="G33" s="480"/>
      <c r="H33" s="481"/>
      <c r="I33" s="481"/>
      <c r="J33" s="481"/>
      <c r="K33" s="481"/>
      <c r="L33" s="481"/>
      <c r="M33" s="481"/>
      <c r="N33" s="481"/>
      <c r="O33" s="481"/>
      <c r="P33" s="482"/>
      <c r="Q33" s="483" t="s">
        <v>179</v>
      </c>
      <c r="R33" s="484">
        <v>0</v>
      </c>
      <c r="S33" s="485">
        <v>29</v>
      </c>
      <c r="T33" s="671">
        <f>표3[[#This Row],[편입면적]]/(SUM(표3[공부면적]))</f>
        <v>3.6231884057971011E-3</v>
      </c>
      <c r="U33" s="486" t="s">
        <v>179</v>
      </c>
      <c r="V33" s="487"/>
      <c r="W33" s="488">
        <v>61.65</v>
      </c>
      <c r="X33" s="489">
        <v>8.7200000000000006</v>
      </c>
      <c r="Y33" s="489">
        <v>70.37</v>
      </c>
      <c r="Z33" s="489" t="s">
        <v>179</v>
      </c>
      <c r="AA33" s="518"/>
      <c r="AB33" s="491"/>
      <c r="AC33" s="492"/>
      <c r="AD33" s="493"/>
      <c r="AE33" s="493" t="str" cm="1">
        <f t="array" ref="AE3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3" s="494"/>
      <c r="AG33" s="495" t="s">
        <v>176</v>
      </c>
      <c r="AH33" s="495"/>
      <c r="AI33" s="495" t="s">
        <v>183</v>
      </c>
      <c r="AJ33" s="496"/>
      <c r="AK33" s="497"/>
      <c r="AL33" s="497"/>
      <c r="AM33" s="494"/>
      <c r="AN33" s="498"/>
      <c r="AO33" s="525" t="s">
        <v>254</v>
      </c>
      <c r="AP33" s="500" t="s">
        <v>179</v>
      </c>
      <c r="AQ33" s="500"/>
      <c r="AR33" s="526">
        <v>60</v>
      </c>
      <c r="AS33" s="526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33" s="519" t="s">
        <v>255</v>
      </c>
      <c r="AU33" s="503"/>
      <c r="AV33" s="503"/>
      <c r="AW33" s="503" t="str">
        <f>IF(COUNTIF('설명회 참석자 명부'!$W$4:$W$29,표3[[#This Row],[성  명]])&gt;0,"O","")</f>
        <v/>
      </c>
      <c r="AX33" s="503" t="str">
        <f>_xlfn.XLOOKUP(표3[[#This Row],[성  명]],'설명회 참석자 명부'!$W$4:$W$29,'설명회 참석자 명부'!$X$4:$X$29,"")</f>
        <v/>
      </c>
      <c r="AY33" s="503"/>
      <c r="AZ33" s="503"/>
      <c r="BA33" s="503"/>
      <c r="BB33" s="503"/>
      <c r="BC33" s="503"/>
      <c r="BD33" s="503"/>
      <c r="BE33" s="503"/>
      <c r="BF33" s="504"/>
      <c r="BG33" s="504"/>
      <c r="BH33" s="504"/>
      <c r="BI33" s="504"/>
      <c r="BJ33" s="504"/>
      <c r="BK33" s="504" t="str">
        <f>IFERROR(LEFT(표3[[#This Row],[주소]],FIND(" ",표3[[#This Row],[주소]])-1),"")</f>
        <v>서울특별시</v>
      </c>
      <c r="BL3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3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동남로11길</v>
      </c>
      <c r="BN33" s="504"/>
      <c r="BO33" s="504"/>
      <c r="BP33" s="504"/>
      <c r="BQ33" s="504"/>
      <c r="BR33" s="505"/>
      <c r="BS33" s="718" t="s">
        <v>179</v>
      </c>
      <c r="BT33" s="719" t="s">
        <v>179</v>
      </c>
      <c r="BU33" s="719" t="s">
        <v>179</v>
      </c>
      <c r="BV33" s="719" t="s">
        <v>179</v>
      </c>
      <c r="BW33" s="719" t="s">
        <v>179</v>
      </c>
      <c r="BX33" s="719" t="s">
        <v>179</v>
      </c>
      <c r="BY33" s="719" t="s">
        <v>191</v>
      </c>
      <c r="BZ33" s="719">
        <v>61.65</v>
      </c>
      <c r="CA33" s="719">
        <v>29</v>
      </c>
      <c r="CB33" s="719">
        <v>457000000</v>
      </c>
      <c r="CC33" s="719">
        <v>457000000</v>
      </c>
      <c r="CD33" s="726">
        <f>표3[[#This Row],[종전추정가액]]*1.5219</f>
        <v>695508300</v>
      </c>
      <c r="CE33" s="506"/>
      <c r="CF33" s="507"/>
      <c r="CG33" s="507"/>
      <c r="CH33" s="508"/>
      <c r="CI33" s="508"/>
      <c r="CJ33" s="509"/>
      <c r="CK33" s="510"/>
      <c r="CL33" s="511"/>
      <c r="CM33" s="512"/>
      <c r="CN33" s="513"/>
      <c r="CO33" s="513"/>
      <c r="CP33" s="513"/>
      <c r="CQ33" s="513"/>
      <c r="CR33" s="513"/>
      <c r="CS33" s="514"/>
      <c r="CT33" s="515"/>
      <c r="CU33" s="515"/>
      <c r="CV33" s="515"/>
      <c r="CW33" s="515"/>
      <c r="CX33" s="515"/>
      <c r="CY33" s="515"/>
      <c r="CZ33" s="515"/>
      <c r="DA33" s="515"/>
      <c r="DB33" s="515"/>
      <c r="DC33" s="515"/>
      <c r="DD33" s="515"/>
      <c r="DE33" s="515"/>
      <c r="DF33" s="516"/>
    </row>
    <row r="34" spans="1:110" s="393" customFormat="1" ht="20.25" customHeight="1">
      <c r="A34" s="475"/>
      <c r="B34" s="476">
        <v>25</v>
      </c>
      <c r="C34" s="477">
        <v>28</v>
      </c>
      <c r="D34" s="478">
        <v>3</v>
      </c>
      <c r="E34" s="478" t="s">
        <v>244</v>
      </c>
      <c r="F34" s="479">
        <v>402</v>
      </c>
      <c r="G34" s="480"/>
      <c r="H34" s="481"/>
      <c r="I34" s="481"/>
      <c r="J34" s="481"/>
      <c r="K34" s="481"/>
      <c r="L34" s="481"/>
      <c r="M34" s="481"/>
      <c r="N34" s="481"/>
      <c r="O34" s="481"/>
      <c r="P34" s="482"/>
      <c r="Q34" s="483" t="s">
        <v>179</v>
      </c>
      <c r="R34" s="484">
        <v>0</v>
      </c>
      <c r="S34" s="485">
        <v>29</v>
      </c>
      <c r="T34" s="671">
        <f>표3[[#This Row],[편입면적]]/(SUM(표3[공부면적]))</f>
        <v>3.6231884057971011E-3</v>
      </c>
      <c r="U34" s="486" t="s">
        <v>179</v>
      </c>
      <c r="V34" s="487"/>
      <c r="W34" s="488">
        <v>61.65</v>
      </c>
      <c r="X34" s="489">
        <v>8.7200000000000006</v>
      </c>
      <c r="Y34" s="489">
        <v>70.37</v>
      </c>
      <c r="Z34" s="489" t="s">
        <v>179</v>
      </c>
      <c r="AA34" s="518"/>
      <c r="AB34" s="491"/>
      <c r="AC34" s="492"/>
      <c r="AD34" s="493"/>
      <c r="AE34" s="493" t="str" cm="1">
        <f t="array" ref="AE3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4" s="494"/>
      <c r="AG34" s="495" t="s">
        <v>176</v>
      </c>
      <c r="AH34" s="495"/>
      <c r="AI34" s="495" t="s">
        <v>183</v>
      </c>
      <c r="AJ34" s="496"/>
      <c r="AK34" s="497"/>
      <c r="AL34" s="497"/>
      <c r="AM34" s="494"/>
      <c r="AN34" s="498"/>
      <c r="AO34" s="525" t="s">
        <v>256</v>
      </c>
      <c r="AP34" s="500" t="s">
        <v>179</v>
      </c>
      <c r="AQ34" s="500"/>
      <c r="AR34" s="526">
        <v>65</v>
      </c>
      <c r="AS34" s="526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34" s="519" t="s">
        <v>257</v>
      </c>
      <c r="AU34" s="503"/>
      <c r="AV34" s="503"/>
      <c r="AW34" s="503" t="str">
        <f>IF(COUNTIF('설명회 참석자 명부'!$W$4:$W$29,표3[[#This Row],[성  명]])&gt;0,"O","")</f>
        <v/>
      </c>
      <c r="AX34" s="503" t="str">
        <f>_xlfn.XLOOKUP(표3[[#This Row],[성  명]],'설명회 참석자 명부'!$W$4:$W$29,'설명회 참석자 명부'!$X$4:$X$29,"")</f>
        <v/>
      </c>
      <c r="AY34" s="503"/>
      <c r="AZ34" s="503"/>
      <c r="BA34" s="503"/>
      <c r="BB34" s="503"/>
      <c r="BC34" s="503"/>
      <c r="BD34" s="503"/>
      <c r="BE34" s="503"/>
      <c r="BF34" s="504"/>
      <c r="BG34" s="504"/>
      <c r="BH34" s="504"/>
      <c r="BI34" s="504"/>
      <c r="BJ34" s="504"/>
      <c r="BK34" s="504" t="str">
        <f>IFERROR(LEFT(표3[[#This Row],[주소]],FIND(" ",표3[[#This Row],[주소]])-1),"")</f>
        <v>서울특별시</v>
      </c>
      <c r="BL3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3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</v>
      </c>
      <c r="BN34" s="504"/>
      <c r="BO34" s="504"/>
      <c r="BP34" s="504"/>
      <c r="BQ34" s="504"/>
      <c r="BR34" s="505"/>
      <c r="BS34" s="718" t="s">
        <v>179</v>
      </c>
      <c r="BT34" s="719" t="s">
        <v>179</v>
      </c>
      <c r="BU34" s="719" t="s">
        <v>179</v>
      </c>
      <c r="BV34" s="719" t="s">
        <v>179</v>
      </c>
      <c r="BW34" s="719" t="s">
        <v>179</v>
      </c>
      <c r="BX34" s="719" t="s">
        <v>179</v>
      </c>
      <c r="BY34" s="719" t="s">
        <v>191</v>
      </c>
      <c r="BZ34" s="719">
        <v>61.65</v>
      </c>
      <c r="CA34" s="719">
        <v>29</v>
      </c>
      <c r="CB34" s="719">
        <v>457000000</v>
      </c>
      <c r="CC34" s="719">
        <v>457000000</v>
      </c>
      <c r="CD34" s="726">
        <f>표3[[#This Row],[종전추정가액]]*1.5219</f>
        <v>695508300</v>
      </c>
      <c r="CE34" s="506"/>
      <c r="CF34" s="507"/>
      <c r="CG34" s="507"/>
      <c r="CH34" s="508"/>
      <c r="CI34" s="508"/>
      <c r="CJ34" s="509"/>
      <c r="CK34" s="510"/>
      <c r="CL34" s="511"/>
      <c r="CM34" s="512"/>
      <c r="CN34" s="513"/>
      <c r="CO34" s="513"/>
      <c r="CP34" s="513"/>
      <c r="CQ34" s="513"/>
      <c r="CR34" s="513"/>
      <c r="CS34" s="514"/>
      <c r="CT34" s="515"/>
      <c r="CU34" s="515"/>
      <c r="CV34" s="515"/>
      <c r="CW34" s="515"/>
      <c r="CX34" s="515"/>
      <c r="CY34" s="515"/>
      <c r="CZ34" s="515"/>
      <c r="DA34" s="515"/>
      <c r="DB34" s="515"/>
      <c r="DC34" s="515"/>
      <c r="DD34" s="515"/>
      <c r="DE34" s="515"/>
      <c r="DF34" s="516"/>
    </row>
    <row r="35" spans="1:110" s="393" customFormat="1" ht="20.25" customHeight="1">
      <c r="A35" s="475"/>
      <c r="B35" s="476">
        <v>26</v>
      </c>
      <c r="C35" s="477">
        <v>28</v>
      </c>
      <c r="D35" s="478">
        <v>3</v>
      </c>
      <c r="E35" s="478" t="s">
        <v>244</v>
      </c>
      <c r="F35" s="479">
        <v>501</v>
      </c>
      <c r="G35" s="480"/>
      <c r="H35" s="481"/>
      <c r="I35" s="481"/>
      <c r="J35" s="481"/>
      <c r="K35" s="481"/>
      <c r="L35" s="481"/>
      <c r="M35" s="481"/>
      <c r="N35" s="481"/>
      <c r="O35" s="481"/>
      <c r="P35" s="482"/>
      <c r="Q35" s="483" t="s">
        <v>179</v>
      </c>
      <c r="R35" s="484">
        <v>0</v>
      </c>
      <c r="S35" s="485">
        <v>23.5</v>
      </c>
      <c r="T35" s="671">
        <f>표3[[#This Row],[편입면적]]/(SUM(표3[공부면적]))</f>
        <v>2.9360319840079957E-3</v>
      </c>
      <c r="U35" s="486" t="s">
        <v>179</v>
      </c>
      <c r="V35" s="487"/>
      <c r="W35" s="488">
        <v>50.4</v>
      </c>
      <c r="X35" s="489">
        <v>7.13</v>
      </c>
      <c r="Y35" s="489">
        <v>57.53</v>
      </c>
      <c r="Z35" s="489" t="s">
        <v>179</v>
      </c>
      <c r="AA35" s="518"/>
      <c r="AB35" s="491"/>
      <c r="AC35" s="492"/>
      <c r="AD35" s="493"/>
      <c r="AE35" s="493" t="str" cm="1">
        <f t="array" ref="AE3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5" s="494"/>
      <c r="AG35" s="495" t="s">
        <v>176</v>
      </c>
      <c r="AH35" s="495"/>
      <c r="AI35" s="495" t="s">
        <v>183</v>
      </c>
      <c r="AJ35" s="496"/>
      <c r="AK35" s="497"/>
      <c r="AL35" s="497"/>
      <c r="AM35" s="494"/>
      <c r="AN35" s="498"/>
      <c r="AO35" s="525" t="s">
        <v>258</v>
      </c>
      <c r="AP35" s="500">
        <v>1064819910</v>
      </c>
      <c r="AQ35" s="500"/>
      <c r="AR35" s="526">
        <v>81</v>
      </c>
      <c r="AS35" s="526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</v>
      </c>
      <c r="AT35" s="519" t="s">
        <v>259</v>
      </c>
      <c r="AU35" s="503" t="s">
        <v>190</v>
      </c>
      <c r="AV35" s="503"/>
      <c r="AW35" s="503" t="str">
        <f>IF(COUNTIF('설명회 참석자 명부'!$W$4:$W$29,표3[[#This Row],[성  명]])&gt;0,"O","")</f>
        <v/>
      </c>
      <c r="AX35" s="503" t="str">
        <f>_xlfn.XLOOKUP(표3[[#This Row],[성  명]],'설명회 참석자 명부'!$W$4:$W$29,'설명회 참석자 명부'!$X$4:$X$29,"")</f>
        <v/>
      </c>
      <c r="AY35" s="503"/>
      <c r="AZ35" s="503"/>
      <c r="BA35" s="503" t="s">
        <v>190</v>
      </c>
      <c r="BB35" s="503" t="s">
        <v>190</v>
      </c>
      <c r="BC35" s="503"/>
      <c r="BD35" s="503"/>
      <c r="BE35" s="503"/>
      <c r="BF35" s="504"/>
      <c r="BG35" s="504"/>
      <c r="BH35" s="504"/>
      <c r="BI35" s="504"/>
      <c r="BJ35" s="504"/>
      <c r="BK35" s="504" t="str">
        <f>IFERROR(LEFT(표3[[#This Row],[주소]],FIND(" ",표3[[#This Row],[주소]])-1),"")</f>
        <v>서울특별시</v>
      </c>
      <c r="BL3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3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35" s="504"/>
      <c r="BO35" s="504"/>
      <c r="BP35" s="504"/>
      <c r="BQ35" s="504"/>
      <c r="BR35" s="505"/>
      <c r="BS35" s="718" t="s">
        <v>179</v>
      </c>
      <c r="BT35" s="719" t="s">
        <v>179</v>
      </c>
      <c r="BU35" s="719" t="s">
        <v>179</v>
      </c>
      <c r="BV35" s="719" t="s">
        <v>179</v>
      </c>
      <c r="BW35" s="719" t="s">
        <v>179</v>
      </c>
      <c r="BX35" s="719" t="s">
        <v>179</v>
      </c>
      <c r="BY35" s="719" t="s">
        <v>191</v>
      </c>
      <c r="BZ35" s="719">
        <v>50.4</v>
      </c>
      <c r="CA35" s="719">
        <v>23.5</v>
      </c>
      <c r="CB35" s="719">
        <v>372000000</v>
      </c>
      <c r="CC35" s="719">
        <v>372000000</v>
      </c>
      <c r="CD35" s="726">
        <f>표3[[#This Row],[종전추정가액]]*1.5219</f>
        <v>566146800</v>
      </c>
      <c r="CE35" s="506"/>
      <c r="CF35" s="507"/>
      <c r="CG35" s="507"/>
      <c r="CH35" s="508"/>
      <c r="CI35" s="508"/>
      <c r="CJ35" s="509"/>
      <c r="CK35" s="510"/>
      <c r="CL35" s="511"/>
      <c r="CM35" s="512"/>
      <c r="CN35" s="513"/>
      <c r="CO35" s="513"/>
      <c r="CP35" s="513"/>
      <c r="CQ35" s="513"/>
      <c r="CR35" s="513"/>
      <c r="CS35" s="514"/>
      <c r="CT35" s="515"/>
      <c r="CU35" s="515"/>
      <c r="CV35" s="515"/>
      <c r="CW35" s="515"/>
      <c r="CX35" s="515"/>
      <c r="CY35" s="515"/>
      <c r="CZ35" s="515"/>
      <c r="DA35" s="515"/>
      <c r="DB35" s="515"/>
      <c r="DC35" s="515"/>
      <c r="DD35" s="515"/>
      <c r="DE35" s="515"/>
      <c r="DF35" s="516"/>
    </row>
    <row r="36" spans="1:110" s="393" customFormat="1" ht="20.25" customHeight="1" thickBot="1">
      <c r="A36" s="394"/>
      <c r="B36" s="395">
        <v>27</v>
      </c>
      <c r="C36" s="396">
        <v>28</v>
      </c>
      <c r="D36" s="397">
        <v>3</v>
      </c>
      <c r="E36" s="397" t="s">
        <v>244</v>
      </c>
      <c r="F36" s="398">
        <v>502</v>
      </c>
      <c r="G36" s="399"/>
      <c r="H36" s="400"/>
      <c r="I36" s="400"/>
      <c r="J36" s="400"/>
      <c r="K36" s="400"/>
      <c r="L36" s="400"/>
      <c r="M36" s="400"/>
      <c r="N36" s="400"/>
      <c r="O36" s="400"/>
      <c r="P36" s="401"/>
      <c r="Q36" s="402" t="s">
        <v>179</v>
      </c>
      <c r="R36" s="403">
        <v>0</v>
      </c>
      <c r="S36" s="404">
        <v>26.4</v>
      </c>
      <c r="T36" s="672">
        <f>표3[[#This Row],[편입면적]]/(SUM(표3[공부면적]))</f>
        <v>3.2983508245877056E-3</v>
      </c>
      <c r="U36" s="662" t="s">
        <v>179</v>
      </c>
      <c r="V36" s="405"/>
      <c r="W36" s="406">
        <v>56.52</v>
      </c>
      <c r="X36" s="407">
        <v>7.99</v>
      </c>
      <c r="Y36" s="407">
        <v>64.510000000000005</v>
      </c>
      <c r="Z36" s="407" t="s">
        <v>179</v>
      </c>
      <c r="AA36" s="520"/>
      <c r="AB36" s="409"/>
      <c r="AC36" s="410"/>
      <c r="AD36" s="411"/>
      <c r="AE36" s="411" t="str" cm="1">
        <f t="array" ref="AE3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6" s="412"/>
      <c r="AG36" s="413" t="s">
        <v>176</v>
      </c>
      <c r="AH36" s="413"/>
      <c r="AI36" s="413" t="s">
        <v>183</v>
      </c>
      <c r="AJ36" s="414"/>
      <c r="AK36" s="415"/>
      <c r="AL36" s="415"/>
      <c r="AM36" s="412"/>
      <c r="AN36" s="416"/>
      <c r="AO36" s="527" t="s">
        <v>260</v>
      </c>
      <c r="AP36" s="418">
        <v>1077362221</v>
      </c>
      <c r="AQ36" s="587" t="s">
        <v>261</v>
      </c>
      <c r="AR36" s="528">
        <v>80</v>
      </c>
      <c r="AS36" s="52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</v>
      </c>
      <c r="AT36" s="521" t="s">
        <v>262</v>
      </c>
      <c r="AU36" s="421"/>
      <c r="AV36" s="421" t="s">
        <v>190</v>
      </c>
      <c r="AW36" s="421" t="str">
        <f>IF(COUNTIF('설명회 참석자 명부'!$W$4:$W$29,표3[[#This Row],[성  명]])&gt;0,"O","")</f>
        <v/>
      </c>
      <c r="AX36" s="421" t="str">
        <f>_xlfn.XLOOKUP(표3[[#This Row],[성  명]],'설명회 참석자 명부'!$W$4:$W$29,'설명회 참석자 명부'!$X$4:$X$29,"")</f>
        <v/>
      </c>
      <c r="AY36" s="421"/>
      <c r="AZ36" s="421"/>
      <c r="BA36" s="421"/>
      <c r="BB36" s="421"/>
      <c r="BC36" s="421"/>
      <c r="BD36" s="421"/>
      <c r="BE36" s="421"/>
      <c r="BF36" s="422"/>
      <c r="BG36" s="422"/>
      <c r="BH36" s="422"/>
      <c r="BI36" s="422"/>
      <c r="BJ36" s="422"/>
      <c r="BK36" s="422" t="str">
        <f>IFERROR(LEFT(표3[[#This Row],[주소]],FIND(" ",표3[[#This Row],[주소]])-1),"")</f>
        <v>서울특별시</v>
      </c>
      <c r="BL36" s="422" t="str">
        <f>IFERROR(MID(표3[[#This Row],[주소]], FIND(" ", 표3[[#This Row],[주소]])+1, FIND(" ", 표3[[#This Row],[주소]], FIND(" ", 표3[[#This Row],[주소]])+1) - FIND(" ", 표3[[#This Row],[주소]])-1),"")</f>
        <v>관악구</v>
      </c>
      <c r="BM36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대학14길</v>
      </c>
      <c r="BN36" s="422"/>
      <c r="BO36" s="422"/>
      <c r="BP36" s="422"/>
      <c r="BQ36" s="422"/>
      <c r="BR36" s="423"/>
      <c r="BS36" s="720" t="s">
        <v>179</v>
      </c>
      <c r="BT36" s="721" t="s">
        <v>179</v>
      </c>
      <c r="BU36" s="721" t="s">
        <v>179</v>
      </c>
      <c r="BV36" s="721" t="s">
        <v>179</v>
      </c>
      <c r="BW36" s="721" t="s">
        <v>179</v>
      </c>
      <c r="BX36" s="721" t="s">
        <v>179</v>
      </c>
      <c r="BY36" s="721" t="s">
        <v>191</v>
      </c>
      <c r="BZ36" s="721">
        <v>56.52</v>
      </c>
      <c r="CA36" s="721">
        <v>26.4</v>
      </c>
      <c r="CB36" s="721">
        <v>417000000</v>
      </c>
      <c r="CC36" s="721">
        <v>417000000</v>
      </c>
      <c r="CD36" s="726">
        <f>표3[[#This Row],[종전추정가액]]*1.5219</f>
        <v>634632300</v>
      </c>
      <c r="CE36" s="424"/>
      <c r="CF36" s="425"/>
      <c r="CG36" s="425"/>
      <c r="CH36" s="426"/>
      <c r="CI36" s="426"/>
      <c r="CJ36" s="427"/>
      <c r="CK36" s="428"/>
      <c r="CL36" s="429"/>
      <c r="CM36" s="430"/>
      <c r="CN36" s="431"/>
      <c r="CO36" s="431"/>
      <c r="CP36" s="431"/>
      <c r="CQ36" s="431"/>
      <c r="CR36" s="431"/>
      <c r="CS36" s="432"/>
      <c r="CT36" s="433"/>
      <c r="CU36" s="433"/>
      <c r="CV36" s="433"/>
      <c r="CW36" s="433"/>
      <c r="CX36" s="433"/>
      <c r="CY36" s="433"/>
      <c r="CZ36" s="433"/>
      <c r="DA36" s="433"/>
      <c r="DB36" s="433"/>
      <c r="DC36" s="433"/>
      <c r="DD36" s="433"/>
      <c r="DE36" s="433"/>
      <c r="DF36" s="434"/>
    </row>
    <row r="37" spans="1:110" s="474" customFormat="1" ht="20.25" customHeight="1" thickTop="1">
      <c r="A37" s="435"/>
      <c r="B37" s="436"/>
      <c r="C37" s="437">
        <v>28</v>
      </c>
      <c r="D37" s="438">
        <v>4</v>
      </c>
      <c r="E37" s="438" t="s">
        <v>263</v>
      </c>
      <c r="F37" s="667">
        <v>0</v>
      </c>
      <c r="G37" s="439"/>
      <c r="H37" s="440"/>
      <c r="I37" s="440"/>
      <c r="J37" s="440"/>
      <c r="K37" s="440"/>
      <c r="L37" s="440"/>
      <c r="M37" s="440"/>
      <c r="N37" s="440"/>
      <c r="O37" s="440"/>
      <c r="P37" s="441"/>
      <c r="Q37" s="442" t="s">
        <v>173</v>
      </c>
      <c r="R37" s="659">
        <v>216</v>
      </c>
      <c r="S37" s="443"/>
      <c r="T37" s="670">
        <f>표3[[#This Row],[편입면적]]/(SUM(표3[공부면적]))</f>
        <v>0</v>
      </c>
      <c r="U37" s="444" t="s">
        <v>174</v>
      </c>
      <c r="V37" s="445"/>
      <c r="W37" s="446"/>
      <c r="X37" s="447"/>
      <c r="Y37" s="447">
        <v>0</v>
      </c>
      <c r="Z37" s="447">
        <v>503.76</v>
      </c>
      <c r="AA37" s="517"/>
      <c r="AB37" s="449"/>
      <c r="AC37" s="450" t="s">
        <v>264</v>
      </c>
      <c r="AD37" s="451">
        <v>20</v>
      </c>
      <c r="AE37" s="451" t="str" cm="1">
        <f t="array" ref="AE3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7" s="452"/>
      <c r="AG37" s="453" t="s">
        <v>176</v>
      </c>
      <c r="AH37" s="453"/>
      <c r="AI37" s="453" t="s">
        <v>183</v>
      </c>
      <c r="AJ37" s="453"/>
      <c r="AK37" s="454"/>
      <c r="AL37" s="454"/>
      <c r="AM37" s="452">
        <v>5</v>
      </c>
      <c r="AN37" s="455">
        <v>0</v>
      </c>
      <c r="AO37" s="456"/>
      <c r="AP37" s="457" t="s">
        <v>179</v>
      </c>
      <c r="AQ37" s="457"/>
      <c r="AR37" s="458"/>
      <c r="AS37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37" s="459"/>
      <c r="AU37" s="460"/>
      <c r="AV37" s="460"/>
      <c r="AW37" s="460" t="str">
        <f>IF(COUNTIF('설명회 참석자 명부'!$W$4:$W$29,표3[[#This Row],[성  명]])&gt;0,"O","")</f>
        <v/>
      </c>
      <c r="AX37" s="460">
        <f>_xlfn.XLOOKUP(표3[[#This Row],[성  명]],'설명회 참석자 명부'!$W$4:$W$29,'설명회 참석자 명부'!$X$4:$X$29,"")</f>
        <v>0</v>
      </c>
      <c r="AY37" s="460"/>
      <c r="AZ37" s="460"/>
      <c r="BA37" s="460"/>
      <c r="BB37" s="460"/>
      <c r="BC37" s="460"/>
      <c r="BD37" s="460"/>
      <c r="BE37" s="460"/>
      <c r="BF37" s="461"/>
      <c r="BG37" s="461"/>
      <c r="BH37" s="461"/>
      <c r="BI37" s="461"/>
      <c r="BJ37" s="461"/>
      <c r="BK37" s="461" t="str">
        <f>IFERROR(LEFT(표3[[#This Row],[주소]],FIND(" ",표3[[#This Row],[주소]])-1),"")</f>
        <v/>
      </c>
      <c r="BL37" s="461" t="str">
        <f>IFERROR(MID(표3[[#This Row],[주소]], FIND(" ", 표3[[#This Row],[주소]])+1, FIND(" ", 표3[[#This Row],[주소]], FIND(" ", 표3[[#This Row],[주소]])+1) - FIND(" ", 표3[[#This Row],[주소]])-1),"")</f>
        <v/>
      </c>
      <c r="BM37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37" s="461"/>
      <c r="BO37" s="461"/>
      <c r="BP37" s="461"/>
      <c r="BQ37" s="461"/>
      <c r="BR37" s="462"/>
      <c r="BS37" s="716"/>
      <c r="BT37" s="717"/>
      <c r="BU37" s="717"/>
      <c r="BV37" s="717"/>
      <c r="BW37" s="717"/>
      <c r="BX37" s="717"/>
      <c r="BY37" s="717"/>
      <c r="BZ37" s="717"/>
      <c r="CA37" s="717"/>
      <c r="CB37" s="717"/>
      <c r="CC37" s="717"/>
      <c r="CD37" s="727">
        <f>표3[[#This Row],[종전추정가액]]*1.5219</f>
        <v>0</v>
      </c>
      <c r="CE37" s="463"/>
      <c r="CF37" s="464"/>
      <c r="CG37" s="464"/>
      <c r="CH37" s="465"/>
      <c r="CI37" s="465"/>
      <c r="CJ37" s="466"/>
      <c r="CK37" s="467"/>
      <c r="CL37" s="468"/>
      <c r="CM37" s="469"/>
      <c r="CN37" s="470"/>
      <c r="CO37" s="470"/>
      <c r="CP37" s="470"/>
      <c r="CQ37" s="470"/>
      <c r="CR37" s="470"/>
      <c r="CS37" s="471"/>
      <c r="CT37" s="472"/>
      <c r="CU37" s="472"/>
      <c r="CV37" s="472"/>
      <c r="CW37" s="472"/>
      <c r="CX37" s="472"/>
      <c r="CY37" s="472"/>
      <c r="CZ37" s="472"/>
      <c r="DA37" s="472"/>
      <c r="DB37" s="472"/>
      <c r="DC37" s="472"/>
      <c r="DD37" s="472"/>
      <c r="DE37" s="472"/>
      <c r="DF37" s="473"/>
    </row>
    <row r="38" spans="1:110" s="393" customFormat="1" ht="20.25" customHeight="1">
      <c r="A38" s="475"/>
      <c r="B38" s="476">
        <v>28</v>
      </c>
      <c r="C38" s="477">
        <v>28</v>
      </c>
      <c r="D38" s="478">
        <v>4</v>
      </c>
      <c r="E38" s="676" t="s">
        <v>265</v>
      </c>
      <c r="F38" s="479">
        <v>201</v>
      </c>
      <c r="G38" s="480"/>
      <c r="H38" s="481"/>
      <c r="I38" s="481"/>
      <c r="J38" s="481"/>
      <c r="K38" s="481"/>
      <c r="L38" s="481"/>
      <c r="M38" s="481"/>
      <c r="N38" s="481"/>
      <c r="O38" s="481"/>
      <c r="P38" s="482" t="s">
        <v>871</v>
      </c>
      <c r="Q38" s="483" t="s">
        <v>179</v>
      </c>
      <c r="R38" s="484">
        <v>0</v>
      </c>
      <c r="S38" s="485">
        <v>30.78</v>
      </c>
      <c r="T38" s="671">
        <f>표3[[#This Row],[편입면적]]/(SUM(표3[공부면적]))</f>
        <v>3.8455772113943024E-3</v>
      </c>
      <c r="U38" s="486" t="s">
        <v>179</v>
      </c>
      <c r="V38" s="487"/>
      <c r="W38" s="488">
        <v>61.31</v>
      </c>
      <c r="X38" s="489">
        <v>10.47</v>
      </c>
      <c r="Y38" s="489">
        <v>71.78</v>
      </c>
      <c r="Z38" s="489" t="s">
        <v>179</v>
      </c>
      <c r="AA38" s="518"/>
      <c r="AB38" s="491"/>
      <c r="AC38" s="492"/>
      <c r="AD38" s="493"/>
      <c r="AE38" s="493" t="str" cm="1">
        <f t="array" ref="AE3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8" s="494"/>
      <c r="AG38" s="495" t="s">
        <v>176</v>
      </c>
      <c r="AH38" s="495"/>
      <c r="AI38" s="495" t="s">
        <v>183</v>
      </c>
      <c r="AJ38" s="496"/>
      <c r="AK38" s="497"/>
      <c r="AL38" s="497"/>
      <c r="AM38" s="494"/>
      <c r="AN38" s="498"/>
      <c r="AO38" s="499" t="s">
        <v>266</v>
      </c>
      <c r="AP38" s="500">
        <v>1053390764</v>
      </c>
      <c r="AQ38" s="500" t="s">
        <v>267</v>
      </c>
      <c r="AR38" s="501"/>
      <c r="AS3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38" s="502" t="s">
        <v>268</v>
      </c>
      <c r="AU38" s="503" t="s">
        <v>190</v>
      </c>
      <c r="AV38" s="657" t="s">
        <v>174</v>
      </c>
      <c r="AW38" s="503" t="str">
        <f>IF(COUNTIF('설명회 참석자 명부'!$W$4:$W$29,표3[[#This Row],[성  명]])&gt;0,"O","")</f>
        <v/>
      </c>
      <c r="AX38" s="503" t="str">
        <f>_xlfn.XLOOKUP(표3[[#This Row],[성  명]],'설명회 참석자 명부'!$W$4:$W$29,'설명회 참석자 명부'!$X$4:$X$29,"")</f>
        <v/>
      </c>
      <c r="AY38" s="503"/>
      <c r="AZ38" s="503"/>
      <c r="BA38" s="503"/>
      <c r="BB38" s="503" t="s">
        <v>190</v>
      </c>
      <c r="BC38" s="503"/>
      <c r="BD38" s="503"/>
      <c r="BE38" s="503"/>
      <c r="BF38" s="504"/>
      <c r="BG38" s="504"/>
      <c r="BH38" s="504"/>
      <c r="BI38" s="504"/>
      <c r="BJ38" s="504"/>
      <c r="BK38" s="504" t="str">
        <f>IFERROR(LEFT(표3[[#This Row],[주소]],FIND(" ",표3[[#This Row],[주소]])-1),"")</f>
        <v>문정동28-4</v>
      </c>
      <c r="BL38" s="504" t="str">
        <f>IFERROR(MID(표3[[#This Row],[주소]], FIND(" ", 표3[[#This Row],[주소]])+1, FIND(" ", 표3[[#This Row],[주소]], FIND(" ", 표3[[#This Row],[주소]])+1) - FIND(" ", 표3[[#This Row],[주소]])-1),"")</f>
        <v/>
      </c>
      <c r="BM3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38" s="504"/>
      <c r="BO38" s="504"/>
      <c r="BP38" s="504"/>
      <c r="BQ38" s="504"/>
      <c r="BR38" s="505"/>
      <c r="BS38" s="718" t="s">
        <v>179</v>
      </c>
      <c r="BT38" s="719" t="s">
        <v>179</v>
      </c>
      <c r="BU38" s="719" t="s">
        <v>179</v>
      </c>
      <c r="BV38" s="719" t="s">
        <v>179</v>
      </c>
      <c r="BW38" s="719" t="s">
        <v>179</v>
      </c>
      <c r="BX38" s="719" t="s">
        <v>179</v>
      </c>
      <c r="BY38" s="719" t="s">
        <v>191</v>
      </c>
      <c r="BZ38" s="719">
        <v>61.31</v>
      </c>
      <c r="CA38" s="719">
        <v>30.78</v>
      </c>
      <c r="CB38" s="719">
        <v>468000000</v>
      </c>
      <c r="CC38" s="719">
        <v>468000000</v>
      </c>
      <c r="CD38" s="726">
        <f>표3[[#This Row],[종전추정가액]]*1.5219</f>
        <v>712249200</v>
      </c>
      <c r="CE38" s="506"/>
      <c r="CF38" s="507"/>
      <c r="CG38" s="507"/>
      <c r="CH38" s="508"/>
      <c r="CI38" s="508"/>
      <c r="CJ38" s="509"/>
      <c r="CK38" s="510"/>
      <c r="CL38" s="511"/>
      <c r="CM38" s="512"/>
      <c r="CN38" s="513"/>
      <c r="CO38" s="513"/>
      <c r="CP38" s="513"/>
      <c r="CQ38" s="513"/>
      <c r="CR38" s="513"/>
      <c r="CS38" s="514"/>
      <c r="CT38" s="515"/>
      <c r="CU38" s="515"/>
      <c r="CV38" s="515"/>
      <c r="CW38" s="515"/>
      <c r="CX38" s="515"/>
      <c r="CY38" s="515"/>
      <c r="CZ38" s="515"/>
      <c r="DA38" s="515"/>
      <c r="DB38" s="515"/>
      <c r="DC38" s="515"/>
      <c r="DD38" s="515"/>
      <c r="DE38" s="515"/>
      <c r="DF38" s="516"/>
    </row>
    <row r="39" spans="1:110" s="393" customFormat="1" ht="20.25" customHeight="1">
      <c r="A39" s="475"/>
      <c r="B39" s="476">
        <v>28</v>
      </c>
      <c r="C39" s="477">
        <v>28</v>
      </c>
      <c r="D39" s="478">
        <v>4</v>
      </c>
      <c r="E39" s="676" t="s">
        <v>265</v>
      </c>
      <c r="F39" s="479">
        <v>202</v>
      </c>
      <c r="G39" s="480"/>
      <c r="H39" s="481"/>
      <c r="I39" s="481"/>
      <c r="J39" s="481"/>
      <c r="K39" s="481"/>
      <c r="L39" s="481"/>
      <c r="M39" s="481"/>
      <c r="N39" s="481"/>
      <c r="O39" s="481"/>
      <c r="P39" s="482" t="s">
        <v>871</v>
      </c>
      <c r="Q39" s="483" t="s">
        <v>179</v>
      </c>
      <c r="R39" s="484">
        <v>0</v>
      </c>
      <c r="S39" s="485">
        <v>24.47</v>
      </c>
      <c r="T39" s="671">
        <f>표3[[#This Row],[편입면적]]/(SUM(표3[공부면적]))</f>
        <v>3.0572213893053468E-3</v>
      </c>
      <c r="U39" s="486" t="s">
        <v>179</v>
      </c>
      <c r="V39" s="487"/>
      <c r="W39" s="488">
        <v>48.75</v>
      </c>
      <c r="X39" s="489">
        <v>8.33</v>
      </c>
      <c r="Y39" s="489">
        <v>57.08</v>
      </c>
      <c r="Z39" s="489" t="s">
        <v>179</v>
      </c>
      <c r="AA39" s="518"/>
      <c r="AB39" s="491"/>
      <c r="AC39" s="492"/>
      <c r="AD39" s="493"/>
      <c r="AE39" s="493" t="str" cm="1">
        <f t="array" ref="AE3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39" s="494"/>
      <c r="AG39" s="495" t="s">
        <v>176</v>
      </c>
      <c r="AH39" s="495"/>
      <c r="AI39" s="495" t="s">
        <v>183</v>
      </c>
      <c r="AJ39" s="496"/>
      <c r="AK39" s="497"/>
      <c r="AL39" s="497"/>
      <c r="AM39" s="494"/>
      <c r="AN39" s="498"/>
      <c r="AO39" s="499" t="s">
        <v>266</v>
      </c>
      <c r="AP39" s="500">
        <v>1053390764</v>
      </c>
      <c r="AQ39" s="500"/>
      <c r="AR39" s="501"/>
      <c r="AS3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39" s="502" t="s">
        <v>269</v>
      </c>
      <c r="AU39" s="503"/>
      <c r="AV39" s="503"/>
      <c r="AW39" s="503" t="str">
        <f>IF(COUNTIF('설명회 참석자 명부'!$W$4:$W$29,표3[[#This Row],[성  명]])&gt;0,"O","")</f>
        <v/>
      </c>
      <c r="AX39" s="503" t="str">
        <f>_xlfn.XLOOKUP(표3[[#This Row],[성  명]],'설명회 참석자 명부'!$W$4:$W$29,'설명회 참석자 명부'!$X$4:$X$29,"")</f>
        <v/>
      </c>
      <c r="AY39" s="503"/>
      <c r="AZ39" s="503"/>
      <c r="BA39" s="503"/>
      <c r="BB39" s="503" t="s">
        <v>174</v>
      </c>
      <c r="BC39" s="503"/>
      <c r="BD39" s="503"/>
      <c r="BE39" s="503"/>
      <c r="BF39" s="504"/>
      <c r="BG39" s="504"/>
      <c r="BH39" s="504"/>
      <c r="BI39" s="504"/>
      <c r="BJ39" s="504"/>
      <c r="BK39" s="504" t="str">
        <f>IFERROR(LEFT(표3[[#This Row],[주소]],FIND(" ",표3[[#This Row],[주소]])-1),"")</f>
        <v>문정동28-4</v>
      </c>
      <c r="BL39" s="504" t="str">
        <f>IFERROR(MID(표3[[#This Row],[주소]], FIND(" ", 표3[[#This Row],[주소]])+1, FIND(" ", 표3[[#This Row],[주소]], FIND(" ", 표3[[#This Row],[주소]])+1) - FIND(" ", 표3[[#This Row],[주소]])-1),"")</f>
        <v/>
      </c>
      <c r="BM3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39" s="504"/>
      <c r="BO39" s="504"/>
      <c r="BP39" s="504"/>
      <c r="BQ39" s="504"/>
      <c r="BR39" s="505"/>
      <c r="BS39" s="718" t="s">
        <v>179</v>
      </c>
      <c r="BT39" s="719" t="s">
        <v>179</v>
      </c>
      <c r="BU39" s="719" t="s">
        <v>179</v>
      </c>
      <c r="BV39" s="719" t="s">
        <v>179</v>
      </c>
      <c r="BW39" s="719" t="s">
        <v>179</v>
      </c>
      <c r="BX39" s="719" t="s">
        <v>179</v>
      </c>
      <c r="BY39" s="719" t="s">
        <v>191</v>
      </c>
      <c r="BZ39" s="719">
        <v>48.75</v>
      </c>
      <c r="CA39" s="719">
        <v>24.47</v>
      </c>
      <c r="CB39" s="719">
        <v>372000000</v>
      </c>
      <c r="CC39" s="719">
        <v>372000000</v>
      </c>
      <c r="CD39" s="726">
        <f>표3[[#This Row],[종전추정가액]]*1.5219</f>
        <v>566146800</v>
      </c>
      <c r="CE39" s="506"/>
      <c r="CF39" s="507"/>
      <c r="CG39" s="507"/>
      <c r="CH39" s="508"/>
      <c r="CI39" s="508"/>
      <c r="CJ39" s="509"/>
      <c r="CK39" s="510"/>
      <c r="CL39" s="511"/>
      <c r="CM39" s="512"/>
      <c r="CN39" s="513"/>
      <c r="CO39" s="513"/>
      <c r="CP39" s="513"/>
      <c r="CQ39" s="513"/>
      <c r="CR39" s="513"/>
      <c r="CS39" s="514"/>
      <c r="CT39" s="515"/>
      <c r="CU39" s="515"/>
      <c r="CV39" s="515"/>
      <c r="CW39" s="515"/>
      <c r="CX39" s="515"/>
      <c r="CY39" s="515"/>
      <c r="CZ39" s="515"/>
      <c r="DA39" s="515"/>
      <c r="DB39" s="515"/>
      <c r="DC39" s="515"/>
      <c r="DD39" s="515"/>
      <c r="DE39" s="515"/>
      <c r="DF39" s="516"/>
    </row>
    <row r="40" spans="1:110" s="393" customFormat="1" ht="20.25" customHeight="1">
      <c r="A40" s="475"/>
      <c r="B40" s="476">
        <v>28</v>
      </c>
      <c r="C40" s="477">
        <v>28</v>
      </c>
      <c r="D40" s="478">
        <v>4</v>
      </c>
      <c r="E40" s="676" t="s">
        <v>265</v>
      </c>
      <c r="F40" s="479">
        <v>301</v>
      </c>
      <c r="G40" s="480"/>
      <c r="H40" s="481"/>
      <c r="I40" s="481"/>
      <c r="J40" s="481"/>
      <c r="K40" s="481"/>
      <c r="L40" s="481"/>
      <c r="M40" s="481"/>
      <c r="N40" s="481"/>
      <c r="O40" s="481"/>
      <c r="P40" s="482" t="s">
        <v>871</v>
      </c>
      <c r="Q40" s="483" t="s">
        <v>179</v>
      </c>
      <c r="R40" s="484">
        <v>0</v>
      </c>
      <c r="S40" s="485">
        <v>20.43</v>
      </c>
      <c r="T40" s="671">
        <f>표3[[#This Row],[편입면적]]/(SUM(표3[공부면적]))</f>
        <v>2.5524737631184404E-3</v>
      </c>
      <c r="U40" s="486" t="s">
        <v>179</v>
      </c>
      <c r="V40" s="487"/>
      <c r="W40" s="488">
        <v>40.700000000000003</v>
      </c>
      <c r="X40" s="489">
        <v>6.95</v>
      </c>
      <c r="Y40" s="489">
        <v>47.650000000000006</v>
      </c>
      <c r="Z40" s="489" t="s">
        <v>179</v>
      </c>
      <c r="AA40" s="518"/>
      <c r="AB40" s="491"/>
      <c r="AC40" s="492"/>
      <c r="AD40" s="493"/>
      <c r="AE40" s="493" t="str" cm="1">
        <f t="array" ref="AE4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0" s="494"/>
      <c r="AG40" s="495" t="s">
        <v>176</v>
      </c>
      <c r="AH40" s="495"/>
      <c r="AI40" s="495" t="s">
        <v>183</v>
      </c>
      <c r="AJ40" s="496"/>
      <c r="AK40" s="497"/>
      <c r="AL40" s="497"/>
      <c r="AM40" s="494"/>
      <c r="AN40" s="498"/>
      <c r="AO40" s="499" t="s">
        <v>266</v>
      </c>
      <c r="AP40" s="500">
        <v>1053390764</v>
      </c>
      <c r="AQ40" s="500"/>
      <c r="AR40" s="501"/>
      <c r="AS4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40" s="502" t="s">
        <v>269</v>
      </c>
      <c r="AU40" s="503"/>
      <c r="AV40" s="503"/>
      <c r="AW40" s="503" t="str">
        <f>IF(COUNTIF('설명회 참석자 명부'!$W$4:$W$29,표3[[#This Row],[성  명]])&gt;0,"O","")</f>
        <v/>
      </c>
      <c r="AX40" s="503" t="str">
        <f>_xlfn.XLOOKUP(표3[[#This Row],[성  명]],'설명회 참석자 명부'!$W$4:$W$29,'설명회 참석자 명부'!$X$4:$X$29,"")</f>
        <v/>
      </c>
      <c r="AY40" s="503"/>
      <c r="AZ40" s="503"/>
      <c r="BA40" s="503"/>
      <c r="BB40" s="503" t="s">
        <v>174</v>
      </c>
      <c r="BC40" s="503"/>
      <c r="BD40" s="503"/>
      <c r="BE40" s="503"/>
      <c r="BF40" s="504"/>
      <c r="BG40" s="504"/>
      <c r="BH40" s="504"/>
      <c r="BI40" s="504"/>
      <c r="BJ40" s="504"/>
      <c r="BK40" s="504" t="str">
        <f>IFERROR(LEFT(표3[[#This Row],[주소]],FIND(" ",표3[[#This Row],[주소]])-1),"")</f>
        <v>문정동28-4</v>
      </c>
      <c r="BL40" s="504" t="str">
        <f>IFERROR(MID(표3[[#This Row],[주소]], FIND(" ", 표3[[#This Row],[주소]])+1, FIND(" ", 표3[[#This Row],[주소]], FIND(" ", 표3[[#This Row],[주소]])+1) - FIND(" ", 표3[[#This Row],[주소]])-1),"")</f>
        <v/>
      </c>
      <c r="BM4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40" s="504"/>
      <c r="BO40" s="504"/>
      <c r="BP40" s="504"/>
      <c r="BQ40" s="504"/>
      <c r="BR40" s="505"/>
      <c r="BS40" s="718" t="s">
        <v>179</v>
      </c>
      <c r="BT40" s="719" t="s">
        <v>179</v>
      </c>
      <c r="BU40" s="719" t="s">
        <v>179</v>
      </c>
      <c r="BV40" s="719" t="s">
        <v>179</v>
      </c>
      <c r="BW40" s="719" t="s">
        <v>179</v>
      </c>
      <c r="BX40" s="719" t="s">
        <v>179</v>
      </c>
      <c r="BY40" s="719" t="s">
        <v>191</v>
      </c>
      <c r="BZ40" s="719">
        <v>40.700000000000003</v>
      </c>
      <c r="CA40" s="719">
        <v>20.43</v>
      </c>
      <c r="CB40" s="719">
        <v>314000000</v>
      </c>
      <c r="CC40" s="719">
        <v>314000000</v>
      </c>
      <c r="CD40" s="726">
        <f>표3[[#This Row],[종전추정가액]]*1.5219</f>
        <v>477876600</v>
      </c>
      <c r="CE40" s="506"/>
      <c r="CF40" s="507"/>
      <c r="CG40" s="507"/>
      <c r="CH40" s="508"/>
      <c r="CI40" s="508"/>
      <c r="CJ40" s="509"/>
      <c r="CK40" s="510"/>
      <c r="CL40" s="511"/>
      <c r="CM40" s="512"/>
      <c r="CN40" s="513"/>
      <c r="CO40" s="513"/>
      <c r="CP40" s="513"/>
      <c r="CQ40" s="513"/>
      <c r="CR40" s="513"/>
      <c r="CS40" s="514"/>
      <c r="CT40" s="515"/>
      <c r="CU40" s="515"/>
      <c r="CV40" s="515"/>
      <c r="CW40" s="515"/>
      <c r="CX40" s="515"/>
      <c r="CY40" s="515"/>
      <c r="CZ40" s="515"/>
      <c r="DA40" s="515"/>
      <c r="DB40" s="515"/>
      <c r="DC40" s="515"/>
      <c r="DD40" s="515"/>
      <c r="DE40" s="515"/>
      <c r="DF40" s="516"/>
    </row>
    <row r="41" spans="1:110" s="393" customFormat="1" ht="20.25" customHeight="1">
      <c r="A41" s="475"/>
      <c r="B41" s="476">
        <v>28</v>
      </c>
      <c r="C41" s="477">
        <v>28</v>
      </c>
      <c r="D41" s="478">
        <v>4</v>
      </c>
      <c r="E41" s="676" t="s">
        <v>265</v>
      </c>
      <c r="F41" s="479">
        <v>302</v>
      </c>
      <c r="G41" s="480"/>
      <c r="H41" s="481"/>
      <c r="I41" s="481"/>
      <c r="J41" s="481"/>
      <c r="K41" s="481"/>
      <c r="L41" s="481"/>
      <c r="M41" s="481"/>
      <c r="N41" s="481"/>
      <c r="O41" s="481"/>
      <c r="P41" s="482" t="s">
        <v>871</v>
      </c>
      <c r="Q41" s="483" t="s">
        <v>179</v>
      </c>
      <c r="R41" s="484">
        <v>0</v>
      </c>
      <c r="S41" s="485">
        <v>10.35</v>
      </c>
      <c r="T41" s="671">
        <f>표3[[#This Row],[편입면적]]/(SUM(표3[공부면적]))</f>
        <v>1.2931034482758618E-3</v>
      </c>
      <c r="U41" s="486" t="s">
        <v>179</v>
      </c>
      <c r="V41" s="487"/>
      <c r="W41" s="488">
        <v>20.61</v>
      </c>
      <c r="X41" s="489">
        <v>3.52</v>
      </c>
      <c r="Y41" s="489">
        <v>24.13</v>
      </c>
      <c r="Z41" s="489" t="s">
        <v>179</v>
      </c>
      <c r="AA41" s="518"/>
      <c r="AB41" s="491"/>
      <c r="AC41" s="492"/>
      <c r="AD41" s="493"/>
      <c r="AE41" s="493" t="str" cm="1">
        <f t="array" ref="AE4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1" s="494"/>
      <c r="AG41" s="495" t="s">
        <v>176</v>
      </c>
      <c r="AH41" s="495"/>
      <c r="AI41" s="495" t="s">
        <v>183</v>
      </c>
      <c r="AJ41" s="496"/>
      <c r="AK41" s="497"/>
      <c r="AL41" s="497"/>
      <c r="AM41" s="494"/>
      <c r="AN41" s="498"/>
      <c r="AO41" s="499" t="s">
        <v>266</v>
      </c>
      <c r="AP41" s="500">
        <v>1053390764</v>
      </c>
      <c r="AQ41" s="500"/>
      <c r="AR41" s="501"/>
      <c r="AS4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41" s="502" t="s">
        <v>269</v>
      </c>
      <c r="AU41" s="503"/>
      <c r="AV41" s="503"/>
      <c r="AW41" s="503" t="str">
        <f>IF(COUNTIF('설명회 참석자 명부'!$W$4:$W$29,표3[[#This Row],[성  명]])&gt;0,"O","")</f>
        <v/>
      </c>
      <c r="AX41" s="503" t="str">
        <f>_xlfn.XLOOKUP(표3[[#This Row],[성  명]],'설명회 참석자 명부'!$W$4:$W$29,'설명회 참석자 명부'!$X$4:$X$29,"")</f>
        <v/>
      </c>
      <c r="AY41" s="503"/>
      <c r="AZ41" s="503"/>
      <c r="BA41" s="503"/>
      <c r="BB41" s="503" t="s">
        <v>174</v>
      </c>
      <c r="BC41" s="503"/>
      <c r="BD41" s="503"/>
      <c r="BE41" s="503"/>
      <c r="BF41" s="504"/>
      <c r="BG41" s="504"/>
      <c r="BH41" s="504"/>
      <c r="BI41" s="504"/>
      <c r="BJ41" s="504"/>
      <c r="BK41" s="504" t="str">
        <f>IFERROR(LEFT(표3[[#This Row],[주소]],FIND(" ",표3[[#This Row],[주소]])-1),"")</f>
        <v>문정동28-4</v>
      </c>
      <c r="BL41" s="504" t="str">
        <f>IFERROR(MID(표3[[#This Row],[주소]], FIND(" ", 표3[[#This Row],[주소]])+1, FIND(" ", 표3[[#This Row],[주소]], FIND(" ", 표3[[#This Row],[주소]])+1) - FIND(" ", 표3[[#This Row],[주소]])-1),"")</f>
        <v/>
      </c>
      <c r="BM4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41" s="504"/>
      <c r="BO41" s="504"/>
      <c r="BP41" s="504"/>
      <c r="BQ41" s="504"/>
      <c r="BR41" s="505"/>
      <c r="BS41" s="718" t="s">
        <v>179</v>
      </c>
      <c r="BT41" s="719" t="s">
        <v>179</v>
      </c>
      <c r="BU41" s="719" t="s">
        <v>179</v>
      </c>
      <c r="BV41" s="719" t="s">
        <v>179</v>
      </c>
      <c r="BW41" s="719" t="s">
        <v>179</v>
      </c>
      <c r="BX41" s="719" t="s">
        <v>179</v>
      </c>
      <c r="BY41" s="719" t="s">
        <v>191</v>
      </c>
      <c r="BZ41" s="719">
        <v>20.61</v>
      </c>
      <c r="CA41" s="719">
        <v>10.35</v>
      </c>
      <c r="CB41" s="719">
        <v>159000000</v>
      </c>
      <c r="CC41" s="719">
        <v>159000000</v>
      </c>
      <c r="CD41" s="726">
        <f>표3[[#This Row],[종전추정가액]]*1.5219</f>
        <v>241982100</v>
      </c>
      <c r="CE41" s="506"/>
      <c r="CF41" s="507"/>
      <c r="CG41" s="507"/>
      <c r="CH41" s="508"/>
      <c r="CI41" s="508"/>
      <c r="CJ41" s="509"/>
      <c r="CK41" s="510"/>
      <c r="CL41" s="511"/>
      <c r="CM41" s="512"/>
      <c r="CN41" s="513"/>
      <c r="CO41" s="513"/>
      <c r="CP41" s="513"/>
      <c r="CQ41" s="513"/>
      <c r="CR41" s="513"/>
      <c r="CS41" s="514"/>
      <c r="CT41" s="515"/>
      <c r="CU41" s="515"/>
      <c r="CV41" s="515"/>
      <c r="CW41" s="515"/>
      <c r="CX41" s="515"/>
      <c r="CY41" s="515"/>
      <c r="CZ41" s="515"/>
      <c r="DA41" s="515"/>
      <c r="DB41" s="515"/>
      <c r="DC41" s="515"/>
      <c r="DD41" s="515"/>
      <c r="DE41" s="515"/>
      <c r="DF41" s="516"/>
    </row>
    <row r="42" spans="1:110" s="393" customFormat="1" ht="20.25" customHeight="1">
      <c r="A42" s="475"/>
      <c r="B42" s="476">
        <v>28</v>
      </c>
      <c r="C42" s="477">
        <v>28</v>
      </c>
      <c r="D42" s="478">
        <v>4</v>
      </c>
      <c r="E42" s="676" t="s">
        <v>265</v>
      </c>
      <c r="F42" s="479">
        <v>303</v>
      </c>
      <c r="G42" s="480"/>
      <c r="H42" s="481"/>
      <c r="I42" s="481"/>
      <c r="J42" s="481"/>
      <c r="K42" s="481"/>
      <c r="L42" s="481"/>
      <c r="M42" s="481"/>
      <c r="N42" s="481"/>
      <c r="O42" s="481"/>
      <c r="P42" s="482" t="s">
        <v>871</v>
      </c>
      <c r="Q42" s="483" t="s">
        <v>179</v>
      </c>
      <c r="R42" s="484">
        <v>0</v>
      </c>
      <c r="S42" s="485">
        <v>24.47</v>
      </c>
      <c r="T42" s="671">
        <f>표3[[#This Row],[편입면적]]/(SUM(표3[공부면적]))</f>
        <v>3.0572213893053468E-3</v>
      </c>
      <c r="U42" s="486" t="s">
        <v>179</v>
      </c>
      <c r="V42" s="487"/>
      <c r="W42" s="488">
        <v>48.75</v>
      </c>
      <c r="X42" s="489">
        <v>8.33</v>
      </c>
      <c r="Y42" s="489">
        <v>57.08</v>
      </c>
      <c r="Z42" s="489" t="s">
        <v>179</v>
      </c>
      <c r="AA42" s="518"/>
      <c r="AB42" s="491"/>
      <c r="AC42" s="492"/>
      <c r="AD42" s="493"/>
      <c r="AE42" s="493" t="str" cm="1">
        <f t="array" ref="AE4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2" s="494"/>
      <c r="AG42" s="495" t="s">
        <v>176</v>
      </c>
      <c r="AH42" s="495"/>
      <c r="AI42" s="495" t="s">
        <v>183</v>
      </c>
      <c r="AJ42" s="496"/>
      <c r="AK42" s="497"/>
      <c r="AL42" s="497"/>
      <c r="AM42" s="494"/>
      <c r="AN42" s="498"/>
      <c r="AO42" s="499" t="s">
        <v>266</v>
      </c>
      <c r="AP42" s="500">
        <v>1053390764</v>
      </c>
      <c r="AQ42" s="500"/>
      <c r="AR42" s="501"/>
      <c r="AS4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42" s="502" t="s">
        <v>269</v>
      </c>
      <c r="AU42" s="503"/>
      <c r="AV42" s="503"/>
      <c r="AW42" s="503" t="str">
        <f>IF(COUNTIF('설명회 참석자 명부'!$W$4:$W$29,표3[[#This Row],[성  명]])&gt;0,"O","")</f>
        <v/>
      </c>
      <c r="AX42" s="503" t="str">
        <f>_xlfn.XLOOKUP(표3[[#This Row],[성  명]],'설명회 참석자 명부'!$W$4:$W$29,'설명회 참석자 명부'!$X$4:$X$29,"")</f>
        <v/>
      </c>
      <c r="AY42" s="503"/>
      <c r="AZ42" s="503"/>
      <c r="BA42" s="503"/>
      <c r="BB42" s="503" t="s">
        <v>174</v>
      </c>
      <c r="BC42" s="503"/>
      <c r="BD42" s="503"/>
      <c r="BE42" s="503"/>
      <c r="BF42" s="504"/>
      <c r="BG42" s="504"/>
      <c r="BH42" s="504"/>
      <c r="BI42" s="504"/>
      <c r="BJ42" s="504"/>
      <c r="BK42" s="504" t="str">
        <f>IFERROR(LEFT(표3[[#This Row],[주소]],FIND(" ",표3[[#This Row],[주소]])-1),"")</f>
        <v>문정동28-4</v>
      </c>
      <c r="BL42" s="504" t="str">
        <f>IFERROR(MID(표3[[#This Row],[주소]], FIND(" ", 표3[[#This Row],[주소]])+1, FIND(" ", 표3[[#This Row],[주소]], FIND(" ", 표3[[#This Row],[주소]])+1) - FIND(" ", 표3[[#This Row],[주소]])-1),"")</f>
        <v/>
      </c>
      <c r="BM4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42" s="504"/>
      <c r="BO42" s="504"/>
      <c r="BP42" s="504"/>
      <c r="BQ42" s="504"/>
      <c r="BR42" s="505"/>
      <c r="BS42" s="718" t="s">
        <v>179</v>
      </c>
      <c r="BT42" s="719" t="s">
        <v>179</v>
      </c>
      <c r="BU42" s="719" t="s">
        <v>179</v>
      </c>
      <c r="BV42" s="719" t="s">
        <v>179</v>
      </c>
      <c r="BW42" s="719" t="s">
        <v>179</v>
      </c>
      <c r="BX42" s="719" t="s">
        <v>179</v>
      </c>
      <c r="BY42" s="719" t="s">
        <v>191</v>
      </c>
      <c r="BZ42" s="719">
        <v>48.75</v>
      </c>
      <c r="CA42" s="719">
        <v>24.47</v>
      </c>
      <c r="CB42" s="719">
        <v>376000000</v>
      </c>
      <c r="CC42" s="719">
        <v>376000000</v>
      </c>
      <c r="CD42" s="726">
        <f>표3[[#This Row],[종전추정가액]]*1.5219</f>
        <v>572234400</v>
      </c>
      <c r="CE42" s="506"/>
      <c r="CF42" s="507"/>
      <c r="CG42" s="507"/>
      <c r="CH42" s="508"/>
      <c r="CI42" s="508"/>
      <c r="CJ42" s="509"/>
      <c r="CK42" s="510"/>
      <c r="CL42" s="511"/>
      <c r="CM42" s="512"/>
      <c r="CN42" s="513"/>
      <c r="CO42" s="513"/>
      <c r="CP42" s="513"/>
      <c r="CQ42" s="513"/>
      <c r="CR42" s="513"/>
      <c r="CS42" s="514"/>
      <c r="CT42" s="515"/>
      <c r="CU42" s="515"/>
      <c r="CV42" s="515"/>
      <c r="CW42" s="515"/>
      <c r="CX42" s="515"/>
      <c r="CY42" s="515"/>
      <c r="CZ42" s="515"/>
      <c r="DA42" s="515"/>
      <c r="DB42" s="515"/>
      <c r="DC42" s="515"/>
      <c r="DD42" s="515"/>
      <c r="DE42" s="515"/>
      <c r="DF42" s="516"/>
    </row>
    <row r="43" spans="1:110" s="393" customFormat="1" ht="20.25" customHeight="1">
      <c r="A43" s="475"/>
      <c r="B43" s="476">
        <v>28</v>
      </c>
      <c r="C43" s="477">
        <v>28</v>
      </c>
      <c r="D43" s="478">
        <v>4</v>
      </c>
      <c r="E43" s="676" t="s">
        <v>265</v>
      </c>
      <c r="F43" s="479">
        <v>401</v>
      </c>
      <c r="G43" s="480"/>
      <c r="H43" s="481"/>
      <c r="I43" s="481"/>
      <c r="J43" s="481"/>
      <c r="K43" s="481"/>
      <c r="L43" s="481"/>
      <c r="M43" s="481"/>
      <c r="N43" s="481"/>
      <c r="O43" s="481"/>
      <c r="P43" s="482" t="s">
        <v>871</v>
      </c>
      <c r="Q43" s="483" t="s">
        <v>179</v>
      </c>
      <c r="R43" s="484">
        <v>0</v>
      </c>
      <c r="S43" s="485">
        <v>20.28</v>
      </c>
      <c r="T43" s="671">
        <f>표3[[#This Row],[편입면적]]/(SUM(표3[공부면적]))</f>
        <v>2.5337331334332833E-3</v>
      </c>
      <c r="U43" s="486" t="s">
        <v>179</v>
      </c>
      <c r="V43" s="487"/>
      <c r="W43" s="488">
        <v>40.4</v>
      </c>
      <c r="X43" s="489">
        <v>6.9</v>
      </c>
      <c r="Y43" s="489">
        <v>47.3</v>
      </c>
      <c r="Z43" s="489" t="s">
        <v>179</v>
      </c>
      <c r="AA43" s="518"/>
      <c r="AB43" s="491"/>
      <c r="AC43" s="492"/>
      <c r="AD43" s="493"/>
      <c r="AE43" s="493" t="str" cm="1">
        <f t="array" ref="AE4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3" s="494"/>
      <c r="AG43" s="495" t="s">
        <v>176</v>
      </c>
      <c r="AH43" s="495"/>
      <c r="AI43" s="495" t="s">
        <v>183</v>
      </c>
      <c r="AJ43" s="496"/>
      <c r="AK43" s="497"/>
      <c r="AL43" s="497"/>
      <c r="AM43" s="494"/>
      <c r="AN43" s="498"/>
      <c r="AO43" s="499" t="s">
        <v>266</v>
      </c>
      <c r="AP43" s="500">
        <v>1053390764</v>
      </c>
      <c r="AQ43" s="500"/>
      <c r="AR43" s="501"/>
      <c r="AS4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43" s="502" t="s">
        <v>269</v>
      </c>
      <c r="AU43" s="503"/>
      <c r="AV43" s="503"/>
      <c r="AW43" s="503" t="str">
        <f>IF(COUNTIF('설명회 참석자 명부'!$W$4:$W$29,표3[[#This Row],[성  명]])&gt;0,"O","")</f>
        <v/>
      </c>
      <c r="AX43" s="503" t="str">
        <f>_xlfn.XLOOKUP(표3[[#This Row],[성  명]],'설명회 참석자 명부'!$W$4:$W$29,'설명회 참석자 명부'!$X$4:$X$29,"")</f>
        <v/>
      </c>
      <c r="AY43" s="503"/>
      <c r="AZ43" s="503"/>
      <c r="BA43" s="503"/>
      <c r="BB43" s="503" t="s">
        <v>174</v>
      </c>
      <c r="BC43" s="503"/>
      <c r="BD43" s="503"/>
      <c r="BE43" s="503"/>
      <c r="BF43" s="504"/>
      <c r="BG43" s="504"/>
      <c r="BH43" s="504"/>
      <c r="BI43" s="504"/>
      <c r="BJ43" s="504"/>
      <c r="BK43" s="504" t="str">
        <f>IFERROR(LEFT(표3[[#This Row],[주소]],FIND(" ",표3[[#This Row],[주소]])-1),"")</f>
        <v>문정동28-4</v>
      </c>
      <c r="BL43" s="504" t="str">
        <f>IFERROR(MID(표3[[#This Row],[주소]], FIND(" ", 표3[[#This Row],[주소]])+1, FIND(" ", 표3[[#This Row],[주소]], FIND(" ", 표3[[#This Row],[주소]])+1) - FIND(" ", 표3[[#This Row],[주소]])-1),"")</f>
        <v/>
      </c>
      <c r="BM4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43" s="504"/>
      <c r="BO43" s="504"/>
      <c r="BP43" s="504"/>
      <c r="BQ43" s="504"/>
      <c r="BR43" s="505"/>
      <c r="BS43" s="718" t="s">
        <v>179</v>
      </c>
      <c r="BT43" s="719" t="s">
        <v>179</v>
      </c>
      <c r="BU43" s="719" t="s">
        <v>179</v>
      </c>
      <c r="BV43" s="719" t="s">
        <v>179</v>
      </c>
      <c r="BW43" s="719" t="s">
        <v>179</v>
      </c>
      <c r="BX43" s="719" t="s">
        <v>179</v>
      </c>
      <c r="BY43" s="719" t="s">
        <v>191</v>
      </c>
      <c r="BZ43" s="719">
        <v>40.4</v>
      </c>
      <c r="CA43" s="719">
        <v>20.28</v>
      </c>
      <c r="CB43" s="719">
        <v>311000000</v>
      </c>
      <c r="CC43" s="719">
        <v>311000000</v>
      </c>
      <c r="CD43" s="726">
        <f>표3[[#This Row],[종전추정가액]]*1.5219</f>
        <v>473310900</v>
      </c>
      <c r="CE43" s="506"/>
      <c r="CF43" s="507"/>
      <c r="CG43" s="507"/>
      <c r="CH43" s="508"/>
      <c r="CI43" s="508"/>
      <c r="CJ43" s="509"/>
      <c r="CK43" s="510"/>
      <c r="CL43" s="511"/>
      <c r="CM43" s="512"/>
      <c r="CN43" s="513"/>
      <c r="CO43" s="513"/>
      <c r="CP43" s="513"/>
      <c r="CQ43" s="513"/>
      <c r="CR43" s="513"/>
      <c r="CS43" s="514"/>
      <c r="CT43" s="515"/>
      <c r="CU43" s="515"/>
      <c r="CV43" s="515"/>
      <c r="CW43" s="515"/>
      <c r="CX43" s="515"/>
      <c r="CY43" s="515"/>
      <c r="CZ43" s="515"/>
      <c r="DA43" s="515"/>
      <c r="DB43" s="515"/>
      <c r="DC43" s="515"/>
      <c r="DD43" s="515"/>
      <c r="DE43" s="515"/>
      <c r="DF43" s="516"/>
    </row>
    <row r="44" spans="1:110" s="393" customFormat="1" ht="20.25" customHeight="1">
      <c r="A44" s="475"/>
      <c r="B44" s="476">
        <v>28</v>
      </c>
      <c r="C44" s="477">
        <v>28</v>
      </c>
      <c r="D44" s="478">
        <v>4</v>
      </c>
      <c r="E44" s="676" t="s">
        <v>265</v>
      </c>
      <c r="F44" s="479">
        <v>402</v>
      </c>
      <c r="G44" s="480"/>
      <c r="H44" s="481"/>
      <c r="I44" s="481"/>
      <c r="J44" s="481"/>
      <c r="K44" s="481"/>
      <c r="L44" s="481"/>
      <c r="M44" s="481"/>
      <c r="N44" s="481"/>
      <c r="O44" s="481"/>
      <c r="P44" s="482" t="s">
        <v>871</v>
      </c>
      <c r="Q44" s="483" t="s">
        <v>179</v>
      </c>
      <c r="R44" s="484">
        <v>0</v>
      </c>
      <c r="S44" s="485">
        <v>10.3</v>
      </c>
      <c r="T44" s="671">
        <f>표3[[#This Row],[편입면적]]/(SUM(표3[공부면적]))</f>
        <v>1.2868565717141429E-3</v>
      </c>
      <c r="U44" s="486" t="s">
        <v>179</v>
      </c>
      <c r="V44" s="487"/>
      <c r="W44" s="488">
        <v>20.52</v>
      </c>
      <c r="X44" s="489">
        <v>3.51</v>
      </c>
      <c r="Y44" s="489">
        <v>24.03</v>
      </c>
      <c r="Z44" s="489" t="s">
        <v>179</v>
      </c>
      <c r="AA44" s="518"/>
      <c r="AB44" s="491"/>
      <c r="AC44" s="492"/>
      <c r="AD44" s="493"/>
      <c r="AE44" s="493" t="str" cm="1">
        <f t="array" ref="AE4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4" s="494"/>
      <c r="AG44" s="495" t="s">
        <v>176</v>
      </c>
      <c r="AH44" s="495"/>
      <c r="AI44" s="495" t="s">
        <v>183</v>
      </c>
      <c r="AJ44" s="496"/>
      <c r="AK44" s="497"/>
      <c r="AL44" s="497"/>
      <c r="AM44" s="494"/>
      <c r="AN44" s="498"/>
      <c r="AO44" s="499" t="s">
        <v>266</v>
      </c>
      <c r="AP44" s="500">
        <v>1053390764</v>
      </c>
      <c r="AQ44" s="500"/>
      <c r="AR44" s="501"/>
      <c r="AS4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44" s="502" t="s">
        <v>269</v>
      </c>
      <c r="AU44" s="503"/>
      <c r="AV44" s="503"/>
      <c r="AW44" s="503" t="str">
        <f>IF(COUNTIF('설명회 참석자 명부'!$W$4:$W$29,표3[[#This Row],[성  명]])&gt;0,"O","")</f>
        <v/>
      </c>
      <c r="AX44" s="503" t="str">
        <f>_xlfn.XLOOKUP(표3[[#This Row],[성  명]],'설명회 참석자 명부'!$W$4:$W$29,'설명회 참석자 명부'!$X$4:$X$29,"")</f>
        <v/>
      </c>
      <c r="AY44" s="503"/>
      <c r="AZ44" s="503"/>
      <c r="BA44" s="503"/>
      <c r="BB44" s="503" t="s">
        <v>174</v>
      </c>
      <c r="BC44" s="503"/>
      <c r="BD44" s="503"/>
      <c r="BE44" s="503"/>
      <c r="BF44" s="504"/>
      <c r="BG44" s="504"/>
      <c r="BH44" s="504"/>
      <c r="BI44" s="504"/>
      <c r="BJ44" s="504"/>
      <c r="BK44" s="504" t="str">
        <f>IFERROR(LEFT(표3[[#This Row],[주소]],FIND(" ",표3[[#This Row],[주소]])-1),"")</f>
        <v>문정동28-4</v>
      </c>
      <c r="BL44" s="504" t="str">
        <f>IFERROR(MID(표3[[#This Row],[주소]], FIND(" ", 표3[[#This Row],[주소]])+1, FIND(" ", 표3[[#This Row],[주소]], FIND(" ", 표3[[#This Row],[주소]])+1) - FIND(" ", 표3[[#This Row],[주소]])-1),"")</f>
        <v/>
      </c>
      <c r="BM4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44" s="504"/>
      <c r="BO44" s="504"/>
      <c r="BP44" s="504"/>
      <c r="BQ44" s="504"/>
      <c r="BR44" s="505"/>
      <c r="BS44" s="718" t="s">
        <v>179</v>
      </c>
      <c r="BT44" s="719" t="s">
        <v>179</v>
      </c>
      <c r="BU44" s="719" t="s">
        <v>179</v>
      </c>
      <c r="BV44" s="719" t="s">
        <v>179</v>
      </c>
      <c r="BW44" s="719" t="s">
        <v>179</v>
      </c>
      <c r="BX44" s="719" t="s">
        <v>179</v>
      </c>
      <c r="BY44" s="719" t="s">
        <v>191</v>
      </c>
      <c r="BZ44" s="719">
        <v>20.52</v>
      </c>
      <c r="CA44" s="719">
        <v>10.3</v>
      </c>
      <c r="CB44" s="719">
        <v>158000000</v>
      </c>
      <c r="CC44" s="719">
        <v>158000000</v>
      </c>
      <c r="CD44" s="726">
        <f>표3[[#This Row],[종전추정가액]]*1.5219</f>
        <v>240460200</v>
      </c>
      <c r="CE44" s="506"/>
      <c r="CF44" s="507"/>
      <c r="CG44" s="507"/>
      <c r="CH44" s="508"/>
      <c r="CI44" s="508"/>
      <c r="CJ44" s="509"/>
      <c r="CK44" s="510"/>
      <c r="CL44" s="511"/>
      <c r="CM44" s="512"/>
      <c r="CN44" s="513"/>
      <c r="CO44" s="513"/>
      <c r="CP44" s="513"/>
      <c r="CQ44" s="513"/>
      <c r="CR44" s="513"/>
      <c r="CS44" s="514"/>
      <c r="CT44" s="515"/>
      <c r="CU44" s="515"/>
      <c r="CV44" s="515"/>
      <c r="CW44" s="515"/>
      <c r="CX44" s="515"/>
      <c r="CY44" s="515"/>
      <c r="CZ44" s="515"/>
      <c r="DA44" s="515"/>
      <c r="DB44" s="515"/>
      <c r="DC44" s="515"/>
      <c r="DD44" s="515"/>
      <c r="DE44" s="515"/>
      <c r="DF44" s="516"/>
    </row>
    <row r="45" spans="1:110" s="393" customFormat="1" ht="20.25" customHeight="1">
      <c r="A45" s="475"/>
      <c r="B45" s="476">
        <v>28</v>
      </c>
      <c r="C45" s="477">
        <v>28</v>
      </c>
      <c r="D45" s="478">
        <v>4</v>
      </c>
      <c r="E45" s="676" t="s">
        <v>265</v>
      </c>
      <c r="F45" s="479">
        <v>403</v>
      </c>
      <c r="G45" s="480"/>
      <c r="H45" s="481"/>
      <c r="I45" s="481"/>
      <c r="J45" s="481"/>
      <c r="K45" s="481"/>
      <c r="L45" s="481"/>
      <c r="M45" s="481"/>
      <c r="N45" s="481"/>
      <c r="O45" s="481"/>
      <c r="P45" s="482" t="s">
        <v>871</v>
      </c>
      <c r="Q45" s="483" t="s">
        <v>179</v>
      </c>
      <c r="R45" s="484">
        <v>0</v>
      </c>
      <c r="S45" s="485">
        <v>24.23</v>
      </c>
      <c r="T45" s="671">
        <f>표3[[#This Row],[편입면적]]/(SUM(표3[공부면적]))</f>
        <v>3.0272363818090952E-3</v>
      </c>
      <c r="U45" s="486" t="s">
        <v>179</v>
      </c>
      <c r="V45" s="487"/>
      <c r="W45" s="488">
        <v>48.27</v>
      </c>
      <c r="X45" s="489">
        <v>8.25</v>
      </c>
      <c r="Y45" s="489">
        <v>56.52</v>
      </c>
      <c r="Z45" s="489" t="s">
        <v>179</v>
      </c>
      <c r="AA45" s="518"/>
      <c r="AB45" s="491"/>
      <c r="AC45" s="492"/>
      <c r="AD45" s="493"/>
      <c r="AE45" s="493" t="str" cm="1">
        <f t="array" ref="AE4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5" s="494"/>
      <c r="AG45" s="495" t="s">
        <v>176</v>
      </c>
      <c r="AH45" s="495"/>
      <c r="AI45" s="495" t="s">
        <v>183</v>
      </c>
      <c r="AJ45" s="496"/>
      <c r="AK45" s="497"/>
      <c r="AL45" s="497"/>
      <c r="AM45" s="494"/>
      <c r="AN45" s="498"/>
      <c r="AO45" s="499" t="s">
        <v>266</v>
      </c>
      <c r="AP45" s="500">
        <v>1053390764</v>
      </c>
      <c r="AQ45" s="500"/>
      <c r="AR45" s="501"/>
      <c r="AS4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45" s="502" t="s">
        <v>269</v>
      </c>
      <c r="AU45" s="503"/>
      <c r="AV45" s="503"/>
      <c r="AW45" s="503" t="str">
        <f>IF(COUNTIF('설명회 참석자 명부'!$W$4:$W$29,표3[[#This Row],[성  명]])&gt;0,"O","")</f>
        <v/>
      </c>
      <c r="AX45" s="503" t="str">
        <f>_xlfn.XLOOKUP(표3[[#This Row],[성  명]],'설명회 참석자 명부'!$W$4:$W$29,'설명회 참석자 명부'!$X$4:$X$29,"")</f>
        <v/>
      </c>
      <c r="AY45" s="503"/>
      <c r="AZ45" s="503"/>
      <c r="BA45" s="503"/>
      <c r="BB45" s="503" t="s">
        <v>174</v>
      </c>
      <c r="BC45" s="503"/>
      <c r="BD45" s="503"/>
      <c r="BE45" s="503"/>
      <c r="BF45" s="504"/>
      <c r="BG45" s="504"/>
      <c r="BH45" s="504"/>
      <c r="BI45" s="504"/>
      <c r="BJ45" s="504"/>
      <c r="BK45" s="504" t="str">
        <f>IFERROR(LEFT(표3[[#This Row],[주소]],FIND(" ",표3[[#This Row],[주소]])-1),"")</f>
        <v>문정동28-4</v>
      </c>
      <c r="BL45" s="504" t="str">
        <f>IFERROR(MID(표3[[#This Row],[주소]], FIND(" ", 표3[[#This Row],[주소]])+1, FIND(" ", 표3[[#This Row],[주소]], FIND(" ", 표3[[#This Row],[주소]])+1) - FIND(" ", 표3[[#This Row],[주소]])-1),"")</f>
        <v/>
      </c>
      <c r="BM4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45" s="504"/>
      <c r="BO45" s="504"/>
      <c r="BP45" s="504"/>
      <c r="BQ45" s="504"/>
      <c r="BR45" s="505"/>
      <c r="BS45" s="718" t="s">
        <v>179</v>
      </c>
      <c r="BT45" s="719" t="s">
        <v>179</v>
      </c>
      <c r="BU45" s="719" t="s">
        <v>179</v>
      </c>
      <c r="BV45" s="719" t="s">
        <v>179</v>
      </c>
      <c r="BW45" s="719" t="s">
        <v>179</v>
      </c>
      <c r="BX45" s="719" t="s">
        <v>179</v>
      </c>
      <c r="BY45" s="719" t="s">
        <v>191</v>
      </c>
      <c r="BZ45" s="719">
        <v>48.27</v>
      </c>
      <c r="CA45" s="719">
        <v>24.23</v>
      </c>
      <c r="CB45" s="719">
        <v>372000000</v>
      </c>
      <c r="CC45" s="719">
        <v>372000000</v>
      </c>
      <c r="CD45" s="726">
        <f>표3[[#This Row],[종전추정가액]]*1.5219</f>
        <v>566146800</v>
      </c>
      <c r="CE45" s="506"/>
      <c r="CF45" s="507"/>
      <c r="CG45" s="507"/>
      <c r="CH45" s="508"/>
      <c r="CI45" s="508"/>
      <c r="CJ45" s="509"/>
      <c r="CK45" s="510"/>
      <c r="CL45" s="511"/>
      <c r="CM45" s="512"/>
      <c r="CN45" s="513"/>
      <c r="CO45" s="513"/>
      <c r="CP45" s="513"/>
      <c r="CQ45" s="513"/>
      <c r="CR45" s="513"/>
      <c r="CS45" s="514"/>
      <c r="CT45" s="515"/>
      <c r="CU45" s="515"/>
      <c r="CV45" s="515"/>
      <c r="CW45" s="515"/>
      <c r="CX45" s="515"/>
      <c r="CY45" s="515"/>
      <c r="CZ45" s="515"/>
      <c r="DA45" s="515"/>
      <c r="DB45" s="515"/>
      <c r="DC45" s="515"/>
      <c r="DD45" s="515"/>
      <c r="DE45" s="515"/>
      <c r="DF45" s="516"/>
    </row>
    <row r="46" spans="1:110" s="393" customFormat="1" ht="20.25" customHeight="1" thickBot="1">
      <c r="A46" s="394"/>
      <c r="B46" s="395">
        <v>28</v>
      </c>
      <c r="C46" s="396">
        <v>28</v>
      </c>
      <c r="D46" s="397">
        <v>4</v>
      </c>
      <c r="E46" s="698" t="s">
        <v>265</v>
      </c>
      <c r="F46" s="398">
        <v>501</v>
      </c>
      <c r="G46" s="399"/>
      <c r="H46" s="400"/>
      <c r="I46" s="400"/>
      <c r="J46" s="400"/>
      <c r="K46" s="400"/>
      <c r="L46" s="400"/>
      <c r="M46" s="400"/>
      <c r="N46" s="400"/>
      <c r="O46" s="400"/>
      <c r="P46" s="401" t="s">
        <v>871</v>
      </c>
      <c r="Q46" s="402" t="s">
        <v>179</v>
      </c>
      <c r="R46" s="403">
        <v>0</v>
      </c>
      <c r="S46" s="404">
        <v>50.69</v>
      </c>
      <c r="T46" s="672">
        <f>표3[[#This Row],[편입면적]]/(SUM(표3[공부면적]))</f>
        <v>6.3330834582708637E-3</v>
      </c>
      <c r="U46" s="662" t="s">
        <v>179</v>
      </c>
      <c r="V46" s="405"/>
      <c r="W46" s="406">
        <v>100.95</v>
      </c>
      <c r="X46" s="407">
        <v>17.239999999999998</v>
      </c>
      <c r="Y46" s="407">
        <v>118.19</v>
      </c>
      <c r="Z46" s="407" t="s">
        <v>179</v>
      </c>
      <c r="AA46" s="520"/>
      <c r="AB46" s="409"/>
      <c r="AC46" s="410"/>
      <c r="AD46" s="411"/>
      <c r="AE46" s="411" t="str" cm="1">
        <f t="array" ref="AE4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6" s="412"/>
      <c r="AG46" s="413" t="s">
        <v>176</v>
      </c>
      <c r="AH46" s="413"/>
      <c r="AI46" s="413" t="s">
        <v>183</v>
      </c>
      <c r="AJ46" s="414"/>
      <c r="AK46" s="415"/>
      <c r="AL46" s="415"/>
      <c r="AM46" s="412"/>
      <c r="AN46" s="416"/>
      <c r="AO46" s="417" t="s">
        <v>266</v>
      </c>
      <c r="AP46" s="500">
        <v>1053390764</v>
      </c>
      <c r="AQ46" s="418"/>
      <c r="AR46" s="419"/>
      <c r="AS46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46" s="420" t="s">
        <v>269</v>
      </c>
      <c r="AU46" s="421"/>
      <c r="AV46" s="421"/>
      <c r="AW46" s="421" t="str">
        <f>IF(COUNTIF('설명회 참석자 명부'!$W$4:$W$29,표3[[#This Row],[성  명]])&gt;0,"O","")</f>
        <v/>
      </c>
      <c r="AX46" s="421" t="str">
        <f>_xlfn.XLOOKUP(표3[[#This Row],[성  명]],'설명회 참석자 명부'!$W$4:$W$29,'설명회 참석자 명부'!$X$4:$X$29,"")</f>
        <v/>
      </c>
      <c r="AY46" s="421"/>
      <c r="AZ46" s="421"/>
      <c r="BA46" s="421"/>
      <c r="BB46" s="421" t="s">
        <v>174</v>
      </c>
      <c r="BC46" s="421"/>
      <c r="BD46" s="421"/>
      <c r="BE46" s="421"/>
      <c r="BF46" s="422"/>
      <c r="BG46" s="422"/>
      <c r="BH46" s="422"/>
      <c r="BI46" s="422"/>
      <c r="BJ46" s="422"/>
      <c r="BK46" s="422" t="str">
        <f>IFERROR(LEFT(표3[[#This Row],[주소]],FIND(" ",표3[[#This Row],[주소]])-1),"")</f>
        <v>문정동28-4</v>
      </c>
      <c r="BL46" s="422" t="str">
        <f>IFERROR(MID(표3[[#This Row],[주소]], FIND(" ", 표3[[#This Row],[주소]])+1, FIND(" ", 표3[[#This Row],[주소]], FIND(" ", 표3[[#This Row],[주소]])+1) - FIND(" ", 표3[[#This Row],[주소]])-1),"")</f>
        <v/>
      </c>
      <c r="BM46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46" s="422"/>
      <c r="BO46" s="422"/>
      <c r="BP46" s="422"/>
      <c r="BQ46" s="422"/>
      <c r="BR46" s="423"/>
      <c r="BS46" s="720" t="s">
        <v>179</v>
      </c>
      <c r="BT46" s="721" t="s">
        <v>179</v>
      </c>
      <c r="BU46" s="721" t="s">
        <v>179</v>
      </c>
      <c r="BV46" s="721" t="s">
        <v>179</v>
      </c>
      <c r="BW46" s="721" t="s">
        <v>179</v>
      </c>
      <c r="BX46" s="721" t="s">
        <v>179</v>
      </c>
      <c r="BY46" s="721" t="s">
        <v>191</v>
      </c>
      <c r="BZ46" s="721">
        <v>100.95</v>
      </c>
      <c r="CA46" s="721">
        <v>50.69</v>
      </c>
      <c r="CB46" s="721">
        <v>778000000</v>
      </c>
      <c r="CC46" s="721">
        <v>778000000</v>
      </c>
      <c r="CD46" s="726">
        <f>표3[[#This Row],[종전추정가액]]*1.5219</f>
        <v>1184038200</v>
      </c>
      <c r="CE46" s="424"/>
      <c r="CF46" s="425"/>
      <c r="CG46" s="425"/>
      <c r="CH46" s="426"/>
      <c r="CI46" s="426"/>
      <c r="CJ46" s="427"/>
      <c r="CK46" s="428"/>
      <c r="CL46" s="429"/>
      <c r="CM46" s="430"/>
      <c r="CN46" s="431"/>
      <c r="CO46" s="431"/>
      <c r="CP46" s="431"/>
      <c r="CQ46" s="431"/>
      <c r="CR46" s="431"/>
      <c r="CS46" s="432"/>
      <c r="CT46" s="433"/>
      <c r="CU46" s="433"/>
      <c r="CV46" s="433"/>
      <c r="CW46" s="433"/>
      <c r="CX46" s="433"/>
      <c r="CY46" s="433"/>
      <c r="CZ46" s="433"/>
      <c r="DA46" s="433"/>
      <c r="DB46" s="433"/>
      <c r="DC46" s="433"/>
      <c r="DD46" s="433"/>
      <c r="DE46" s="433"/>
      <c r="DF46" s="434"/>
    </row>
    <row r="47" spans="1:110" s="474" customFormat="1" ht="20.25" customHeight="1" thickTop="1">
      <c r="A47" s="435"/>
      <c r="B47" s="436"/>
      <c r="C47" s="437">
        <v>28</v>
      </c>
      <c r="D47" s="438">
        <v>5</v>
      </c>
      <c r="E47" s="438" t="s">
        <v>270</v>
      </c>
      <c r="F47" s="667">
        <v>0</v>
      </c>
      <c r="G47" s="439"/>
      <c r="H47" s="440"/>
      <c r="I47" s="440"/>
      <c r="J47" s="440"/>
      <c r="K47" s="440"/>
      <c r="L47" s="440"/>
      <c r="M47" s="440"/>
      <c r="N47" s="440"/>
      <c r="O47" s="440"/>
      <c r="P47" s="441"/>
      <c r="Q47" s="442" t="s">
        <v>173</v>
      </c>
      <c r="R47" s="443">
        <v>214.9</v>
      </c>
      <c r="S47" s="443"/>
      <c r="T47" s="670">
        <f>표3[[#This Row],[편입면적]]/(SUM(표3[공부면적]))</f>
        <v>0</v>
      </c>
      <c r="U47" s="444" t="s">
        <v>174</v>
      </c>
      <c r="V47" s="445"/>
      <c r="W47" s="446"/>
      <c r="X47" s="447"/>
      <c r="Y47" s="447">
        <v>0</v>
      </c>
      <c r="Z47" s="447">
        <v>507.83</v>
      </c>
      <c r="AA47" s="517"/>
      <c r="AB47" s="449"/>
      <c r="AC47" s="450" t="s">
        <v>271</v>
      </c>
      <c r="AD47" s="451">
        <v>23</v>
      </c>
      <c r="AE47" s="451" t="str" cm="1">
        <f t="array" ref="AE4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7" s="452"/>
      <c r="AG47" s="453" t="s">
        <v>176</v>
      </c>
      <c r="AH47" s="453"/>
      <c r="AI47" s="453" t="s">
        <v>183</v>
      </c>
      <c r="AJ47" s="453"/>
      <c r="AK47" s="454"/>
      <c r="AL47" s="454"/>
      <c r="AM47" s="452">
        <v>5</v>
      </c>
      <c r="AN47" s="455">
        <v>0</v>
      </c>
      <c r="AO47" s="456"/>
      <c r="AP47" s="457" t="s">
        <v>179</v>
      </c>
      <c r="AQ47" s="457"/>
      <c r="AR47" s="458"/>
      <c r="AS47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47" s="459"/>
      <c r="AU47" s="460"/>
      <c r="AV47" s="460"/>
      <c r="AW47" s="460" t="str">
        <f>IF(COUNTIF('설명회 참석자 명부'!$W$4:$W$29,표3[[#This Row],[성  명]])&gt;0,"O","")</f>
        <v/>
      </c>
      <c r="AX47" s="460">
        <f>_xlfn.XLOOKUP(표3[[#This Row],[성  명]],'설명회 참석자 명부'!$W$4:$W$29,'설명회 참석자 명부'!$X$4:$X$29,"")</f>
        <v>0</v>
      </c>
      <c r="AY47" s="460"/>
      <c r="AZ47" s="460"/>
      <c r="BA47" s="460"/>
      <c r="BB47" s="460"/>
      <c r="BC47" s="460"/>
      <c r="BD47" s="460"/>
      <c r="BE47" s="460"/>
      <c r="BF47" s="461"/>
      <c r="BG47" s="461"/>
      <c r="BH47" s="461"/>
      <c r="BI47" s="461"/>
      <c r="BJ47" s="461"/>
      <c r="BK47" s="461" t="str">
        <f>IFERROR(LEFT(표3[[#This Row],[주소]],FIND(" ",표3[[#This Row],[주소]])-1),"")</f>
        <v/>
      </c>
      <c r="BL47" s="461" t="str">
        <f>IFERROR(MID(표3[[#This Row],[주소]], FIND(" ", 표3[[#This Row],[주소]])+1, FIND(" ", 표3[[#This Row],[주소]], FIND(" ", 표3[[#This Row],[주소]])+1) - FIND(" ", 표3[[#This Row],[주소]])-1),"")</f>
        <v/>
      </c>
      <c r="BM47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47" s="461"/>
      <c r="BO47" s="461"/>
      <c r="BP47" s="461"/>
      <c r="BQ47" s="461"/>
      <c r="BR47" s="462"/>
      <c r="BS47" s="716"/>
      <c r="BT47" s="717"/>
      <c r="BU47" s="717"/>
      <c r="BV47" s="717"/>
      <c r="BW47" s="717"/>
      <c r="BX47" s="717"/>
      <c r="BY47" s="717"/>
      <c r="BZ47" s="717"/>
      <c r="CA47" s="717"/>
      <c r="CB47" s="717"/>
      <c r="CC47" s="717"/>
      <c r="CD47" s="727">
        <f>표3[[#This Row],[종전추정가액]]*1.5219</f>
        <v>0</v>
      </c>
      <c r="CE47" s="463"/>
      <c r="CF47" s="464"/>
      <c r="CG47" s="464"/>
      <c r="CH47" s="465"/>
      <c r="CI47" s="465"/>
      <c r="CJ47" s="466"/>
      <c r="CK47" s="467"/>
      <c r="CL47" s="468"/>
      <c r="CM47" s="469"/>
      <c r="CN47" s="470"/>
      <c r="CO47" s="470"/>
      <c r="CP47" s="470"/>
      <c r="CQ47" s="470"/>
      <c r="CR47" s="470"/>
      <c r="CS47" s="471"/>
      <c r="CT47" s="472"/>
      <c r="CU47" s="472"/>
      <c r="CV47" s="472"/>
      <c r="CW47" s="472"/>
      <c r="CX47" s="472"/>
      <c r="CY47" s="472"/>
      <c r="CZ47" s="472"/>
      <c r="DA47" s="472"/>
      <c r="DB47" s="472"/>
      <c r="DC47" s="472"/>
      <c r="DD47" s="472"/>
      <c r="DE47" s="472"/>
      <c r="DF47" s="473"/>
    </row>
    <row r="48" spans="1:110" s="393" customFormat="1" ht="20.25" customHeight="1">
      <c r="A48" s="475"/>
      <c r="B48" s="476">
        <v>29</v>
      </c>
      <c r="C48" s="477">
        <v>28</v>
      </c>
      <c r="D48" s="478">
        <v>5</v>
      </c>
      <c r="E48" s="478" t="s">
        <v>272</v>
      </c>
      <c r="F48" s="479">
        <v>201</v>
      </c>
      <c r="G48" s="480"/>
      <c r="H48" s="481"/>
      <c r="I48" s="481"/>
      <c r="J48" s="481"/>
      <c r="K48" s="481"/>
      <c r="L48" s="481"/>
      <c r="M48" s="481"/>
      <c r="N48" s="481"/>
      <c r="O48" s="481"/>
      <c r="P48" s="482"/>
      <c r="Q48" s="483" t="s">
        <v>179</v>
      </c>
      <c r="R48" s="484">
        <v>0</v>
      </c>
      <c r="S48" s="485">
        <v>27.61</v>
      </c>
      <c r="T48" s="671">
        <f>표3[[#This Row],[편입면적]]/(SUM(표3[공부면적]))</f>
        <v>3.4495252373813088E-3</v>
      </c>
      <c r="U48" s="486" t="s">
        <v>179</v>
      </c>
      <c r="V48" s="487"/>
      <c r="W48" s="488">
        <v>58.24</v>
      </c>
      <c r="X48" s="489">
        <v>7.02</v>
      </c>
      <c r="Y48" s="489">
        <v>65.260000000000005</v>
      </c>
      <c r="Z48" s="489" t="s">
        <v>179</v>
      </c>
      <c r="AA48" s="518"/>
      <c r="AB48" s="491"/>
      <c r="AC48" s="492"/>
      <c r="AD48" s="493"/>
      <c r="AE48" s="493" t="str" cm="1">
        <f t="array" ref="AE4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8" s="494"/>
      <c r="AG48" s="495" t="s">
        <v>176</v>
      </c>
      <c r="AH48" s="495"/>
      <c r="AI48" s="495" t="s">
        <v>183</v>
      </c>
      <c r="AJ48" s="496"/>
      <c r="AK48" s="497"/>
      <c r="AL48" s="497"/>
      <c r="AM48" s="494"/>
      <c r="AN48" s="498"/>
      <c r="AO48" s="499" t="s">
        <v>273</v>
      </c>
      <c r="AP48" s="500" t="s">
        <v>179</v>
      </c>
      <c r="AQ48" s="500"/>
      <c r="AR48" s="501">
        <v>55</v>
      </c>
      <c r="AS4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48" s="502" t="s">
        <v>274</v>
      </c>
      <c r="AU48" s="503"/>
      <c r="AV48" s="503"/>
      <c r="AW48" s="503" t="str">
        <f>IF(COUNTIF('설명회 참석자 명부'!$W$4:$W$29,표3[[#This Row],[성  명]])&gt;0,"O","")</f>
        <v/>
      </c>
      <c r="AX48" s="503" t="str">
        <f>_xlfn.XLOOKUP(표3[[#This Row],[성  명]],'설명회 참석자 명부'!$W$4:$W$29,'설명회 참석자 명부'!$X$4:$X$29,"")</f>
        <v/>
      </c>
      <c r="AY48" s="503"/>
      <c r="AZ48" s="503"/>
      <c r="BA48" s="503"/>
      <c r="BB48" s="503"/>
      <c r="BC48" s="503"/>
      <c r="BD48" s="503"/>
      <c r="BE48" s="503"/>
      <c r="BF48" s="504"/>
      <c r="BG48" s="504"/>
      <c r="BH48" s="504"/>
      <c r="BI48" s="504"/>
      <c r="BJ48" s="504"/>
      <c r="BK48" s="504" t="str">
        <f>IFERROR(LEFT(표3[[#This Row],[주소]],FIND(" ",표3[[#This Row],[주소]])-1),"")</f>
        <v>서울특별시송파구</v>
      </c>
      <c r="BL48" s="504" t="str">
        <f>IFERROR(MID(표3[[#This Row],[주소]], FIND(" ", 표3[[#This Row],[주소]])+1, FIND(" ", 표3[[#This Row],[주소]], FIND(" ", 표3[[#This Row],[주소]])+1) - FIND(" ", 표3[[#This Row],[주소]])-1),"")</f>
        <v>송이로23길</v>
      </c>
      <c r="BM4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30-14,</v>
      </c>
      <c r="BN48" s="504"/>
      <c r="BO48" s="504"/>
      <c r="BP48" s="504"/>
      <c r="BQ48" s="504"/>
      <c r="BR48" s="505"/>
      <c r="BS48" s="718" t="s">
        <v>179</v>
      </c>
      <c r="BT48" s="719" t="s">
        <v>179</v>
      </c>
      <c r="BU48" s="719" t="s">
        <v>179</v>
      </c>
      <c r="BV48" s="719" t="s">
        <v>179</v>
      </c>
      <c r="BW48" s="719" t="s">
        <v>179</v>
      </c>
      <c r="BX48" s="719" t="s">
        <v>179</v>
      </c>
      <c r="BY48" s="719" t="s">
        <v>191</v>
      </c>
      <c r="BZ48" s="719">
        <v>58.24</v>
      </c>
      <c r="CA48" s="719">
        <v>27.61</v>
      </c>
      <c r="CB48" s="719">
        <v>424000000</v>
      </c>
      <c r="CC48" s="719">
        <v>424000000</v>
      </c>
      <c r="CD48" s="726">
        <f>표3[[#This Row],[종전추정가액]]*1.5219</f>
        <v>645285600</v>
      </c>
      <c r="CE48" s="506"/>
      <c r="CF48" s="507"/>
      <c r="CG48" s="507"/>
      <c r="CH48" s="508"/>
      <c r="CI48" s="508"/>
      <c r="CJ48" s="509"/>
      <c r="CK48" s="510"/>
      <c r="CL48" s="511"/>
      <c r="CM48" s="512"/>
      <c r="CN48" s="513"/>
      <c r="CO48" s="513"/>
      <c r="CP48" s="513"/>
      <c r="CQ48" s="513"/>
      <c r="CR48" s="513"/>
      <c r="CS48" s="514"/>
      <c r="CT48" s="515"/>
      <c r="CU48" s="515"/>
      <c r="CV48" s="515"/>
      <c r="CW48" s="515"/>
      <c r="CX48" s="515"/>
      <c r="CY48" s="515"/>
      <c r="CZ48" s="515"/>
      <c r="DA48" s="515"/>
      <c r="DB48" s="515"/>
      <c r="DC48" s="515"/>
      <c r="DD48" s="515"/>
      <c r="DE48" s="515"/>
      <c r="DF48" s="516"/>
    </row>
    <row r="49" spans="1:110" s="393" customFormat="1" ht="20.25" customHeight="1">
      <c r="A49" s="475"/>
      <c r="B49" s="476">
        <v>30</v>
      </c>
      <c r="C49" s="477">
        <v>28</v>
      </c>
      <c r="D49" s="478">
        <v>5</v>
      </c>
      <c r="E49" s="478" t="s">
        <v>272</v>
      </c>
      <c r="F49" s="479">
        <v>202</v>
      </c>
      <c r="G49" s="480"/>
      <c r="H49" s="481"/>
      <c r="I49" s="481"/>
      <c r="J49" s="481"/>
      <c r="K49" s="481" t="s">
        <v>174</v>
      </c>
      <c r="L49" s="481" t="s">
        <v>174</v>
      </c>
      <c r="M49" s="481" t="s">
        <v>174</v>
      </c>
      <c r="N49" s="481"/>
      <c r="O49" s="481"/>
      <c r="P49" s="482" t="s">
        <v>275</v>
      </c>
      <c r="Q49" s="483" t="s">
        <v>179</v>
      </c>
      <c r="R49" s="484">
        <v>0</v>
      </c>
      <c r="S49" s="485">
        <v>27.61</v>
      </c>
      <c r="T49" s="671">
        <f>표3[[#This Row],[편입면적]]/(SUM(표3[공부면적]))</f>
        <v>3.4495252373813088E-3</v>
      </c>
      <c r="U49" s="486" t="s">
        <v>179</v>
      </c>
      <c r="V49" s="487"/>
      <c r="W49" s="488">
        <v>58.24</v>
      </c>
      <c r="X49" s="489">
        <v>7.02</v>
      </c>
      <c r="Y49" s="489">
        <v>65.260000000000005</v>
      </c>
      <c r="Z49" s="489" t="s">
        <v>179</v>
      </c>
      <c r="AA49" s="518"/>
      <c r="AB49" s="491"/>
      <c r="AC49" s="492"/>
      <c r="AD49" s="493"/>
      <c r="AE49" s="493" t="str" cm="1">
        <f t="array" ref="AE4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49" s="494"/>
      <c r="AG49" s="495" t="s">
        <v>176</v>
      </c>
      <c r="AH49" s="495"/>
      <c r="AI49" s="495" t="s">
        <v>183</v>
      </c>
      <c r="AJ49" s="496"/>
      <c r="AK49" s="497"/>
      <c r="AL49" s="497"/>
      <c r="AM49" s="494"/>
      <c r="AN49" s="498"/>
      <c r="AO49" s="499" t="s">
        <v>276</v>
      </c>
      <c r="AP49" s="500">
        <v>1022802127</v>
      </c>
      <c r="AQ49" s="500" t="s">
        <v>277</v>
      </c>
      <c r="AR49" s="501">
        <v>61</v>
      </c>
      <c r="AS4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49" s="502" t="s">
        <v>278</v>
      </c>
      <c r="AU49" s="503"/>
      <c r="AV49" s="503" t="s">
        <v>190</v>
      </c>
      <c r="AW49" s="503" t="str">
        <f>IF(COUNTIF('설명회 참석자 명부'!$W$4:$W$29,표3[[#This Row],[성  명]])&gt;0,"O","")</f>
        <v/>
      </c>
      <c r="AX49" s="503" t="str">
        <f>_xlfn.XLOOKUP(표3[[#This Row],[성  명]],'설명회 참석자 명부'!$W$4:$W$29,'설명회 참석자 명부'!$X$4:$X$29,"")</f>
        <v/>
      </c>
      <c r="AY49" s="503"/>
      <c r="AZ49" s="503"/>
      <c r="BA49" s="503" t="s">
        <v>190</v>
      </c>
      <c r="BB49" s="503" t="s">
        <v>190</v>
      </c>
      <c r="BC49" s="503"/>
      <c r="BD49" s="503"/>
      <c r="BE49" s="503"/>
      <c r="BF49" s="504"/>
      <c r="BG49" s="504"/>
      <c r="BH49" s="504"/>
      <c r="BI49" s="504"/>
      <c r="BJ49" s="504"/>
      <c r="BK49" s="504" t="str">
        <f>IFERROR(LEFT(표3[[#This Row],[주소]],FIND(" ",표3[[#This Row],[주소]])-1),"")</f>
        <v>서울특별시</v>
      </c>
      <c r="BL49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4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49" s="504"/>
      <c r="BO49" s="504"/>
      <c r="BP49" s="504"/>
      <c r="BQ49" s="504"/>
      <c r="BR49" s="505"/>
      <c r="BS49" s="718" t="s">
        <v>179</v>
      </c>
      <c r="BT49" s="719" t="s">
        <v>179</v>
      </c>
      <c r="BU49" s="719" t="s">
        <v>179</v>
      </c>
      <c r="BV49" s="719" t="s">
        <v>179</v>
      </c>
      <c r="BW49" s="719" t="s">
        <v>179</v>
      </c>
      <c r="BX49" s="719" t="s">
        <v>179</v>
      </c>
      <c r="BY49" s="719" t="s">
        <v>191</v>
      </c>
      <c r="BZ49" s="719">
        <v>58.24</v>
      </c>
      <c r="CA49" s="719">
        <v>27.61</v>
      </c>
      <c r="CB49" s="719">
        <v>424000000</v>
      </c>
      <c r="CC49" s="719">
        <v>424000000</v>
      </c>
      <c r="CD49" s="726">
        <f>표3[[#This Row],[종전추정가액]]*1.5219</f>
        <v>645285600</v>
      </c>
      <c r="CE49" s="506"/>
      <c r="CF49" s="507"/>
      <c r="CG49" s="507"/>
      <c r="CH49" s="508"/>
      <c r="CI49" s="508"/>
      <c r="CJ49" s="509"/>
      <c r="CK49" s="510"/>
      <c r="CL49" s="511"/>
      <c r="CM49" s="512"/>
      <c r="CN49" s="513"/>
      <c r="CO49" s="513"/>
      <c r="CP49" s="513"/>
      <c r="CQ49" s="513"/>
      <c r="CR49" s="513"/>
      <c r="CS49" s="514"/>
      <c r="CT49" s="515"/>
      <c r="CU49" s="515"/>
      <c r="CV49" s="515"/>
      <c r="CW49" s="515"/>
      <c r="CX49" s="515"/>
      <c r="CY49" s="515"/>
      <c r="CZ49" s="515"/>
      <c r="DA49" s="515"/>
      <c r="DB49" s="515"/>
      <c r="DC49" s="515"/>
      <c r="DD49" s="515"/>
      <c r="DE49" s="515"/>
      <c r="DF49" s="516"/>
    </row>
    <row r="50" spans="1:110" s="393" customFormat="1" ht="20.25" customHeight="1">
      <c r="A50" s="475"/>
      <c r="B50" s="476">
        <v>31</v>
      </c>
      <c r="C50" s="477">
        <v>28</v>
      </c>
      <c r="D50" s="478">
        <v>5</v>
      </c>
      <c r="E50" s="478" t="s">
        <v>272</v>
      </c>
      <c r="F50" s="479">
        <v>301</v>
      </c>
      <c r="G50" s="480"/>
      <c r="H50" s="481"/>
      <c r="I50" s="481"/>
      <c r="J50" s="481"/>
      <c r="K50" s="481"/>
      <c r="L50" s="481"/>
      <c r="M50" s="481"/>
      <c r="N50" s="481"/>
      <c r="O50" s="481"/>
      <c r="P50" s="482"/>
      <c r="Q50" s="483" t="s">
        <v>179</v>
      </c>
      <c r="R50" s="484">
        <v>0</v>
      </c>
      <c r="S50" s="485">
        <v>27.61</v>
      </c>
      <c r="T50" s="671">
        <f>표3[[#This Row],[편입면적]]/(SUM(표3[공부면적]))</f>
        <v>3.4495252373813088E-3</v>
      </c>
      <c r="U50" s="486" t="s">
        <v>179</v>
      </c>
      <c r="V50" s="487"/>
      <c r="W50" s="488">
        <v>58.24</v>
      </c>
      <c r="X50" s="489">
        <v>7.02</v>
      </c>
      <c r="Y50" s="489">
        <v>65.260000000000005</v>
      </c>
      <c r="Z50" s="489" t="s">
        <v>179</v>
      </c>
      <c r="AA50" s="518"/>
      <c r="AB50" s="491"/>
      <c r="AC50" s="492"/>
      <c r="AD50" s="493"/>
      <c r="AE50" s="493" t="str" cm="1">
        <f t="array" ref="AE5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0" s="494"/>
      <c r="AG50" s="495" t="s">
        <v>176</v>
      </c>
      <c r="AH50" s="495"/>
      <c r="AI50" s="495" t="s">
        <v>183</v>
      </c>
      <c r="AJ50" s="496"/>
      <c r="AK50" s="497"/>
      <c r="AL50" s="497"/>
      <c r="AM50" s="494"/>
      <c r="AN50" s="498"/>
      <c r="AO50" s="499" t="s">
        <v>279</v>
      </c>
      <c r="AP50" s="500" t="s">
        <v>179</v>
      </c>
      <c r="AQ50" s="500"/>
      <c r="AR50" s="501">
        <v>65</v>
      </c>
      <c r="AS5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50" s="502" t="s">
        <v>280</v>
      </c>
      <c r="AU50" s="503"/>
      <c r="AV50" s="503"/>
      <c r="AW50" s="503" t="str">
        <f>IF(COUNTIF('설명회 참석자 명부'!$W$4:$W$29,표3[[#This Row],[성  명]])&gt;0,"O","")</f>
        <v/>
      </c>
      <c r="AX50" s="503" t="str">
        <f>_xlfn.XLOOKUP(표3[[#This Row],[성  명]],'설명회 참석자 명부'!$W$4:$W$29,'설명회 참석자 명부'!$X$4:$X$29,"")</f>
        <v/>
      </c>
      <c r="AY50" s="503"/>
      <c r="AZ50" s="503"/>
      <c r="BA50" s="503"/>
      <c r="BB50" s="503"/>
      <c r="BC50" s="503"/>
      <c r="BD50" s="503"/>
      <c r="BE50" s="503"/>
      <c r="BF50" s="504"/>
      <c r="BG50" s="504"/>
      <c r="BH50" s="504"/>
      <c r="BI50" s="504"/>
      <c r="BJ50" s="504"/>
      <c r="BK50" s="504" t="str">
        <f>IFERROR(LEFT(표3[[#This Row],[주소]],FIND(" ",표3[[#This Row],[주소]])-1),"")</f>
        <v>서울</v>
      </c>
      <c r="BL5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50" s="504"/>
      <c r="BO50" s="504"/>
      <c r="BP50" s="504"/>
      <c r="BQ50" s="504"/>
      <c r="BR50" s="505"/>
      <c r="BS50" s="718" t="s">
        <v>179</v>
      </c>
      <c r="BT50" s="719" t="s">
        <v>179</v>
      </c>
      <c r="BU50" s="719" t="s">
        <v>179</v>
      </c>
      <c r="BV50" s="719" t="s">
        <v>179</v>
      </c>
      <c r="BW50" s="719" t="s">
        <v>179</v>
      </c>
      <c r="BX50" s="719" t="s">
        <v>179</v>
      </c>
      <c r="BY50" s="719" t="s">
        <v>191</v>
      </c>
      <c r="BZ50" s="719">
        <v>58.24</v>
      </c>
      <c r="CA50" s="719">
        <v>27.61</v>
      </c>
      <c r="CB50" s="719">
        <v>428000000</v>
      </c>
      <c r="CC50" s="719">
        <v>428000000</v>
      </c>
      <c r="CD50" s="726">
        <f>표3[[#This Row],[종전추정가액]]*1.5219</f>
        <v>651373200</v>
      </c>
      <c r="CE50" s="506"/>
      <c r="CF50" s="507"/>
      <c r="CG50" s="507"/>
      <c r="CH50" s="508"/>
      <c r="CI50" s="508"/>
      <c r="CJ50" s="509"/>
      <c r="CK50" s="510"/>
      <c r="CL50" s="511"/>
      <c r="CM50" s="512"/>
      <c r="CN50" s="513"/>
      <c r="CO50" s="513"/>
      <c r="CP50" s="513"/>
      <c r="CQ50" s="513"/>
      <c r="CR50" s="513"/>
      <c r="CS50" s="514"/>
      <c r="CT50" s="515"/>
      <c r="CU50" s="515"/>
      <c r="CV50" s="515"/>
      <c r="CW50" s="515"/>
      <c r="CX50" s="515"/>
      <c r="CY50" s="515"/>
      <c r="CZ50" s="515"/>
      <c r="DA50" s="515"/>
      <c r="DB50" s="515"/>
      <c r="DC50" s="515"/>
      <c r="DD50" s="515"/>
      <c r="DE50" s="515"/>
      <c r="DF50" s="516"/>
    </row>
    <row r="51" spans="1:110" s="393" customFormat="1" ht="20.25" customHeight="1">
      <c r="A51" s="475"/>
      <c r="B51" s="476">
        <v>32</v>
      </c>
      <c r="C51" s="477">
        <v>28</v>
      </c>
      <c r="D51" s="478">
        <v>5</v>
      </c>
      <c r="E51" s="478" t="s">
        <v>272</v>
      </c>
      <c r="F51" s="479">
        <v>302</v>
      </c>
      <c r="G51" s="480"/>
      <c r="H51" s="481"/>
      <c r="I51" s="481"/>
      <c r="J51" s="481"/>
      <c r="K51" s="481"/>
      <c r="L51" s="481"/>
      <c r="M51" s="481"/>
      <c r="N51" s="481"/>
      <c r="O51" s="481"/>
      <c r="P51" s="482"/>
      <c r="Q51" s="483" t="s">
        <v>179</v>
      </c>
      <c r="R51" s="484">
        <v>0</v>
      </c>
      <c r="S51" s="485">
        <v>27.61</v>
      </c>
      <c r="T51" s="671">
        <f>표3[[#This Row],[편입면적]]/(SUM(표3[공부면적]))</f>
        <v>3.4495252373813088E-3</v>
      </c>
      <c r="U51" s="486" t="s">
        <v>179</v>
      </c>
      <c r="V51" s="487"/>
      <c r="W51" s="488">
        <v>58.24</v>
      </c>
      <c r="X51" s="489">
        <v>7.02</v>
      </c>
      <c r="Y51" s="489">
        <v>65.260000000000005</v>
      </c>
      <c r="Z51" s="489" t="s">
        <v>179</v>
      </c>
      <c r="AA51" s="518"/>
      <c r="AB51" s="491"/>
      <c r="AC51" s="492"/>
      <c r="AD51" s="493"/>
      <c r="AE51" s="493" t="str" cm="1">
        <f t="array" ref="AE5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1" s="494"/>
      <c r="AG51" s="495" t="s">
        <v>176</v>
      </c>
      <c r="AH51" s="495"/>
      <c r="AI51" s="495" t="s">
        <v>183</v>
      </c>
      <c r="AJ51" s="496"/>
      <c r="AK51" s="497"/>
      <c r="AL51" s="497"/>
      <c r="AM51" s="494"/>
      <c r="AN51" s="498"/>
      <c r="AO51" s="499" t="s">
        <v>281</v>
      </c>
      <c r="AP51" s="500" t="s">
        <v>179</v>
      </c>
      <c r="AQ51" s="500"/>
      <c r="AR51" s="501">
        <v>57</v>
      </c>
      <c r="AS5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51" s="502" t="s">
        <v>282</v>
      </c>
      <c r="AU51" s="503" t="s">
        <v>190</v>
      </c>
      <c r="AV51" s="503"/>
      <c r="AW51" s="503" t="str">
        <f>IF(COUNTIF('설명회 참석자 명부'!$W$4:$W$29,표3[[#This Row],[성  명]])&gt;0,"O","")</f>
        <v/>
      </c>
      <c r="AX51" s="503" t="str">
        <f>_xlfn.XLOOKUP(표3[[#This Row],[성  명]],'설명회 참석자 명부'!$W$4:$W$29,'설명회 참석자 명부'!$X$4:$X$29,"")</f>
        <v/>
      </c>
      <c r="AY51" s="503"/>
      <c r="AZ51" s="503"/>
      <c r="BA51" s="503"/>
      <c r="BB51" s="503"/>
      <c r="BC51" s="503"/>
      <c r="BD51" s="503"/>
      <c r="BE51" s="503"/>
      <c r="BF51" s="504"/>
      <c r="BG51" s="504"/>
      <c r="BH51" s="504"/>
      <c r="BI51" s="504"/>
      <c r="BJ51" s="504"/>
      <c r="BK51" s="504" t="str">
        <f>IFERROR(LEFT(표3[[#This Row],[주소]],FIND(" ",표3[[#This Row],[주소]])-1),"")</f>
        <v>서울특별시</v>
      </c>
      <c r="BL5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51" s="504"/>
      <c r="BO51" s="504"/>
      <c r="BP51" s="504"/>
      <c r="BQ51" s="504"/>
      <c r="BR51" s="505"/>
      <c r="BS51" s="718" t="s">
        <v>179</v>
      </c>
      <c r="BT51" s="719" t="s">
        <v>179</v>
      </c>
      <c r="BU51" s="719" t="s">
        <v>179</v>
      </c>
      <c r="BV51" s="719" t="s">
        <v>179</v>
      </c>
      <c r="BW51" s="719" t="s">
        <v>179</v>
      </c>
      <c r="BX51" s="719" t="s">
        <v>179</v>
      </c>
      <c r="BY51" s="719" t="s">
        <v>191</v>
      </c>
      <c r="BZ51" s="719">
        <v>58.24</v>
      </c>
      <c r="CA51" s="719">
        <v>27.61</v>
      </c>
      <c r="CB51" s="719">
        <v>428000000</v>
      </c>
      <c r="CC51" s="719">
        <v>428000000</v>
      </c>
      <c r="CD51" s="726">
        <f>표3[[#This Row],[종전추정가액]]*1.5219</f>
        <v>651373200</v>
      </c>
      <c r="CE51" s="506"/>
      <c r="CF51" s="507"/>
      <c r="CG51" s="507"/>
      <c r="CH51" s="508"/>
      <c r="CI51" s="508"/>
      <c r="CJ51" s="509"/>
      <c r="CK51" s="510"/>
      <c r="CL51" s="511"/>
      <c r="CM51" s="512"/>
      <c r="CN51" s="513"/>
      <c r="CO51" s="513"/>
      <c r="CP51" s="513"/>
      <c r="CQ51" s="513"/>
      <c r="CR51" s="513"/>
      <c r="CS51" s="514"/>
      <c r="CT51" s="515"/>
      <c r="CU51" s="515"/>
      <c r="CV51" s="515"/>
      <c r="CW51" s="515"/>
      <c r="CX51" s="515"/>
      <c r="CY51" s="515"/>
      <c r="CZ51" s="515"/>
      <c r="DA51" s="515"/>
      <c r="DB51" s="515"/>
      <c r="DC51" s="515"/>
      <c r="DD51" s="515"/>
      <c r="DE51" s="515"/>
      <c r="DF51" s="516"/>
    </row>
    <row r="52" spans="1:110" s="393" customFormat="1" ht="20.25" customHeight="1">
      <c r="A52" s="475"/>
      <c r="B52" s="476">
        <v>33</v>
      </c>
      <c r="C52" s="477">
        <v>28</v>
      </c>
      <c r="D52" s="478">
        <v>5</v>
      </c>
      <c r="E52" s="478" t="s">
        <v>272</v>
      </c>
      <c r="F52" s="479">
        <v>401</v>
      </c>
      <c r="G52" s="480"/>
      <c r="H52" s="481"/>
      <c r="I52" s="481"/>
      <c r="J52" s="481"/>
      <c r="K52" s="481"/>
      <c r="L52" s="481"/>
      <c r="M52" s="481"/>
      <c r="N52" s="481"/>
      <c r="O52" s="481"/>
      <c r="P52" s="482"/>
      <c r="Q52" s="483" t="s">
        <v>179</v>
      </c>
      <c r="R52" s="484">
        <v>0</v>
      </c>
      <c r="S52" s="485">
        <v>27.61</v>
      </c>
      <c r="T52" s="671">
        <f>표3[[#This Row],[편입면적]]/(SUM(표3[공부면적]))</f>
        <v>3.4495252373813088E-3</v>
      </c>
      <c r="U52" s="486" t="s">
        <v>179</v>
      </c>
      <c r="V52" s="487"/>
      <c r="W52" s="488">
        <v>58.24</v>
      </c>
      <c r="X52" s="489">
        <v>7.02</v>
      </c>
      <c r="Y52" s="489">
        <v>65.260000000000005</v>
      </c>
      <c r="Z52" s="489" t="s">
        <v>179</v>
      </c>
      <c r="AA52" s="518"/>
      <c r="AB52" s="491"/>
      <c r="AC52" s="492"/>
      <c r="AD52" s="493"/>
      <c r="AE52" s="493" t="str" cm="1">
        <f t="array" ref="AE5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2" s="494"/>
      <c r="AG52" s="495" t="s">
        <v>176</v>
      </c>
      <c r="AH52" s="495"/>
      <c r="AI52" s="495" t="s">
        <v>183</v>
      </c>
      <c r="AJ52" s="496"/>
      <c r="AK52" s="497"/>
      <c r="AL52" s="497"/>
      <c r="AM52" s="494"/>
      <c r="AN52" s="498"/>
      <c r="AO52" s="499" t="s">
        <v>283</v>
      </c>
      <c r="AP52" s="500" t="s">
        <v>179</v>
      </c>
      <c r="AQ52" s="500"/>
      <c r="AR52" s="501">
        <v>69</v>
      </c>
      <c r="AS5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52" s="502" t="s">
        <v>284</v>
      </c>
      <c r="AU52" s="503" t="s">
        <v>190</v>
      </c>
      <c r="AV52" s="503"/>
      <c r="AW52" s="503" t="str">
        <f>IF(COUNTIF('설명회 참석자 명부'!$W$4:$W$29,표3[[#This Row],[성  명]])&gt;0,"O","")</f>
        <v/>
      </c>
      <c r="AX52" s="503" t="str">
        <f>_xlfn.XLOOKUP(표3[[#This Row],[성  명]],'설명회 참석자 명부'!$W$4:$W$29,'설명회 참석자 명부'!$X$4:$X$29,"")</f>
        <v/>
      </c>
      <c r="AY52" s="503"/>
      <c r="AZ52" s="503"/>
      <c r="BA52" s="503"/>
      <c r="BB52" s="503"/>
      <c r="BC52" s="503"/>
      <c r="BD52" s="503"/>
      <c r="BE52" s="503"/>
      <c r="BF52" s="504"/>
      <c r="BG52" s="504"/>
      <c r="BH52" s="504"/>
      <c r="BI52" s="504"/>
      <c r="BJ52" s="504"/>
      <c r="BK52" s="504" t="str">
        <f>IFERROR(LEFT(표3[[#This Row],[주소]],FIND(" ",표3[[#This Row],[주소]])-1),"")</f>
        <v>서울특별시</v>
      </c>
      <c r="BL5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52" s="504"/>
      <c r="BO52" s="504"/>
      <c r="BP52" s="504"/>
      <c r="BQ52" s="504"/>
      <c r="BR52" s="505"/>
      <c r="BS52" s="718" t="s">
        <v>179</v>
      </c>
      <c r="BT52" s="719" t="s">
        <v>179</v>
      </c>
      <c r="BU52" s="719" t="s">
        <v>179</v>
      </c>
      <c r="BV52" s="719" t="s">
        <v>179</v>
      </c>
      <c r="BW52" s="719" t="s">
        <v>179</v>
      </c>
      <c r="BX52" s="719" t="s">
        <v>179</v>
      </c>
      <c r="BY52" s="719" t="s">
        <v>191</v>
      </c>
      <c r="BZ52" s="719">
        <v>58.24</v>
      </c>
      <c r="CA52" s="719">
        <v>27.61</v>
      </c>
      <c r="CB52" s="719">
        <v>428000000</v>
      </c>
      <c r="CC52" s="719">
        <v>428000000</v>
      </c>
      <c r="CD52" s="726">
        <f>표3[[#This Row],[종전추정가액]]*1.5219</f>
        <v>651373200</v>
      </c>
      <c r="CE52" s="506"/>
      <c r="CF52" s="507"/>
      <c r="CG52" s="507"/>
      <c r="CH52" s="508"/>
      <c r="CI52" s="508"/>
      <c r="CJ52" s="509"/>
      <c r="CK52" s="510"/>
      <c r="CL52" s="511"/>
      <c r="CM52" s="512"/>
      <c r="CN52" s="513"/>
      <c r="CO52" s="513"/>
      <c r="CP52" s="513"/>
      <c r="CQ52" s="513"/>
      <c r="CR52" s="513"/>
      <c r="CS52" s="514"/>
      <c r="CT52" s="515"/>
      <c r="CU52" s="515"/>
      <c r="CV52" s="515"/>
      <c r="CW52" s="515"/>
      <c r="CX52" s="515"/>
      <c r="CY52" s="515"/>
      <c r="CZ52" s="515"/>
      <c r="DA52" s="515"/>
      <c r="DB52" s="515"/>
      <c r="DC52" s="515"/>
      <c r="DD52" s="515"/>
      <c r="DE52" s="515"/>
      <c r="DF52" s="516"/>
    </row>
    <row r="53" spans="1:110" s="393" customFormat="1" ht="20.25" customHeight="1">
      <c r="A53" s="475"/>
      <c r="B53" s="476">
        <v>34</v>
      </c>
      <c r="C53" s="477">
        <v>28</v>
      </c>
      <c r="D53" s="478">
        <v>5</v>
      </c>
      <c r="E53" s="478" t="s">
        <v>272</v>
      </c>
      <c r="F53" s="479">
        <v>402</v>
      </c>
      <c r="G53" s="480"/>
      <c r="H53" s="481"/>
      <c r="I53" s="481"/>
      <c r="J53" s="481"/>
      <c r="K53" s="481"/>
      <c r="L53" s="481"/>
      <c r="M53" s="481"/>
      <c r="N53" s="481"/>
      <c r="O53" s="481"/>
      <c r="P53" s="482"/>
      <c r="Q53" s="483" t="s">
        <v>179</v>
      </c>
      <c r="R53" s="484">
        <v>0</v>
      </c>
      <c r="S53" s="485">
        <v>27.61</v>
      </c>
      <c r="T53" s="671">
        <f>표3[[#This Row],[편입면적]]/(SUM(표3[공부면적]))</f>
        <v>3.4495252373813088E-3</v>
      </c>
      <c r="U53" s="486" t="s">
        <v>179</v>
      </c>
      <c r="V53" s="487"/>
      <c r="W53" s="488">
        <v>58.24</v>
      </c>
      <c r="X53" s="489">
        <v>7.02</v>
      </c>
      <c r="Y53" s="489">
        <v>65.260000000000005</v>
      </c>
      <c r="Z53" s="489" t="s">
        <v>179</v>
      </c>
      <c r="AA53" s="518"/>
      <c r="AB53" s="491"/>
      <c r="AC53" s="492"/>
      <c r="AD53" s="493"/>
      <c r="AE53" s="493" t="str" cm="1">
        <f t="array" ref="AE5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3" s="494"/>
      <c r="AG53" s="495" t="s">
        <v>176</v>
      </c>
      <c r="AH53" s="495"/>
      <c r="AI53" s="495" t="s">
        <v>183</v>
      </c>
      <c r="AJ53" s="496"/>
      <c r="AK53" s="497"/>
      <c r="AL53" s="497"/>
      <c r="AM53" s="494"/>
      <c r="AN53" s="498"/>
      <c r="AO53" s="499" t="s">
        <v>285</v>
      </c>
      <c r="AP53" s="500" t="s">
        <v>179</v>
      </c>
      <c r="AQ53" s="500"/>
      <c r="AR53" s="501">
        <v>57</v>
      </c>
      <c r="AS5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53" s="502" t="s">
        <v>286</v>
      </c>
      <c r="AU53" s="503"/>
      <c r="AV53" s="503"/>
      <c r="AW53" s="503" t="str">
        <f>IF(COUNTIF('설명회 참석자 명부'!$W$4:$W$29,표3[[#This Row],[성  명]])&gt;0,"O","")</f>
        <v/>
      </c>
      <c r="AX53" s="503" t="str">
        <f>_xlfn.XLOOKUP(표3[[#This Row],[성  명]],'설명회 참석자 명부'!$W$4:$W$29,'설명회 참석자 명부'!$X$4:$X$29,"")</f>
        <v/>
      </c>
      <c r="AY53" s="503"/>
      <c r="AZ53" s="503"/>
      <c r="BA53" s="503"/>
      <c r="BB53" s="503"/>
      <c r="BC53" s="503"/>
      <c r="BD53" s="503"/>
      <c r="BE53" s="503"/>
      <c r="BF53" s="504"/>
      <c r="BG53" s="504"/>
      <c r="BH53" s="504"/>
      <c r="BI53" s="504"/>
      <c r="BJ53" s="504"/>
      <c r="BK53" s="504" t="str">
        <f>IFERROR(LEFT(표3[[#This Row],[주소]],FIND(" ",표3[[#This Row],[주소]])-1),"")</f>
        <v>서울특별시</v>
      </c>
      <c r="BL5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</v>
      </c>
      <c r="BN53" s="504"/>
      <c r="BO53" s="504"/>
      <c r="BP53" s="504"/>
      <c r="BQ53" s="504"/>
      <c r="BR53" s="505"/>
      <c r="BS53" s="718" t="s">
        <v>179</v>
      </c>
      <c r="BT53" s="719" t="s">
        <v>179</v>
      </c>
      <c r="BU53" s="719" t="s">
        <v>179</v>
      </c>
      <c r="BV53" s="719" t="s">
        <v>179</v>
      </c>
      <c r="BW53" s="719" t="s">
        <v>179</v>
      </c>
      <c r="BX53" s="719" t="s">
        <v>179</v>
      </c>
      <c r="BY53" s="719" t="s">
        <v>191</v>
      </c>
      <c r="BZ53" s="719">
        <v>58.24</v>
      </c>
      <c r="CA53" s="719">
        <v>27.61</v>
      </c>
      <c r="CB53" s="719">
        <v>428000000</v>
      </c>
      <c r="CC53" s="719">
        <v>428000000</v>
      </c>
      <c r="CD53" s="726">
        <f>표3[[#This Row],[종전추정가액]]*1.5219</f>
        <v>651373200</v>
      </c>
      <c r="CE53" s="506"/>
      <c r="CF53" s="507"/>
      <c r="CG53" s="507"/>
      <c r="CH53" s="508"/>
      <c r="CI53" s="508"/>
      <c r="CJ53" s="509"/>
      <c r="CK53" s="510"/>
      <c r="CL53" s="511"/>
      <c r="CM53" s="512"/>
      <c r="CN53" s="513"/>
      <c r="CO53" s="513"/>
      <c r="CP53" s="513"/>
      <c r="CQ53" s="513"/>
      <c r="CR53" s="513"/>
      <c r="CS53" s="514"/>
      <c r="CT53" s="515"/>
      <c r="CU53" s="515"/>
      <c r="CV53" s="515"/>
      <c r="CW53" s="515"/>
      <c r="CX53" s="515"/>
      <c r="CY53" s="515"/>
      <c r="CZ53" s="515"/>
      <c r="DA53" s="515"/>
      <c r="DB53" s="515"/>
      <c r="DC53" s="515"/>
      <c r="DD53" s="515"/>
      <c r="DE53" s="515"/>
      <c r="DF53" s="516"/>
    </row>
    <row r="54" spans="1:110" s="393" customFormat="1" ht="20.25" customHeight="1">
      <c r="A54" s="475"/>
      <c r="B54" s="476">
        <v>35</v>
      </c>
      <c r="C54" s="477">
        <v>28</v>
      </c>
      <c r="D54" s="478">
        <v>5</v>
      </c>
      <c r="E54" s="478" t="s">
        <v>272</v>
      </c>
      <c r="F54" s="479">
        <v>501</v>
      </c>
      <c r="G54" s="480"/>
      <c r="H54" s="481"/>
      <c r="I54" s="481"/>
      <c r="J54" s="481"/>
      <c r="K54" s="481"/>
      <c r="L54" s="481"/>
      <c r="M54" s="481"/>
      <c r="N54" s="481"/>
      <c r="O54" s="481"/>
      <c r="P54" s="482"/>
      <c r="Q54" s="483" t="s">
        <v>179</v>
      </c>
      <c r="R54" s="484">
        <v>0</v>
      </c>
      <c r="S54" s="485">
        <v>23.67</v>
      </c>
      <c r="T54" s="671">
        <f>표3[[#This Row],[편입면적]]/(SUM(표3[공부면적]))</f>
        <v>2.9572713643178411E-3</v>
      </c>
      <c r="U54" s="486" t="s">
        <v>179</v>
      </c>
      <c r="V54" s="487"/>
      <c r="W54" s="488">
        <v>49.93</v>
      </c>
      <c r="X54" s="489">
        <v>6</v>
      </c>
      <c r="Y54" s="489">
        <v>55.93</v>
      </c>
      <c r="Z54" s="489" t="s">
        <v>179</v>
      </c>
      <c r="AA54" s="518"/>
      <c r="AB54" s="491"/>
      <c r="AC54" s="492"/>
      <c r="AD54" s="493"/>
      <c r="AE54" s="493" t="str" cm="1">
        <f t="array" ref="AE5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4" s="494"/>
      <c r="AG54" s="495" t="s">
        <v>176</v>
      </c>
      <c r="AH54" s="495"/>
      <c r="AI54" s="495" t="s">
        <v>183</v>
      </c>
      <c r="AJ54" s="496"/>
      <c r="AK54" s="497"/>
      <c r="AL54" s="497"/>
      <c r="AM54" s="494"/>
      <c r="AN54" s="498"/>
      <c r="AO54" s="499" t="s">
        <v>287</v>
      </c>
      <c r="AP54" s="500" t="s">
        <v>179</v>
      </c>
      <c r="AQ54" s="500"/>
      <c r="AR54" s="501">
        <v>64</v>
      </c>
      <c r="AS5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54" s="502" t="s">
        <v>288</v>
      </c>
      <c r="AU54" s="503" t="s">
        <v>190</v>
      </c>
      <c r="AV54" s="503"/>
      <c r="AW54" s="503" t="str">
        <f>IF(COUNTIF('설명회 참석자 명부'!$W$4:$W$29,표3[[#This Row],[성  명]])&gt;0,"O","")</f>
        <v/>
      </c>
      <c r="AX54" s="503" t="str">
        <f>_xlfn.XLOOKUP(표3[[#This Row],[성  명]],'설명회 참석자 명부'!$W$4:$W$29,'설명회 참석자 명부'!$X$4:$X$29,"")</f>
        <v/>
      </c>
      <c r="AY54" s="503"/>
      <c r="AZ54" s="503"/>
      <c r="BA54" s="503"/>
      <c r="BB54" s="503"/>
      <c r="BC54" s="503"/>
      <c r="BD54" s="503"/>
      <c r="BE54" s="503"/>
      <c r="BF54" s="504"/>
      <c r="BG54" s="504"/>
      <c r="BH54" s="504"/>
      <c r="BI54" s="504"/>
      <c r="BJ54" s="504"/>
      <c r="BK54" s="504" t="str">
        <f>IFERROR(LEFT(표3[[#This Row],[주소]],FIND(" ",표3[[#This Row],[주소]])-1),"")</f>
        <v>서울특별시</v>
      </c>
      <c r="BL5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54" s="504"/>
      <c r="BO54" s="504"/>
      <c r="BP54" s="504"/>
      <c r="BQ54" s="504"/>
      <c r="BR54" s="505"/>
      <c r="BS54" s="718" t="s">
        <v>179</v>
      </c>
      <c r="BT54" s="719" t="s">
        <v>179</v>
      </c>
      <c r="BU54" s="719" t="s">
        <v>179</v>
      </c>
      <c r="BV54" s="719" t="s">
        <v>179</v>
      </c>
      <c r="BW54" s="719" t="s">
        <v>179</v>
      </c>
      <c r="BX54" s="719" t="s">
        <v>179</v>
      </c>
      <c r="BY54" s="719" t="s">
        <v>191</v>
      </c>
      <c r="BZ54" s="719">
        <v>49.93</v>
      </c>
      <c r="CA54" s="719">
        <v>23.67</v>
      </c>
      <c r="CB54" s="719">
        <v>367000000</v>
      </c>
      <c r="CC54" s="719">
        <v>367000000</v>
      </c>
      <c r="CD54" s="726">
        <f>표3[[#This Row],[종전추정가액]]*1.5219</f>
        <v>558537300</v>
      </c>
      <c r="CE54" s="506"/>
      <c r="CF54" s="507"/>
      <c r="CG54" s="507"/>
      <c r="CH54" s="508"/>
      <c r="CI54" s="508"/>
      <c r="CJ54" s="509"/>
      <c r="CK54" s="510"/>
      <c r="CL54" s="511"/>
      <c r="CM54" s="512"/>
      <c r="CN54" s="513"/>
      <c r="CO54" s="513"/>
      <c r="CP54" s="513"/>
      <c r="CQ54" s="513"/>
      <c r="CR54" s="513"/>
      <c r="CS54" s="514"/>
      <c r="CT54" s="515"/>
      <c r="CU54" s="515"/>
      <c r="CV54" s="515"/>
      <c r="CW54" s="515"/>
      <c r="CX54" s="515"/>
      <c r="CY54" s="515"/>
      <c r="CZ54" s="515"/>
      <c r="DA54" s="515"/>
      <c r="DB54" s="515"/>
      <c r="DC54" s="515"/>
      <c r="DD54" s="515"/>
      <c r="DE54" s="515"/>
      <c r="DF54" s="516"/>
    </row>
    <row r="55" spans="1:110" s="393" customFormat="1" ht="20.25" customHeight="1" thickBot="1">
      <c r="A55" s="394"/>
      <c r="B55" s="395">
        <v>36</v>
      </c>
      <c r="C55" s="396">
        <v>28</v>
      </c>
      <c r="D55" s="397">
        <v>5</v>
      </c>
      <c r="E55" s="397" t="s">
        <v>272</v>
      </c>
      <c r="F55" s="398">
        <v>502</v>
      </c>
      <c r="G55" s="399"/>
      <c r="H55" s="400"/>
      <c r="I55" s="400"/>
      <c r="J55" s="400"/>
      <c r="K55" s="400"/>
      <c r="L55" s="400"/>
      <c r="M55" s="400"/>
      <c r="N55" s="400"/>
      <c r="O55" s="400"/>
      <c r="P55" s="401"/>
      <c r="Q55" s="402" t="s">
        <v>179</v>
      </c>
      <c r="R55" s="403">
        <v>0</v>
      </c>
      <c r="S55" s="404">
        <v>25.53</v>
      </c>
      <c r="T55" s="672">
        <f>표3[[#This Row],[편입면적]]/(SUM(표3[공부면적]))</f>
        <v>3.1896551724137929E-3</v>
      </c>
      <c r="U55" s="662" t="s">
        <v>179</v>
      </c>
      <c r="V55" s="405"/>
      <c r="W55" s="406">
        <v>53.86</v>
      </c>
      <c r="X55" s="407">
        <v>6.48</v>
      </c>
      <c r="Y55" s="407">
        <v>60.34</v>
      </c>
      <c r="Z55" s="407" t="s">
        <v>179</v>
      </c>
      <c r="AA55" s="520"/>
      <c r="AB55" s="409"/>
      <c r="AC55" s="410"/>
      <c r="AD55" s="411"/>
      <c r="AE55" s="411" t="str" cm="1">
        <f t="array" ref="AE5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5" s="412"/>
      <c r="AG55" s="413" t="s">
        <v>176</v>
      </c>
      <c r="AH55" s="413"/>
      <c r="AI55" s="413" t="s">
        <v>183</v>
      </c>
      <c r="AJ55" s="414"/>
      <c r="AK55" s="415"/>
      <c r="AL55" s="415"/>
      <c r="AM55" s="412"/>
      <c r="AN55" s="416"/>
      <c r="AO55" s="417" t="s">
        <v>289</v>
      </c>
      <c r="AP55" s="418">
        <v>1042129409</v>
      </c>
      <c r="AQ55" s="418"/>
      <c r="AR55" s="419">
        <v>51</v>
      </c>
      <c r="AS55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55" s="420" t="s">
        <v>290</v>
      </c>
      <c r="AU55" s="421" t="s">
        <v>190</v>
      </c>
      <c r="AV55" s="421"/>
      <c r="AW55" s="421" t="str">
        <f>IF(COUNTIF('설명회 참석자 명부'!$W$4:$W$29,표3[[#This Row],[성  명]])&gt;0,"O","")</f>
        <v/>
      </c>
      <c r="AX55" s="421" t="str">
        <f>_xlfn.XLOOKUP(표3[[#This Row],[성  명]],'설명회 참석자 명부'!$W$4:$W$29,'설명회 참석자 명부'!$X$4:$X$29,"")</f>
        <v/>
      </c>
      <c r="AY55" s="421"/>
      <c r="AZ55" s="421"/>
      <c r="BA55" s="421" t="s">
        <v>190</v>
      </c>
      <c r="BB55" s="421" t="s">
        <v>190</v>
      </c>
      <c r="BC55" s="421"/>
      <c r="BD55" s="421"/>
      <c r="BE55" s="421"/>
      <c r="BF55" s="422"/>
      <c r="BG55" s="422"/>
      <c r="BH55" s="422"/>
      <c r="BI55" s="422"/>
      <c r="BJ55" s="422"/>
      <c r="BK55" s="422" t="str">
        <f>IFERROR(LEFT(표3[[#This Row],[주소]],FIND(" ",표3[[#This Row],[주소]])-1),"")</f>
        <v>서울특별시</v>
      </c>
      <c r="BL55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5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55" s="422"/>
      <c r="BO55" s="422"/>
      <c r="BP55" s="422"/>
      <c r="BQ55" s="422"/>
      <c r="BR55" s="423"/>
      <c r="BS55" s="720" t="s">
        <v>179</v>
      </c>
      <c r="BT55" s="721" t="s">
        <v>179</v>
      </c>
      <c r="BU55" s="721" t="s">
        <v>179</v>
      </c>
      <c r="BV55" s="721" t="s">
        <v>179</v>
      </c>
      <c r="BW55" s="721" t="s">
        <v>179</v>
      </c>
      <c r="BX55" s="721" t="s">
        <v>179</v>
      </c>
      <c r="BY55" s="721" t="s">
        <v>191</v>
      </c>
      <c r="BZ55" s="721">
        <v>53.86</v>
      </c>
      <c r="CA55" s="721">
        <v>25.53</v>
      </c>
      <c r="CB55" s="721">
        <v>396000000</v>
      </c>
      <c r="CC55" s="721">
        <v>396000000</v>
      </c>
      <c r="CD55" s="726">
        <f>표3[[#This Row],[종전추정가액]]*1.5219</f>
        <v>602672400</v>
      </c>
      <c r="CE55" s="424"/>
      <c r="CF55" s="425"/>
      <c r="CG55" s="425"/>
      <c r="CH55" s="426"/>
      <c r="CI55" s="426"/>
      <c r="CJ55" s="427"/>
      <c r="CK55" s="428"/>
      <c r="CL55" s="429"/>
      <c r="CM55" s="430"/>
      <c r="CN55" s="431"/>
      <c r="CO55" s="431"/>
      <c r="CP55" s="431"/>
      <c r="CQ55" s="431"/>
      <c r="CR55" s="431"/>
      <c r="CS55" s="432"/>
      <c r="CT55" s="433"/>
      <c r="CU55" s="433"/>
      <c r="CV55" s="433"/>
      <c r="CW55" s="433"/>
      <c r="CX55" s="433"/>
      <c r="CY55" s="433"/>
      <c r="CZ55" s="433"/>
      <c r="DA55" s="433"/>
      <c r="DB55" s="433"/>
      <c r="DC55" s="433"/>
      <c r="DD55" s="433"/>
      <c r="DE55" s="433"/>
      <c r="DF55" s="434"/>
    </row>
    <row r="56" spans="1:110" s="529" customFormat="1" ht="23.5" customHeight="1" thickTop="1">
      <c r="A56" s="435"/>
      <c r="B56" s="436"/>
      <c r="C56" s="437">
        <v>28</v>
      </c>
      <c r="D56" s="438">
        <v>6</v>
      </c>
      <c r="E56" s="438" t="s">
        <v>291</v>
      </c>
      <c r="F56" s="667">
        <v>0</v>
      </c>
      <c r="G56" s="439"/>
      <c r="H56" s="440"/>
      <c r="I56" s="440"/>
      <c r="J56" s="440"/>
      <c r="K56" s="440"/>
      <c r="L56" s="440"/>
      <c r="M56" s="440"/>
      <c r="N56" s="440"/>
      <c r="O56" s="440"/>
      <c r="P56" s="441"/>
      <c r="Q56" s="442" t="s">
        <v>173</v>
      </c>
      <c r="R56" s="443">
        <v>386.8</v>
      </c>
      <c r="S56" s="443"/>
      <c r="T56" s="670">
        <f>표3[[#This Row],[편입면적]]/(SUM(표3[공부면적]))</f>
        <v>0</v>
      </c>
      <c r="U56" s="444" t="s">
        <v>174</v>
      </c>
      <c r="V56" s="445"/>
      <c r="W56" s="446"/>
      <c r="X56" s="447"/>
      <c r="Y56" s="447">
        <v>0</v>
      </c>
      <c r="Z56" s="447">
        <v>796.65</v>
      </c>
      <c r="AA56" s="517"/>
      <c r="AB56" s="449"/>
      <c r="AC56" s="450" t="s">
        <v>292</v>
      </c>
      <c r="AD56" s="451">
        <v>23</v>
      </c>
      <c r="AE56" s="451" t="str" cm="1">
        <f t="array" ref="AE5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6" s="452"/>
      <c r="AG56" s="453" t="s">
        <v>176</v>
      </c>
      <c r="AH56" s="453"/>
      <c r="AI56" s="453" t="s">
        <v>183</v>
      </c>
      <c r="AJ56" s="453"/>
      <c r="AK56" s="454"/>
      <c r="AL56" s="454"/>
      <c r="AM56" s="452">
        <v>5</v>
      </c>
      <c r="AN56" s="455">
        <v>0</v>
      </c>
      <c r="AO56" s="456"/>
      <c r="AP56" s="457" t="s">
        <v>179</v>
      </c>
      <c r="AQ56" s="457"/>
      <c r="AR56" s="458"/>
      <c r="AS56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56" s="459"/>
      <c r="AU56" s="460"/>
      <c r="AV56" s="460"/>
      <c r="AW56" s="460" t="str">
        <f>IF(COUNTIF('설명회 참석자 명부'!$W$4:$W$29,표3[[#This Row],[성  명]])&gt;0,"O","")</f>
        <v/>
      </c>
      <c r="AX56" s="460">
        <f>_xlfn.XLOOKUP(표3[[#This Row],[성  명]],'설명회 참석자 명부'!$W$4:$W$29,'설명회 참석자 명부'!$X$4:$X$29,"")</f>
        <v>0</v>
      </c>
      <c r="AY56" s="460"/>
      <c r="AZ56" s="460"/>
      <c r="BA56" s="460"/>
      <c r="BB56" s="460"/>
      <c r="BC56" s="460"/>
      <c r="BD56" s="460"/>
      <c r="BE56" s="460"/>
      <c r="BF56" s="461"/>
      <c r="BG56" s="461"/>
      <c r="BH56" s="461"/>
      <c r="BI56" s="461"/>
      <c r="BJ56" s="461"/>
      <c r="BK56" s="461" t="str">
        <f>IFERROR(LEFT(표3[[#This Row],[주소]],FIND(" ",표3[[#This Row],[주소]])-1),"")</f>
        <v/>
      </c>
      <c r="BL56" s="461" t="str">
        <f>IFERROR(MID(표3[[#This Row],[주소]], FIND(" ", 표3[[#This Row],[주소]])+1, FIND(" ", 표3[[#This Row],[주소]], FIND(" ", 표3[[#This Row],[주소]])+1) - FIND(" ", 표3[[#This Row],[주소]])-1),"")</f>
        <v/>
      </c>
      <c r="BM56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56" s="461"/>
      <c r="BO56" s="461"/>
      <c r="BP56" s="461"/>
      <c r="BQ56" s="461"/>
      <c r="BR56" s="462"/>
      <c r="BS56" s="716"/>
      <c r="BT56" s="717"/>
      <c r="BU56" s="717"/>
      <c r="BV56" s="717"/>
      <c r="BW56" s="717"/>
      <c r="BX56" s="717"/>
      <c r="BY56" s="717"/>
      <c r="BZ56" s="717"/>
      <c r="CA56" s="717"/>
      <c r="CB56" s="717"/>
      <c r="CC56" s="717"/>
      <c r="CD56" s="727">
        <f>표3[[#This Row],[종전추정가액]]*1.5219</f>
        <v>0</v>
      </c>
      <c r="CE56" s="463"/>
      <c r="CF56" s="464"/>
      <c r="CG56" s="464"/>
      <c r="CH56" s="465"/>
      <c r="CI56" s="465"/>
      <c r="CJ56" s="466"/>
      <c r="CK56" s="467"/>
      <c r="CL56" s="468"/>
      <c r="CM56" s="469"/>
      <c r="CN56" s="470"/>
      <c r="CO56" s="470"/>
      <c r="CP56" s="470"/>
      <c r="CQ56" s="470"/>
      <c r="CR56" s="470"/>
      <c r="CS56" s="471"/>
      <c r="CT56" s="472"/>
      <c r="CU56" s="472"/>
      <c r="CV56" s="472"/>
      <c r="CW56" s="472"/>
      <c r="CX56" s="472"/>
      <c r="CY56" s="472"/>
      <c r="CZ56" s="472"/>
      <c r="DA56" s="472"/>
      <c r="DB56" s="472"/>
      <c r="DC56" s="472"/>
      <c r="DD56" s="472"/>
      <c r="DE56" s="472"/>
      <c r="DF56" s="473"/>
    </row>
    <row r="57" spans="1:110" s="530" customFormat="1" ht="28.5" customHeight="1">
      <c r="A57" s="475"/>
      <c r="B57" s="476">
        <v>37</v>
      </c>
      <c r="C57" s="477">
        <v>28</v>
      </c>
      <c r="D57" s="478">
        <v>6</v>
      </c>
      <c r="E57" s="478" t="s">
        <v>293</v>
      </c>
      <c r="F57" s="479">
        <v>201</v>
      </c>
      <c r="G57" s="480"/>
      <c r="H57" s="481"/>
      <c r="I57" s="481"/>
      <c r="J57" s="481"/>
      <c r="K57" s="481"/>
      <c r="L57" s="481"/>
      <c r="M57" s="481"/>
      <c r="N57" s="481"/>
      <c r="O57" s="481"/>
      <c r="P57" s="482"/>
      <c r="Q57" s="483" t="s">
        <v>179</v>
      </c>
      <c r="R57" s="484">
        <v>0</v>
      </c>
      <c r="S57" s="485">
        <v>21.98</v>
      </c>
      <c r="T57" s="671">
        <f>표3[[#This Row],[편입면적]]/(SUM(표3[공부면적]))</f>
        <v>2.7461269365317339E-3</v>
      </c>
      <c r="U57" s="486" t="s">
        <v>179</v>
      </c>
      <c r="V57" s="487"/>
      <c r="W57" s="488">
        <v>39.590000000000003</v>
      </c>
      <c r="X57" s="489">
        <v>4.37</v>
      </c>
      <c r="Y57" s="489">
        <v>43.96</v>
      </c>
      <c r="Z57" s="489" t="s">
        <v>179</v>
      </c>
      <c r="AA57" s="518"/>
      <c r="AB57" s="491"/>
      <c r="AC57" s="492"/>
      <c r="AD57" s="493"/>
      <c r="AE57" s="493" t="str" cm="1">
        <f t="array" ref="AE5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7" s="494"/>
      <c r="AG57" s="495" t="s">
        <v>176</v>
      </c>
      <c r="AH57" s="495"/>
      <c r="AI57" s="495" t="s">
        <v>183</v>
      </c>
      <c r="AJ57" s="496"/>
      <c r="AK57" s="497"/>
      <c r="AL57" s="497"/>
      <c r="AM57" s="494"/>
      <c r="AN57" s="498"/>
      <c r="AO57" s="499" t="s">
        <v>294</v>
      </c>
      <c r="AP57" s="500">
        <v>1097237677</v>
      </c>
      <c r="AQ57" s="500"/>
      <c r="AR57" s="501">
        <v>61</v>
      </c>
      <c r="AS5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57" s="519" t="s">
        <v>295</v>
      </c>
      <c r="AU57" s="503" t="s">
        <v>296</v>
      </c>
      <c r="AV57" s="503"/>
      <c r="AW57" s="503" t="str">
        <f>IF(COUNTIF('설명회 참석자 명부'!$W$4:$W$29,표3[[#This Row],[성  명]])&gt;0,"O","")</f>
        <v/>
      </c>
      <c r="AX57" s="503" t="str">
        <f>_xlfn.XLOOKUP(표3[[#This Row],[성  명]],'설명회 참석자 명부'!$W$4:$W$29,'설명회 참석자 명부'!$X$4:$X$29,"")</f>
        <v/>
      </c>
      <c r="AY57" s="503"/>
      <c r="AZ57" s="503"/>
      <c r="BA57" s="503"/>
      <c r="BB57" s="503"/>
      <c r="BC57" s="503"/>
      <c r="BD57" s="503"/>
      <c r="BE57" s="503"/>
      <c r="BF57" s="504"/>
      <c r="BG57" s="504"/>
      <c r="BH57" s="504"/>
      <c r="BI57" s="504"/>
      <c r="BJ57" s="504"/>
      <c r="BK57" s="504" t="str">
        <f>IFERROR(LEFT(표3[[#This Row],[주소]],FIND(" ",표3[[#This Row],[주소]])-1),"")</f>
        <v>서울특별시</v>
      </c>
      <c r="BL5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</v>
      </c>
      <c r="BN57" s="504"/>
      <c r="BO57" s="504"/>
      <c r="BP57" s="504"/>
      <c r="BQ57" s="504"/>
      <c r="BR57" s="505"/>
      <c r="BS57" s="718" t="s">
        <v>179</v>
      </c>
      <c r="BT57" s="719" t="s">
        <v>179</v>
      </c>
      <c r="BU57" s="719" t="s">
        <v>179</v>
      </c>
      <c r="BV57" s="719" t="s">
        <v>179</v>
      </c>
      <c r="BW57" s="719" t="s">
        <v>179</v>
      </c>
      <c r="BX57" s="719" t="s">
        <v>179</v>
      </c>
      <c r="BY57" s="719" t="s">
        <v>187</v>
      </c>
      <c r="BZ57" s="719">
        <v>39.590000000000003</v>
      </c>
      <c r="CA57" s="719">
        <v>21.98</v>
      </c>
      <c r="CB57" s="719">
        <v>199000000</v>
      </c>
      <c r="CC57" s="719">
        <v>199000000</v>
      </c>
      <c r="CD57" s="726">
        <f>표3[[#This Row],[종전추정가액]]*1.5219</f>
        <v>302858100</v>
      </c>
      <c r="CE57" s="506"/>
      <c r="CF57" s="507"/>
      <c r="CG57" s="507"/>
      <c r="CH57" s="508"/>
      <c r="CI57" s="508"/>
      <c r="CJ57" s="509"/>
      <c r="CK57" s="510"/>
      <c r="CL57" s="511"/>
      <c r="CM57" s="512"/>
      <c r="CN57" s="513"/>
      <c r="CO57" s="513"/>
      <c r="CP57" s="513"/>
      <c r="CQ57" s="513"/>
      <c r="CR57" s="513"/>
      <c r="CS57" s="514"/>
      <c r="CT57" s="515"/>
      <c r="CU57" s="515"/>
      <c r="CV57" s="515"/>
      <c r="CW57" s="515"/>
      <c r="CX57" s="515"/>
      <c r="CY57" s="515"/>
      <c r="CZ57" s="515"/>
      <c r="DA57" s="515"/>
      <c r="DB57" s="515"/>
      <c r="DC57" s="515"/>
      <c r="DD57" s="515"/>
      <c r="DE57" s="515"/>
      <c r="DF57" s="516"/>
    </row>
    <row r="58" spans="1:110" s="531" customFormat="1" ht="19">
      <c r="A58" s="475"/>
      <c r="B58" s="476">
        <v>38</v>
      </c>
      <c r="C58" s="477">
        <v>28</v>
      </c>
      <c r="D58" s="478">
        <v>6</v>
      </c>
      <c r="E58" s="478" t="s">
        <v>293</v>
      </c>
      <c r="F58" s="479">
        <v>202</v>
      </c>
      <c r="G58" s="480"/>
      <c r="H58" s="481"/>
      <c r="I58" s="481"/>
      <c r="J58" s="481"/>
      <c r="K58" s="481" t="s">
        <v>174</v>
      </c>
      <c r="L58" s="481" t="s">
        <v>174</v>
      </c>
      <c r="M58" s="481" t="s">
        <v>174</v>
      </c>
      <c r="N58" s="481"/>
      <c r="O58" s="481"/>
      <c r="P58" s="482" t="s">
        <v>872</v>
      </c>
      <c r="Q58" s="483" t="s">
        <v>179</v>
      </c>
      <c r="R58" s="484">
        <v>0</v>
      </c>
      <c r="S58" s="485">
        <v>33.048000000000002</v>
      </c>
      <c r="T58" s="671">
        <f>표3[[#This Row],[편입면적]]/(SUM(표3[공부면적]))</f>
        <v>4.1289355322338831E-3</v>
      </c>
      <c r="U58" s="486" t="s">
        <v>179</v>
      </c>
      <c r="V58" s="487"/>
      <c r="W58" s="488">
        <v>59.52</v>
      </c>
      <c r="X58" s="489">
        <v>6.57</v>
      </c>
      <c r="Y58" s="489">
        <v>66.09</v>
      </c>
      <c r="Z58" s="489" t="s">
        <v>179</v>
      </c>
      <c r="AA58" s="518"/>
      <c r="AB58" s="491"/>
      <c r="AC58" s="492"/>
      <c r="AD58" s="493"/>
      <c r="AE58" s="493" t="str" cm="1">
        <f t="array" ref="AE5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8" s="494"/>
      <c r="AG58" s="495" t="s">
        <v>176</v>
      </c>
      <c r="AH58" s="495"/>
      <c r="AI58" s="495" t="s">
        <v>183</v>
      </c>
      <c r="AJ58" s="496"/>
      <c r="AK58" s="497"/>
      <c r="AL58" s="497"/>
      <c r="AM58" s="494"/>
      <c r="AN58" s="498"/>
      <c r="AO58" s="499" t="s">
        <v>297</v>
      </c>
      <c r="AP58" s="500" t="s">
        <v>179</v>
      </c>
      <c r="AQ58" s="500"/>
      <c r="AR58" s="501">
        <v>60</v>
      </c>
      <c r="AS5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58" s="502" t="s">
        <v>298</v>
      </c>
      <c r="AU58" s="503"/>
      <c r="AV58" s="503"/>
      <c r="AW58" s="503" t="str">
        <f>IF(COUNTIF('설명회 참석자 명부'!$W$4:$W$29,표3[[#This Row],[성  명]])&gt;0,"O","")</f>
        <v/>
      </c>
      <c r="AX58" s="503" t="str">
        <f>_xlfn.XLOOKUP(표3[[#This Row],[성  명]],'설명회 참석자 명부'!$W$4:$W$29,'설명회 참석자 명부'!$X$4:$X$29,"")</f>
        <v/>
      </c>
      <c r="AY58" s="503"/>
      <c r="AZ58" s="503"/>
      <c r="BA58" s="503"/>
      <c r="BB58" s="503"/>
      <c r="BC58" s="503"/>
      <c r="BD58" s="503"/>
      <c r="BE58" s="503"/>
      <c r="BF58" s="504"/>
      <c r="BG58" s="504"/>
      <c r="BH58" s="504"/>
      <c r="BI58" s="504"/>
      <c r="BJ58" s="504"/>
      <c r="BK58" s="504" t="str">
        <f>IFERROR(LEFT(표3[[#This Row],[주소]],FIND(" ",표3[[#This Row],[주소]])-1),"")</f>
        <v>서울특별시</v>
      </c>
      <c r="BL58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58" s="504"/>
      <c r="BO58" s="504"/>
      <c r="BP58" s="504"/>
      <c r="BQ58" s="504"/>
      <c r="BR58" s="505"/>
      <c r="BS58" s="718" t="s">
        <v>179</v>
      </c>
      <c r="BT58" s="719" t="s">
        <v>179</v>
      </c>
      <c r="BU58" s="719" t="s">
        <v>179</v>
      </c>
      <c r="BV58" s="719" t="s">
        <v>179</v>
      </c>
      <c r="BW58" s="719" t="s">
        <v>179</v>
      </c>
      <c r="BX58" s="719" t="s">
        <v>179</v>
      </c>
      <c r="BY58" s="719" t="s">
        <v>187</v>
      </c>
      <c r="BZ58" s="719">
        <v>59.52</v>
      </c>
      <c r="CA58" s="719">
        <v>38.700000000000003</v>
      </c>
      <c r="CB58" s="719">
        <v>328000000</v>
      </c>
      <c r="CC58" s="719">
        <v>328000000</v>
      </c>
      <c r="CD58" s="726">
        <f>표3[[#This Row],[종전추정가액]]*1.5219</f>
        <v>499183200</v>
      </c>
      <c r="CE58" s="506"/>
      <c r="CF58" s="507"/>
      <c r="CG58" s="507"/>
      <c r="CH58" s="508"/>
      <c r="CI58" s="508"/>
      <c r="CJ58" s="509"/>
      <c r="CK58" s="510"/>
      <c r="CL58" s="511"/>
      <c r="CM58" s="512"/>
      <c r="CN58" s="513"/>
      <c r="CO58" s="513"/>
      <c r="CP58" s="513"/>
      <c r="CQ58" s="513"/>
      <c r="CR58" s="513"/>
      <c r="CS58" s="514"/>
      <c r="CT58" s="515"/>
      <c r="CU58" s="515"/>
      <c r="CV58" s="515"/>
      <c r="CW58" s="515"/>
      <c r="CX58" s="515"/>
      <c r="CY58" s="515"/>
      <c r="CZ58" s="515"/>
      <c r="DA58" s="515"/>
      <c r="DB58" s="515"/>
      <c r="DC58" s="515"/>
      <c r="DD58" s="515"/>
      <c r="DE58" s="515"/>
      <c r="DF58" s="516"/>
    </row>
    <row r="59" spans="1:110" s="531" customFormat="1" ht="32.25" customHeight="1">
      <c r="A59" s="475"/>
      <c r="B59" s="476">
        <v>39</v>
      </c>
      <c r="C59" s="477">
        <v>28</v>
      </c>
      <c r="D59" s="478">
        <v>6</v>
      </c>
      <c r="E59" s="478" t="s">
        <v>293</v>
      </c>
      <c r="F59" s="479">
        <v>203</v>
      </c>
      <c r="G59" s="480"/>
      <c r="H59" s="481"/>
      <c r="I59" s="481"/>
      <c r="J59" s="481"/>
      <c r="K59" s="481"/>
      <c r="L59" s="481"/>
      <c r="M59" s="481"/>
      <c r="N59" s="481"/>
      <c r="O59" s="481"/>
      <c r="P59" s="482"/>
      <c r="Q59" s="483" t="s">
        <v>179</v>
      </c>
      <c r="R59" s="484">
        <v>0</v>
      </c>
      <c r="S59" s="485">
        <v>33.048000000000002</v>
      </c>
      <c r="T59" s="671">
        <f>표3[[#This Row],[편입면적]]/(SUM(표3[공부면적]))</f>
        <v>4.1289355322338831E-3</v>
      </c>
      <c r="U59" s="486" t="s">
        <v>179</v>
      </c>
      <c r="V59" s="487"/>
      <c r="W59" s="488">
        <v>59.52</v>
      </c>
      <c r="X59" s="489">
        <v>6.57</v>
      </c>
      <c r="Y59" s="489">
        <v>66.09</v>
      </c>
      <c r="Z59" s="489" t="s">
        <v>179</v>
      </c>
      <c r="AA59" s="518"/>
      <c r="AB59" s="491"/>
      <c r="AC59" s="492"/>
      <c r="AD59" s="493"/>
      <c r="AE59" s="493" t="str" cm="1">
        <f t="array" ref="AE5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59" s="494"/>
      <c r="AG59" s="495" t="s">
        <v>176</v>
      </c>
      <c r="AH59" s="495"/>
      <c r="AI59" s="495" t="s">
        <v>183</v>
      </c>
      <c r="AJ59" s="496"/>
      <c r="AK59" s="497"/>
      <c r="AL59" s="497"/>
      <c r="AM59" s="494"/>
      <c r="AN59" s="498"/>
      <c r="AO59" s="499" t="s">
        <v>299</v>
      </c>
      <c r="AP59" s="626" t="s">
        <v>300</v>
      </c>
      <c r="AQ59" s="500"/>
      <c r="AR59" s="501">
        <v>64</v>
      </c>
      <c r="AS5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59" s="502" t="s">
        <v>301</v>
      </c>
      <c r="AU59" s="503" t="s">
        <v>296</v>
      </c>
      <c r="AV59" s="503"/>
      <c r="AW59" s="503" t="str">
        <f>IF(COUNTIF('설명회 참석자 명부'!$W$4:$W$29,표3[[#This Row],[성  명]])&gt;0,"O","")</f>
        <v/>
      </c>
      <c r="AX59" s="503" t="str">
        <f>_xlfn.XLOOKUP(표3[[#This Row],[성  명]],'설명회 참석자 명부'!$W$4:$W$29,'설명회 참석자 명부'!$X$4:$X$29,"")</f>
        <v/>
      </c>
      <c r="AY59" s="503"/>
      <c r="AZ59" s="503"/>
      <c r="BA59" s="503"/>
      <c r="BB59" s="503"/>
      <c r="BC59" s="503"/>
      <c r="BD59" s="503"/>
      <c r="BE59" s="503"/>
      <c r="BF59" s="504"/>
      <c r="BG59" s="504"/>
      <c r="BH59" s="504"/>
      <c r="BI59" s="504"/>
      <c r="BJ59" s="504"/>
      <c r="BK59" s="504" t="str">
        <f>IFERROR(LEFT(표3[[#This Row],[주소]],FIND(" ",표3[[#This Row],[주소]])-1),"")</f>
        <v>서울특별시</v>
      </c>
      <c r="BL59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5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문정로</v>
      </c>
      <c r="BN59" s="504"/>
      <c r="BO59" s="504"/>
      <c r="BP59" s="504"/>
      <c r="BQ59" s="504"/>
      <c r="BR59" s="505"/>
      <c r="BS59" s="718" t="s">
        <v>179</v>
      </c>
      <c r="BT59" s="719" t="s">
        <v>179</v>
      </c>
      <c r="BU59" s="719" t="s">
        <v>179</v>
      </c>
      <c r="BV59" s="719" t="s">
        <v>179</v>
      </c>
      <c r="BW59" s="719" t="s">
        <v>179</v>
      </c>
      <c r="BX59" s="719" t="s">
        <v>179</v>
      </c>
      <c r="BY59" s="719" t="s">
        <v>187</v>
      </c>
      <c r="BZ59" s="719">
        <v>59.52</v>
      </c>
      <c r="CA59" s="719">
        <v>33.04</v>
      </c>
      <c r="CB59" s="719">
        <v>299000000</v>
      </c>
      <c r="CC59" s="719">
        <v>299000000</v>
      </c>
      <c r="CD59" s="726">
        <f>표3[[#This Row],[종전추정가액]]*1.5219</f>
        <v>455048100</v>
      </c>
      <c r="CE59" s="506"/>
      <c r="CF59" s="507"/>
      <c r="CG59" s="507"/>
      <c r="CH59" s="508"/>
      <c r="CI59" s="508"/>
      <c r="CJ59" s="509"/>
      <c r="CK59" s="510"/>
      <c r="CL59" s="511"/>
      <c r="CM59" s="512"/>
      <c r="CN59" s="513"/>
      <c r="CO59" s="513"/>
      <c r="CP59" s="513"/>
      <c r="CQ59" s="513"/>
      <c r="CR59" s="513"/>
      <c r="CS59" s="514"/>
      <c r="CT59" s="515"/>
      <c r="CU59" s="515"/>
      <c r="CV59" s="515"/>
      <c r="CW59" s="515"/>
      <c r="CX59" s="515"/>
      <c r="CY59" s="515"/>
      <c r="CZ59" s="515"/>
      <c r="DA59" s="515"/>
      <c r="DB59" s="515"/>
      <c r="DC59" s="515"/>
      <c r="DD59" s="515"/>
      <c r="DE59" s="515"/>
      <c r="DF59" s="516"/>
    </row>
    <row r="60" spans="1:110" s="531" customFormat="1" ht="20.25" customHeight="1">
      <c r="A60" s="475"/>
      <c r="B60" s="476">
        <v>39</v>
      </c>
      <c r="C60" s="477">
        <v>28</v>
      </c>
      <c r="D60" s="478">
        <v>6</v>
      </c>
      <c r="E60" s="478" t="s">
        <v>293</v>
      </c>
      <c r="F60" s="479">
        <v>204</v>
      </c>
      <c r="G60" s="480"/>
      <c r="H60" s="481"/>
      <c r="I60" s="481"/>
      <c r="J60" s="481"/>
      <c r="K60" s="481"/>
      <c r="L60" s="481"/>
      <c r="M60" s="481"/>
      <c r="N60" s="481"/>
      <c r="O60" s="481"/>
      <c r="P60" s="482"/>
      <c r="Q60" s="483" t="s">
        <v>179</v>
      </c>
      <c r="R60" s="484">
        <v>0</v>
      </c>
      <c r="S60" s="485">
        <v>21.981999999999999</v>
      </c>
      <c r="T60" s="671">
        <f>표3[[#This Row],[편입면적]]/(SUM(표3[공부면적]))</f>
        <v>2.7463768115942025E-3</v>
      </c>
      <c r="U60" s="486" t="s">
        <v>179</v>
      </c>
      <c r="V60" s="487"/>
      <c r="W60" s="488">
        <v>39.590000000000003</v>
      </c>
      <c r="X60" s="489">
        <v>4.37</v>
      </c>
      <c r="Y60" s="489">
        <v>43.96</v>
      </c>
      <c r="Z60" s="489" t="s">
        <v>179</v>
      </c>
      <c r="AA60" s="518"/>
      <c r="AB60" s="491"/>
      <c r="AC60" s="492"/>
      <c r="AD60" s="493"/>
      <c r="AE60" s="493" t="str" cm="1">
        <f t="array" ref="AE6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0" s="494"/>
      <c r="AG60" s="495" t="s">
        <v>176</v>
      </c>
      <c r="AH60" s="495"/>
      <c r="AI60" s="495" t="s">
        <v>183</v>
      </c>
      <c r="AJ60" s="496"/>
      <c r="AK60" s="497"/>
      <c r="AL60" s="497"/>
      <c r="AM60" s="494"/>
      <c r="AN60" s="498"/>
      <c r="AO60" s="499" t="s">
        <v>299</v>
      </c>
      <c r="AP60" s="500">
        <v>1063607471</v>
      </c>
      <c r="AQ60" s="500"/>
      <c r="AR60" s="501">
        <v>64</v>
      </c>
      <c r="AS6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60" s="502" t="s">
        <v>301</v>
      </c>
      <c r="AU60" s="503"/>
      <c r="AV60" s="503"/>
      <c r="AW60" s="503" t="str">
        <f>IF(COUNTIF('설명회 참석자 명부'!$W$4:$W$29,표3[[#This Row],[성  명]])&gt;0,"O","")</f>
        <v/>
      </c>
      <c r="AX60" s="503" t="str">
        <f>_xlfn.XLOOKUP(표3[[#This Row],[성  명]],'설명회 참석자 명부'!$W$4:$W$29,'설명회 참석자 명부'!$X$4:$X$29,"")</f>
        <v/>
      </c>
      <c r="AY60" s="503"/>
      <c r="AZ60" s="503"/>
      <c r="BA60" s="503"/>
      <c r="BB60" s="503"/>
      <c r="BC60" s="503"/>
      <c r="BD60" s="503"/>
      <c r="BE60" s="503"/>
      <c r="BF60" s="504"/>
      <c r="BG60" s="504"/>
      <c r="BH60" s="504"/>
      <c r="BI60" s="504"/>
      <c r="BJ60" s="504"/>
      <c r="BK60" s="504" t="str">
        <f>IFERROR(LEFT(표3[[#This Row],[주소]],FIND(" ",표3[[#This Row],[주소]])-1),"")</f>
        <v>서울특별시</v>
      </c>
      <c r="BL6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6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문정로</v>
      </c>
      <c r="BN60" s="504"/>
      <c r="BO60" s="504"/>
      <c r="BP60" s="504"/>
      <c r="BQ60" s="504"/>
      <c r="BR60" s="505"/>
      <c r="BS60" s="718" t="s">
        <v>179</v>
      </c>
      <c r="BT60" s="719" t="s">
        <v>179</v>
      </c>
      <c r="BU60" s="719" t="s">
        <v>179</v>
      </c>
      <c r="BV60" s="719" t="s">
        <v>179</v>
      </c>
      <c r="BW60" s="719" t="s">
        <v>179</v>
      </c>
      <c r="BX60" s="719" t="s">
        <v>179</v>
      </c>
      <c r="BY60" s="719" t="s">
        <v>187</v>
      </c>
      <c r="BZ60" s="719">
        <v>39.590000000000003</v>
      </c>
      <c r="CA60" s="719">
        <v>21.98</v>
      </c>
      <c r="CB60" s="719">
        <v>199000000</v>
      </c>
      <c r="CC60" s="719">
        <v>199000000</v>
      </c>
      <c r="CD60" s="726">
        <f>표3[[#This Row],[종전추정가액]]*1.5219</f>
        <v>302858100</v>
      </c>
      <c r="CE60" s="506"/>
      <c r="CF60" s="507"/>
      <c r="CG60" s="507"/>
      <c r="CH60" s="508"/>
      <c r="CI60" s="508"/>
      <c r="CJ60" s="509"/>
      <c r="CK60" s="510"/>
      <c r="CL60" s="511"/>
      <c r="CM60" s="512"/>
      <c r="CN60" s="513"/>
      <c r="CO60" s="513"/>
      <c r="CP60" s="513"/>
      <c r="CQ60" s="513"/>
      <c r="CR60" s="513"/>
      <c r="CS60" s="514"/>
      <c r="CT60" s="515"/>
      <c r="CU60" s="515"/>
      <c r="CV60" s="515"/>
      <c r="CW60" s="515"/>
      <c r="CX60" s="515"/>
      <c r="CY60" s="515"/>
      <c r="CZ60" s="515"/>
      <c r="DA60" s="515"/>
      <c r="DB60" s="515"/>
      <c r="DC60" s="515"/>
      <c r="DD60" s="515"/>
      <c r="DE60" s="515"/>
      <c r="DF60" s="516"/>
    </row>
    <row r="61" spans="1:110" s="531" customFormat="1" ht="18.75" customHeight="1">
      <c r="A61" s="475"/>
      <c r="B61" s="476">
        <v>40</v>
      </c>
      <c r="C61" s="477">
        <v>28</v>
      </c>
      <c r="D61" s="478">
        <v>6</v>
      </c>
      <c r="E61" s="478" t="s">
        <v>293</v>
      </c>
      <c r="F61" s="479">
        <v>301</v>
      </c>
      <c r="G61" s="480"/>
      <c r="H61" s="481"/>
      <c r="I61" s="481"/>
      <c r="J61" s="481"/>
      <c r="K61" s="481"/>
      <c r="L61" s="481"/>
      <c r="M61" s="481"/>
      <c r="N61" s="481"/>
      <c r="O61" s="481"/>
      <c r="P61" s="482"/>
      <c r="Q61" s="483" t="s">
        <v>179</v>
      </c>
      <c r="R61" s="484">
        <v>0</v>
      </c>
      <c r="S61" s="485">
        <v>21.981999999999999</v>
      </c>
      <c r="T61" s="671">
        <f>표3[[#This Row],[편입면적]]/(SUM(표3[공부면적]))</f>
        <v>2.7463768115942025E-3</v>
      </c>
      <c r="U61" s="486" t="s">
        <v>179</v>
      </c>
      <c r="V61" s="487"/>
      <c r="W61" s="488">
        <v>23.18</v>
      </c>
      <c r="X61" s="489">
        <v>39.590000000000003</v>
      </c>
      <c r="Y61" s="489">
        <v>62.77</v>
      </c>
      <c r="Z61" s="489" t="s">
        <v>179</v>
      </c>
      <c r="AA61" s="518"/>
      <c r="AB61" s="491"/>
      <c r="AC61" s="492"/>
      <c r="AD61" s="493"/>
      <c r="AE61" s="493" t="str" cm="1">
        <f t="array" ref="AE6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1" s="494"/>
      <c r="AG61" s="495" t="s">
        <v>176</v>
      </c>
      <c r="AH61" s="495"/>
      <c r="AI61" s="495" t="s">
        <v>183</v>
      </c>
      <c r="AJ61" s="496"/>
      <c r="AK61" s="497"/>
      <c r="AL61" s="497"/>
      <c r="AM61" s="494"/>
      <c r="AN61" s="498"/>
      <c r="AO61" s="499" t="s">
        <v>302</v>
      </c>
      <c r="AP61" s="500">
        <v>1045934288</v>
      </c>
      <c r="AQ61" s="500"/>
      <c r="AR61" s="501">
        <v>88</v>
      </c>
      <c r="AS6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 미만</v>
      </c>
      <c r="AT61" s="502" t="s">
        <v>303</v>
      </c>
      <c r="AU61" s="503"/>
      <c r="AV61" s="503"/>
      <c r="AW61" s="503" t="str">
        <f>IF(COUNTIF('설명회 참석자 명부'!$W$4:$W$29,표3[[#This Row],[성  명]])&gt;0,"O","")</f>
        <v/>
      </c>
      <c r="AX61" s="503" t="str">
        <f>_xlfn.XLOOKUP(표3[[#This Row],[성  명]],'설명회 참석자 명부'!$W$4:$W$29,'설명회 참석자 명부'!$X$4:$X$29,"")</f>
        <v/>
      </c>
      <c r="AY61" s="503"/>
      <c r="AZ61" s="503"/>
      <c r="BA61" s="503" t="s">
        <v>190</v>
      </c>
      <c r="BB61" s="503"/>
      <c r="BC61" s="503"/>
      <c r="BD61" s="503"/>
      <c r="BE61" s="503"/>
      <c r="BF61" s="504"/>
      <c r="BG61" s="504"/>
      <c r="BH61" s="504"/>
      <c r="BI61" s="504"/>
      <c r="BJ61" s="504"/>
      <c r="BK61" s="504" t="str">
        <f>IFERROR(LEFT(표3[[#This Row],[주소]],FIND(" ",표3[[#This Row],[주소]])-1),"")</f>
        <v>서울특별시</v>
      </c>
      <c r="BL6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6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61" s="504"/>
      <c r="BO61" s="504"/>
      <c r="BP61" s="504"/>
      <c r="BQ61" s="504"/>
      <c r="BR61" s="505"/>
      <c r="BS61" s="718" t="s">
        <v>179</v>
      </c>
      <c r="BT61" s="719" t="s">
        <v>179</v>
      </c>
      <c r="BU61" s="719" t="s">
        <v>179</v>
      </c>
      <c r="BV61" s="719" t="s">
        <v>179</v>
      </c>
      <c r="BW61" s="719" t="s">
        <v>179</v>
      </c>
      <c r="BX61" s="719" t="s">
        <v>179</v>
      </c>
      <c r="BY61" s="719" t="s">
        <v>191</v>
      </c>
      <c r="BZ61" s="719">
        <v>62.77</v>
      </c>
      <c r="CA61" s="719">
        <v>21.98</v>
      </c>
      <c r="CB61" s="719">
        <v>399000000</v>
      </c>
      <c r="CC61" s="719">
        <v>399000000</v>
      </c>
      <c r="CD61" s="726">
        <f>표3[[#This Row],[종전추정가액]]*1.5219</f>
        <v>607238100</v>
      </c>
      <c r="CE61" s="506"/>
      <c r="CF61" s="507"/>
      <c r="CG61" s="507"/>
      <c r="CH61" s="508"/>
      <c r="CI61" s="508"/>
      <c r="CJ61" s="509"/>
      <c r="CK61" s="510"/>
      <c r="CL61" s="511"/>
      <c r="CM61" s="512"/>
      <c r="CN61" s="513"/>
      <c r="CO61" s="513"/>
      <c r="CP61" s="513"/>
      <c r="CQ61" s="513"/>
      <c r="CR61" s="513"/>
      <c r="CS61" s="514"/>
      <c r="CT61" s="515"/>
      <c r="CU61" s="515"/>
      <c r="CV61" s="515"/>
      <c r="CW61" s="515"/>
      <c r="CX61" s="515"/>
      <c r="CY61" s="515"/>
      <c r="CZ61" s="515"/>
      <c r="DA61" s="515"/>
      <c r="DB61" s="515"/>
      <c r="DC61" s="515"/>
      <c r="DD61" s="515"/>
      <c r="DE61" s="515"/>
      <c r="DF61" s="516"/>
    </row>
    <row r="62" spans="1:110" s="531" customFormat="1" ht="18.75" customHeight="1">
      <c r="A62" s="475"/>
      <c r="B62" s="476">
        <v>41</v>
      </c>
      <c r="C62" s="477">
        <v>28</v>
      </c>
      <c r="D62" s="478">
        <v>6</v>
      </c>
      <c r="E62" s="478" t="s">
        <v>293</v>
      </c>
      <c r="F62" s="479">
        <v>302</v>
      </c>
      <c r="G62" s="480"/>
      <c r="H62" s="481"/>
      <c r="I62" s="481"/>
      <c r="J62" s="481"/>
      <c r="K62" s="481"/>
      <c r="L62" s="481"/>
      <c r="M62" s="481"/>
      <c r="N62" s="481"/>
      <c r="O62" s="481"/>
      <c r="P62" s="482"/>
      <c r="Q62" s="483" t="s">
        <v>179</v>
      </c>
      <c r="R62" s="484">
        <v>0</v>
      </c>
      <c r="S62" s="485">
        <v>33.048000000000002</v>
      </c>
      <c r="T62" s="671">
        <f>표3[[#This Row],[편입면적]]/(SUM(표3[공부면적]))</f>
        <v>4.1289355322338831E-3</v>
      </c>
      <c r="U62" s="486" t="s">
        <v>179</v>
      </c>
      <c r="V62" s="487"/>
      <c r="W62" s="488">
        <v>59.52</v>
      </c>
      <c r="X62" s="489">
        <v>6.57</v>
      </c>
      <c r="Y62" s="489">
        <v>66.09</v>
      </c>
      <c r="Z62" s="489" t="s">
        <v>179</v>
      </c>
      <c r="AA62" s="518"/>
      <c r="AB62" s="491"/>
      <c r="AC62" s="492"/>
      <c r="AD62" s="493"/>
      <c r="AE62" s="493" t="str" cm="1">
        <f t="array" ref="AE6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2" s="494"/>
      <c r="AG62" s="495" t="s">
        <v>176</v>
      </c>
      <c r="AH62" s="495"/>
      <c r="AI62" s="495" t="s">
        <v>183</v>
      </c>
      <c r="AJ62" s="496"/>
      <c r="AK62" s="497"/>
      <c r="AL62" s="497"/>
      <c r="AM62" s="494"/>
      <c r="AN62" s="498"/>
      <c r="AO62" s="499" t="s">
        <v>304</v>
      </c>
      <c r="AP62" s="500">
        <v>1022756481</v>
      </c>
      <c r="AQ62" s="500"/>
      <c r="AR62" s="501">
        <v>90</v>
      </c>
      <c r="AS6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 미만</v>
      </c>
      <c r="AT62" s="502" t="s">
        <v>305</v>
      </c>
      <c r="AU62" s="503"/>
      <c r="AV62" s="503"/>
      <c r="AW62" s="503" t="str">
        <f>IF(COUNTIF('설명회 참석자 명부'!$W$4:$W$29,표3[[#This Row],[성  명]])&gt;0,"O","")</f>
        <v/>
      </c>
      <c r="AX62" s="503" t="str">
        <f>_xlfn.XLOOKUP(표3[[#This Row],[성  명]],'설명회 참석자 명부'!$W$4:$W$29,'설명회 참석자 명부'!$X$4:$X$29,"")</f>
        <v/>
      </c>
      <c r="AY62" s="503"/>
      <c r="AZ62" s="503"/>
      <c r="BA62" s="503" t="s">
        <v>190</v>
      </c>
      <c r="BB62" s="503"/>
      <c r="BC62" s="503"/>
      <c r="BD62" s="503"/>
      <c r="BE62" s="503"/>
      <c r="BF62" s="504"/>
      <c r="BG62" s="504"/>
      <c r="BH62" s="504"/>
      <c r="BI62" s="504"/>
      <c r="BJ62" s="504"/>
      <c r="BK62" s="504" t="str">
        <f>IFERROR(LEFT(표3[[#This Row],[주소]],FIND(" ",표3[[#This Row],[주소]])-1),"")</f>
        <v>서울특별시</v>
      </c>
      <c r="BL6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6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62" s="504"/>
      <c r="BO62" s="504"/>
      <c r="BP62" s="504"/>
      <c r="BQ62" s="504"/>
      <c r="BR62" s="505"/>
      <c r="BS62" s="718" t="s">
        <v>179</v>
      </c>
      <c r="BT62" s="719" t="s">
        <v>179</v>
      </c>
      <c r="BU62" s="719" t="s">
        <v>179</v>
      </c>
      <c r="BV62" s="719" t="s">
        <v>179</v>
      </c>
      <c r="BW62" s="719" t="s">
        <v>179</v>
      </c>
      <c r="BX62" s="719" t="s">
        <v>179</v>
      </c>
      <c r="BY62" s="719" t="s">
        <v>191</v>
      </c>
      <c r="BZ62" s="719">
        <v>59.52</v>
      </c>
      <c r="CA62" s="719">
        <v>33.04</v>
      </c>
      <c r="CB62" s="719">
        <v>477000000</v>
      </c>
      <c r="CC62" s="719">
        <v>477000000</v>
      </c>
      <c r="CD62" s="726">
        <f>표3[[#This Row],[종전추정가액]]*1.5219</f>
        <v>725946300</v>
      </c>
      <c r="CE62" s="506"/>
      <c r="CF62" s="507"/>
      <c r="CG62" s="507"/>
      <c r="CH62" s="508"/>
      <c r="CI62" s="508"/>
      <c r="CJ62" s="509"/>
      <c r="CK62" s="510"/>
      <c r="CL62" s="511"/>
      <c r="CM62" s="512"/>
      <c r="CN62" s="513"/>
      <c r="CO62" s="513"/>
      <c r="CP62" s="513"/>
      <c r="CQ62" s="513"/>
      <c r="CR62" s="513"/>
      <c r="CS62" s="514"/>
      <c r="CT62" s="515"/>
      <c r="CU62" s="515"/>
      <c r="CV62" s="515"/>
      <c r="CW62" s="515"/>
      <c r="CX62" s="515"/>
      <c r="CY62" s="515"/>
      <c r="CZ62" s="515"/>
      <c r="DA62" s="515"/>
      <c r="DB62" s="515"/>
      <c r="DC62" s="515"/>
      <c r="DD62" s="515"/>
      <c r="DE62" s="515"/>
      <c r="DF62" s="516"/>
    </row>
    <row r="63" spans="1:110" s="531" customFormat="1" ht="19">
      <c r="A63" s="475"/>
      <c r="B63" s="476">
        <v>42</v>
      </c>
      <c r="C63" s="477">
        <v>28</v>
      </c>
      <c r="D63" s="478">
        <v>6</v>
      </c>
      <c r="E63" s="478" t="s">
        <v>293</v>
      </c>
      <c r="F63" s="479">
        <v>303</v>
      </c>
      <c r="G63" s="480"/>
      <c r="H63" s="481"/>
      <c r="I63" s="481"/>
      <c r="J63" s="481"/>
      <c r="K63" s="481"/>
      <c r="L63" s="481"/>
      <c r="M63" s="481"/>
      <c r="N63" s="481"/>
      <c r="O63" s="481"/>
      <c r="P63" s="482"/>
      <c r="Q63" s="483" t="s">
        <v>179</v>
      </c>
      <c r="R63" s="484">
        <v>0</v>
      </c>
      <c r="S63" s="485">
        <v>33.048000000000002</v>
      </c>
      <c r="T63" s="671">
        <f>표3[[#This Row],[편입면적]]/(SUM(표3[공부면적]))</f>
        <v>4.1289355322338831E-3</v>
      </c>
      <c r="U63" s="486" t="s">
        <v>179</v>
      </c>
      <c r="V63" s="487"/>
      <c r="W63" s="488">
        <v>59.52</v>
      </c>
      <c r="X63" s="489">
        <v>6.57</v>
      </c>
      <c r="Y63" s="489">
        <v>66.09</v>
      </c>
      <c r="Z63" s="489" t="s">
        <v>179</v>
      </c>
      <c r="AA63" s="518"/>
      <c r="AB63" s="491"/>
      <c r="AC63" s="492"/>
      <c r="AD63" s="493"/>
      <c r="AE63" s="493" t="str" cm="1">
        <f t="array" ref="AE6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3" s="494"/>
      <c r="AG63" s="495" t="s">
        <v>176</v>
      </c>
      <c r="AH63" s="495"/>
      <c r="AI63" s="495" t="s">
        <v>183</v>
      </c>
      <c r="AJ63" s="496"/>
      <c r="AK63" s="497"/>
      <c r="AL63" s="497"/>
      <c r="AM63" s="494"/>
      <c r="AN63" s="498"/>
      <c r="AO63" s="499" t="s">
        <v>306</v>
      </c>
      <c r="AP63" s="500" t="s">
        <v>179</v>
      </c>
      <c r="AQ63" s="500"/>
      <c r="AR63" s="501">
        <v>89</v>
      </c>
      <c r="AS6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 미만</v>
      </c>
      <c r="AT63" s="502" t="s">
        <v>307</v>
      </c>
      <c r="AU63" s="503"/>
      <c r="AV63" s="503"/>
      <c r="AW63" s="503" t="str">
        <f>IF(COUNTIF('설명회 참석자 명부'!$W$4:$W$29,표3[[#This Row],[성  명]])&gt;0,"O","")</f>
        <v/>
      </c>
      <c r="AX63" s="503" t="str">
        <f>_xlfn.XLOOKUP(표3[[#This Row],[성  명]],'설명회 참석자 명부'!$W$4:$W$29,'설명회 참석자 명부'!$X$4:$X$29,"")</f>
        <v/>
      </c>
      <c r="AY63" s="503"/>
      <c r="AZ63" s="503"/>
      <c r="BA63" s="503"/>
      <c r="BB63" s="503"/>
      <c r="BC63" s="503"/>
      <c r="BD63" s="503"/>
      <c r="BE63" s="503"/>
      <c r="BF63" s="504"/>
      <c r="BG63" s="504"/>
      <c r="BH63" s="504"/>
      <c r="BI63" s="504"/>
      <c r="BJ63" s="504"/>
      <c r="BK63" s="504" t="str">
        <f>IFERROR(LEFT(표3[[#This Row],[주소]],FIND(" ",표3[[#This Row],[주소]])-1),"")</f>
        <v>서울특별시</v>
      </c>
      <c r="BL63" s="504" t="str">
        <f>IFERROR(MID(표3[[#This Row],[주소]], FIND(" ", 표3[[#This Row],[주소]])+1, FIND(" ", 표3[[#This Row],[주소]], FIND(" ", 표3[[#This Row],[주소]])+1) - FIND(" ", 표3[[#This Row],[주소]])-1),"")</f>
        <v>강동구</v>
      </c>
      <c r="BM6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양재대로</v>
      </c>
      <c r="BN63" s="504"/>
      <c r="BO63" s="504"/>
      <c r="BP63" s="504"/>
      <c r="BQ63" s="504"/>
      <c r="BR63" s="505"/>
      <c r="BS63" s="718" t="s">
        <v>179</v>
      </c>
      <c r="BT63" s="719" t="s">
        <v>179</v>
      </c>
      <c r="BU63" s="719" t="s">
        <v>179</v>
      </c>
      <c r="BV63" s="719" t="s">
        <v>179</v>
      </c>
      <c r="BW63" s="719" t="s">
        <v>179</v>
      </c>
      <c r="BX63" s="719" t="s">
        <v>179</v>
      </c>
      <c r="BY63" s="719" t="s">
        <v>191</v>
      </c>
      <c r="BZ63" s="719">
        <v>59.52</v>
      </c>
      <c r="CA63" s="719">
        <v>33.04</v>
      </c>
      <c r="CB63" s="719">
        <v>477000000</v>
      </c>
      <c r="CC63" s="719">
        <v>477000000</v>
      </c>
      <c r="CD63" s="726">
        <f>표3[[#This Row],[종전추정가액]]*1.5219</f>
        <v>725946300</v>
      </c>
      <c r="CE63" s="506"/>
      <c r="CF63" s="507"/>
      <c r="CG63" s="507"/>
      <c r="CH63" s="508"/>
      <c r="CI63" s="508"/>
      <c r="CJ63" s="509"/>
      <c r="CK63" s="510"/>
      <c r="CL63" s="511"/>
      <c r="CM63" s="512"/>
      <c r="CN63" s="513"/>
      <c r="CO63" s="513"/>
      <c r="CP63" s="513"/>
      <c r="CQ63" s="513"/>
      <c r="CR63" s="513"/>
      <c r="CS63" s="514"/>
      <c r="CT63" s="515"/>
      <c r="CU63" s="515"/>
      <c r="CV63" s="515"/>
      <c r="CW63" s="515"/>
      <c r="CX63" s="515"/>
      <c r="CY63" s="515"/>
      <c r="CZ63" s="515"/>
      <c r="DA63" s="515"/>
      <c r="DB63" s="515"/>
      <c r="DC63" s="515"/>
      <c r="DD63" s="515"/>
      <c r="DE63" s="515"/>
      <c r="DF63" s="516"/>
    </row>
    <row r="64" spans="1:110" s="531" customFormat="1" ht="19">
      <c r="A64" s="475"/>
      <c r="B64" s="476">
        <v>43</v>
      </c>
      <c r="C64" s="477">
        <v>28</v>
      </c>
      <c r="D64" s="478">
        <v>6</v>
      </c>
      <c r="E64" s="478" t="s">
        <v>293</v>
      </c>
      <c r="F64" s="479">
        <v>304</v>
      </c>
      <c r="G64" s="480"/>
      <c r="H64" s="481"/>
      <c r="I64" s="481"/>
      <c r="J64" s="481"/>
      <c r="K64" s="481"/>
      <c r="L64" s="481"/>
      <c r="M64" s="481"/>
      <c r="N64" s="481"/>
      <c r="O64" s="481"/>
      <c r="P64" s="482"/>
      <c r="Q64" s="483" t="s">
        <v>179</v>
      </c>
      <c r="R64" s="484">
        <v>0</v>
      </c>
      <c r="S64" s="485">
        <v>21.981999999999999</v>
      </c>
      <c r="T64" s="671">
        <f>표3[[#This Row],[편입면적]]/(SUM(표3[공부면적]))</f>
        <v>2.7463768115942025E-3</v>
      </c>
      <c r="U64" s="486" t="s">
        <v>179</v>
      </c>
      <c r="V64" s="487"/>
      <c r="W64" s="488">
        <v>39.590000000000003</v>
      </c>
      <c r="X64" s="489">
        <v>4.37</v>
      </c>
      <c r="Y64" s="489">
        <v>43.96</v>
      </c>
      <c r="Z64" s="489" t="s">
        <v>179</v>
      </c>
      <c r="AA64" s="518"/>
      <c r="AB64" s="491"/>
      <c r="AC64" s="492"/>
      <c r="AD64" s="493"/>
      <c r="AE64" s="493" t="str" cm="1">
        <f t="array" ref="AE6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4" s="494"/>
      <c r="AG64" s="495" t="s">
        <v>176</v>
      </c>
      <c r="AH64" s="495"/>
      <c r="AI64" s="495" t="s">
        <v>183</v>
      </c>
      <c r="AJ64" s="496"/>
      <c r="AK64" s="497"/>
      <c r="AL64" s="497"/>
      <c r="AM64" s="494"/>
      <c r="AN64" s="498"/>
      <c r="AO64" s="499" t="s">
        <v>308</v>
      </c>
      <c r="AP64" s="500" t="s">
        <v>179</v>
      </c>
      <c r="AQ64" s="500"/>
      <c r="AR64" s="501">
        <v>59</v>
      </c>
      <c r="AS6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64" s="502" t="s">
        <v>309</v>
      </c>
      <c r="AU64" s="503"/>
      <c r="AV64" s="503"/>
      <c r="AW64" s="503" t="str">
        <f>IF(COUNTIF('설명회 참석자 명부'!$W$4:$W$29,표3[[#This Row],[성  명]])&gt;0,"O","")</f>
        <v>O</v>
      </c>
      <c r="AX64" s="503" t="str">
        <f>_xlfn.XLOOKUP(표3[[#This Row],[성  명]],'설명회 참석자 명부'!$W$4:$W$29,'설명회 참석자 명부'!$X$4:$X$29,"")</f>
        <v>해외</v>
      </c>
      <c r="AY64" s="503"/>
      <c r="AZ64" s="503"/>
      <c r="BA64" s="503"/>
      <c r="BB64" s="503"/>
      <c r="BC64" s="503"/>
      <c r="BD64" s="503"/>
      <c r="BE64" s="503"/>
      <c r="BF64" s="504"/>
      <c r="BG64" s="504"/>
      <c r="BH64" s="504"/>
      <c r="BI64" s="504"/>
      <c r="BJ64" s="504"/>
      <c r="BK64" s="504" t="str">
        <f>IFERROR(LEFT(표3[[#This Row],[주소]],FIND(" ",표3[[#This Row],[주소]])-1),"")</f>
        <v>미합중국</v>
      </c>
      <c r="BL64" s="504" t="str">
        <f>IFERROR(MID(표3[[#This Row],[주소]], FIND(" ", 표3[[#This Row],[주소]])+1, FIND(" ", 표3[[#This Row],[주소]], FIND(" ", 표3[[#This Row],[주소]])+1) - FIND(" ", 표3[[#This Row],[주소]])-1),"")</f>
        <v>펜실베니아주</v>
      </c>
      <c r="BM6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19438</v>
      </c>
      <c r="BN64" s="504"/>
      <c r="BO64" s="504"/>
      <c r="BP64" s="504"/>
      <c r="BQ64" s="504"/>
      <c r="BR64" s="505"/>
      <c r="BS64" s="718" t="s">
        <v>179</v>
      </c>
      <c r="BT64" s="719" t="s">
        <v>179</v>
      </c>
      <c r="BU64" s="719" t="s">
        <v>179</v>
      </c>
      <c r="BV64" s="719" t="s">
        <v>179</v>
      </c>
      <c r="BW64" s="719" t="s">
        <v>179</v>
      </c>
      <c r="BX64" s="719" t="s">
        <v>179</v>
      </c>
      <c r="BY64" s="719" t="s">
        <v>191</v>
      </c>
      <c r="BZ64" s="719">
        <v>39.590000000000003</v>
      </c>
      <c r="CA64" s="719">
        <v>21.98</v>
      </c>
      <c r="CB64" s="719">
        <v>317000000</v>
      </c>
      <c r="CC64" s="719">
        <v>317000000</v>
      </c>
      <c r="CD64" s="726">
        <f>표3[[#This Row],[종전추정가액]]*1.5219</f>
        <v>482442300</v>
      </c>
      <c r="CE64" s="506"/>
      <c r="CF64" s="507"/>
      <c r="CG64" s="507"/>
      <c r="CH64" s="508"/>
      <c r="CI64" s="508"/>
      <c r="CJ64" s="509"/>
      <c r="CK64" s="510"/>
      <c r="CL64" s="511"/>
      <c r="CM64" s="512"/>
      <c r="CN64" s="513"/>
      <c r="CO64" s="513"/>
      <c r="CP64" s="513"/>
      <c r="CQ64" s="513"/>
      <c r="CR64" s="513"/>
      <c r="CS64" s="514"/>
      <c r="CT64" s="515"/>
      <c r="CU64" s="515"/>
      <c r="CV64" s="515"/>
      <c r="CW64" s="515"/>
      <c r="CX64" s="515"/>
      <c r="CY64" s="515"/>
      <c r="CZ64" s="515"/>
      <c r="DA64" s="515"/>
      <c r="DB64" s="515"/>
      <c r="DC64" s="515"/>
      <c r="DD64" s="515"/>
      <c r="DE64" s="515"/>
      <c r="DF64" s="516"/>
    </row>
    <row r="65" spans="1:110" s="532" customFormat="1" ht="19">
      <c r="A65" s="475"/>
      <c r="B65" s="476">
        <v>44</v>
      </c>
      <c r="C65" s="477">
        <v>28</v>
      </c>
      <c r="D65" s="478">
        <v>6</v>
      </c>
      <c r="E65" s="478" t="s">
        <v>293</v>
      </c>
      <c r="F65" s="479">
        <v>401</v>
      </c>
      <c r="G65" s="480"/>
      <c r="H65" s="481"/>
      <c r="I65" s="481"/>
      <c r="J65" s="481"/>
      <c r="K65" s="481"/>
      <c r="L65" s="481"/>
      <c r="M65" s="481"/>
      <c r="N65" s="481"/>
      <c r="O65" s="481"/>
      <c r="P65" s="482"/>
      <c r="Q65" s="483" t="s">
        <v>179</v>
      </c>
      <c r="R65" s="484">
        <v>0</v>
      </c>
      <c r="S65" s="485">
        <v>21.981999999999999</v>
      </c>
      <c r="T65" s="671">
        <f>표3[[#This Row],[편입면적]]/(SUM(표3[공부면적]))</f>
        <v>2.7463768115942025E-3</v>
      </c>
      <c r="U65" s="486" t="s">
        <v>179</v>
      </c>
      <c r="V65" s="487"/>
      <c r="W65" s="488">
        <v>39.590000000000003</v>
      </c>
      <c r="X65" s="489">
        <v>4.37</v>
      </c>
      <c r="Y65" s="489">
        <v>43.96</v>
      </c>
      <c r="Z65" s="489" t="s">
        <v>179</v>
      </c>
      <c r="AA65" s="518"/>
      <c r="AB65" s="491"/>
      <c r="AC65" s="492"/>
      <c r="AD65" s="493"/>
      <c r="AE65" s="493" t="str" cm="1">
        <f t="array" ref="AE6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5" s="494"/>
      <c r="AG65" s="495" t="s">
        <v>176</v>
      </c>
      <c r="AH65" s="495"/>
      <c r="AI65" s="495" t="s">
        <v>183</v>
      </c>
      <c r="AJ65" s="496"/>
      <c r="AK65" s="497"/>
      <c r="AL65" s="497"/>
      <c r="AM65" s="494"/>
      <c r="AN65" s="498"/>
      <c r="AO65" s="499" t="s">
        <v>310</v>
      </c>
      <c r="AP65" s="500" t="s">
        <v>179</v>
      </c>
      <c r="AQ65" s="500"/>
      <c r="AR65" s="501">
        <v>81</v>
      </c>
      <c r="AS6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</v>
      </c>
      <c r="AT65" s="502" t="s">
        <v>311</v>
      </c>
      <c r="AU65" s="503"/>
      <c r="AV65" s="503"/>
      <c r="AW65" s="503" t="str">
        <f>IF(COUNTIF('설명회 참석자 명부'!$W$4:$W$29,표3[[#This Row],[성  명]])&gt;0,"O","")</f>
        <v/>
      </c>
      <c r="AX65" s="503" t="str">
        <f>_xlfn.XLOOKUP(표3[[#This Row],[성  명]],'설명회 참석자 명부'!$W$4:$W$29,'설명회 참석자 명부'!$X$4:$X$29,"")</f>
        <v/>
      </c>
      <c r="AY65" s="503"/>
      <c r="AZ65" s="503"/>
      <c r="BA65" s="503"/>
      <c r="BB65" s="503"/>
      <c r="BC65" s="503"/>
      <c r="BD65" s="503"/>
      <c r="BE65" s="503"/>
      <c r="BF65" s="504"/>
      <c r="BG65" s="504"/>
      <c r="BH65" s="504"/>
      <c r="BI65" s="504"/>
      <c r="BJ65" s="504"/>
      <c r="BK65" s="504" t="str">
        <f>IFERROR(LEFT(표3[[#This Row],[주소]],FIND(" ",표3[[#This Row],[주소]])-1),"")</f>
        <v>서울특별시</v>
      </c>
      <c r="BL6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6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</v>
      </c>
      <c r="BN65" s="504"/>
      <c r="BO65" s="504"/>
      <c r="BP65" s="504"/>
      <c r="BQ65" s="504"/>
      <c r="BR65" s="505"/>
      <c r="BS65" s="718" t="s">
        <v>179</v>
      </c>
      <c r="BT65" s="719" t="s">
        <v>179</v>
      </c>
      <c r="BU65" s="719" t="s">
        <v>179</v>
      </c>
      <c r="BV65" s="719" t="s">
        <v>179</v>
      </c>
      <c r="BW65" s="719" t="s">
        <v>179</v>
      </c>
      <c r="BX65" s="719" t="s">
        <v>179</v>
      </c>
      <c r="BY65" s="719" t="s">
        <v>191</v>
      </c>
      <c r="BZ65" s="719">
        <v>39.590000000000003</v>
      </c>
      <c r="CA65" s="719">
        <v>21.98</v>
      </c>
      <c r="CB65" s="719">
        <v>317000000</v>
      </c>
      <c r="CC65" s="719">
        <v>317000000</v>
      </c>
      <c r="CD65" s="726">
        <f>표3[[#This Row],[종전추정가액]]*1.5219</f>
        <v>482442300</v>
      </c>
      <c r="CE65" s="506"/>
      <c r="CF65" s="507"/>
      <c r="CG65" s="507"/>
      <c r="CH65" s="508"/>
      <c r="CI65" s="508"/>
      <c r="CJ65" s="509"/>
      <c r="CK65" s="510"/>
      <c r="CL65" s="511"/>
      <c r="CM65" s="512"/>
      <c r="CN65" s="513"/>
      <c r="CO65" s="513"/>
      <c r="CP65" s="513"/>
      <c r="CQ65" s="513"/>
      <c r="CR65" s="513"/>
      <c r="CS65" s="514"/>
      <c r="CT65" s="515"/>
      <c r="CU65" s="515"/>
      <c r="CV65" s="515"/>
      <c r="CW65" s="515"/>
      <c r="CX65" s="515"/>
      <c r="CY65" s="515"/>
      <c r="CZ65" s="515"/>
      <c r="DA65" s="515"/>
      <c r="DB65" s="515"/>
      <c r="DC65" s="515"/>
      <c r="DD65" s="515"/>
      <c r="DE65" s="515"/>
      <c r="DF65" s="516"/>
    </row>
    <row r="66" spans="1:110" s="532" customFormat="1" ht="19">
      <c r="A66" s="475"/>
      <c r="B66" s="476">
        <v>45</v>
      </c>
      <c r="C66" s="477">
        <v>28</v>
      </c>
      <c r="D66" s="478">
        <v>6</v>
      </c>
      <c r="E66" s="478" t="s">
        <v>293</v>
      </c>
      <c r="F66" s="479">
        <v>402</v>
      </c>
      <c r="G66" s="480"/>
      <c r="H66" s="481"/>
      <c r="I66" s="481"/>
      <c r="J66" s="481"/>
      <c r="K66" s="481"/>
      <c r="L66" s="481"/>
      <c r="M66" s="481"/>
      <c r="N66" s="481"/>
      <c r="O66" s="481"/>
      <c r="P66" s="482"/>
      <c r="Q66" s="483" t="s">
        <v>179</v>
      </c>
      <c r="R66" s="484">
        <v>0</v>
      </c>
      <c r="S66" s="485">
        <v>33.048000000000002</v>
      </c>
      <c r="T66" s="671">
        <f>표3[[#This Row],[편입면적]]/(SUM(표3[공부면적]))</f>
        <v>4.1289355322338831E-3</v>
      </c>
      <c r="U66" s="486" t="s">
        <v>179</v>
      </c>
      <c r="V66" s="487"/>
      <c r="W66" s="488">
        <v>59.52</v>
      </c>
      <c r="X66" s="489">
        <v>6.57</v>
      </c>
      <c r="Y66" s="489">
        <v>66.09</v>
      </c>
      <c r="Z66" s="489" t="s">
        <v>179</v>
      </c>
      <c r="AA66" s="518"/>
      <c r="AB66" s="491"/>
      <c r="AC66" s="492"/>
      <c r="AD66" s="493"/>
      <c r="AE66" s="493" t="str" cm="1">
        <f t="array" ref="AE6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6" s="494"/>
      <c r="AG66" s="495" t="s">
        <v>176</v>
      </c>
      <c r="AH66" s="495"/>
      <c r="AI66" s="495" t="s">
        <v>183</v>
      </c>
      <c r="AJ66" s="496"/>
      <c r="AK66" s="497"/>
      <c r="AL66" s="497"/>
      <c r="AM66" s="494"/>
      <c r="AN66" s="498"/>
      <c r="AO66" s="499" t="s">
        <v>312</v>
      </c>
      <c r="AP66" s="500" t="s">
        <v>179</v>
      </c>
      <c r="AQ66" s="500"/>
      <c r="AR66" s="501">
        <v>75</v>
      </c>
      <c r="AS6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66" s="502" t="s">
        <v>313</v>
      </c>
      <c r="AU66" s="503"/>
      <c r="AV66" s="503"/>
      <c r="AW66" s="503" t="str">
        <f>IF(COUNTIF('설명회 참석자 명부'!$W$4:$W$29,표3[[#This Row],[성  명]])&gt;0,"O","")</f>
        <v/>
      </c>
      <c r="AX66" s="503" t="str">
        <f>_xlfn.XLOOKUP(표3[[#This Row],[성  명]],'설명회 참석자 명부'!$W$4:$W$29,'설명회 참석자 명부'!$X$4:$X$29,"")</f>
        <v/>
      </c>
      <c r="AY66" s="503"/>
      <c r="AZ66" s="503"/>
      <c r="BA66" s="503"/>
      <c r="BB66" s="503"/>
      <c r="BC66" s="503"/>
      <c r="BD66" s="503"/>
      <c r="BE66" s="503"/>
      <c r="BF66" s="504"/>
      <c r="BG66" s="504"/>
      <c r="BH66" s="504"/>
      <c r="BI66" s="504"/>
      <c r="BJ66" s="504"/>
      <c r="BK66" s="504" t="str">
        <f>IFERROR(LEFT(표3[[#This Row],[주소]],FIND(" ",표3[[#This Row],[주소]])-1),"")</f>
        <v>서울특별시</v>
      </c>
      <c r="BL66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6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</v>
      </c>
      <c r="BN66" s="504"/>
      <c r="BO66" s="504"/>
      <c r="BP66" s="504"/>
      <c r="BQ66" s="504"/>
      <c r="BR66" s="505"/>
      <c r="BS66" s="718" t="s">
        <v>179</v>
      </c>
      <c r="BT66" s="719" t="s">
        <v>179</v>
      </c>
      <c r="BU66" s="719" t="s">
        <v>179</v>
      </c>
      <c r="BV66" s="719" t="s">
        <v>179</v>
      </c>
      <c r="BW66" s="719" t="s">
        <v>179</v>
      </c>
      <c r="BX66" s="719" t="s">
        <v>179</v>
      </c>
      <c r="BY66" s="719" t="s">
        <v>191</v>
      </c>
      <c r="BZ66" s="719">
        <v>59.52</v>
      </c>
      <c r="CA66" s="719">
        <v>33.04</v>
      </c>
      <c r="CB66" s="719">
        <v>477000000</v>
      </c>
      <c r="CC66" s="719">
        <v>477000000</v>
      </c>
      <c r="CD66" s="726">
        <f>표3[[#This Row],[종전추정가액]]*1.5219</f>
        <v>725946300</v>
      </c>
      <c r="CE66" s="506"/>
      <c r="CF66" s="507"/>
      <c r="CG66" s="507"/>
      <c r="CH66" s="508"/>
      <c r="CI66" s="508"/>
      <c r="CJ66" s="509"/>
      <c r="CK66" s="510"/>
      <c r="CL66" s="511"/>
      <c r="CM66" s="512"/>
      <c r="CN66" s="513"/>
      <c r="CO66" s="513"/>
      <c r="CP66" s="513"/>
      <c r="CQ66" s="513"/>
      <c r="CR66" s="513"/>
      <c r="CS66" s="514"/>
      <c r="CT66" s="515"/>
      <c r="CU66" s="515"/>
      <c r="CV66" s="515"/>
      <c r="CW66" s="515"/>
      <c r="CX66" s="515"/>
      <c r="CY66" s="515"/>
      <c r="CZ66" s="515"/>
      <c r="DA66" s="515"/>
      <c r="DB66" s="515"/>
      <c r="DC66" s="515"/>
      <c r="DD66" s="515"/>
      <c r="DE66" s="515"/>
      <c r="DF66" s="516"/>
    </row>
    <row r="67" spans="1:110" s="532" customFormat="1" ht="19">
      <c r="A67" s="475"/>
      <c r="B67" s="476">
        <v>46</v>
      </c>
      <c r="C67" s="477">
        <v>28</v>
      </c>
      <c r="D67" s="478">
        <v>6</v>
      </c>
      <c r="E67" s="478" t="s">
        <v>293</v>
      </c>
      <c r="F67" s="479">
        <v>403</v>
      </c>
      <c r="G67" s="480"/>
      <c r="H67" s="481"/>
      <c r="I67" s="481"/>
      <c r="J67" s="481"/>
      <c r="K67" s="481"/>
      <c r="L67" s="481"/>
      <c r="M67" s="481"/>
      <c r="N67" s="481"/>
      <c r="O67" s="481"/>
      <c r="P67" s="482"/>
      <c r="Q67" s="483" t="s">
        <v>179</v>
      </c>
      <c r="R67" s="484">
        <v>0</v>
      </c>
      <c r="S67" s="485">
        <v>34.011000000000003</v>
      </c>
      <c r="T67" s="671">
        <f>표3[[#This Row],[편입면적]]/(SUM(표3[공부면적]))</f>
        <v>4.2492503748125937E-3</v>
      </c>
      <c r="U67" s="486" t="s">
        <v>179</v>
      </c>
      <c r="V67" s="487"/>
      <c r="W67" s="488">
        <v>59.64</v>
      </c>
      <c r="X67" s="489">
        <v>6.58</v>
      </c>
      <c r="Y67" s="489">
        <v>66.22</v>
      </c>
      <c r="Z67" s="489" t="s">
        <v>179</v>
      </c>
      <c r="AA67" s="518"/>
      <c r="AB67" s="491"/>
      <c r="AC67" s="492"/>
      <c r="AD67" s="493"/>
      <c r="AE67" s="493" t="str" cm="1">
        <f t="array" ref="AE6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7" s="494"/>
      <c r="AG67" s="495" t="s">
        <v>176</v>
      </c>
      <c r="AH67" s="495"/>
      <c r="AI67" s="495" t="s">
        <v>183</v>
      </c>
      <c r="AJ67" s="496"/>
      <c r="AK67" s="497"/>
      <c r="AL67" s="497"/>
      <c r="AM67" s="494"/>
      <c r="AN67" s="498"/>
      <c r="AO67" s="499" t="s">
        <v>314</v>
      </c>
      <c r="AP67" s="500" t="s">
        <v>179</v>
      </c>
      <c r="AQ67" s="500"/>
      <c r="AR67" s="501">
        <v>69</v>
      </c>
      <c r="AS6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67" s="502" t="s">
        <v>315</v>
      </c>
      <c r="AU67" s="503"/>
      <c r="AV67" s="503"/>
      <c r="AW67" s="503" t="str">
        <f>IF(COUNTIF('설명회 참석자 명부'!$W$4:$W$29,표3[[#This Row],[성  명]])&gt;0,"O","")</f>
        <v/>
      </c>
      <c r="AX67" s="503" t="str">
        <f>_xlfn.XLOOKUP(표3[[#This Row],[성  명]],'설명회 참석자 명부'!$W$4:$W$29,'설명회 참석자 명부'!$X$4:$X$29,"")</f>
        <v/>
      </c>
      <c r="AY67" s="503"/>
      <c r="AZ67" s="503"/>
      <c r="BA67" s="503"/>
      <c r="BB67" s="503"/>
      <c r="BC67" s="503"/>
      <c r="BD67" s="503"/>
      <c r="BE67" s="503"/>
      <c r="BF67" s="504"/>
      <c r="BG67" s="504"/>
      <c r="BH67" s="504"/>
      <c r="BI67" s="504"/>
      <c r="BJ67" s="504"/>
      <c r="BK67" s="504" t="str">
        <f>IFERROR(LEFT(표3[[#This Row],[주소]],FIND(" ",표3[[#This Row],[주소]])-1),"")</f>
        <v>서울특별시</v>
      </c>
      <c r="BL6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6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동남로2길</v>
      </c>
      <c r="BN67" s="504"/>
      <c r="BO67" s="504"/>
      <c r="BP67" s="504"/>
      <c r="BQ67" s="504"/>
      <c r="BR67" s="505"/>
      <c r="BS67" s="718" t="s">
        <v>179</v>
      </c>
      <c r="BT67" s="719" t="s">
        <v>179</v>
      </c>
      <c r="BU67" s="719" t="s">
        <v>179</v>
      </c>
      <c r="BV67" s="719" t="s">
        <v>179</v>
      </c>
      <c r="BW67" s="719" t="s">
        <v>179</v>
      </c>
      <c r="BX67" s="719" t="s">
        <v>179</v>
      </c>
      <c r="BY67" s="719" t="s">
        <v>191</v>
      </c>
      <c r="BZ67" s="719">
        <v>59.64</v>
      </c>
      <c r="CA67" s="719">
        <v>34.01</v>
      </c>
      <c r="CB67" s="719">
        <v>485000000</v>
      </c>
      <c r="CC67" s="719">
        <v>485000000</v>
      </c>
      <c r="CD67" s="726">
        <f>표3[[#This Row],[종전추정가액]]*1.5219</f>
        <v>738121500</v>
      </c>
      <c r="CE67" s="506"/>
      <c r="CF67" s="507"/>
      <c r="CG67" s="507"/>
      <c r="CH67" s="508"/>
      <c r="CI67" s="508"/>
      <c r="CJ67" s="509"/>
      <c r="CK67" s="510"/>
      <c r="CL67" s="511"/>
      <c r="CM67" s="512"/>
      <c r="CN67" s="513"/>
      <c r="CO67" s="513"/>
      <c r="CP67" s="513"/>
      <c r="CQ67" s="513"/>
      <c r="CR67" s="513"/>
      <c r="CS67" s="514"/>
      <c r="CT67" s="515"/>
      <c r="CU67" s="515"/>
      <c r="CV67" s="515"/>
      <c r="CW67" s="515"/>
      <c r="CX67" s="515"/>
      <c r="CY67" s="515"/>
      <c r="CZ67" s="515"/>
      <c r="DA67" s="515"/>
      <c r="DB67" s="515"/>
      <c r="DC67" s="515"/>
      <c r="DD67" s="515"/>
      <c r="DE67" s="515"/>
      <c r="DF67" s="516"/>
    </row>
    <row r="68" spans="1:110" s="532" customFormat="1" ht="28" customHeight="1">
      <c r="A68" s="475"/>
      <c r="B68" s="476">
        <v>47</v>
      </c>
      <c r="C68" s="477">
        <v>28</v>
      </c>
      <c r="D68" s="478">
        <v>6</v>
      </c>
      <c r="E68" s="478" t="s">
        <v>293</v>
      </c>
      <c r="F68" s="479">
        <v>404</v>
      </c>
      <c r="G68" s="480"/>
      <c r="H68" s="481"/>
      <c r="I68" s="481"/>
      <c r="J68" s="481"/>
      <c r="K68" s="481"/>
      <c r="L68" s="481"/>
      <c r="M68" s="481"/>
      <c r="N68" s="481"/>
      <c r="O68" s="481"/>
      <c r="P68" s="482"/>
      <c r="Q68" s="483" t="s">
        <v>179</v>
      </c>
      <c r="R68" s="484">
        <v>0</v>
      </c>
      <c r="S68" s="485">
        <v>21.981999999999999</v>
      </c>
      <c r="T68" s="671">
        <f>표3[[#This Row],[편입면적]]/(SUM(표3[공부면적]))</f>
        <v>2.7463768115942025E-3</v>
      </c>
      <c r="U68" s="486" t="s">
        <v>179</v>
      </c>
      <c r="V68" s="487"/>
      <c r="W68" s="488">
        <v>39.590000000000003</v>
      </c>
      <c r="X68" s="489">
        <v>4.37</v>
      </c>
      <c r="Y68" s="489">
        <v>43.96</v>
      </c>
      <c r="Z68" s="489" t="s">
        <v>179</v>
      </c>
      <c r="AA68" s="518"/>
      <c r="AB68" s="491"/>
      <c r="AC68" s="492"/>
      <c r="AD68" s="493"/>
      <c r="AE68" s="493" t="str" cm="1">
        <f t="array" ref="AE6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8" s="494"/>
      <c r="AG68" s="495" t="s">
        <v>176</v>
      </c>
      <c r="AH68" s="495"/>
      <c r="AI68" s="495" t="s">
        <v>183</v>
      </c>
      <c r="AJ68" s="496"/>
      <c r="AK68" s="497"/>
      <c r="AL68" s="497"/>
      <c r="AM68" s="494"/>
      <c r="AN68" s="498"/>
      <c r="AO68" s="499" t="s">
        <v>316</v>
      </c>
      <c r="AP68" s="500" t="s">
        <v>179</v>
      </c>
      <c r="AQ68" s="500"/>
      <c r="AR68" s="501">
        <v>75</v>
      </c>
      <c r="AS6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68" s="502" t="s">
        <v>317</v>
      </c>
      <c r="AU68" s="503"/>
      <c r="AV68" s="503"/>
      <c r="AW68" s="503" t="str">
        <f>IF(COUNTIF('설명회 참석자 명부'!$W$4:$W$29,표3[[#This Row],[성  명]])&gt;0,"O","")</f>
        <v/>
      </c>
      <c r="AX68" s="503" t="str">
        <f>_xlfn.XLOOKUP(표3[[#This Row],[성  명]],'설명회 참석자 명부'!$W$4:$W$29,'설명회 참석자 명부'!$X$4:$X$29,"")</f>
        <v/>
      </c>
      <c r="AY68" s="503"/>
      <c r="AZ68" s="503"/>
      <c r="BA68" s="503"/>
      <c r="BB68" s="503"/>
      <c r="BC68" s="503"/>
      <c r="BD68" s="503"/>
      <c r="BE68" s="503"/>
      <c r="BF68" s="504"/>
      <c r="BG68" s="504"/>
      <c r="BH68" s="504"/>
      <c r="BI68" s="504"/>
      <c r="BJ68" s="504"/>
      <c r="BK68" s="504" t="str">
        <f>IFERROR(LEFT(표3[[#This Row],[주소]],FIND(" ",표3[[#This Row],[주소]])-1),"")</f>
        <v>대구광역시</v>
      </c>
      <c r="BL68" s="504" t="str">
        <f>IFERROR(MID(표3[[#This Row],[주소]], FIND(" ", 표3[[#This Row],[주소]])+1, FIND(" ", 표3[[#This Row],[주소]], FIND(" ", 표3[[#This Row],[주소]])+1) - FIND(" ", 표3[[#This Row],[주소]])-1),"")</f>
        <v>북구</v>
      </c>
      <c r="BM6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복현로</v>
      </c>
      <c r="BN68" s="504"/>
      <c r="BO68" s="504"/>
      <c r="BP68" s="504"/>
      <c r="BQ68" s="504"/>
      <c r="BR68" s="505"/>
      <c r="BS68" s="718" t="s">
        <v>179</v>
      </c>
      <c r="BT68" s="719" t="s">
        <v>179</v>
      </c>
      <c r="BU68" s="719" t="s">
        <v>179</v>
      </c>
      <c r="BV68" s="719" t="s">
        <v>179</v>
      </c>
      <c r="BW68" s="719" t="s">
        <v>179</v>
      </c>
      <c r="BX68" s="719" t="s">
        <v>179</v>
      </c>
      <c r="BY68" s="719" t="s">
        <v>191</v>
      </c>
      <c r="BZ68" s="719">
        <v>39.590000000000003</v>
      </c>
      <c r="CA68" s="719">
        <v>21.98</v>
      </c>
      <c r="CB68" s="719">
        <v>317000000</v>
      </c>
      <c r="CC68" s="719">
        <v>317000000</v>
      </c>
      <c r="CD68" s="726">
        <f>표3[[#This Row],[종전추정가액]]*1.5219</f>
        <v>482442300</v>
      </c>
      <c r="CE68" s="506"/>
      <c r="CF68" s="507"/>
      <c r="CG68" s="507"/>
      <c r="CH68" s="508"/>
      <c r="CI68" s="508"/>
      <c r="CJ68" s="509"/>
      <c r="CK68" s="510"/>
      <c r="CL68" s="511"/>
      <c r="CM68" s="512"/>
      <c r="CN68" s="513"/>
      <c r="CO68" s="513"/>
      <c r="CP68" s="513"/>
      <c r="CQ68" s="513"/>
      <c r="CR68" s="513"/>
      <c r="CS68" s="514"/>
      <c r="CT68" s="515"/>
      <c r="CU68" s="515"/>
      <c r="CV68" s="515"/>
      <c r="CW68" s="515"/>
      <c r="CX68" s="515"/>
      <c r="CY68" s="515"/>
      <c r="CZ68" s="515"/>
      <c r="DA68" s="515"/>
      <c r="DB68" s="515"/>
      <c r="DC68" s="515"/>
      <c r="DD68" s="515"/>
      <c r="DE68" s="515"/>
      <c r="DF68" s="516"/>
    </row>
    <row r="69" spans="1:110" s="532" customFormat="1" ht="28" customHeight="1" thickBot="1">
      <c r="A69" s="394"/>
      <c r="B69" s="395">
        <v>40</v>
      </c>
      <c r="C69" s="396">
        <v>28</v>
      </c>
      <c r="D69" s="397">
        <v>6</v>
      </c>
      <c r="E69" s="397" t="s">
        <v>293</v>
      </c>
      <c r="F69" s="398">
        <v>501</v>
      </c>
      <c r="G69" s="399"/>
      <c r="H69" s="400"/>
      <c r="I69" s="400"/>
      <c r="J69" s="400"/>
      <c r="K69" s="400"/>
      <c r="L69" s="400"/>
      <c r="M69" s="400"/>
      <c r="N69" s="400"/>
      <c r="O69" s="400"/>
      <c r="P69" s="401"/>
      <c r="Q69" s="402" t="s">
        <v>179</v>
      </c>
      <c r="R69" s="403">
        <v>0</v>
      </c>
      <c r="S69" s="404">
        <v>55.656999999999996</v>
      </c>
      <c r="T69" s="672">
        <f>표3[[#This Row],[편입면적]]/(SUM(표3[공부면적]))</f>
        <v>6.9536481759120425E-3</v>
      </c>
      <c r="U69" s="662" t="s">
        <v>179</v>
      </c>
      <c r="V69" s="405"/>
      <c r="W69" s="406">
        <v>101.77</v>
      </c>
      <c r="X69" s="407">
        <v>11.23</v>
      </c>
      <c r="Y69" s="407">
        <v>113</v>
      </c>
      <c r="Z69" s="407" t="s">
        <v>179</v>
      </c>
      <c r="AA69" s="520"/>
      <c r="AB69" s="409"/>
      <c r="AC69" s="410"/>
      <c r="AD69" s="411"/>
      <c r="AE69" s="411" t="str" cm="1">
        <f t="array" ref="AE6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69" s="412"/>
      <c r="AG69" s="413" t="s">
        <v>176</v>
      </c>
      <c r="AH69" s="413"/>
      <c r="AI69" s="413" t="s">
        <v>183</v>
      </c>
      <c r="AJ69" s="414"/>
      <c r="AK69" s="415"/>
      <c r="AL69" s="415"/>
      <c r="AM69" s="412"/>
      <c r="AN69" s="416"/>
      <c r="AO69" s="417" t="s">
        <v>302</v>
      </c>
      <c r="AP69" s="418">
        <v>1045934288</v>
      </c>
      <c r="AQ69" s="418"/>
      <c r="AR69" s="419">
        <v>88</v>
      </c>
      <c r="AS69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 미만</v>
      </c>
      <c r="AT69" s="420" t="s">
        <v>303</v>
      </c>
      <c r="AU69" s="421" t="s">
        <v>190</v>
      </c>
      <c r="AV69" s="421"/>
      <c r="AW69" s="421" t="str">
        <f>IF(COUNTIF('설명회 참석자 명부'!$W$4:$W$29,표3[[#This Row],[성  명]])&gt;0,"O","")</f>
        <v/>
      </c>
      <c r="AX69" s="421" t="str">
        <f>_xlfn.XLOOKUP(표3[[#This Row],[성  명]],'설명회 참석자 명부'!$W$4:$W$29,'설명회 참석자 명부'!$X$4:$X$29,"")</f>
        <v/>
      </c>
      <c r="AY69" s="421"/>
      <c r="AZ69" s="421"/>
      <c r="BA69" s="421"/>
      <c r="BB69" s="421" t="s">
        <v>190</v>
      </c>
      <c r="BC69" s="421"/>
      <c r="BD69" s="421"/>
      <c r="BE69" s="421"/>
      <c r="BF69" s="422"/>
      <c r="BG69" s="422"/>
      <c r="BH69" s="422"/>
      <c r="BI69" s="422"/>
      <c r="BJ69" s="422"/>
      <c r="BK69" s="422" t="str">
        <f>IFERROR(LEFT(표3[[#This Row],[주소]],FIND(" ",표3[[#This Row],[주소]])-1),"")</f>
        <v>서울특별시</v>
      </c>
      <c r="BL69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69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69" s="422"/>
      <c r="BO69" s="422"/>
      <c r="BP69" s="422"/>
      <c r="BQ69" s="422"/>
      <c r="BR69" s="423"/>
      <c r="BS69" s="720" t="s">
        <v>179</v>
      </c>
      <c r="BT69" s="721" t="s">
        <v>179</v>
      </c>
      <c r="BU69" s="721" t="s">
        <v>179</v>
      </c>
      <c r="BV69" s="721" t="s">
        <v>179</v>
      </c>
      <c r="BW69" s="721" t="s">
        <v>179</v>
      </c>
      <c r="BX69" s="721" t="s">
        <v>179</v>
      </c>
      <c r="BY69" s="721" t="s">
        <v>191</v>
      </c>
      <c r="BZ69" s="721">
        <v>101.77</v>
      </c>
      <c r="CA69" s="721">
        <v>55.65</v>
      </c>
      <c r="CB69" s="721">
        <v>809000000</v>
      </c>
      <c r="CC69" s="721">
        <v>809000000</v>
      </c>
      <c r="CD69" s="726">
        <f>표3[[#This Row],[종전추정가액]]*1.5219</f>
        <v>1231217100</v>
      </c>
      <c r="CE69" s="424"/>
      <c r="CF69" s="425"/>
      <c r="CG69" s="425"/>
      <c r="CH69" s="426"/>
      <c r="CI69" s="426"/>
      <c r="CJ69" s="427"/>
      <c r="CK69" s="428"/>
      <c r="CL69" s="429"/>
      <c r="CM69" s="430"/>
      <c r="CN69" s="431"/>
      <c r="CO69" s="431"/>
      <c r="CP69" s="431"/>
      <c r="CQ69" s="431"/>
      <c r="CR69" s="431"/>
      <c r="CS69" s="432"/>
      <c r="CT69" s="433"/>
      <c r="CU69" s="433"/>
      <c r="CV69" s="433"/>
      <c r="CW69" s="433"/>
      <c r="CX69" s="433"/>
      <c r="CY69" s="433"/>
      <c r="CZ69" s="433"/>
      <c r="DA69" s="433"/>
      <c r="DB69" s="433"/>
      <c r="DC69" s="433"/>
      <c r="DD69" s="433"/>
      <c r="DE69" s="433"/>
      <c r="DF69" s="434"/>
    </row>
    <row r="70" spans="1:110" s="533" customFormat="1" ht="28" customHeight="1" thickTop="1">
      <c r="A70" s="435"/>
      <c r="B70" s="436"/>
      <c r="C70" s="437">
        <v>28</v>
      </c>
      <c r="D70" s="438">
        <v>7</v>
      </c>
      <c r="E70" s="438" t="s">
        <v>318</v>
      </c>
      <c r="F70" s="667">
        <v>0</v>
      </c>
      <c r="G70" s="439"/>
      <c r="H70" s="440"/>
      <c r="I70" s="440"/>
      <c r="J70" s="440"/>
      <c r="K70" s="440"/>
      <c r="L70" s="440"/>
      <c r="M70" s="440"/>
      <c r="N70" s="440"/>
      <c r="O70" s="440"/>
      <c r="P70" s="441"/>
      <c r="Q70" s="442" t="s">
        <v>173</v>
      </c>
      <c r="R70" s="659">
        <v>343.8</v>
      </c>
      <c r="S70" s="443"/>
      <c r="T70" s="670">
        <f>표3[[#This Row],[편입면적]]/(SUM(표3[공부면적]))</f>
        <v>0</v>
      </c>
      <c r="U70" s="444" t="s">
        <v>174</v>
      </c>
      <c r="V70" s="445"/>
      <c r="W70" s="446"/>
      <c r="X70" s="447"/>
      <c r="Y70" s="447">
        <v>0</v>
      </c>
      <c r="Z70" s="447">
        <v>658.95</v>
      </c>
      <c r="AA70" s="517"/>
      <c r="AB70" s="449"/>
      <c r="AC70" s="450" t="s">
        <v>319</v>
      </c>
      <c r="AD70" s="451">
        <v>14</v>
      </c>
      <c r="AE70" s="451" t="str" cm="1">
        <f t="array" ref="AE7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0" s="452"/>
      <c r="AG70" s="453" t="s">
        <v>176</v>
      </c>
      <c r="AH70" s="453"/>
      <c r="AI70" s="453" t="s">
        <v>183</v>
      </c>
      <c r="AJ70" s="453"/>
      <c r="AK70" s="454"/>
      <c r="AL70" s="454"/>
      <c r="AM70" s="452">
        <v>5</v>
      </c>
      <c r="AN70" s="455">
        <v>0</v>
      </c>
      <c r="AO70" s="456"/>
      <c r="AP70" s="457" t="s">
        <v>179</v>
      </c>
      <c r="AQ70" s="457"/>
      <c r="AR70" s="458"/>
      <c r="AS70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70" s="459"/>
      <c r="AU70" s="460"/>
      <c r="AV70" s="460"/>
      <c r="AW70" s="460" t="str">
        <f>IF(COUNTIF('설명회 참석자 명부'!$W$4:$W$29,표3[[#This Row],[성  명]])&gt;0,"O","")</f>
        <v/>
      </c>
      <c r="AX70" s="460">
        <f>_xlfn.XLOOKUP(표3[[#This Row],[성  명]],'설명회 참석자 명부'!$W$4:$W$29,'설명회 참석자 명부'!$X$4:$X$29,"")</f>
        <v>0</v>
      </c>
      <c r="AY70" s="460"/>
      <c r="AZ70" s="460"/>
      <c r="BA70" s="460"/>
      <c r="BB70" s="460"/>
      <c r="BC70" s="460"/>
      <c r="BD70" s="460"/>
      <c r="BE70" s="460"/>
      <c r="BF70" s="461"/>
      <c r="BG70" s="461"/>
      <c r="BH70" s="461"/>
      <c r="BI70" s="461"/>
      <c r="BJ70" s="461"/>
      <c r="BK70" s="461" t="str">
        <f>IFERROR(LEFT(표3[[#This Row],[주소]],FIND(" ",표3[[#This Row],[주소]])-1),"")</f>
        <v/>
      </c>
      <c r="BL70" s="461" t="str">
        <f>IFERROR(MID(표3[[#This Row],[주소]], FIND(" ", 표3[[#This Row],[주소]])+1, FIND(" ", 표3[[#This Row],[주소]], FIND(" ", 표3[[#This Row],[주소]])+1) - FIND(" ", 표3[[#This Row],[주소]])-1),"")</f>
        <v/>
      </c>
      <c r="BM70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70" s="461"/>
      <c r="BO70" s="461"/>
      <c r="BP70" s="461"/>
      <c r="BQ70" s="461"/>
      <c r="BR70" s="462"/>
      <c r="BS70" s="716"/>
      <c r="BT70" s="717"/>
      <c r="BU70" s="717"/>
      <c r="BV70" s="717"/>
      <c r="BW70" s="717"/>
      <c r="BX70" s="717"/>
      <c r="BY70" s="717"/>
      <c r="BZ70" s="717"/>
      <c r="CA70" s="717"/>
      <c r="CB70" s="717"/>
      <c r="CC70" s="717"/>
      <c r="CD70" s="727">
        <f>표3[[#This Row],[종전추정가액]]*1.5219</f>
        <v>0</v>
      </c>
      <c r="CE70" s="463"/>
      <c r="CF70" s="464"/>
      <c r="CG70" s="464"/>
      <c r="CH70" s="465"/>
      <c r="CI70" s="465"/>
      <c r="CJ70" s="466"/>
      <c r="CK70" s="467"/>
      <c r="CL70" s="468"/>
      <c r="CM70" s="469"/>
      <c r="CN70" s="470"/>
      <c r="CO70" s="470"/>
      <c r="CP70" s="470"/>
      <c r="CQ70" s="470"/>
      <c r="CR70" s="470"/>
      <c r="CS70" s="471"/>
      <c r="CT70" s="472"/>
      <c r="CU70" s="472"/>
      <c r="CV70" s="472"/>
      <c r="CW70" s="472"/>
      <c r="CX70" s="472"/>
      <c r="CY70" s="472"/>
      <c r="CZ70" s="472"/>
      <c r="DA70" s="472"/>
      <c r="DB70" s="472"/>
      <c r="DC70" s="472"/>
      <c r="DD70" s="472"/>
      <c r="DE70" s="472"/>
      <c r="DF70" s="473"/>
    </row>
    <row r="71" spans="1:110" s="532" customFormat="1" ht="28" customHeight="1">
      <c r="A71" s="475"/>
      <c r="B71" s="476">
        <v>48</v>
      </c>
      <c r="C71" s="477">
        <v>28</v>
      </c>
      <c r="D71" s="478">
        <v>7</v>
      </c>
      <c r="E71" s="676" t="s">
        <v>320</v>
      </c>
      <c r="F71" s="479">
        <v>101</v>
      </c>
      <c r="G71" s="480"/>
      <c r="H71" s="481"/>
      <c r="I71" s="481"/>
      <c r="J71" s="481"/>
      <c r="K71" s="481"/>
      <c r="L71" s="481"/>
      <c r="M71" s="481"/>
      <c r="N71" s="481"/>
      <c r="O71" s="481"/>
      <c r="P71" s="482"/>
      <c r="Q71" s="483" t="s">
        <v>179</v>
      </c>
      <c r="R71" s="484">
        <v>0</v>
      </c>
      <c r="S71" s="485">
        <v>29.35</v>
      </c>
      <c r="T71" s="671">
        <f>표3[[#This Row],[편입면적]]/(SUM(표3[공부면적]))</f>
        <v>3.6669165417291352E-3</v>
      </c>
      <c r="U71" s="486" t="s">
        <v>179</v>
      </c>
      <c r="V71" s="487"/>
      <c r="W71" s="488">
        <v>44.18</v>
      </c>
      <c r="X71" s="489">
        <v>0</v>
      </c>
      <c r="Y71" s="489">
        <v>44.18</v>
      </c>
      <c r="Z71" s="489" t="s">
        <v>179</v>
      </c>
      <c r="AA71" s="518"/>
      <c r="AB71" s="491"/>
      <c r="AC71" s="492"/>
      <c r="AD71" s="493"/>
      <c r="AE71" s="493" t="str" cm="1">
        <f t="array" ref="AE7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1" s="494"/>
      <c r="AG71" s="495" t="s">
        <v>176</v>
      </c>
      <c r="AH71" s="495"/>
      <c r="AI71" s="495" t="s">
        <v>183</v>
      </c>
      <c r="AJ71" s="496"/>
      <c r="AK71" s="497"/>
      <c r="AL71" s="497"/>
      <c r="AM71" s="494"/>
      <c r="AN71" s="498"/>
      <c r="AO71" s="499" t="s">
        <v>321</v>
      </c>
      <c r="AP71" s="500" t="s">
        <v>179</v>
      </c>
      <c r="AQ71" s="500"/>
      <c r="AR71" s="501">
        <v>63</v>
      </c>
      <c r="AS7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71" s="502" t="s">
        <v>322</v>
      </c>
      <c r="AU71" s="503" t="s">
        <v>190</v>
      </c>
      <c r="AV71" s="503"/>
      <c r="AW71" s="503" t="str">
        <f>IF(COUNTIF('설명회 참석자 명부'!$W$4:$W$29,표3[[#This Row],[성  명]])&gt;0,"O","")</f>
        <v/>
      </c>
      <c r="AX71" s="503" t="str">
        <f>_xlfn.XLOOKUP(표3[[#This Row],[성  명]],'설명회 참석자 명부'!$W$4:$W$29,'설명회 참석자 명부'!$X$4:$X$29,"")</f>
        <v/>
      </c>
      <c r="AY71" s="503"/>
      <c r="AZ71" s="503"/>
      <c r="BA71" s="503"/>
      <c r="BB71" s="503"/>
      <c r="BC71" s="503"/>
      <c r="BD71" s="503"/>
      <c r="BE71" s="503"/>
      <c r="BF71" s="504"/>
      <c r="BG71" s="504"/>
      <c r="BH71" s="504"/>
      <c r="BI71" s="504"/>
      <c r="BJ71" s="504"/>
      <c r="BK71" s="504" t="str">
        <f>IFERROR(LEFT(표3[[#This Row],[주소]],FIND(" ",표3[[#This Row],[주소]])-1),"")</f>
        <v>서울특별시</v>
      </c>
      <c r="BL7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71" s="504"/>
      <c r="BO71" s="504"/>
      <c r="BP71" s="504"/>
      <c r="BQ71" s="504"/>
      <c r="BR71" s="505"/>
      <c r="BS71" s="718" t="s">
        <v>179</v>
      </c>
      <c r="BT71" s="719" t="s">
        <v>179</v>
      </c>
      <c r="BU71" s="719" t="s">
        <v>179</v>
      </c>
      <c r="BV71" s="719" t="s">
        <v>179</v>
      </c>
      <c r="BW71" s="719" t="s">
        <v>179</v>
      </c>
      <c r="BX71" s="719" t="s">
        <v>179</v>
      </c>
      <c r="BY71" s="719" t="s">
        <v>323</v>
      </c>
      <c r="BZ71" s="719">
        <v>44.18</v>
      </c>
      <c r="CA71" s="719">
        <v>29.35</v>
      </c>
      <c r="CB71" s="719">
        <v>399000000</v>
      </c>
      <c r="CC71" s="719">
        <v>399000000</v>
      </c>
      <c r="CD71" s="726">
        <f>표3[[#This Row],[종전추정가액]]*1.5219</f>
        <v>607238100</v>
      </c>
      <c r="CE71" s="506"/>
      <c r="CF71" s="507"/>
      <c r="CG71" s="507"/>
      <c r="CH71" s="508"/>
      <c r="CI71" s="508"/>
      <c r="CJ71" s="509"/>
      <c r="CK71" s="510"/>
      <c r="CL71" s="511"/>
      <c r="CM71" s="512"/>
      <c r="CN71" s="513"/>
      <c r="CO71" s="513"/>
      <c r="CP71" s="513"/>
      <c r="CQ71" s="513"/>
      <c r="CR71" s="513"/>
      <c r="CS71" s="514"/>
      <c r="CT71" s="515"/>
      <c r="CU71" s="515"/>
      <c r="CV71" s="515"/>
      <c r="CW71" s="515"/>
      <c r="CX71" s="515"/>
      <c r="CY71" s="515"/>
      <c r="CZ71" s="515"/>
      <c r="DA71" s="515"/>
      <c r="DB71" s="515"/>
      <c r="DC71" s="515"/>
      <c r="DD71" s="515"/>
      <c r="DE71" s="515"/>
      <c r="DF71" s="516"/>
    </row>
    <row r="72" spans="1:110" s="532" customFormat="1" ht="28" customHeight="1">
      <c r="A72" s="475"/>
      <c r="B72" s="476">
        <v>48</v>
      </c>
      <c r="C72" s="477">
        <v>28</v>
      </c>
      <c r="D72" s="478">
        <v>7</v>
      </c>
      <c r="E72" s="676" t="s">
        <v>320</v>
      </c>
      <c r="F72" s="479">
        <v>201</v>
      </c>
      <c r="G72" s="480"/>
      <c r="H72" s="481"/>
      <c r="I72" s="481"/>
      <c r="J72" s="481"/>
      <c r="K72" s="481"/>
      <c r="L72" s="481"/>
      <c r="M72" s="481"/>
      <c r="N72" s="481"/>
      <c r="O72" s="481"/>
      <c r="P72" s="482"/>
      <c r="Q72" s="483" t="s">
        <v>179</v>
      </c>
      <c r="R72" s="484">
        <v>0</v>
      </c>
      <c r="S72" s="485">
        <v>27.89</v>
      </c>
      <c r="T72" s="671">
        <f>표3[[#This Row],[편입면적]]/(SUM(표3[공부면적]))</f>
        <v>3.4845077461269362E-3</v>
      </c>
      <c r="U72" s="486" t="s">
        <v>179</v>
      </c>
      <c r="V72" s="487"/>
      <c r="W72" s="488">
        <v>41.99</v>
      </c>
      <c r="X72" s="489">
        <v>12.56</v>
      </c>
      <c r="Y72" s="489">
        <v>54.550000000000004</v>
      </c>
      <c r="Z72" s="489" t="s">
        <v>179</v>
      </c>
      <c r="AA72" s="518"/>
      <c r="AB72" s="491"/>
      <c r="AC72" s="492"/>
      <c r="AD72" s="493"/>
      <c r="AE72" s="493" t="str" cm="1">
        <f t="array" ref="AE7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2" s="494"/>
      <c r="AG72" s="495" t="s">
        <v>176</v>
      </c>
      <c r="AH72" s="495"/>
      <c r="AI72" s="495" t="s">
        <v>183</v>
      </c>
      <c r="AJ72" s="496"/>
      <c r="AK72" s="497"/>
      <c r="AL72" s="497"/>
      <c r="AM72" s="494"/>
      <c r="AN72" s="498"/>
      <c r="AO72" s="499" t="s">
        <v>321</v>
      </c>
      <c r="AP72" s="500" t="s">
        <v>179</v>
      </c>
      <c r="AQ72" s="500"/>
      <c r="AR72" s="501"/>
      <c r="AS7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72" s="502" t="s">
        <v>322</v>
      </c>
      <c r="AU72" s="503"/>
      <c r="AV72" s="503"/>
      <c r="AW72" s="503" t="str">
        <f>IF(COUNTIF('설명회 참석자 명부'!$W$4:$W$29,표3[[#This Row],[성  명]])&gt;0,"O","")</f>
        <v/>
      </c>
      <c r="AX72" s="503" t="str">
        <f>_xlfn.XLOOKUP(표3[[#This Row],[성  명]],'설명회 참석자 명부'!$W$4:$W$29,'설명회 참석자 명부'!$X$4:$X$29,"")</f>
        <v/>
      </c>
      <c r="AY72" s="503"/>
      <c r="AZ72" s="503"/>
      <c r="BA72" s="503"/>
      <c r="BB72" s="503"/>
      <c r="BC72" s="503"/>
      <c r="BD72" s="503"/>
      <c r="BE72" s="503"/>
      <c r="BF72" s="504"/>
      <c r="BG72" s="504"/>
      <c r="BH72" s="504"/>
      <c r="BI72" s="504"/>
      <c r="BJ72" s="504"/>
      <c r="BK72" s="504" t="str">
        <f>IFERROR(LEFT(표3[[#This Row],[주소]],FIND(" ",표3[[#This Row],[주소]])-1),"")</f>
        <v>서울특별시</v>
      </c>
      <c r="BL7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72" s="504"/>
      <c r="BO72" s="504"/>
      <c r="BP72" s="504"/>
      <c r="BQ72" s="504"/>
      <c r="BR72" s="505"/>
      <c r="BS72" s="718" t="s">
        <v>179</v>
      </c>
      <c r="BT72" s="719" t="s">
        <v>179</v>
      </c>
      <c r="BU72" s="719" t="s">
        <v>179</v>
      </c>
      <c r="BV72" s="719" t="s">
        <v>179</v>
      </c>
      <c r="BW72" s="719" t="s">
        <v>179</v>
      </c>
      <c r="BX72" s="719" t="s">
        <v>179</v>
      </c>
      <c r="BY72" s="719" t="s">
        <v>191</v>
      </c>
      <c r="BZ72" s="719">
        <v>41.99</v>
      </c>
      <c r="CA72" s="719">
        <v>27.89</v>
      </c>
      <c r="CB72" s="719">
        <v>389000000</v>
      </c>
      <c r="CC72" s="719">
        <v>389000000</v>
      </c>
      <c r="CD72" s="726">
        <f>표3[[#This Row],[종전추정가액]]*1.5219</f>
        <v>592019100</v>
      </c>
      <c r="CE72" s="506"/>
      <c r="CF72" s="507"/>
      <c r="CG72" s="507"/>
      <c r="CH72" s="508"/>
      <c r="CI72" s="508"/>
      <c r="CJ72" s="509"/>
      <c r="CK72" s="510"/>
      <c r="CL72" s="511"/>
      <c r="CM72" s="512"/>
      <c r="CN72" s="513"/>
      <c r="CO72" s="513"/>
      <c r="CP72" s="513"/>
      <c r="CQ72" s="513"/>
      <c r="CR72" s="513"/>
      <c r="CS72" s="514"/>
      <c r="CT72" s="515"/>
      <c r="CU72" s="515"/>
      <c r="CV72" s="515"/>
      <c r="CW72" s="515"/>
      <c r="CX72" s="515"/>
      <c r="CY72" s="515"/>
      <c r="CZ72" s="515"/>
      <c r="DA72" s="515"/>
      <c r="DB72" s="515"/>
      <c r="DC72" s="515"/>
      <c r="DD72" s="515"/>
      <c r="DE72" s="515"/>
      <c r="DF72" s="516"/>
    </row>
    <row r="73" spans="1:110" s="532" customFormat="1" ht="28" customHeight="1">
      <c r="A73" s="475"/>
      <c r="B73" s="476">
        <v>48</v>
      </c>
      <c r="C73" s="477">
        <v>28</v>
      </c>
      <c r="D73" s="478">
        <v>7</v>
      </c>
      <c r="E73" s="676" t="s">
        <v>320</v>
      </c>
      <c r="F73" s="479">
        <v>202</v>
      </c>
      <c r="G73" s="480"/>
      <c r="H73" s="481"/>
      <c r="I73" s="481"/>
      <c r="J73" s="481"/>
      <c r="K73" s="481"/>
      <c r="L73" s="481"/>
      <c r="M73" s="481"/>
      <c r="N73" s="481"/>
      <c r="O73" s="481"/>
      <c r="P73" s="482"/>
      <c r="Q73" s="483" t="s">
        <v>179</v>
      </c>
      <c r="R73" s="484">
        <v>0</v>
      </c>
      <c r="S73" s="485">
        <v>31.06</v>
      </c>
      <c r="T73" s="671">
        <f>표3[[#This Row],[편입면적]]/(SUM(표3[공부면적]))</f>
        <v>3.8805597201399295E-3</v>
      </c>
      <c r="U73" s="486" t="s">
        <v>179</v>
      </c>
      <c r="V73" s="487"/>
      <c r="W73" s="488">
        <v>46.75</v>
      </c>
      <c r="X73" s="489">
        <v>13.98</v>
      </c>
      <c r="Y73" s="489">
        <v>60.730000000000004</v>
      </c>
      <c r="Z73" s="489" t="s">
        <v>179</v>
      </c>
      <c r="AA73" s="518"/>
      <c r="AB73" s="491"/>
      <c r="AC73" s="492"/>
      <c r="AD73" s="493"/>
      <c r="AE73" s="493" t="str" cm="1">
        <f t="array" ref="AE7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3" s="494"/>
      <c r="AG73" s="495" t="s">
        <v>176</v>
      </c>
      <c r="AH73" s="495"/>
      <c r="AI73" s="495" t="s">
        <v>183</v>
      </c>
      <c r="AJ73" s="496"/>
      <c r="AK73" s="497"/>
      <c r="AL73" s="497"/>
      <c r="AM73" s="494"/>
      <c r="AN73" s="498"/>
      <c r="AO73" s="499" t="s">
        <v>321</v>
      </c>
      <c r="AP73" s="500" t="s">
        <v>179</v>
      </c>
      <c r="AQ73" s="500"/>
      <c r="AR73" s="501"/>
      <c r="AS7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73" s="502" t="s">
        <v>322</v>
      </c>
      <c r="AU73" s="503"/>
      <c r="AV73" s="503"/>
      <c r="AW73" s="503" t="str">
        <f>IF(COUNTIF('설명회 참석자 명부'!$W$4:$W$29,표3[[#This Row],[성  명]])&gt;0,"O","")</f>
        <v/>
      </c>
      <c r="AX73" s="503" t="str">
        <f>_xlfn.XLOOKUP(표3[[#This Row],[성  명]],'설명회 참석자 명부'!$W$4:$W$29,'설명회 참석자 명부'!$X$4:$X$29,"")</f>
        <v/>
      </c>
      <c r="AY73" s="503"/>
      <c r="AZ73" s="503"/>
      <c r="BA73" s="503"/>
      <c r="BB73" s="503"/>
      <c r="BC73" s="503"/>
      <c r="BD73" s="503"/>
      <c r="BE73" s="503"/>
      <c r="BF73" s="504"/>
      <c r="BG73" s="504"/>
      <c r="BH73" s="504"/>
      <c r="BI73" s="504"/>
      <c r="BJ73" s="504"/>
      <c r="BK73" s="504" t="str">
        <f>IFERROR(LEFT(표3[[#This Row],[주소]],FIND(" ",표3[[#This Row],[주소]])-1),"")</f>
        <v>서울특별시</v>
      </c>
      <c r="BL7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73" s="504"/>
      <c r="BO73" s="504"/>
      <c r="BP73" s="504"/>
      <c r="BQ73" s="504"/>
      <c r="BR73" s="505"/>
      <c r="BS73" s="718" t="s">
        <v>179</v>
      </c>
      <c r="BT73" s="719" t="s">
        <v>179</v>
      </c>
      <c r="BU73" s="719" t="s">
        <v>179</v>
      </c>
      <c r="BV73" s="719" t="s">
        <v>179</v>
      </c>
      <c r="BW73" s="719" t="s">
        <v>179</v>
      </c>
      <c r="BX73" s="719" t="s">
        <v>179</v>
      </c>
      <c r="BY73" s="719" t="s">
        <v>191</v>
      </c>
      <c r="BZ73" s="719">
        <v>46.75</v>
      </c>
      <c r="CA73" s="719">
        <v>31.06</v>
      </c>
      <c r="CB73" s="719">
        <v>433000000</v>
      </c>
      <c r="CC73" s="719">
        <v>433000000</v>
      </c>
      <c r="CD73" s="726">
        <f>표3[[#This Row],[종전추정가액]]*1.5219</f>
        <v>658982700</v>
      </c>
      <c r="CE73" s="506"/>
      <c r="CF73" s="507"/>
      <c r="CG73" s="507"/>
      <c r="CH73" s="508"/>
      <c r="CI73" s="508"/>
      <c r="CJ73" s="509"/>
      <c r="CK73" s="510"/>
      <c r="CL73" s="511"/>
      <c r="CM73" s="512"/>
      <c r="CN73" s="513"/>
      <c r="CO73" s="513"/>
      <c r="CP73" s="513"/>
      <c r="CQ73" s="513"/>
      <c r="CR73" s="513"/>
      <c r="CS73" s="514"/>
      <c r="CT73" s="515"/>
      <c r="CU73" s="515"/>
      <c r="CV73" s="515"/>
      <c r="CW73" s="515"/>
      <c r="CX73" s="515"/>
      <c r="CY73" s="515"/>
      <c r="CZ73" s="515"/>
      <c r="DA73" s="515"/>
      <c r="DB73" s="515"/>
      <c r="DC73" s="515"/>
      <c r="DD73" s="515"/>
      <c r="DE73" s="515"/>
      <c r="DF73" s="516"/>
    </row>
    <row r="74" spans="1:110" s="532" customFormat="1" ht="28" customHeight="1">
      <c r="A74" s="475"/>
      <c r="B74" s="476">
        <v>48</v>
      </c>
      <c r="C74" s="477">
        <v>28</v>
      </c>
      <c r="D74" s="478">
        <v>7</v>
      </c>
      <c r="E74" s="676" t="s">
        <v>320</v>
      </c>
      <c r="F74" s="479">
        <v>203</v>
      </c>
      <c r="G74" s="480"/>
      <c r="H74" s="481"/>
      <c r="I74" s="481"/>
      <c r="J74" s="481"/>
      <c r="K74" s="481"/>
      <c r="L74" s="481"/>
      <c r="M74" s="481"/>
      <c r="N74" s="481"/>
      <c r="O74" s="481"/>
      <c r="P74" s="482"/>
      <c r="Q74" s="483" t="s">
        <v>179</v>
      </c>
      <c r="R74" s="484">
        <v>0</v>
      </c>
      <c r="S74" s="485">
        <v>27.36</v>
      </c>
      <c r="T74" s="671">
        <f>표3[[#This Row],[편입면적]]/(SUM(표3[공부면적]))</f>
        <v>3.418290854572713E-3</v>
      </c>
      <c r="U74" s="486" t="s">
        <v>179</v>
      </c>
      <c r="V74" s="487"/>
      <c r="W74" s="488">
        <v>41.18</v>
      </c>
      <c r="X74" s="489">
        <v>12.31</v>
      </c>
      <c r="Y74" s="489">
        <v>53.49</v>
      </c>
      <c r="Z74" s="489" t="s">
        <v>179</v>
      </c>
      <c r="AA74" s="518"/>
      <c r="AB74" s="491"/>
      <c r="AC74" s="492"/>
      <c r="AD74" s="493"/>
      <c r="AE74" s="493" t="str" cm="1">
        <f t="array" ref="AE7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4" s="494"/>
      <c r="AG74" s="495" t="s">
        <v>176</v>
      </c>
      <c r="AH74" s="495"/>
      <c r="AI74" s="495" t="s">
        <v>183</v>
      </c>
      <c r="AJ74" s="496"/>
      <c r="AK74" s="497"/>
      <c r="AL74" s="497"/>
      <c r="AM74" s="494"/>
      <c r="AN74" s="498"/>
      <c r="AO74" s="499" t="s">
        <v>321</v>
      </c>
      <c r="AP74" s="500" t="s">
        <v>179</v>
      </c>
      <c r="AQ74" s="500"/>
      <c r="AR74" s="501"/>
      <c r="AS7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74" s="502" t="s">
        <v>322</v>
      </c>
      <c r="AU74" s="503"/>
      <c r="AV74" s="503"/>
      <c r="AW74" s="503" t="str">
        <f>IF(COUNTIF('설명회 참석자 명부'!$W$4:$W$29,표3[[#This Row],[성  명]])&gt;0,"O","")</f>
        <v/>
      </c>
      <c r="AX74" s="503" t="str">
        <f>_xlfn.XLOOKUP(표3[[#This Row],[성  명]],'설명회 참석자 명부'!$W$4:$W$29,'설명회 참석자 명부'!$X$4:$X$29,"")</f>
        <v/>
      </c>
      <c r="AY74" s="503"/>
      <c r="AZ74" s="503"/>
      <c r="BA74" s="503"/>
      <c r="BB74" s="503"/>
      <c r="BC74" s="503"/>
      <c r="BD74" s="503"/>
      <c r="BE74" s="503"/>
      <c r="BF74" s="504"/>
      <c r="BG74" s="504"/>
      <c r="BH74" s="504"/>
      <c r="BI74" s="504"/>
      <c r="BJ74" s="504"/>
      <c r="BK74" s="504" t="str">
        <f>IFERROR(LEFT(표3[[#This Row],[주소]],FIND(" ",표3[[#This Row],[주소]])-1),"")</f>
        <v>서울특별시</v>
      </c>
      <c r="BL7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74" s="504"/>
      <c r="BO74" s="504"/>
      <c r="BP74" s="504"/>
      <c r="BQ74" s="504"/>
      <c r="BR74" s="505"/>
      <c r="BS74" s="718" t="s">
        <v>179</v>
      </c>
      <c r="BT74" s="719" t="s">
        <v>179</v>
      </c>
      <c r="BU74" s="719" t="s">
        <v>179</v>
      </c>
      <c r="BV74" s="719" t="s">
        <v>179</v>
      </c>
      <c r="BW74" s="719" t="s">
        <v>179</v>
      </c>
      <c r="BX74" s="719" t="s">
        <v>179</v>
      </c>
      <c r="BY74" s="719" t="s">
        <v>191</v>
      </c>
      <c r="BZ74" s="719">
        <v>41.18</v>
      </c>
      <c r="CA74" s="719">
        <v>27.36</v>
      </c>
      <c r="CB74" s="719">
        <v>381000000</v>
      </c>
      <c r="CC74" s="719">
        <v>381000000</v>
      </c>
      <c r="CD74" s="726">
        <f>표3[[#This Row],[종전추정가액]]*1.5219</f>
        <v>579843900</v>
      </c>
      <c r="CE74" s="506"/>
      <c r="CF74" s="507"/>
      <c r="CG74" s="507"/>
      <c r="CH74" s="508"/>
      <c r="CI74" s="508"/>
      <c r="CJ74" s="509"/>
      <c r="CK74" s="510"/>
      <c r="CL74" s="511"/>
      <c r="CM74" s="512"/>
      <c r="CN74" s="513"/>
      <c r="CO74" s="513"/>
      <c r="CP74" s="513"/>
      <c r="CQ74" s="513"/>
      <c r="CR74" s="513"/>
      <c r="CS74" s="514"/>
      <c r="CT74" s="515"/>
      <c r="CU74" s="515"/>
      <c r="CV74" s="515"/>
      <c r="CW74" s="515"/>
      <c r="CX74" s="515"/>
      <c r="CY74" s="515"/>
      <c r="CZ74" s="515"/>
      <c r="DA74" s="515"/>
      <c r="DB74" s="515"/>
      <c r="DC74" s="515"/>
      <c r="DD74" s="515"/>
      <c r="DE74" s="515"/>
      <c r="DF74" s="516"/>
    </row>
    <row r="75" spans="1:110" s="532" customFormat="1" ht="28" customHeight="1">
      <c r="A75" s="475"/>
      <c r="B75" s="476">
        <v>48</v>
      </c>
      <c r="C75" s="477">
        <v>28</v>
      </c>
      <c r="D75" s="478">
        <v>7</v>
      </c>
      <c r="E75" s="676" t="s">
        <v>320</v>
      </c>
      <c r="F75" s="479">
        <v>301</v>
      </c>
      <c r="G75" s="480"/>
      <c r="H75" s="481"/>
      <c r="I75" s="481"/>
      <c r="J75" s="481"/>
      <c r="K75" s="481"/>
      <c r="L75" s="481"/>
      <c r="M75" s="481"/>
      <c r="N75" s="481"/>
      <c r="O75" s="481"/>
      <c r="P75" s="482"/>
      <c r="Q75" s="483" t="s">
        <v>179</v>
      </c>
      <c r="R75" s="484">
        <v>0</v>
      </c>
      <c r="S75" s="485">
        <v>27.89</v>
      </c>
      <c r="T75" s="671">
        <f>표3[[#This Row],[편입면적]]/(SUM(표3[공부면적]))</f>
        <v>3.4845077461269362E-3</v>
      </c>
      <c r="U75" s="486" t="s">
        <v>179</v>
      </c>
      <c r="V75" s="487"/>
      <c r="W75" s="488">
        <v>41.99</v>
      </c>
      <c r="X75" s="489">
        <v>12.56</v>
      </c>
      <c r="Y75" s="489">
        <v>54.550000000000004</v>
      </c>
      <c r="Z75" s="489" t="s">
        <v>179</v>
      </c>
      <c r="AA75" s="518"/>
      <c r="AB75" s="491"/>
      <c r="AC75" s="492"/>
      <c r="AD75" s="493"/>
      <c r="AE75" s="493" t="str" cm="1">
        <f t="array" ref="AE7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5" s="494"/>
      <c r="AG75" s="495" t="s">
        <v>176</v>
      </c>
      <c r="AH75" s="495"/>
      <c r="AI75" s="495" t="s">
        <v>183</v>
      </c>
      <c r="AJ75" s="496"/>
      <c r="AK75" s="497"/>
      <c r="AL75" s="497"/>
      <c r="AM75" s="494"/>
      <c r="AN75" s="498"/>
      <c r="AO75" s="499" t="s">
        <v>321</v>
      </c>
      <c r="AP75" s="500" t="s">
        <v>179</v>
      </c>
      <c r="AQ75" s="500"/>
      <c r="AR75" s="501"/>
      <c r="AS7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75" s="502" t="s">
        <v>322</v>
      </c>
      <c r="AU75" s="503"/>
      <c r="AV75" s="503"/>
      <c r="AW75" s="503" t="str">
        <f>IF(COUNTIF('설명회 참석자 명부'!$W$4:$W$29,표3[[#This Row],[성  명]])&gt;0,"O","")</f>
        <v/>
      </c>
      <c r="AX75" s="503" t="str">
        <f>_xlfn.XLOOKUP(표3[[#This Row],[성  명]],'설명회 참석자 명부'!$W$4:$W$29,'설명회 참석자 명부'!$X$4:$X$29,"")</f>
        <v/>
      </c>
      <c r="AY75" s="503"/>
      <c r="AZ75" s="503"/>
      <c r="BA75" s="503"/>
      <c r="BB75" s="503"/>
      <c r="BC75" s="503"/>
      <c r="BD75" s="503"/>
      <c r="BE75" s="503"/>
      <c r="BF75" s="504"/>
      <c r="BG75" s="504"/>
      <c r="BH75" s="504"/>
      <c r="BI75" s="504"/>
      <c r="BJ75" s="504"/>
      <c r="BK75" s="504" t="str">
        <f>IFERROR(LEFT(표3[[#This Row],[주소]],FIND(" ",표3[[#This Row],[주소]])-1),"")</f>
        <v>서울특별시</v>
      </c>
      <c r="BL7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75" s="504"/>
      <c r="BO75" s="504"/>
      <c r="BP75" s="504"/>
      <c r="BQ75" s="504"/>
      <c r="BR75" s="505"/>
      <c r="BS75" s="718" t="s">
        <v>179</v>
      </c>
      <c r="BT75" s="719" t="s">
        <v>179</v>
      </c>
      <c r="BU75" s="719" t="s">
        <v>179</v>
      </c>
      <c r="BV75" s="719" t="s">
        <v>179</v>
      </c>
      <c r="BW75" s="719" t="s">
        <v>179</v>
      </c>
      <c r="BX75" s="719" t="s">
        <v>179</v>
      </c>
      <c r="BY75" s="719" t="s">
        <v>191</v>
      </c>
      <c r="BZ75" s="719">
        <v>41.99</v>
      </c>
      <c r="CA75" s="719">
        <v>27.89</v>
      </c>
      <c r="CB75" s="719">
        <v>392000000</v>
      </c>
      <c r="CC75" s="719">
        <v>392000000</v>
      </c>
      <c r="CD75" s="726">
        <f>표3[[#This Row],[종전추정가액]]*1.5219</f>
        <v>596584800</v>
      </c>
      <c r="CE75" s="506"/>
      <c r="CF75" s="507"/>
      <c r="CG75" s="507"/>
      <c r="CH75" s="508"/>
      <c r="CI75" s="508"/>
      <c r="CJ75" s="509"/>
      <c r="CK75" s="510"/>
      <c r="CL75" s="511"/>
      <c r="CM75" s="512"/>
      <c r="CN75" s="513"/>
      <c r="CO75" s="513"/>
      <c r="CP75" s="513"/>
      <c r="CQ75" s="513"/>
      <c r="CR75" s="513"/>
      <c r="CS75" s="514"/>
      <c r="CT75" s="515"/>
      <c r="CU75" s="515"/>
      <c r="CV75" s="515"/>
      <c r="CW75" s="515"/>
      <c r="CX75" s="515"/>
      <c r="CY75" s="515"/>
      <c r="CZ75" s="515"/>
      <c r="DA75" s="515"/>
      <c r="DB75" s="515"/>
      <c r="DC75" s="515"/>
      <c r="DD75" s="515"/>
      <c r="DE75" s="515"/>
      <c r="DF75" s="516"/>
    </row>
    <row r="76" spans="1:110" s="532" customFormat="1" ht="28" customHeight="1">
      <c r="A76" s="475"/>
      <c r="B76" s="476">
        <v>48</v>
      </c>
      <c r="C76" s="477">
        <v>28</v>
      </c>
      <c r="D76" s="478">
        <v>7</v>
      </c>
      <c r="E76" s="676" t="s">
        <v>320</v>
      </c>
      <c r="F76" s="479">
        <v>302</v>
      </c>
      <c r="G76" s="480"/>
      <c r="H76" s="481"/>
      <c r="I76" s="481"/>
      <c r="J76" s="481"/>
      <c r="K76" s="481"/>
      <c r="L76" s="481"/>
      <c r="M76" s="481"/>
      <c r="N76" s="481"/>
      <c r="O76" s="481"/>
      <c r="P76" s="482"/>
      <c r="Q76" s="483" t="s">
        <v>179</v>
      </c>
      <c r="R76" s="484">
        <v>0</v>
      </c>
      <c r="S76" s="485">
        <v>31.06</v>
      </c>
      <c r="T76" s="671">
        <f>표3[[#This Row],[편입면적]]/(SUM(표3[공부면적]))</f>
        <v>3.8805597201399295E-3</v>
      </c>
      <c r="U76" s="486" t="s">
        <v>179</v>
      </c>
      <c r="V76" s="487"/>
      <c r="W76" s="488">
        <v>46.75</v>
      </c>
      <c r="X76" s="489">
        <v>13.98</v>
      </c>
      <c r="Y76" s="489">
        <v>60.730000000000004</v>
      </c>
      <c r="Z76" s="489" t="s">
        <v>179</v>
      </c>
      <c r="AA76" s="518"/>
      <c r="AB76" s="491"/>
      <c r="AC76" s="492"/>
      <c r="AD76" s="493"/>
      <c r="AE76" s="493" t="str" cm="1">
        <f t="array" ref="AE7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6" s="494"/>
      <c r="AG76" s="495" t="s">
        <v>176</v>
      </c>
      <c r="AH76" s="495"/>
      <c r="AI76" s="495" t="s">
        <v>183</v>
      </c>
      <c r="AJ76" s="496"/>
      <c r="AK76" s="497"/>
      <c r="AL76" s="497"/>
      <c r="AM76" s="494"/>
      <c r="AN76" s="498"/>
      <c r="AO76" s="499" t="s">
        <v>321</v>
      </c>
      <c r="AP76" s="500" t="s">
        <v>179</v>
      </c>
      <c r="AQ76" s="500"/>
      <c r="AR76" s="501"/>
      <c r="AS7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76" s="502" t="s">
        <v>322</v>
      </c>
      <c r="AU76" s="503"/>
      <c r="AV76" s="503"/>
      <c r="AW76" s="503" t="str">
        <f>IF(COUNTIF('설명회 참석자 명부'!$W$4:$W$29,표3[[#This Row],[성  명]])&gt;0,"O","")</f>
        <v/>
      </c>
      <c r="AX76" s="503" t="str">
        <f>_xlfn.XLOOKUP(표3[[#This Row],[성  명]],'설명회 참석자 명부'!$W$4:$W$29,'설명회 참석자 명부'!$X$4:$X$29,"")</f>
        <v/>
      </c>
      <c r="AY76" s="503"/>
      <c r="AZ76" s="503"/>
      <c r="BA76" s="503"/>
      <c r="BB76" s="503"/>
      <c r="BC76" s="503"/>
      <c r="BD76" s="503"/>
      <c r="BE76" s="503"/>
      <c r="BF76" s="504"/>
      <c r="BG76" s="504"/>
      <c r="BH76" s="504"/>
      <c r="BI76" s="504"/>
      <c r="BJ76" s="504"/>
      <c r="BK76" s="504" t="str">
        <f>IFERROR(LEFT(표3[[#This Row],[주소]],FIND(" ",표3[[#This Row],[주소]])-1),"")</f>
        <v>서울특별시</v>
      </c>
      <c r="BL76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76" s="504"/>
      <c r="BO76" s="504"/>
      <c r="BP76" s="504"/>
      <c r="BQ76" s="504"/>
      <c r="BR76" s="505"/>
      <c r="BS76" s="718" t="s">
        <v>179</v>
      </c>
      <c r="BT76" s="719" t="s">
        <v>179</v>
      </c>
      <c r="BU76" s="719" t="s">
        <v>179</v>
      </c>
      <c r="BV76" s="719" t="s">
        <v>179</v>
      </c>
      <c r="BW76" s="719" t="s">
        <v>179</v>
      </c>
      <c r="BX76" s="719" t="s">
        <v>179</v>
      </c>
      <c r="BY76" s="719" t="s">
        <v>191</v>
      </c>
      <c r="BZ76" s="719">
        <v>46.75</v>
      </c>
      <c r="CA76" s="719">
        <v>31.06</v>
      </c>
      <c r="CB76" s="719">
        <v>437000000</v>
      </c>
      <c r="CC76" s="719">
        <v>437000000</v>
      </c>
      <c r="CD76" s="726">
        <f>표3[[#This Row],[종전추정가액]]*1.5219</f>
        <v>665070300</v>
      </c>
      <c r="CE76" s="506"/>
      <c r="CF76" s="507"/>
      <c r="CG76" s="507"/>
      <c r="CH76" s="508"/>
      <c r="CI76" s="508"/>
      <c r="CJ76" s="509"/>
      <c r="CK76" s="510"/>
      <c r="CL76" s="511"/>
      <c r="CM76" s="512"/>
      <c r="CN76" s="513"/>
      <c r="CO76" s="513"/>
      <c r="CP76" s="513"/>
      <c r="CQ76" s="513"/>
      <c r="CR76" s="513"/>
      <c r="CS76" s="514"/>
      <c r="CT76" s="515"/>
      <c r="CU76" s="515"/>
      <c r="CV76" s="515"/>
      <c r="CW76" s="515"/>
      <c r="CX76" s="515"/>
      <c r="CY76" s="515"/>
      <c r="CZ76" s="515"/>
      <c r="DA76" s="515"/>
      <c r="DB76" s="515"/>
      <c r="DC76" s="515"/>
      <c r="DD76" s="515"/>
      <c r="DE76" s="515"/>
      <c r="DF76" s="516"/>
    </row>
    <row r="77" spans="1:110" s="532" customFormat="1" ht="28" customHeight="1">
      <c r="A77" s="475"/>
      <c r="B77" s="476">
        <v>48</v>
      </c>
      <c r="C77" s="477">
        <v>28</v>
      </c>
      <c r="D77" s="478">
        <v>7</v>
      </c>
      <c r="E77" s="676" t="s">
        <v>320</v>
      </c>
      <c r="F77" s="479">
        <v>303</v>
      </c>
      <c r="G77" s="480"/>
      <c r="H77" s="481"/>
      <c r="I77" s="481"/>
      <c r="J77" s="481"/>
      <c r="K77" s="481"/>
      <c r="L77" s="481"/>
      <c r="M77" s="481"/>
      <c r="N77" s="481"/>
      <c r="O77" s="481"/>
      <c r="P77" s="482"/>
      <c r="Q77" s="483" t="s">
        <v>179</v>
      </c>
      <c r="R77" s="484">
        <v>0</v>
      </c>
      <c r="S77" s="485">
        <v>27.36</v>
      </c>
      <c r="T77" s="671">
        <f>표3[[#This Row],[편입면적]]/(SUM(표3[공부면적]))</f>
        <v>3.418290854572713E-3</v>
      </c>
      <c r="U77" s="486" t="s">
        <v>179</v>
      </c>
      <c r="V77" s="487"/>
      <c r="W77" s="488">
        <v>41.18</v>
      </c>
      <c r="X77" s="489">
        <v>12.32</v>
      </c>
      <c r="Y77" s="489">
        <v>53.5</v>
      </c>
      <c r="Z77" s="489" t="s">
        <v>179</v>
      </c>
      <c r="AA77" s="518"/>
      <c r="AB77" s="491"/>
      <c r="AC77" s="492"/>
      <c r="AD77" s="493"/>
      <c r="AE77" s="493" t="str" cm="1">
        <f t="array" ref="AE7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7" s="494"/>
      <c r="AG77" s="495" t="s">
        <v>176</v>
      </c>
      <c r="AH77" s="495"/>
      <c r="AI77" s="495" t="s">
        <v>183</v>
      </c>
      <c r="AJ77" s="496"/>
      <c r="AK77" s="497"/>
      <c r="AL77" s="497"/>
      <c r="AM77" s="494"/>
      <c r="AN77" s="498"/>
      <c r="AO77" s="499" t="s">
        <v>321</v>
      </c>
      <c r="AP77" s="500" t="s">
        <v>179</v>
      </c>
      <c r="AQ77" s="500"/>
      <c r="AR77" s="501"/>
      <c r="AS7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77" s="502" t="s">
        <v>322</v>
      </c>
      <c r="AU77" s="503"/>
      <c r="AV77" s="503"/>
      <c r="AW77" s="503" t="str">
        <f>IF(COUNTIF('설명회 참석자 명부'!$W$4:$W$29,표3[[#This Row],[성  명]])&gt;0,"O","")</f>
        <v/>
      </c>
      <c r="AX77" s="503" t="str">
        <f>_xlfn.XLOOKUP(표3[[#This Row],[성  명]],'설명회 참석자 명부'!$W$4:$W$29,'설명회 참석자 명부'!$X$4:$X$29,"")</f>
        <v/>
      </c>
      <c r="AY77" s="503"/>
      <c r="AZ77" s="503"/>
      <c r="BA77" s="503"/>
      <c r="BB77" s="503"/>
      <c r="BC77" s="503"/>
      <c r="BD77" s="503"/>
      <c r="BE77" s="503"/>
      <c r="BF77" s="504"/>
      <c r="BG77" s="504"/>
      <c r="BH77" s="504"/>
      <c r="BI77" s="504"/>
      <c r="BJ77" s="504"/>
      <c r="BK77" s="504" t="str">
        <f>IFERROR(LEFT(표3[[#This Row],[주소]],FIND(" ",표3[[#This Row],[주소]])-1),"")</f>
        <v>서울특별시</v>
      </c>
      <c r="BL7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77" s="504"/>
      <c r="BO77" s="504"/>
      <c r="BP77" s="504"/>
      <c r="BQ77" s="504"/>
      <c r="BR77" s="505"/>
      <c r="BS77" s="718" t="s">
        <v>179</v>
      </c>
      <c r="BT77" s="719" t="s">
        <v>179</v>
      </c>
      <c r="BU77" s="719" t="s">
        <v>179</v>
      </c>
      <c r="BV77" s="719" t="s">
        <v>179</v>
      </c>
      <c r="BW77" s="719" t="s">
        <v>179</v>
      </c>
      <c r="BX77" s="719" t="s">
        <v>179</v>
      </c>
      <c r="BY77" s="719" t="s">
        <v>191</v>
      </c>
      <c r="BZ77" s="719">
        <v>41.18</v>
      </c>
      <c r="CA77" s="719">
        <v>27.36</v>
      </c>
      <c r="CB77" s="719">
        <v>385000000</v>
      </c>
      <c r="CC77" s="719">
        <v>385000000</v>
      </c>
      <c r="CD77" s="726">
        <f>표3[[#This Row],[종전추정가액]]*1.5219</f>
        <v>585931500</v>
      </c>
      <c r="CE77" s="506"/>
      <c r="CF77" s="507"/>
      <c r="CG77" s="507"/>
      <c r="CH77" s="508"/>
      <c r="CI77" s="508"/>
      <c r="CJ77" s="509"/>
      <c r="CK77" s="510"/>
      <c r="CL77" s="511"/>
      <c r="CM77" s="512"/>
      <c r="CN77" s="513"/>
      <c r="CO77" s="513"/>
      <c r="CP77" s="513"/>
      <c r="CQ77" s="513"/>
      <c r="CR77" s="513"/>
      <c r="CS77" s="514"/>
      <c r="CT77" s="515"/>
      <c r="CU77" s="515"/>
      <c r="CV77" s="515"/>
      <c r="CW77" s="515"/>
      <c r="CX77" s="515"/>
      <c r="CY77" s="515"/>
      <c r="CZ77" s="515"/>
      <c r="DA77" s="515"/>
      <c r="DB77" s="515"/>
      <c r="DC77" s="515"/>
      <c r="DD77" s="515"/>
      <c r="DE77" s="515"/>
      <c r="DF77" s="516"/>
    </row>
    <row r="78" spans="1:110" s="532" customFormat="1" ht="28" customHeight="1" thickBot="1">
      <c r="A78" s="394"/>
      <c r="B78" s="395">
        <v>48</v>
      </c>
      <c r="C78" s="396">
        <v>28</v>
      </c>
      <c r="D78" s="397">
        <v>7</v>
      </c>
      <c r="E78" s="698" t="s">
        <v>320</v>
      </c>
      <c r="F78" s="398">
        <v>401</v>
      </c>
      <c r="G78" s="399"/>
      <c r="H78" s="400"/>
      <c r="I78" s="400"/>
      <c r="J78" s="400"/>
      <c r="K78" s="400"/>
      <c r="L78" s="400"/>
      <c r="M78" s="400"/>
      <c r="N78" s="400"/>
      <c r="O78" s="400"/>
      <c r="P78" s="401"/>
      <c r="Q78" s="402" t="s">
        <v>179</v>
      </c>
      <c r="R78" s="403">
        <v>0</v>
      </c>
      <c r="S78" s="404">
        <v>141.80000000000001</v>
      </c>
      <c r="T78" s="672">
        <f>표3[[#This Row],[편입면적]]/(SUM(표3[공부면적]))</f>
        <v>1.7716141929035482E-2</v>
      </c>
      <c r="U78" s="662" t="s">
        <v>179</v>
      </c>
      <c r="V78" s="405"/>
      <c r="W78" s="406">
        <v>126.98</v>
      </c>
      <c r="X78" s="407">
        <v>86.44</v>
      </c>
      <c r="Y78" s="407">
        <v>213.42000000000002</v>
      </c>
      <c r="Z78" s="407" t="s">
        <v>179</v>
      </c>
      <c r="AA78" s="520"/>
      <c r="AB78" s="409"/>
      <c r="AC78" s="410"/>
      <c r="AD78" s="411"/>
      <c r="AE78" s="411" t="str" cm="1">
        <f t="array" ref="AE7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78" s="412"/>
      <c r="AG78" s="413" t="s">
        <v>176</v>
      </c>
      <c r="AH78" s="413"/>
      <c r="AI78" s="413" t="s">
        <v>183</v>
      </c>
      <c r="AJ78" s="414"/>
      <c r="AK78" s="415"/>
      <c r="AL78" s="415"/>
      <c r="AM78" s="412"/>
      <c r="AN78" s="416"/>
      <c r="AO78" s="417" t="s">
        <v>321</v>
      </c>
      <c r="AP78" s="418" t="s">
        <v>179</v>
      </c>
      <c r="AQ78" s="418"/>
      <c r="AR78" s="419"/>
      <c r="AS78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78" s="420" t="s">
        <v>322</v>
      </c>
      <c r="AU78" s="421"/>
      <c r="AV78" s="421"/>
      <c r="AW78" s="421" t="str">
        <f>IF(COUNTIF('설명회 참석자 명부'!$W$4:$W$29,표3[[#This Row],[성  명]])&gt;0,"O","")</f>
        <v/>
      </c>
      <c r="AX78" s="421" t="str">
        <f>_xlfn.XLOOKUP(표3[[#This Row],[성  명]],'설명회 참석자 명부'!$W$4:$W$29,'설명회 참석자 명부'!$X$4:$X$29,"")</f>
        <v/>
      </c>
      <c r="AY78" s="421"/>
      <c r="AZ78" s="421"/>
      <c r="BA78" s="421"/>
      <c r="BB78" s="421"/>
      <c r="BC78" s="421"/>
      <c r="BD78" s="421"/>
      <c r="BE78" s="421"/>
      <c r="BF78" s="422"/>
      <c r="BG78" s="422"/>
      <c r="BH78" s="422"/>
      <c r="BI78" s="422"/>
      <c r="BJ78" s="422"/>
      <c r="BK78" s="422" t="str">
        <f>IFERROR(LEFT(표3[[#This Row],[주소]],FIND(" ",표3[[#This Row],[주소]])-1),"")</f>
        <v>서울특별시</v>
      </c>
      <c r="BL78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8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78" s="422"/>
      <c r="BO78" s="422"/>
      <c r="BP78" s="422"/>
      <c r="BQ78" s="422"/>
      <c r="BR78" s="423"/>
      <c r="BS78" s="720" t="s">
        <v>179</v>
      </c>
      <c r="BT78" s="721" t="s">
        <v>179</v>
      </c>
      <c r="BU78" s="721" t="s">
        <v>179</v>
      </c>
      <c r="BV78" s="721" t="s">
        <v>179</v>
      </c>
      <c r="BW78" s="721" t="s">
        <v>179</v>
      </c>
      <c r="BX78" s="721" t="s">
        <v>179</v>
      </c>
      <c r="BY78" s="721" t="s">
        <v>191</v>
      </c>
      <c r="BZ78" s="721">
        <v>213.42</v>
      </c>
      <c r="CA78" s="721">
        <v>141.80000000000001</v>
      </c>
      <c r="CB78" s="721">
        <v>1994000000</v>
      </c>
      <c r="CC78" s="721">
        <v>1994000000</v>
      </c>
      <c r="CD78" s="726">
        <f>표3[[#This Row],[종전추정가액]]*1.5219</f>
        <v>3034668600</v>
      </c>
      <c r="CE78" s="424"/>
      <c r="CF78" s="425"/>
      <c r="CG78" s="425"/>
      <c r="CH78" s="426"/>
      <c r="CI78" s="426"/>
      <c r="CJ78" s="427"/>
      <c r="CK78" s="428"/>
      <c r="CL78" s="429"/>
      <c r="CM78" s="430"/>
      <c r="CN78" s="431"/>
      <c r="CO78" s="431"/>
      <c r="CP78" s="431"/>
      <c r="CQ78" s="431"/>
      <c r="CR78" s="431"/>
      <c r="CS78" s="432"/>
      <c r="CT78" s="433"/>
      <c r="CU78" s="433"/>
      <c r="CV78" s="433"/>
      <c r="CW78" s="433"/>
      <c r="CX78" s="433"/>
      <c r="CY78" s="433"/>
      <c r="CZ78" s="433"/>
      <c r="DA78" s="433"/>
      <c r="DB78" s="433"/>
      <c r="DC78" s="433"/>
      <c r="DD78" s="433"/>
      <c r="DE78" s="433"/>
      <c r="DF78" s="434"/>
    </row>
    <row r="79" spans="1:110" s="533" customFormat="1" ht="25" customHeight="1" thickTop="1">
      <c r="A79" s="435"/>
      <c r="B79" s="436">
        <v>49</v>
      </c>
      <c r="C79" s="437">
        <v>28</v>
      </c>
      <c r="D79" s="438">
        <v>8</v>
      </c>
      <c r="E79" s="438"/>
      <c r="F79" s="667">
        <v>0</v>
      </c>
      <c r="G79" s="439"/>
      <c r="H79" s="440"/>
      <c r="I79" s="440"/>
      <c r="J79" s="440"/>
      <c r="K79" s="440"/>
      <c r="L79" s="440"/>
      <c r="M79" s="440"/>
      <c r="N79" s="440"/>
      <c r="O79" s="440"/>
      <c r="P79" s="441"/>
      <c r="Q79" s="442" t="s">
        <v>173</v>
      </c>
      <c r="R79" s="659">
        <v>175.6</v>
      </c>
      <c r="S79" s="443">
        <v>175.6</v>
      </c>
      <c r="T79" s="670">
        <f>표3[[#This Row],[편입면적]]/(SUM(표3[공부면적]))</f>
        <v>2.1939030484757618E-2</v>
      </c>
      <c r="U79" s="444" t="s">
        <v>174</v>
      </c>
      <c r="V79" s="445"/>
      <c r="W79" s="446">
        <v>160.56</v>
      </c>
      <c r="X79" s="447">
        <v>81.900000000000006</v>
      </c>
      <c r="Y79" s="447">
        <v>242.46</v>
      </c>
      <c r="Z79" s="447">
        <v>242.46</v>
      </c>
      <c r="AA79" s="517"/>
      <c r="AB79" s="449"/>
      <c r="AC79" s="450" t="s">
        <v>324</v>
      </c>
      <c r="AD79" s="451">
        <v>36</v>
      </c>
      <c r="AE79" s="451" t="str" cm="1">
        <f t="array" ref="AE7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79" s="452"/>
      <c r="AG79" s="453" t="s">
        <v>325</v>
      </c>
      <c r="AH79" s="453"/>
      <c r="AI79" s="453" t="s">
        <v>326</v>
      </c>
      <c r="AJ79" s="453"/>
      <c r="AK79" s="454"/>
      <c r="AL79" s="454"/>
      <c r="AM79" s="452">
        <v>2</v>
      </c>
      <c r="AN79" s="455">
        <v>1</v>
      </c>
      <c r="AO79" s="456" t="s">
        <v>327</v>
      </c>
      <c r="AP79" s="457">
        <v>1092076435</v>
      </c>
      <c r="AQ79" s="457"/>
      <c r="AR79" s="458">
        <v>58</v>
      </c>
      <c r="AS79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79" s="459" t="s">
        <v>328</v>
      </c>
      <c r="AU79" s="460" t="s">
        <v>190</v>
      </c>
      <c r="AV79" s="460"/>
      <c r="AW79" s="460" t="str">
        <f>IF(COUNTIF('설명회 참석자 명부'!$W$4:$W$29,표3[[#This Row],[성  명]])&gt;0,"O","")</f>
        <v/>
      </c>
      <c r="AX79" s="460" t="str">
        <f>_xlfn.XLOOKUP(표3[[#This Row],[성  명]],'설명회 참석자 명부'!$W$4:$W$29,'설명회 참석자 명부'!$X$4:$X$29,"")</f>
        <v/>
      </c>
      <c r="AY79" s="460"/>
      <c r="AZ79" s="460"/>
      <c r="BA79" s="460" t="s">
        <v>190</v>
      </c>
      <c r="BB79" s="460" t="s">
        <v>190</v>
      </c>
      <c r="BC79" s="460"/>
      <c r="BD79" s="460"/>
      <c r="BE79" s="460"/>
      <c r="BF79" s="461"/>
      <c r="BG79" s="461"/>
      <c r="BH79" s="461"/>
      <c r="BI79" s="461"/>
      <c r="BJ79" s="461"/>
      <c r="BK79" s="461" t="str">
        <f>IFERROR(LEFT(표3[[#This Row],[주소]],FIND(" ",표3[[#This Row],[주소]])-1),"")</f>
        <v>서울</v>
      </c>
      <c r="BL79" s="461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79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79" s="461"/>
      <c r="BO79" s="461"/>
      <c r="BP79" s="461"/>
      <c r="BQ79" s="461"/>
      <c r="BR79" s="462"/>
      <c r="BS79" s="716">
        <v>175.6</v>
      </c>
      <c r="BT79" s="717">
        <v>12080000</v>
      </c>
      <c r="BU79" s="717">
        <v>2121248000</v>
      </c>
      <c r="BV79" s="717" t="s">
        <v>326</v>
      </c>
      <c r="BW79" s="717">
        <v>242.46</v>
      </c>
      <c r="BX79" s="717">
        <v>67888800</v>
      </c>
      <c r="BY79" s="717" t="s">
        <v>179</v>
      </c>
      <c r="BZ79" s="717" t="s">
        <v>179</v>
      </c>
      <c r="CA79" s="717" t="s">
        <v>179</v>
      </c>
      <c r="CB79" s="717" t="s">
        <v>179</v>
      </c>
      <c r="CC79" s="717">
        <v>2189136800</v>
      </c>
      <c r="CD79" s="727">
        <f>표3[[#This Row],[종전추정가액]]*1.5219</f>
        <v>3331647295.9200001</v>
      </c>
      <c r="CE79" s="463"/>
      <c r="CF79" s="464"/>
      <c r="CG79" s="464"/>
      <c r="CH79" s="465"/>
      <c r="CI79" s="465"/>
      <c r="CJ79" s="466"/>
      <c r="CK79" s="467"/>
      <c r="CL79" s="468"/>
      <c r="CM79" s="469"/>
      <c r="CN79" s="470"/>
      <c r="CO79" s="470"/>
      <c r="CP79" s="470"/>
      <c r="CQ79" s="470"/>
      <c r="CR79" s="470"/>
      <c r="CS79" s="471"/>
      <c r="CT79" s="472"/>
      <c r="CU79" s="472"/>
      <c r="CV79" s="472"/>
      <c r="CW79" s="472"/>
      <c r="CX79" s="472"/>
      <c r="CY79" s="472"/>
      <c r="CZ79" s="472"/>
      <c r="DA79" s="472"/>
      <c r="DB79" s="472"/>
      <c r="DC79" s="472"/>
      <c r="DD79" s="472"/>
      <c r="DE79" s="472"/>
      <c r="DF79" s="473"/>
    </row>
    <row r="80" spans="1:110" s="532" customFormat="1" ht="25" customHeight="1" thickBot="1">
      <c r="A80" s="394"/>
      <c r="B80" s="395">
        <v>50</v>
      </c>
      <c r="C80" s="396">
        <v>28</v>
      </c>
      <c r="D80" s="397">
        <v>10</v>
      </c>
      <c r="E80" s="397"/>
      <c r="F80" s="666">
        <v>0</v>
      </c>
      <c r="G80" s="399"/>
      <c r="H80" s="400"/>
      <c r="I80" s="400"/>
      <c r="J80" s="400"/>
      <c r="K80" s="400"/>
      <c r="L80" s="400"/>
      <c r="M80" s="400"/>
      <c r="N80" s="400"/>
      <c r="O80" s="400"/>
      <c r="P80" s="401"/>
      <c r="Q80" s="402" t="s">
        <v>173</v>
      </c>
      <c r="R80" s="658">
        <v>147.19999999999999</v>
      </c>
      <c r="S80" s="403">
        <v>147.19999999999999</v>
      </c>
      <c r="T80" s="672">
        <f>표3[[#This Row],[편입면적]]/(SUM(표3[공부면적]))</f>
        <v>1.8390804597701146E-2</v>
      </c>
      <c r="U80" s="662" t="s">
        <v>174</v>
      </c>
      <c r="V80" s="405"/>
      <c r="W80" s="406">
        <v>205.2</v>
      </c>
      <c r="X80" s="407">
        <v>88.14</v>
      </c>
      <c r="Y80" s="407">
        <v>293.33999999999997</v>
      </c>
      <c r="Z80" s="407">
        <v>293.33999999999997</v>
      </c>
      <c r="AA80" s="520"/>
      <c r="AB80" s="409"/>
      <c r="AC80" s="410" t="s">
        <v>329</v>
      </c>
      <c r="AD80" s="411">
        <v>34</v>
      </c>
      <c r="AE80" s="411" t="str" cm="1">
        <f t="array" ref="AE8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80" s="412"/>
      <c r="AG80" s="413" t="s">
        <v>176</v>
      </c>
      <c r="AH80" s="413"/>
      <c r="AI80" s="413" t="s">
        <v>330</v>
      </c>
      <c r="AJ80" s="414"/>
      <c r="AK80" s="415"/>
      <c r="AL80" s="415"/>
      <c r="AM80" s="412">
        <v>3</v>
      </c>
      <c r="AN80" s="416">
        <v>1</v>
      </c>
      <c r="AO80" s="417" t="s">
        <v>331</v>
      </c>
      <c r="AP80" s="418"/>
      <c r="AQ80" s="418"/>
      <c r="AR80" s="419">
        <v>80</v>
      </c>
      <c r="AS80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</v>
      </c>
      <c r="AT80" s="420" t="s">
        <v>332</v>
      </c>
      <c r="AU80" s="421"/>
      <c r="AV80" s="421"/>
      <c r="AW80" s="421" t="str">
        <f>IF(COUNTIF('설명회 참석자 명부'!$W$4:$W$29,표3[[#This Row],[성  명]])&gt;0,"O","")</f>
        <v/>
      </c>
      <c r="AX80" s="421" t="str">
        <f>_xlfn.XLOOKUP(표3[[#This Row],[성  명]],'설명회 참석자 명부'!$W$4:$W$29,'설명회 참석자 명부'!$X$4:$X$29,"")</f>
        <v/>
      </c>
      <c r="AY80" s="421"/>
      <c r="AZ80" s="421"/>
      <c r="BA80" s="421"/>
      <c r="BB80" s="421" t="s">
        <v>190</v>
      </c>
      <c r="BC80" s="421"/>
      <c r="BD80" s="421"/>
      <c r="BE80" s="421"/>
      <c r="BF80" s="422"/>
      <c r="BG80" s="422"/>
      <c r="BH80" s="422"/>
      <c r="BI80" s="422"/>
      <c r="BJ80" s="422"/>
      <c r="BK80" s="422" t="str">
        <f>IFERROR(LEFT(표3[[#This Row],[주소]],FIND(" ",표3[[#This Row],[주소]])-1),"")</f>
        <v>서울특별시</v>
      </c>
      <c r="BL80" s="422" t="str">
        <f>IFERROR(MID(표3[[#This Row],[주소]], FIND(" ", 표3[[#This Row],[주소]])+1, FIND(" ", 표3[[#This Row],[주소]], FIND(" ", 표3[[#This Row],[주소]])+1) - FIND(" ", 표3[[#This Row],[주소]])-1),"")</f>
        <v>강남구</v>
      </c>
      <c r="BM80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학동로97길</v>
      </c>
      <c r="BN80" s="422"/>
      <c r="BO80" s="422"/>
      <c r="BP80" s="422"/>
      <c r="BQ80" s="422"/>
      <c r="BR80" s="423"/>
      <c r="BS80" s="720">
        <v>147.19999999999999</v>
      </c>
      <c r="BT80" s="721">
        <v>11400000</v>
      </c>
      <c r="BU80" s="721">
        <v>1678080000</v>
      </c>
      <c r="BV80" s="721" t="s">
        <v>330</v>
      </c>
      <c r="BW80" s="721">
        <v>293.33999999999997</v>
      </c>
      <c r="BX80" s="721">
        <v>131416319.99999999</v>
      </c>
      <c r="BY80" s="721" t="s">
        <v>179</v>
      </c>
      <c r="BZ80" s="721" t="s">
        <v>179</v>
      </c>
      <c r="CA80" s="721" t="s">
        <v>179</v>
      </c>
      <c r="CB80" s="721" t="s">
        <v>179</v>
      </c>
      <c r="CC80" s="721">
        <v>1809496320</v>
      </c>
      <c r="CD80" s="726">
        <f>표3[[#This Row],[종전추정가액]]*1.5219</f>
        <v>2753872449.408</v>
      </c>
      <c r="CE80" s="424"/>
      <c r="CF80" s="425"/>
      <c r="CG80" s="425"/>
      <c r="CH80" s="426"/>
      <c r="CI80" s="426"/>
      <c r="CJ80" s="427"/>
      <c r="CK80" s="428"/>
      <c r="CL80" s="429"/>
      <c r="CM80" s="430"/>
      <c r="CN80" s="431"/>
      <c r="CO80" s="431"/>
      <c r="CP80" s="431"/>
      <c r="CQ80" s="431"/>
      <c r="CR80" s="431"/>
      <c r="CS80" s="432"/>
      <c r="CT80" s="433"/>
      <c r="CU80" s="433"/>
      <c r="CV80" s="433"/>
      <c r="CW80" s="433"/>
      <c r="CX80" s="433"/>
      <c r="CY80" s="433"/>
      <c r="CZ80" s="433"/>
      <c r="DA80" s="433"/>
      <c r="DB80" s="433"/>
      <c r="DC80" s="433"/>
      <c r="DD80" s="433"/>
      <c r="DE80" s="433"/>
      <c r="DF80" s="434"/>
    </row>
    <row r="81" spans="1:110" s="533" customFormat="1" ht="25" customHeight="1" thickTop="1">
      <c r="A81" s="435"/>
      <c r="B81" s="436"/>
      <c r="C81" s="437">
        <v>28</v>
      </c>
      <c r="D81" s="438">
        <v>11</v>
      </c>
      <c r="E81" s="438" t="s">
        <v>333</v>
      </c>
      <c r="F81" s="667">
        <v>0</v>
      </c>
      <c r="G81" s="439"/>
      <c r="H81" s="440"/>
      <c r="I81" s="440"/>
      <c r="J81" s="440"/>
      <c r="K81" s="440"/>
      <c r="L81" s="440"/>
      <c r="M81" s="440"/>
      <c r="N81" s="440"/>
      <c r="O81" s="440"/>
      <c r="P81" s="441"/>
      <c r="Q81" s="442" t="s">
        <v>173</v>
      </c>
      <c r="R81" s="443">
        <v>240.5</v>
      </c>
      <c r="S81" s="443"/>
      <c r="T81" s="670">
        <f>표3[[#This Row],[편입면적]]/(SUM(표3[공부면적]))</f>
        <v>0</v>
      </c>
      <c r="U81" s="444" t="s">
        <v>174</v>
      </c>
      <c r="V81" s="445"/>
      <c r="W81" s="446"/>
      <c r="X81" s="447"/>
      <c r="Y81" s="447">
        <v>0</v>
      </c>
      <c r="Z81" s="447">
        <v>460.56</v>
      </c>
      <c r="AA81" s="448"/>
      <c r="AB81" s="449"/>
      <c r="AC81" s="450" t="s">
        <v>334</v>
      </c>
      <c r="AD81" s="451">
        <v>34</v>
      </c>
      <c r="AE81" s="451" t="str" cm="1">
        <f t="array" ref="AE8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81" s="452"/>
      <c r="AG81" s="453" t="s">
        <v>176</v>
      </c>
      <c r="AH81" s="453"/>
      <c r="AI81" s="453" t="s">
        <v>183</v>
      </c>
      <c r="AJ81" s="453"/>
      <c r="AK81" s="454"/>
      <c r="AL81" s="454"/>
      <c r="AM81" s="452">
        <v>3</v>
      </c>
      <c r="AN81" s="455">
        <v>1</v>
      </c>
      <c r="AO81" s="456"/>
      <c r="AP81" s="457" t="s">
        <v>179</v>
      </c>
      <c r="AQ81" s="457"/>
      <c r="AR81" s="458"/>
      <c r="AS81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81" s="459"/>
      <c r="AU81" s="460"/>
      <c r="AV81" s="460"/>
      <c r="AW81" s="460" t="str">
        <f>IF(COUNTIF('설명회 참석자 명부'!$W$4:$W$29,표3[[#This Row],[성  명]])&gt;0,"O","")</f>
        <v/>
      </c>
      <c r="AX81" s="460">
        <f>_xlfn.XLOOKUP(표3[[#This Row],[성  명]],'설명회 참석자 명부'!$W$4:$W$29,'설명회 참석자 명부'!$X$4:$X$29,"")</f>
        <v>0</v>
      </c>
      <c r="AY81" s="460"/>
      <c r="AZ81" s="460"/>
      <c r="BA81" s="460"/>
      <c r="BB81" s="460"/>
      <c r="BC81" s="460"/>
      <c r="BD81" s="460"/>
      <c r="BE81" s="460"/>
      <c r="BF81" s="461"/>
      <c r="BG81" s="461"/>
      <c r="BH81" s="461"/>
      <c r="BI81" s="461"/>
      <c r="BJ81" s="461"/>
      <c r="BK81" s="461" t="str">
        <f>IFERROR(LEFT(표3[[#This Row],[주소]],FIND(" ",표3[[#This Row],[주소]])-1),"")</f>
        <v/>
      </c>
      <c r="BL81" s="461" t="str">
        <f>IFERROR(MID(표3[[#This Row],[주소]], FIND(" ", 표3[[#This Row],[주소]])+1, FIND(" ", 표3[[#This Row],[주소]], FIND(" ", 표3[[#This Row],[주소]])+1) - FIND(" ", 표3[[#This Row],[주소]])-1),"")</f>
        <v/>
      </c>
      <c r="BM81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81" s="461"/>
      <c r="BO81" s="461"/>
      <c r="BP81" s="461"/>
      <c r="BQ81" s="461"/>
      <c r="BR81" s="462"/>
      <c r="BS81" s="716"/>
      <c r="BT81" s="717"/>
      <c r="BU81" s="717"/>
      <c r="BV81" s="717"/>
      <c r="BW81" s="717"/>
      <c r="BX81" s="717"/>
      <c r="BY81" s="717"/>
      <c r="BZ81" s="717"/>
      <c r="CA81" s="717"/>
      <c r="CB81" s="717"/>
      <c r="CC81" s="717"/>
      <c r="CD81" s="727">
        <f>표3[[#This Row],[종전추정가액]]*1.5219</f>
        <v>0</v>
      </c>
      <c r="CE81" s="463"/>
      <c r="CF81" s="464"/>
      <c r="CG81" s="464"/>
      <c r="CH81" s="465"/>
      <c r="CI81" s="465"/>
      <c r="CJ81" s="466"/>
      <c r="CK81" s="467"/>
      <c r="CL81" s="468"/>
      <c r="CM81" s="469"/>
      <c r="CN81" s="470"/>
      <c r="CO81" s="470"/>
      <c r="CP81" s="470"/>
      <c r="CQ81" s="470"/>
      <c r="CR81" s="470"/>
      <c r="CS81" s="471"/>
      <c r="CT81" s="472"/>
      <c r="CU81" s="472"/>
      <c r="CV81" s="472"/>
      <c r="CW81" s="472"/>
      <c r="CX81" s="472"/>
      <c r="CY81" s="472"/>
      <c r="CZ81" s="472"/>
      <c r="DA81" s="472"/>
      <c r="DB81" s="472"/>
      <c r="DC81" s="472"/>
      <c r="DD81" s="472"/>
      <c r="DE81" s="472"/>
      <c r="DF81" s="473"/>
    </row>
    <row r="82" spans="1:110" s="532" customFormat="1" ht="25" customHeight="1">
      <c r="A82" s="475"/>
      <c r="B82" s="476">
        <v>51</v>
      </c>
      <c r="C82" s="477">
        <v>28</v>
      </c>
      <c r="D82" s="478">
        <v>11</v>
      </c>
      <c r="E82" s="478" t="s">
        <v>335</v>
      </c>
      <c r="F82" s="479">
        <v>101</v>
      </c>
      <c r="G82" s="480"/>
      <c r="H82" s="481"/>
      <c r="I82" s="481"/>
      <c r="J82" s="481"/>
      <c r="K82" s="481"/>
      <c r="L82" s="481"/>
      <c r="M82" s="481"/>
      <c r="N82" s="481"/>
      <c r="O82" s="481"/>
      <c r="P82" s="482"/>
      <c r="Q82" s="483" t="s">
        <v>179</v>
      </c>
      <c r="R82" s="484">
        <v>0</v>
      </c>
      <c r="S82" s="485">
        <v>31.94</v>
      </c>
      <c r="T82" s="671">
        <f>표3[[#This Row],[편입면적]]/(SUM(표3[공부면적]))</f>
        <v>3.9905047476261864E-3</v>
      </c>
      <c r="U82" s="486" t="s">
        <v>179</v>
      </c>
      <c r="V82" s="487"/>
      <c r="W82" s="488">
        <v>56.1</v>
      </c>
      <c r="X82" s="489">
        <v>5.07</v>
      </c>
      <c r="Y82" s="489">
        <v>61.27</v>
      </c>
      <c r="Z82" s="489" t="s">
        <v>179</v>
      </c>
      <c r="AA82" s="490"/>
      <c r="AB82" s="491"/>
      <c r="AC82" s="492"/>
      <c r="AD82" s="493"/>
      <c r="AE82" s="493" t="str" cm="1">
        <f t="array" ref="AE8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2" s="494"/>
      <c r="AG82" s="495" t="s">
        <v>176</v>
      </c>
      <c r="AH82" s="495"/>
      <c r="AI82" s="495" t="s">
        <v>183</v>
      </c>
      <c r="AJ82" s="496"/>
      <c r="AK82" s="497"/>
      <c r="AL82" s="497"/>
      <c r="AM82" s="494"/>
      <c r="AN82" s="498"/>
      <c r="AO82" s="499" t="s">
        <v>336</v>
      </c>
      <c r="AP82" s="500">
        <v>1093373913</v>
      </c>
      <c r="AQ82" s="500"/>
      <c r="AR82" s="501">
        <v>84</v>
      </c>
      <c r="AS8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</v>
      </c>
      <c r="AT82" s="502" t="s">
        <v>337</v>
      </c>
      <c r="AU82" s="503" t="s">
        <v>190</v>
      </c>
      <c r="AV82" s="503"/>
      <c r="AW82" s="503" t="str">
        <f>IF(COUNTIF('설명회 참석자 명부'!$W$4:$W$29,표3[[#This Row],[성  명]])&gt;0,"O","")</f>
        <v/>
      </c>
      <c r="AX82" s="503" t="str">
        <f>_xlfn.XLOOKUP(표3[[#This Row],[성  명]],'설명회 참석자 명부'!$W$4:$W$29,'설명회 참석자 명부'!$X$4:$X$29,"")</f>
        <v/>
      </c>
      <c r="AY82" s="503"/>
      <c r="AZ82" s="503"/>
      <c r="BA82" s="503"/>
      <c r="BB82" s="503"/>
      <c r="BC82" s="503"/>
      <c r="BD82" s="503"/>
      <c r="BE82" s="503"/>
      <c r="BF82" s="504"/>
      <c r="BG82" s="504"/>
      <c r="BH82" s="504"/>
      <c r="BI82" s="504"/>
      <c r="BJ82" s="504"/>
      <c r="BK82" s="504" t="str">
        <f>IFERROR(LEFT(표3[[#This Row],[주소]],FIND(" ",표3[[#This Row],[주소]])-1),"")</f>
        <v>서울특별시</v>
      </c>
      <c r="BL8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8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82" s="504"/>
      <c r="BO82" s="504"/>
      <c r="BP82" s="504"/>
      <c r="BQ82" s="504"/>
      <c r="BR82" s="505"/>
      <c r="BS82" s="718" t="s">
        <v>179</v>
      </c>
      <c r="BT82" s="719" t="s">
        <v>179</v>
      </c>
      <c r="BU82" s="719" t="s">
        <v>179</v>
      </c>
      <c r="BV82" s="719" t="s">
        <v>179</v>
      </c>
      <c r="BW82" s="719" t="s">
        <v>179</v>
      </c>
      <c r="BX82" s="719" t="s">
        <v>179</v>
      </c>
      <c r="BY82" s="719" t="s">
        <v>191</v>
      </c>
      <c r="BZ82" s="719">
        <v>56.1</v>
      </c>
      <c r="CA82" s="719">
        <v>31.94</v>
      </c>
      <c r="CB82" s="719">
        <v>382000000</v>
      </c>
      <c r="CC82" s="719">
        <v>382000000</v>
      </c>
      <c r="CD82" s="726">
        <f>표3[[#This Row],[종전추정가액]]*1.5219</f>
        <v>581365800</v>
      </c>
      <c r="CE82" s="506"/>
      <c r="CF82" s="507"/>
      <c r="CG82" s="507"/>
      <c r="CH82" s="508"/>
      <c r="CI82" s="508"/>
      <c r="CJ82" s="509"/>
      <c r="CK82" s="510"/>
      <c r="CL82" s="511"/>
      <c r="CM82" s="512"/>
      <c r="CN82" s="513"/>
      <c r="CO82" s="513"/>
      <c r="CP82" s="513"/>
      <c r="CQ82" s="513"/>
      <c r="CR82" s="513"/>
      <c r="CS82" s="514"/>
      <c r="CT82" s="515"/>
      <c r="CU82" s="515"/>
      <c r="CV82" s="515"/>
      <c r="CW82" s="515"/>
      <c r="CX82" s="515"/>
      <c r="CY82" s="515"/>
      <c r="CZ82" s="515"/>
      <c r="DA82" s="515"/>
      <c r="DB82" s="515"/>
      <c r="DC82" s="515"/>
      <c r="DD82" s="515"/>
      <c r="DE82" s="515"/>
      <c r="DF82" s="516"/>
    </row>
    <row r="83" spans="1:110" s="532" customFormat="1" ht="25" customHeight="1">
      <c r="A83" s="475"/>
      <c r="B83" s="476">
        <v>52</v>
      </c>
      <c r="C83" s="477">
        <v>28</v>
      </c>
      <c r="D83" s="478">
        <v>11</v>
      </c>
      <c r="E83" s="478" t="s">
        <v>335</v>
      </c>
      <c r="F83" s="479">
        <v>102</v>
      </c>
      <c r="G83" s="480"/>
      <c r="H83" s="481"/>
      <c r="I83" s="481"/>
      <c r="J83" s="481"/>
      <c r="K83" s="481"/>
      <c r="L83" s="481"/>
      <c r="M83" s="481"/>
      <c r="N83" s="481"/>
      <c r="O83" s="481"/>
      <c r="P83" s="482"/>
      <c r="Q83" s="483" t="s">
        <v>179</v>
      </c>
      <c r="R83" s="484">
        <v>0</v>
      </c>
      <c r="S83" s="485">
        <v>31.94</v>
      </c>
      <c r="T83" s="671">
        <f>표3[[#This Row],[편입면적]]/(SUM(표3[공부면적]))</f>
        <v>3.9905047476261864E-3</v>
      </c>
      <c r="U83" s="486" t="s">
        <v>179</v>
      </c>
      <c r="V83" s="487"/>
      <c r="W83" s="488">
        <v>56.1</v>
      </c>
      <c r="X83" s="489">
        <v>5.07</v>
      </c>
      <c r="Y83" s="489">
        <v>61.27</v>
      </c>
      <c r="Z83" s="489" t="s">
        <v>179</v>
      </c>
      <c r="AA83" s="490"/>
      <c r="AB83" s="491"/>
      <c r="AC83" s="492"/>
      <c r="AD83" s="493"/>
      <c r="AE83" s="493" t="str" cm="1">
        <f t="array" ref="AE8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3" s="494"/>
      <c r="AG83" s="495" t="s">
        <v>176</v>
      </c>
      <c r="AH83" s="495"/>
      <c r="AI83" s="495" t="s">
        <v>183</v>
      </c>
      <c r="AJ83" s="496"/>
      <c r="AK83" s="497"/>
      <c r="AL83" s="497"/>
      <c r="AM83" s="494"/>
      <c r="AN83" s="498"/>
      <c r="AO83" s="499" t="s">
        <v>338</v>
      </c>
      <c r="AP83" s="500">
        <v>1089593398</v>
      </c>
      <c r="AQ83" s="500"/>
      <c r="AR83" s="501">
        <v>41</v>
      </c>
      <c r="AS8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83" s="502" t="s">
        <v>339</v>
      </c>
      <c r="AU83" s="503"/>
      <c r="AV83" s="503"/>
      <c r="AW83" s="503" t="str">
        <f>IF(COUNTIF('설명회 참석자 명부'!$W$4:$W$29,표3[[#This Row],[성  명]])&gt;0,"O","")</f>
        <v>O</v>
      </c>
      <c r="AX83" s="503" t="str">
        <f>_xlfn.XLOOKUP(표3[[#This Row],[성  명]],'설명회 참석자 명부'!$W$4:$W$29,'설명회 참석자 명부'!$X$4:$X$29,"")</f>
        <v>반송</v>
      </c>
      <c r="AY83" s="503"/>
      <c r="AZ83" s="503"/>
      <c r="BA83" s="503"/>
      <c r="BB83" s="503"/>
      <c r="BC83" s="503"/>
      <c r="BD83" s="503"/>
      <c r="BE83" s="503"/>
      <c r="BF83" s="504"/>
      <c r="BG83" s="504"/>
      <c r="BH83" s="504"/>
      <c r="BI83" s="504"/>
      <c r="BJ83" s="504"/>
      <c r="BK83" s="504" t="str">
        <f>IFERROR(LEFT(표3[[#This Row],[주소]],FIND(" ",표3[[#This Row],[주소]])-1),"")</f>
        <v>부천시</v>
      </c>
      <c r="BL83" s="504" t="str">
        <f>IFERROR(MID(표3[[#This Row],[주소]], FIND(" ", 표3[[#This Row],[주소]])+1, FIND(" ", 표3[[#This Row],[주소]], FIND(" ", 표3[[#This Row],[주소]])+1) - FIND(" ", 표3[[#This Row],[주소]])-1),"")</f>
        <v>소사구</v>
      </c>
      <c r="BM8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송내동</v>
      </c>
      <c r="BN83" s="504"/>
      <c r="BO83" s="504"/>
      <c r="BP83" s="504"/>
      <c r="BQ83" s="504"/>
      <c r="BR83" s="505"/>
      <c r="BS83" s="718" t="s">
        <v>179</v>
      </c>
      <c r="BT83" s="719" t="s">
        <v>179</v>
      </c>
      <c r="BU83" s="719" t="s">
        <v>179</v>
      </c>
      <c r="BV83" s="719" t="s">
        <v>179</v>
      </c>
      <c r="BW83" s="719" t="s">
        <v>179</v>
      </c>
      <c r="BX83" s="719" t="s">
        <v>179</v>
      </c>
      <c r="BY83" s="719" t="s">
        <v>191</v>
      </c>
      <c r="BZ83" s="719">
        <v>56.1</v>
      </c>
      <c r="CA83" s="719">
        <v>31.94</v>
      </c>
      <c r="CB83" s="719">
        <v>382000000</v>
      </c>
      <c r="CC83" s="719">
        <v>382000000</v>
      </c>
      <c r="CD83" s="726">
        <f>표3[[#This Row],[종전추정가액]]*1.5219</f>
        <v>581365800</v>
      </c>
      <c r="CE83" s="506"/>
      <c r="CF83" s="507"/>
      <c r="CG83" s="507"/>
      <c r="CH83" s="508"/>
      <c r="CI83" s="508"/>
      <c r="CJ83" s="509"/>
      <c r="CK83" s="510"/>
      <c r="CL83" s="511"/>
      <c r="CM83" s="512"/>
      <c r="CN83" s="513"/>
      <c r="CO83" s="513"/>
      <c r="CP83" s="513"/>
      <c r="CQ83" s="513"/>
      <c r="CR83" s="513"/>
      <c r="CS83" s="514"/>
      <c r="CT83" s="515"/>
      <c r="CU83" s="515"/>
      <c r="CV83" s="515"/>
      <c r="CW83" s="515"/>
      <c r="CX83" s="515"/>
      <c r="CY83" s="515"/>
      <c r="CZ83" s="515"/>
      <c r="DA83" s="515"/>
      <c r="DB83" s="515"/>
      <c r="DC83" s="515"/>
      <c r="DD83" s="515"/>
      <c r="DE83" s="515"/>
      <c r="DF83" s="516"/>
    </row>
    <row r="84" spans="1:110" s="532" customFormat="1" ht="25" customHeight="1">
      <c r="A84" s="475"/>
      <c r="B84" s="476">
        <v>53</v>
      </c>
      <c r="C84" s="477">
        <v>28</v>
      </c>
      <c r="D84" s="478">
        <v>11</v>
      </c>
      <c r="E84" s="478" t="s">
        <v>335</v>
      </c>
      <c r="F84" s="479">
        <v>201</v>
      </c>
      <c r="G84" s="480"/>
      <c r="H84" s="481"/>
      <c r="I84" s="481"/>
      <c r="J84" s="481"/>
      <c r="K84" s="481"/>
      <c r="L84" s="481"/>
      <c r="M84" s="481"/>
      <c r="N84" s="481"/>
      <c r="O84" s="481"/>
      <c r="P84" s="482"/>
      <c r="Q84" s="483" t="s">
        <v>179</v>
      </c>
      <c r="R84" s="484">
        <v>0</v>
      </c>
      <c r="S84" s="485">
        <v>31.94</v>
      </c>
      <c r="T84" s="671">
        <f>표3[[#This Row],[편입면적]]/(SUM(표3[공부면적]))</f>
        <v>3.9905047476261864E-3</v>
      </c>
      <c r="U84" s="486" t="s">
        <v>179</v>
      </c>
      <c r="V84" s="487"/>
      <c r="W84" s="488">
        <v>56.1</v>
      </c>
      <c r="X84" s="489">
        <v>5.07</v>
      </c>
      <c r="Y84" s="489">
        <v>61.17</v>
      </c>
      <c r="Z84" s="489" t="s">
        <v>179</v>
      </c>
      <c r="AA84" s="490"/>
      <c r="AB84" s="491"/>
      <c r="AC84" s="492"/>
      <c r="AD84" s="493"/>
      <c r="AE84" s="493" t="str" cm="1">
        <f t="array" ref="AE8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4" s="494"/>
      <c r="AG84" s="495" t="s">
        <v>176</v>
      </c>
      <c r="AH84" s="495"/>
      <c r="AI84" s="495" t="s">
        <v>183</v>
      </c>
      <c r="AJ84" s="496"/>
      <c r="AK84" s="497"/>
      <c r="AL84" s="497"/>
      <c r="AM84" s="494"/>
      <c r="AN84" s="498"/>
      <c r="AO84" s="499" t="s">
        <v>340</v>
      </c>
      <c r="AP84" s="500">
        <v>1090890638</v>
      </c>
      <c r="AQ84" s="500"/>
      <c r="AR84" s="501">
        <v>47</v>
      </c>
      <c r="AS8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84" s="502" t="s">
        <v>341</v>
      </c>
      <c r="AU84" s="503"/>
      <c r="AV84" s="503"/>
      <c r="AW84" s="503" t="str">
        <f>IF(COUNTIF('설명회 참석자 명부'!$W$4:$W$29,표3[[#This Row],[성  명]])&gt;0,"O","")</f>
        <v/>
      </c>
      <c r="AX84" s="503" t="str">
        <f>_xlfn.XLOOKUP(표3[[#This Row],[성  명]],'설명회 참석자 명부'!$W$4:$W$29,'설명회 참석자 명부'!$X$4:$X$29,"")</f>
        <v/>
      </c>
      <c r="AY84" s="503"/>
      <c r="AZ84" s="503"/>
      <c r="BA84" s="503"/>
      <c r="BB84" s="503"/>
      <c r="BC84" s="503"/>
      <c r="BD84" s="503"/>
      <c r="BE84" s="503"/>
      <c r="BF84" s="504"/>
      <c r="BG84" s="504"/>
      <c r="BH84" s="504"/>
      <c r="BI84" s="504"/>
      <c r="BJ84" s="504"/>
      <c r="BK84" s="504" t="str">
        <f>IFERROR(LEFT(표3[[#This Row],[주소]],FIND(" ",표3[[#This Row],[주소]])-1),"")</f>
        <v>울산시</v>
      </c>
      <c r="BL84" s="504" t="str">
        <f>IFERROR(MID(표3[[#This Row],[주소]], FIND(" ", 표3[[#This Row],[주소]])+1, FIND(" ", 표3[[#This Row],[주소]], FIND(" ", 표3[[#This Row],[주소]])+1) - FIND(" ", 표3[[#This Row],[주소]])-1),"")</f>
        <v>서부동</v>
      </c>
      <c r="BM8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248-24</v>
      </c>
      <c r="BN84" s="504"/>
      <c r="BO84" s="504"/>
      <c r="BP84" s="504"/>
      <c r="BQ84" s="504"/>
      <c r="BR84" s="505"/>
      <c r="BS84" s="718" t="s">
        <v>179</v>
      </c>
      <c r="BT84" s="719" t="s">
        <v>179</v>
      </c>
      <c r="BU84" s="719" t="s">
        <v>179</v>
      </c>
      <c r="BV84" s="719" t="s">
        <v>179</v>
      </c>
      <c r="BW84" s="719" t="s">
        <v>179</v>
      </c>
      <c r="BX84" s="719" t="s">
        <v>179</v>
      </c>
      <c r="BY84" s="719" t="s">
        <v>191</v>
      </c>
      <c r="BZ84" s="719">
        <v>56.1</v>
      </c>
      <c r="CA84" s="719">
        <v>31.94</v>
      </c>
      <c r="CB84" s="719">
        <v>403000000</v>
      </c>
      <c r="CC84" s="719">
        <v>403000000</v>
      </c>
      <c r="CD84" s="726">
        <f>표3[[#This Row],[종전추정가액]]*1.5219</f>
        <v>613325700</v>
      </c>
      <c r="CE84" s="506"/>
      <c r="CF84" s="507"/>
      <c r="CG84" s="507"/>
      <c r="CH84" s="508"/>
      <c r="CI84" s="508"/>
      <c r="CJ84" s="509"/>
      <c r="CK84" s="510"/>
      <c r="CL84" s="511"/>
      <c r="CM84" s="512"/>
      <c r="CN84" s="513"/>
      <c r="CO84" s="513"/>
      <c r="CP84" s="513"/>
      <c r="CQ84" s="513"/>
      <c r="CR84" s="513"/>
      <c r="CS84" s="514"/>
      <c r="CT84" s="515"/>
      <c r="CU84" s="515"/>
      <c r="CV84" s="515"/>
      <c r="CW84" s="515"/>
      <c r="CX84" s="515"/>
      <c r="CY84" s="515"/>
      <c r="CZ84" s="515"/>
      <c r="DA84" s="515"/>
      <c r="DB84" s="515"/>
      <c r="DC84" s="515"/>
      <c r="DD84" s="515"/>
      <c r="DE84" s="515"/>
      <c r="DF84" s="516"/>
    </row>
    <row r="85" spans="1:110" s="532" customFormat="1" ht="25" customHeight="1">
      <c r="A85" s="475"/>
      <c r="B85" s="476">
        <v>54</v>
      </c>
      <c r="C85" s="477">
        <v>28</v>
      </c>
      <c r="D85" s="478">
        <v>11</v>
      </c>
      <c r="E85" s="478" t="s">
        <v>335</v>
      </c>
      <c r="F85" s="479">
        <v>202</v>
      </c>
      <c r="G85" s="480"/>
      <c r="H85" s="481"/>
      <c r="I85" s="481"/>
      <c r="J85" s="481"/>
      <c r="K85" s="481" t="s">
        <v>174</v>
      </c>
      <c r="L85" s="481" t="s">
        <v>174</v>
      </c>
      <c r="M85" s="481" t="s">
        <v>174</v>
      </c>
      <c r="N85" s="481"/>
      <c r="O85" s="481"/>
      <c r="P85" s="482" t="s">
        <v>873</v>
      </c>
      <c r="Q85" s="483" t="s">
        <v>179</v>
      </c>
      <c r="R85" s="484">
        <v>0</v>
      </c>
      <c r="S85" s="485">
        <v>31.94</v>
      </c>
      <c r="T85" s="671">
        <f>표3[[#This Row],[편입면적]]/(SUM(표3[공부면적]))</f>
        <v>3.9905047476261864E-3</v>
      </c>
      <c r="U85" s="486" t="s">
        <v>179</v>
      </c>
      <c r="V85" s="487"/>
      <c r="W85" s="488">
        <v>56.1</v>
      </c>
      <c r="X85" s="489">
        <v>5.07</v>
      </c>
      <c r="Y85" s="489">
        <v>61.17</v>
      </c>
      <c r="Z85" s="489" t="s">
        <v>179</v>
      </c>
      <c r="AA85" s="490"/>
      <c r="AB85" s="491"/>
      <c r="AC85" s="492"/>
      <c r="AD85" s="493"/>
      <c r="AE85" s="493" t="str" cm="1">
        <f t="array" ref="AE8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5" s="494"/>
      <c r="AG85" s="495" t="s">
        <v>176</v>
      </c>
      <c r="AH85" s="495"/>
      <c r="AI85" s="495" t="s">
        <v>183</v>
      </c>
      <c r="AJ85" s="496"/>
      <c r="AK85" s="497"/>
      <c r="AL85" s="497"/>
      <c r="AM85" s="494"/>
      <c r="AN85" s="498"/>
      <c r="AO85" s="499" t="s">
        <v>342</v>
      </c>
      <c r="AP85" s="626" t="s">
        <v>343</v>
      </c>
      <c r="AQ85" s="626" t="s">
        <v>344</v>
      </c>
      <c r="AR85" s="501">
        <v>59</v>
      </c>
      <c r="AS8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85" s="502" t="s">
        <v>345</v>
      </c>
      <c r="AU85" s="503"/>
      <c r="AV85" s="503" t="s">
        <v>174</v>
      </c>
      <c r="AW85" s="503" t="str">
        <f>IF(COUNTIF('설명회 참석자 명부'!$W$4:$W$29,표3[[#This Row],[성  명]])&gt;0,"O","")</f>
        <v>O</v>
      </c>
      <c r="AX85" s="503" t="str">
        <f>_xlfn.XLOOKUP(표3[[#This Row],[성  명]],'설명회 참석자 명부'!$W$4:$W$29,'설명회 참석자 명부'!$X$4:$X$29,"")</f>
        <v>반송</v>
      </c>
      <c r="AY85" s="503"/>
      <c r="AZ85" s="503"/>
      <c r="BA85" s="503" t="s">
        <v>190</v>
      </c>
      <c r="BB85" s="503" t="s">
        <v>190</v>
      </c>
      <c r="BC85" s="503"/>
      <c r="BD85" s="503"/>
      <c r="BE85" s="503"/>
      <c r="BF85" s="504"/>
      <c r="BG85" s="504"/>
      <c r="BH85" s="504"/>
      <c r="BI85" s="504"/>
      <c r="BJ85" s="504"/>
      <c r="BK85" s="504" t="str">
        <f>IFERROR(LEFT(표3[[#This Row],[주소]],FIND(" ",표3[[#This Row],[주소]])-1),"")</f>
        <v>서울특별시</v>
      </c>
      <c r="BL8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8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</v>
      </c>
      <c r="BN85" s="504"/>
      <c r="BO85" s="504"/>
      <c r="BP85" s="504"/>
      <c r="BQ85" s="504"/>
      <c r="BR85" s="505"/>
      <c r="BS85" s="718" t="s">
        <v>179</v>
      </c>
      <c r="BT85" s="719" t="s">
        <v>179</v>
      </c>
      <c r="BU85" s="719" t="s">
        <v>179</v>
      </c>
      <c r="BV85" s="719" t="s">
        <v>179</v>
      </c>
      <c r="BW85" s="719" t="s">
        <v>179</v>
      </c>
      <c r="BX85" s="719" t="s">
        <v>179</v>
      </c>
      <c r="BY85" s="719" t="s">
        <v>191</v>
      </c>
      <c r="BZ85" s="719">
        <v>56.1</v>
      </c>
      <c r="CA85" s="719">
        <v>31.94</v>
      </c>
      <c r="CB85" s="719">
        <v>403000000</v>
      </c>
      <c r="CC85" s="719">
        <v>403000000</v>
      </c>
      <c r="CD85" s="726">
        <f>표3[[#This Row],[종전추정가액]]*1.5219</f>
        <v>613325700</v>
      </c>
      <c r="CE85" s="506"/>
      <c r="CF85" s="507"/>
      <c r="CG85" s="507"/>
      <c r="CH85" s="508"/>
      <c r="CI85" s="508"/>
      <c r="CJ85" s="509"/>
      <c r="CK85" s="510"/>
      <c r="CL85" s="511"/>
      <c r="CM85" s="512"/>
      <c r="CN85" s="513"/>
      <c r="CO85" s="513"/>
      <c r="CP85" s="513"/>
      <c r="CQ85" s="513"/>
      <c r="CR85" s="513"/>
      <c r="CS85" s="514"/>
      <c r="CT85" s="515"/>
      <c r="CU85" s="515"/>
      <c r="CV85" s="515"/>
      <c r="CW85" s="515"/>
      <c r="CX85" s="515"/>
      <c r="CY85" s="515"/>
      <c r="CZ85" s="515"/>
      <c r="DA85" s="515"/>
      <c r="DB85" s="515"/>
      <c r="DC85" s="515"/>
      <c r="DD85" s="515"/>
      <c r="DE85" s="515"/>
      <c r="DF85" s="516"/>
    </row>
    <row r="86" spans="1:110" s="532" customFormat="1" ht="25" customHeight="1">
      <c r="A86" s="475"/>
      <c r="B86" s="476">
        <v>55</v>
      </c>
      <c r="C86" s="477">
        <v>28</v>
      </c>
      <c r="D86" s="478">
        <v>11</v>
      </c>
      <c r="E86" s="478" t="s">
        <v>335</v>
      </c>
      <c r="F86" s="479">
        <v>301</v>
      </c>
      <c r="G86" s="480"/>
      <c r="H86" s="481"/>
      <c r="I86" s="481"/>
      <c r="J86" s="481"/>
      <c r="K86" s="481"/>
      <c r="L86" s="481"/>
      <c r="M86" s="481"/>
      <c r="N86" s="481"/>
      <c r="O86" s="481"/>
      <c r="P86" s="482"/>
      <c r="Q86" s="483" t="s">
        <v>179</v>
      </c>
      <c r="R86" s="484">
        <v>0</v>
      </c>
      <c r="S86" s="485">
        <v>31.94</v>
      </c>
      <c r="T86" s="671">
        <f>표3[[#This Row],[편입면적]]/(SUM(표3[공부면적]))</f>
        <v>3.9905047476261864E-3</v>
      </c>
      <c r="U86" s="486" t="s">
        <v>179</v>
      </c>
      <c r="V86" s="487"/>
      <c r="W86" s="488">
        <v>56.1</v>
      </c>
      <c r="X86" s="489">
        <v>5.07</v>
      </c>
      <c r="Y86" s="489">
        <v>61.17</v>
      </c>
      <c r="Z86" s="489" t="s">
        <v>179</v>
      </c>
      <c r="AA86" s="490"/>
      <c r="AB86" s="491"/>
      <c r="AC86" s="492"/>
      <c r="AD86" s="493"/>
      <c r="AE86" s="493" t="str" cm="1">
        <f t="array" ref="AE8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6" s="494"/>
      <c r="AG86" s="495" t="s">
        <v>176</v>
      </c>
      <c r="AH86" s="495"/>
      <c r="AI86" s="495" t="s">
        <v>183</v>
      </c>
      <c r="AJ86" s="496"/>
      <c r="AK86" s="497"/>
      <c r="AL86" s="497"/>
      <c r="AM86" s="494"/>
      <c r="AN86" s="498"/>
      <c r="AO86" s="499" t="s">
        <v>346</v>
      </c>
      <c r="AP86" s="626" t="s">
        <v>347</v>
      </c>
      <c r="AQ86" s="500" t="s">
        <v>348</v>
      </c>
      <c r="AR86" s="501">
        <v>57</v>
      </c>
      <c r="AS8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86" s="502" t="s">
        <v>349</v>
      </c>
      <c r="AU86" s="503" t="s">
        <v>190</v>
      </c>
      <c r="AV86" s="503"/>
      <c r="AW86" s="503" t="str">
        <f>IF(COUNTIF('설명회 참석자 명부'!$W$4:$W$29,표3[[#This Row],[성  명]])&gt;0,"O","")</f>
        <v/>
      </c>
      <c r="AX86" s="503" t="str">
        <f>_xlfn.XLOOKUP(표3[[#This Row],[성  명]],'설명회 참석자 명부'!$W$4:$W$29,'설명회 참석자 명부'!$X$4:$X$29,"")</f>
        <v/>
      </c>
      <c r="AY86" s="503"/>
      <c r="AZ86" s="503"/>
      <c r="BA86" s="503"/>
      <c r="BB86" s="503"/>
      <c r="BC86" s="503"/>
      <c r="BD86" s="503"/>
      <c r="BE86" s="503"/>
      <c r="BF86" s="504"/>
      <c r="BG86" s="504"/>
      <c r="BH86" s="504"/>
      <c r="BI86" s="504"/>
      <c r="BJ86" s="504"/>
      <c r="BK86" s="504" t="str">
        <f>IFERROR(LEFT(표3[[#This Row],[주소]],FIND(" ",표3[[#This Row],[주소]])-1),"")</f>
        <v>서울특별시</v>
      </c>
      <c r="BL86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8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86" s="504"/>
      <c r="BO86" s="504"/>
      <c r="BP86" s="504"/>
      <c r="BQ86" s="504"/>
      <c r="BR86" s="505"/>
      <c r="BS86" s="718" t="s">
        <v>179</v>
      </c>
      <c r="BT86" s="719" t="s">
        <v>179</v>
      </c>
      <c r="BU86" s="719" t="s">
        <v>179</v>
      </c>
      <c r="BV86" s="719" t="s">
        <v>179</v>
      </c>
      <c r="BW86" s="719" t="s">
        <v>179</v>
      </c>
      <c r="BX86" s="719" t="s">
        <v>179</v>
      </c>
      <c r="BY86" s="719" t="s">
        <v>191</v>
      </c>
      <c r="BZ86" s="719">
        <v>56.1</v>
      </c>
      <c r="CA86" s="719">
        <v>31.94</v>
      </c>
      <c r="CB86" s="719">
        <v>416000000</v>
      </c>
      <c r="CC86" s="719">
        <v>416000000</v>
      </c>
      <c r="CD86" s="726">
        <f>표3[[#This Row],[종전추정가액]]*1.5219</f>
        <v>633110400</v>
      </c>
      <c r="CE86" s="506"/>
      <c r="CF86" s="507"/>
      <c r="CG86" s="507"/>
      <c r="CH86" s="508"/>
      <c r="CI86" s="508"/>
      <c r="CJ86" s="509"/>
      <c r="CK86" s="510"/>
      <c r="CL86" s="511"/>
      <c r="CM86" s="512"/>
      <c r="CN86" s="513"/>
      <c r="CO86" s="513"/>
      <c r="CP86" s="513"/>
      <c r="CQ86" s="513"/>
      <c r="CR86" s="513"/>
      <c r="CS86" s="514"/>
      <c r="CT86" s="515"/>
      <c r="CU86" s="515"/>
      <c r="CV86" s="515"/>
      <c r="CW86" s="515"/>
      <c r="CX86" s="515"/>
      <c r="CY86" s="515"/>
      <c r="CZ86" s="515"/>
      <c r="DA86" s="515"/>
      <c r="DB86" s="515"/>
      <c r="DC86" s="515"/>
      <c r="DD86" s="515"/>
      <c r="DE86" s="515"/>
      <c r="DF86" s="516"/>
    </row>
    <row r="87" spans="1:110" s="532" customFormat="1" ht="25" customHeight="1">
      <c r="A87" s="475"/>
      <c r="B87" s="476">
        <v>56</v>
      </c>
      <c r="C87" s="477">
        <v>28</v>
      </c>
      <c r="D87" s="478">
        <v>11</v>
      </c>
      <c r="E87" s="478" t="s">
        <v>335</v>
      </c>
      <c r="F87" s="479">
        <v>302</v>
      </c>
      <c r="G87" s="480"/>
      <c r="H87" s="481"/>
      <c r="I87" s="481"/>
      <c r="J87" s="481"/>
      <c r="K87" s="481"/>
      <c r="L87" s="481"/>
      <c r="M87" s="481"/>
      <c r="N87" s="481"/>
      <c r="O87" s="481"/>
      <c r="P87" s="482"/>
      <c r="Q87" s="483" t="s">
        <v>179</v>
      </c>
      <c r="R87" s="484">
        <v>0</v>
      </c>
      <c r="S87" s="485">
        <v>31.94</v>
      </c>
      <c r="T87" s="671">
        <f>표3[[#This Row],[편입면적]]/(SUM(표3[공부면적]))</f>
        <v>3.9905047476261864E-3</v>
      </c>
      <c r="U87" s="486" t="s">
        <v>179</v>
      </c>
      <c r="V87" s="487"/>
      <c r="W87" s="488">
        <v>56.1</v>
      </c>
      <c r="X87" s="489">
        <v>5.07</v>
      </c>
      <c r="Y87" s="489">
        <v>61.17</v>
      </c>
      <c r="Z87" s="489" t="s">
        <v>179</v>
      </c>
      <c r="AA87" s="490"/>
      <c r="AB87" s="491"/>
      <c r="AC87" s="492"/>
      <c r="AD87" s="493"/>
      <c r="AE87" s="493" t="str" cm="1">
        <f t="array" ref="AE8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7" s="494"/>
      <c r="AG87" s="495" t="s">
        <v>176</v>
      </c>
      <c r="AH87" s="495"/>
      <c r="AI87" s="495" t="s">
        <v>183</v>
      </c>
      <c r="AJ87" s="496"/>
      <c r="AK87" s="497"/>
      <c r="AL87" s="497"/>
      <c r="AM87" s="494"/>
      <c r="AN87" s="498"/>
      <c r="AO87" s="499" t="s">
        <v>350</v>
      </c>
      <c r="AP87" s="500">
        <v>1051910707</v>
      </c>
      <c r="AQ87" s="500"/>
      <c r="AR87" s="501">
        <v>79</v>
      </c>
      <c r="AS8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</v>
      </c>
      <c r="AT87" s="502" t="s">
        <v>351</v>
      </c>
      <c r="AU87" s="503" t="s">
        <v>190</v>
      </c>
      <c r="AV87" s="503"/>
      <c r="AW87" s="503" t="str">
        <f>IF(COUNTIF('설명회 참석자 명부'!$W$4:$W$29,표3[[#This Row],[성  명]])&gt;0,"O","")</f>
        <v/>
      </c>
      <c r="AX87" s="503" t="str">
        <f>_xlfn.XLOOKUP(표3[[#This Row],[성  명]],'설명회 참석자 명부'!$W$4:$W$29,'설명회 참석자 명부'!$X$4:$X$29,"")</f>
        <v/>
      </c>
      <c r="AY87" s="503"/>
      <c r="AZ87" s="503"/>
      <c r="BA87" s="503"/>
      <c r="BB87" s="503"/>
      <c r="BC87" s="503"/>
      <c r="BD87" s="503"/>
      <c r="BE87" s="503"/>
      <c r="BF87" s="504"/>
      <c r="BG87" s="504"/>
      <c r="BH87" s="504"/>
      <c r="BI87" s="504"/>
      <c r="BJ87" s="504"/>
      <c r="BK87" s="504" t="str">
        <f>IFERROR(LEFT(표3[[#This Row],[주소]],FIND(" ",표3[[#This Row],[주소]])-1),"")</f>
        <v>서울특별시</v>
      </c>
      <c r="BL8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8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87" s="504"/>
      <c r="BO87" s="504"/>
      <c r="BP87" s="504"/>
      <c r="BQ87" s="504"/>
      <c r="BR87" s="505"/>
      <c r="BS87" s="718" t="s">
        <v>179</v>
      </c>
      <c r="BT87" s="719" t="s">
        <v>179</v>
      </c>
      <c r="BU87" s="719" t="s">
        <v>179</v>
      </c>
      <c r="BV87" s="719" t="s">
        <v>179</v>
      </c>
      <c r="BW87" s="719" t="s">
        <v>179</v>
      </c>
      <c r="BX87" s="719" t="s">
        <v>179</v>
      </c>
      <c r="BY87" s="719" t="s">
        <v>191</v>
      </c>
      <c r="BZ87" s="719">
        <v>56.1</v>
      </c>
      <c r="CA87" s="719">
        <v>31.94</v>
      </c>
      <c r="CB87" s="719">
        <v>416000000</v>
      </c>
      <c r="CC87" s="719">
        <v>416000000</v>
      </c>
      <c r="CD87" s="726">
        <f>표3[[#This Row],[종전추정가액]]*1.5219</f>
        <v>633110400</v>
      </c>
      <c r="CE87" s="506"/>
      <c r="CF87" s="507"/>
      <c r="CG87" s="507"/>
      <c r="CH87" s="508"/>
      <c r="CI87" s="508"/>
      <c r="CJ87" s="509"/>
      <c r="CK87" s="510"/>
      <c r="CL87" s="511"/>
      <c r="CM87" s="512"/>
      <c r="CN87" s="513"/>
      <c r="CO87" s="513"/>
      <c r="CP87" s="513"/>
      <c r="CQ87" s="513"/>
      <c r="CR87" s="513"/>
      <c r="CS87" s="514"/>
      <c r="CT87" s="515"/>
      <c r="CU87" s="515"/>
      <c r="CV87" s="515"/>
      <c r="CW87" s="515"/>
      <c r="CX87" s="515"/>
      <c r="CY87" s="515"/>
      <c r="CZ87" s="515"/>
      <c r="DA87" s="515"/>
      <c r="DB87" s="515"/>
      <c r="DC87" s="515"/>
      <c r="DD87" s="515"/>
      <c r="DE87" s="515"/>
      <c r="DF87" s="516"/>
    </row>
    <row r="88" spans="1:110" s="532" customFormat="1" ht="19">
      <c r="A88" s="475"/>
      <c r="B88" s="476">
        <v>57</v>
      </c>
      <c r="C88" s="477">
        <v>28</v>
      </c>
      <c r="D88" s="478">
        <v>11</v>
      </c>
      <c r="E88" s="478" t="s">
        <v>335</v>
      </c>
      <c r="F88" s="479">
        <v>401</v>
      </c>
      <c r="G88" s="480"/>
      <c r="H88" s="481"/>
      <c r="I88" s="481"/>
      <c r="J88" s="481"/>
      <c r="K88" s="481"/>
      <c r="L88" s="481"/>
      <c r="M88" s="481"/>
      <c r="N88" s="481"/>
      <c r="O88" s="481"/>
      <c r="P88" s="482"/>
      <c r="Q88" s="483" t="s">
        <v>179</v>
      </c>
      <c r="R88" s="484">
        <v>0</v>
      </c>
      <c r="S88" s="485">
        <v>24.43</v>
      </c>
      <c r="T88" s="671">
        <f>표3[[#This Row],[편입면적]]/(SUM(표3[공부면적]))</f>
        <v>3.0522238880559718E-3</v>
      </c>
      <c r="U88" s="486" t="s">
        <v>179</v>
      </c>
      <c r="V88" s="487"/>
      <c r="W88" s="488">
        <v>41.7</v>
      </c>
      <c r="X88" s="489">
        <v>5.07</v>
      </c>
      <c r="Y88" s="489">
        <v>46.77</v>
      </c>
      <c r="Z88" s="489" t="s">
        <v>179</v>
      </c>
      <c r="AA88" s="490"/>
      <c r="AB88" s="491"/>
      <c r="AC88" s="492"/>
      <c r="AD88" s="493"/>
      <c r="AE88" s="493" t="str" cm="1">
        <f t="array" ref="AE88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8" s="494"/>
      <c r="AG88" s="495" t="s">
        <v>176</v>
      </c>
      <c r="AH88" s="495"/>
      <c r="AI88" s="495" t="s">
        <v>183</v>
      </c>
      <c r="AJ88" s="496"/>
      <c r="AK88" s="497"/>
      <c r="AL88" s="497"/>
      <c r="AM88" s="494"/>
      <c r="AN88" s="498"/>
      <c r="AO88" s="499" t="s">
        <v>352</v>
      </c>
      <c r="AP88" s="500">
        <v>1053011820</v>
      </c>
      <c r="AQ88" s="500"/>
      <c r="AR88" s="501">
        <v>61</v>
      </c>
      <c r="AS8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88" s="502" t="s">
        <v>353</v>
      </c>
      <c r="AU88" s="503" t="s">
        <v>190</v>
      </c>
      <c r="AV88" s="503"/>
      <c r="AW88" s="503" t="str">
        <f>IF(COUNTIF('설명회 참석자 명부'!$W$4:$W$29,표3[[#This Row],[성  명]])&gt;0,"O","")</f>
        <v/>
      </c>
      <c r="AX88" s="503" t="str">
        <f>_xlfn.XLOOKUP(표3[[#This Row],[성  명]],'설명회 참석자 명부'!$W$4:$W$29,'설명회 참석자 명부'!$X$4:$X$29,"")</f>
        <v/>
      </c>
      <c r="AY88" s="503"/>
      <c r="AZ88" s="503"/>
      <c r="BA88" s="503" t="s">
        <v>190</v>
      </c>
      <c r="BB88" s="503" t="s">
        <v>190</v>
      </c>
      <c r="BC88" s="503"/>
      <c r="BD88" s="503"/>
      <c r="BE88" s="503"/>
      <c r="BF88" s="504"/>
      <c r="BG88" s="504"/>
      <c r="BH88" s="504"/>
      <c r="BI88" s="504"/>
      <c r="BJ88" s="504"/>
      <c r="BK88" s="504" t="str">
        <f>IFERROR(LEFT(표3[[#This Row],[주소]],FIND(" ",표3[[#This Row],[주소]])-1),"")</f>
        <v>서울</v>
      </c>
      <c r="BL88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8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88" s="504"/>
      <c r="BO88" s="504"/>
      <c r="BP88" s="504"/>
      <c r="BQ88" s="504"/>
      <c r="BR88" s="505"/>
      <c r="BS88" s="718" t="s">
        <v>179</v>
      </c>
      <c r="BT88" s="719" t="s">
        <v>179</v>
      </c>
      <c r="BU88" s="719" t="s">
        <v>179</v>
      </c>
      <c r="BV88" s="719" t="s">
        <v>179</v>
      </c>
      <c r="BW88" s="719" t="s">
        <v>179</v>
      </c>
      <c r="BX88" s="719" t="s">
        <v>179</v>
      </c>
      <c r="BY88" s="719" t="s">
        <v>191</v>
      </c>
      <c r="BZ88" s="719">
        <v>41.7</v>
      </c>
      <c r="CA88" s="719">
        <v>24.43</v>
      </c>
      <c r="CB88" s="719">
        <v>318000000</v>
      </c>
      <c r="CC88" s="719">
        <v>318000000</v>
      </c>
      <c r="CD88" s="726">
        <f>표3[[#This Row],[종전추정가액]]*1.5219</f>
        <v>483964200</v>
      </c>
      <c r="CE88" s="506"/>
      <c r="CF88" s="507"/>
      <c r="CG88" s="507"/>
      <c r="CH88" s="508"/>
      <c r="CI88" s="508"/>
      <c r="CJ88" s="509"/>
      <c r="CK88" s="510"/>
      <c r="CL88" s="511"/>
      <c r="CM88" s="512"/>
      <c r="CN88" s="513"/>
      <c r="CO88" s="513"/>
      <c r="CP88" s="513"/>
      <c r="CQ88" s="513"/>
      <c r="CR88" s="513"/>
      <c r="CS88" s="514"/>
      <c r="CT88" s="515"/>
      <c r="CU88" s="515"/>
      <c r="CV88" s="515"/>
      <c r="CW88" s="515"/>
      <c r="CX88" s="515"/>
      <c r="CY88" s="515"/>
      <c r="CZ88" s="515"/>
      <c r="DA88" s="515"/>
      <c r="DB88" s="515"/>
      <c r="DC88" s="515"/>
      <c r="DD88" s="515"/>
      <c r="DE88" s="515"/>
      <c r="DF88" s="516"/>
    </row>
    <row r="89" spans="1:110" s="532" customFormat="1" ht="19.5" thickBot="1">
      <c r="A89" s="394"/>
      <c r="B89" s="395">
        <v>58</v>
      </c>
      <c r="C89" s="396">
        <v>28</v>
      </c>
      <c r="D89" s="397">
        <v>11</v>
      </c>
      <c r="E89" s="397" t="s">
        <v>335</v>
      </c>
      <c r="F89" s="398">
        <v>402</v>
      </c>
      <c r="G89" s="399"/>
      <c r="H89" s="400"/>
      <c r="I89" s="400"/>
      <c r="J89" s="400"/>
      <c r="K89" s="400"/>
      <c r="L89" s="400"/>
      <c r="M89" s="400"/>
      <c r="N89" s="400"/>
      <c r="O89" s="400"/>
      <c r="P89" s="401"/>
      <c r="Q89" s="402" t="s">
        <v>179</v>
      </c>
      <c r="R89" s="403">
        <v>0</v>
      </c>
      <c r="S89" s="404">
        <v>24.43</v>
      </c>
      <c r="T89" s="672">
        <f>표3[[#This Row],[편입면적]]/(SUM(표3[공부면적]))</f>
        <v>3.0522238880559718E-3</v>
      </c>
      <c r="U89" s="662" t="s">
        <v>179</v>
      </c>
      <c r="V89" s="405"/>
      <c r="W89" s="406">
        <v>41.7</v>
      </c>
      <c r="X89" s="407">
        <v>5.07</v>
      </c>
      <c r="Y89" s="407">
        <v>46.77</v>
      </c>
      <c r="Z89" s="407" t="s">
        <v>179</v>
      </c>
      <c r="AA89" s="408"/>
      <c r="AB89" s="409"/>
      <c r="AC89" s="410"/>
      <c r="AD89" s="411"/>
      <c r="AE89" s="411" t="str" cm="1">
        <f t="array" ref="AE8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89" s="412"/>
      <c r="AG89" s="413" t="s">
        <v>176</v>
      </c>
      <c r="AH89" s="413"/>
      <c r="AI89" s="413" t="s">
        <v>183</v>
      </c>
      <c r="AJ89" s="414"/>
      <c r="AK89" s="415"/>
      <c r="AL89" s="415"/>
      <c r="AM89" s="412"/>
      <c r="AN89" s="416"/>
      <c r="AO89" s="417" t="s">
        <v>354</v>
      </c>
      <c r="AP89" s="418">
        <v>1052174850</v>
      </c>
      <c r="AQ89" s="418"/>
      <c r="AR89" s="419">
        <v>65</v>
      </c>
      <c r="AS89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89" s="420" t="s">
        <v>355</v>
      </c>
      <c r="AU89" s="421"/>
      <c r="AV89" s="421"/>
      <c r="AW89" s="421" t="str">
        <f>IF(COUNTIF('설명회 참석자 명부'!$W$4:$W$29,표3[[#This Row],[성  명]])&gt;0,"O","")</f>
        <v/>
      </c>
      <c r="AX89" s="421" t="str">
        <f>_xlfn.XLOOKUP(표3[[#This Row],[성  명]],'설명회 참석자 명부'!$W$4:$W$29,'설명회 참석자 명부'!$X$4:$X$29,"")</f>
        <v/>
      </c>
      <c r="AY89" s="421"/>
      <c r="AZ89" s="421"/>
      <c r="BA89" s="421"/>
      <c r="BB89" s="421"/>
      <c r="BC89" s="421"/>
      <c r="BD89" s="421"/>
      <c r="BE89" s="421"/>
      <c r="BF89" s="422"/>
      <c r="BG89" s="422"/>
      <c r="BH89" s="422"/>
      <c r="BI89" s="422"/>
      <c r="BJ89" s="422"/>
      <c r="BK89" s="422" t="str">
        <f>IFERROR(LEFT(표3[[#This Row],[주소]],FIND(" ",표3[[#This Row],[주소]])-1),"")</f>
        <v>서울특별시</v>
      </c>
      <c r="BL89" s="422" t="str">
        <f>IFERROR(MID(표3[[#This Row],[주소]], FIND(" ", 표3[[#This Row],[주소]])+1, FIND(" ", 표3[[#This Row],[주소]], FIND(" ", 표3[[#This Row],[주소]])+1) - FIND(" ", 표3[[#This Row],[주소]])-1),"")</f>
        <v>성동구</v>
      </c>
      <c r="BM89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무학로6길</v>
      </c>
      <c r="BN89" s="422"/>
      <c r="BO89" s="422"/>
      <c r="BP89" s="422"/>
      <c r="BQ89" s="422"/>
      <c r="BR89" s="423"/>
      <c r="BS89" s="720" t="s">
        <v>179</v>
      </c>
      <c r="BT89" s="721" t="s">
        <v>179</v>
      </c>
      <c r="BU89" s="721" t="s">
        <v>179</v>
      </c>
      <c r="BV89" s="721" t="s">
        <v>179</v>
      </c>
      <c r="BW89" s="721" t="s">
        <v>179</v>
      </c>
      <c r="BX89" s="721" t="s">
        <v>179</v>
      </c>
      <c r="BY89" s="721" t="s">
        <v>191</v>
      </c>
      <c r="BZ89" s="721">
        <v>41.7</v>
      </c>
      <c r="CA89" s="721">
        <v>24.43</v>
      </c>
      <c r="CB89" s="721">
        <v>318000000</v>
      </c>
      <c r="CC89" s="721">
        <v>318000000</v>
      </c>
      <c r="CD89" s="726">
        <f>표3[[#This Row],[종전추정가액]]*1.5219</f>
        <v>483964200</v>
      </c>
      <c r="CE89" s="424"/>
      <c r="CF89" s="425"/>
      <c r="CG89" s="425"/>
      <c r="CH89" s="426"/>
      <c r="CI89" s="426"/>
      <c r="CJ89" s="427"/>
      <c r="CK89" s="428"/>
      <c r="CL89" s="429"/>
      <c r="CM89" s="430"/>
      <c r="CN89" s="431"/>
      <c r="CO89" s="431"/>
      <c r="CP89" s="431"/>
      <c r="CQ89" s="431"/>
      <c r="CR89" s="431"/>
      <c r="CS89" s="432"/>
      <c r="CT89" s="433"/>
      <c r="CU89" s="433"/>
      <c r="CV89" s="433"/>
      <c r="CW89" s="433"/>
      <c r="CX89" s="433"/>
      <c r="CY89" s="433"/>
      <c r="CZ89" s="433"/>
      <c r="DA89" s="433"/>
      <c r="DB89" s="433"/>
      <c r="DC89" s="433"/>
      <c r="DD89" s="433"/>
      <c r="DE89" s="433"/>
      <c r="DF89" s="434"/>
    </row>
    <row r="90" spans="1:110" s="533" customFormat="1" ht="19.5" thickTop="1">
      <c r="A90" s="435"/>
      <c r="B90" s="436">
        <v>59</v>
      </c>
      <c r="C90" s="437">
        <v>28</v>
      </c>
      <c r="D90" s="438">
        <v>12</v>
      </c>
      <c r="E90" s="438"/>
      <c r="F90" s="667">
        <v>0</v>
      </c>
      <c r="G90" s="439"/>
      <c r="H90" s="440"/>
      <c r="I90" s="440"/>
      <c r="J90" s="440"/>
      <c r="K90" s="440"/>
      <c r="L90" s="440"/>
      <c r="M90" s="440"/>
      <c r="N90" s="440"/>
      <c r="O90" s="440"/>
      <c r="P90" s="441"/>
      <c r="Q90" s="442" t="s">
        <v>173</v>
      </c>
      <c r="R90" s="659">
        <v>169.5</v>
      </c>
      <c r="S90" s="443">
        <v>169.5</v>
      </c>
      <c r="T90" s="670">
        <f>표3[[#This Row],[편입면적]]/(SUM(표3[공부면적]))</f>
        <v>2.1176911544227885E-2</v>
      </c>
      <c r="U90" s="444" t="s">
        <v>174</v>
      </c>
      <c r="V90" s="445"/>
      <c r="W90" s="446">
        <v>156.30000000000001</v>
      </c>
      <c r="X90" s="447">
        <v>89.62</v>
      </c>
      <c r="Y90" s="447">
        <v>245.92000000000002</v>
      </c>
      <c r="Z90" s="447">
        <v>245.92</v>
      </c>
      <c r="AA90" s="517"/>
      <c r="AB90" s="449"/>
      <c r="AC90" s="450" t="s">
        <v>356</v>
      </c>
      <c r="AD90" s="451">
        <v>36</v>
      </c>
      <c r="AE90" s="451" t="str" cm="1">
        <f t="array" ref="AE9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90" s="452"/>
      <c r="AG90" s="453" t="s">
        <v>325</v>
      </c>
      <c r="AH90" s="453"/>
      <c r="AI90" s="453" t="s">
        <v>326</v>
      </c>
      <c r="AJ90" s="453"/>
      <c r="AK90" s="454"/>
      <c r="AL90" s="454"/>
      <c r="AM90" s="452">
        <v>2</v>
      </c>
      <c r="AN90" s="455">
        <v>1</v>
      </c>
      <c r="AO90" s="456" t="s">
        <v>357</v>
      </c>
      <c r="AP90" s="457">
        <v>1047197865</v>
      </c>
      <c r="AQ90" s="457"/>
      <c r="AR90" s="458">
        <v>57</v>
      </c>
      <c r="AS90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90" s="459" t="s">
        <v>358</v>
      </c>
      <c r="AU90" s="460"/>
      <c r="AV90" s="460"/>
      <c r="AW90" s="460" t="str">
        <f>IF(COUNTIF('설명회 참석자 명부'!$W$4:$W$29,표3[[#This Row],[성  명]])&gt;0,"O","")</f>
        <v>O</v>
      </c>
      <c r="AX90" s="460" t="str">
        <f>_xlfn.XLOOKUP(표3[[#This Row],[성  명]],'설명회 참석자 명부'!$W$4:$W$29,'설명회 참석자 명부'!$X$4:$X$29,"")</f>
        <v>반송</v>
      </c>
      <c r="AY90" s="460"/>
      <c r="AZ90" s="460"/>
      <c r="BA90" s="460" t="s">
        <v>190</v>
      </c>
      <c r="BB90" s="460"/>
      <c r="BC90" s="460"/>
      <c r="BD90" s="460"/>
      <c r="BE90" s="460"/>
      <c r="BF90" s="461"/>
      <c r="BG90" s="461"/>
      <c r="BH90" s="461"/>
      <c r="BI90" s="461"/>
      <c r="BJ90" s="461"/>
      <c r="BK90" s="461" t="str">
        <f>IFERROR(LEFT(표3[[#This Row],[주소]],FIND(" ",표3[[#This Row],[주소]])-1),"")</f>
        <v>서울특별시</v>
      </c>
      <c r="BL90" s="461" t="str">
        <f>IFERROR(MID(표3[[#This Row],[주소]], FIND(" ", 표3[[#This Row],[주소]])+1, FIND(" ", 표3[[#This Row],[주소]], FIND(" ", 표3[[#This Row],[주소]])+1) - FIND(" ", 표3[[#This Row],[주소]])-1),"")</f>
        <v>강동구</v>
      </c>
      <c r="BM90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고덕로</v>
      </c>
      <c r="BN90" s="461"/>
      <c r="BO90" s="461"/>
      <c r="BP90" s="461"/>
      <c r="BQ90" s="461"/>
      <c r="BR90" s="462"/>
      <c r="BS90" s="722">
        <v>169.5</v>
      </c>
      <c r="BT90" s="723">
        <v>11390000</v>
      </c>
      <c r="BU90" s="723">
        <v>1930605000</v>
      </c>
      <c r="BV90" s="723" t="s">
        <v>326</v>
      </c>
      <c r="BW90" s="723">
        <v>245.92</v>
      </c>
      <c r="BX90" s="723">
        <v>68857600</v>
      </c>
      <c r="BY90" s="723" t="s">
        <v>179</v>
      </c>
      <c r="BZ90" s="723" t="s">
        <v>179</v>
      </c>
      <c r="CA90" s="723" t="s">
        <v>179</v>
      </c>
      <c r="CB90" s="723" t="s">
        <v>179</v>
      </c>
      <c r="CC90" s="723">
        <v>1999462600</v>
      </c>
      <c r="CD90" s="727">
        <f>표3[[#This Row],[종전추정가액]]*1.5219</f>
        <v>3042982130.9400001</v>
      </c>
      <c r="CE90" s="463"/>
      <c r="CF90" s="464"/>
      <c r="CG90" s="464"/>
      <c r="CH90" s="465"/>
      <c r="CI90" s="465"/>
      <c r="CJ90" s="466"/>
      <c r="CK90" s="467"/>
      <c r="CL90" s="468"/>
      <c r="CM90" s="469"/>
      <c r="CN90" s="470"/>
      <c r="CO90" s="470"/>
      <c r="CP90" s="470"/>
      <c r="CQ90" s="470"/>
      <c r="CR90" s="470"/>
      <c r="CS90" s="471"/>
      <c r="CT90" s="472"/>
      <c r="CU90" s="472"/>
      <c r="CV90" s="472"/>
      <c r="CW90" s="472"/>
      <c r="CX90" s="472"/>
      <c r="CY90" s="472"/>
      <c r="CZ90" s="472"/>
      <c r="DA90" s="472"/>
      <c r="DB90" s="472"/>
      <c r="DC90" s="472"/>
      <c r="DD90" s="472"/>
      <c r="DE90" s="472"/>
      <c r="DF90" s="473"/>
    </row>
    <row r="91" spans="1:110" s="532" customFormat="1" ht="19">
      <c r="A91" s="475"/>
      <c r="B91" s="476">
        <v>60</v>
      </c>
      <c r="C91" s="477">
        <v>28</v>
      </c>
      <c r="D91" s="478">
        <v>13</v>
      </c>
      <c r="E91" s="478"/>
      <c r="F91" s="668">
        <v>0</v>
      </c>
      <c r="G91" s="480"/>
      <c r="H91" s="481"/>
      <c r="I91" s="481"/>
      <c r="J91" s="481"/>
      <c r="K91" s="481"/>
      <c r="L91" s="481"/>
      <c r="M91" s="481"/>
      <c r="N91" s="481"/>
      <c r="O91" s="481"/>
      <c r="P91" s="482"/>
      <c r="Q91" s="483" t="s">
        <v>173</v>
      </c>
      <c r="R91" s="660">
        <v>200.4</v>
      </c>
      <c r="S91" s="484">
        <v>200.4</v>
      </c>
      <c r="T91" s="671">
        <f>표3[[#This Row],[편입면적]]/(SUM(표3[공부면적]))</f>
        <v>2.5037481259370314E-2</v>
      </c>
      <c r="U91" s="486" t="s">
        <v>174</v>
      </c>
      <c r="V91" s="487"/>
      <c r="W91" s="488">
        <v>299.83999999999997</v>
      </c>
      <c r="X91" s="489">
        <v>0</v>
      </c>
      <c r="Y91" s="489">
        <v>299.83999999999997</v>
      </c>
      <c r="Z91" s="489">
        <v>299.83999999999997</v>
      </c>
      <c r="AA91" s="518"/>
      <c r="AB91" s="491"/>
      <c r="AC91" s="492" t="s">
        <v>359</v>
      </c>
      <c r="AD91" s="493">
        <v>31</v>
      </c>
      <c r="AE91" s="493" t="str" cm="1">
        <f t="array" ref="AE9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91" s="494"/>
      <c r="AG91" s="495" t="s">
        <v>176</v>
      </c>
      <c r="AH91" s="495"/>
      <c r="AI91" s="495" t="s">
        <v>326</v>
      </c>
      <c r="AJ91" s="496"/>
      <c r="AK91" s="497"/>
      <c r="AL91" s="497"/>
      <c r="AM91" s="494">
        <v>3</v>
      </c>
      <c r="AN91" s="498">
        <v>0</v>
      </c>
      <c r="AO91" s="499" t="s">
        <v>360</v>
      </c>
      <c r="AP91" s="500" t="s">
        <v>179</v>
      </c>
      <c r="AQ91" s="500"/>
      <c r="AR91" s="501">
        <v>42</v>
      </c>
      <c r="AS9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91" s="502" t="s">
        <v>361</v>
      </c>
      <c r="AU91" s="503" t="s">
        <v>190</v>
      </c>
      <c r="AV91" s="503"/>
      <c r="AW91" s="503" t="str">
        <f>IF(COUNTIF('설명회 참석자 명부'!$W$4:$W$29,표3[[#This Row],[성  명]])&gt;0,"O","")</f>
        <v/>
      </c>
      <c r="AX91" s="503" t="str">
        <f>_xlfn.XLOOKUP(표3[[#This Row],[성  명]],'설명회 참석자 명부'!$W$4:$W$29,'설명회 참석자 명부'!$X$4:$X$29,"")</f>
        <v/>
      </c>
      <c r="AY91" s="503"/>
      <c r="AZ91" s="503"/>
      <c r="BA91" s="503"/>
      <c r="BB91" s="503"/>
      <c r="BC91" s="503"/>
      <c r="BD91" s="503"/>
      <c r="BE91" s="503"/>
      <c r="BF91" s="504"/>
      <c r="BG91" s="504"/>
      <c r="BH91" s="504"/>
      <c r="BI91" s="504"/>
      <c r="BJ91" s="504"/>
      <c r="BK91" s="504" t="str">
        <f>IFERROR(LEFT(표3[[#This Row],[주소]],FIND(" ",표3[[#This Row],[주소]])-1),"")</f>
        <v>서울특별시</v>
      </c>
      <c r="BL9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91" s="504"/>
      <c r="BO91" s="504"/>
      <c r="BP91" s="504"/>
      <c r="BQ91" s="504"/>
      <c r="BR91" s="505"/>
      <c r="BS91" s="714">
        <v>200.4</v>
      </c>
      <c r="BT91" s="715">
        <v>11390000</v>
      </c>
      <c r="BU91" s="715">
        <v>2282556000</v>
      </c>
      <c r="BV91" s="715" t="s">
        <v>326</v>
      </c>
      <c r="BW91" s="715">
        <v>299.83999999999997</v>
      </c>
      <c r="BX91" s="715">
        <v>182302719.99999997</v>
      </c>
      <c r="BY91" s="715" t="s">
        <v>179</v>
      </c>
      <c r="BZ91" s="715" t="s">
        <v>179</v>
      </c>
      <c r="CA91" s="715" t="s">
        <v>179</v>
      </c>
      <c r="CB91" s="715" t="s">
        <v>179</v>
      </c>
      <c r="CC91" s="715">
        <v>2464858720</v>
      </c>
      <c r="CD91" s="726">
        <f>표3[[#This Row],[종전추정가액]]*1.5219</f>
        <v>3751268485.9679999</v>
      </c>
      <c r="CE91" s="506"/>
      <c r="CF91" s="507"/>
      <c r="CG91" s="507"/>
      <c r="CH91" s="508"/>
      <c r="CI91" s="508"/>
      <c r="CJ91" s="509"/>
      <c r="CK91" s="510"/>
      <c r="CL91" s="511"/>
      <c r="CM91" s="512"/>
      <c r="CN91" s="513"/>
      <c r="CO91" s="513"/>
      <c r="CP91" s="513"/>
      <c r="CQ91" s="513"/>
      <c r="CR91" s="513"/>
      <c r="CS91" s="514"/>
      <c r="CT91" s="515"/>
      <c r="CU91" s="515"/>
      <c r="CV91" s="515"/>
      <c r="CW91" s="515"/>
      <c r="CX91" s="515"/>
      <c r="CY91" s="515"/>
      <c r="CZ91" s="515"/>
      <c r="DA91" s="515"/>
      <c r="DB91" s="515"/>
      <c r="DC91" s="515"/>
      <c r="DD91" s="515"/>
      <c r="DE91" s="515"/>
      <c r="DF91" s="516"/>
    </row>
    <row r="92" spans="1:110" s="532" customFormat="1" ht="19.5" thickBot="1">
      <c r="A92" s="394"/>
      <c r="B92" s="395">
        <v>61</v>
      </c>
      <c r="C92" s="396">
        <v>28</v>
      </c>
      <c r="D92" s="397">
        <v>14</v>
      </c>
      <c r="E92" s="397"/>
      <c r="F92" s="666">
        <v>0</v>
      </c>
      <c r="G92" s="399"/>
      <c r="H92" s="400"/>
      <c r="I92" s="400"/>
      <c r="J92" s="400"/>
      <c r="K92" s="400"/>
      <c r="L92" s="400"/>
      <c r="M92" s="400"/>
      <c r="N92" s="400"/>
      <c r="O92" s="400"/>
      <c r="P92" s="401"/>
      <c r="Q92" s="402" t="s">
        <v>173</v>
      </c>
      <c r="R92" s="658">
        <v>169</v>
      </c>
      <c r="S92" s="403">
        <v>169</v>
      </c>
      <c r="T92" s="672">
        <f>표3[[#This Row],[편입면적]]/(SUM(표3[공부면적]))</f>
        <v>2.1114442778610694E-2</v>
      </c>
      <c r="U92" s="662" t="s">
        <v>174</v>
      </c>
      <c r="V92" s="405"/>
      <c r="W92" s="406">
        <v>217.79</v>
      </c>
      <c r="X92" s="407">
        <v>82.14</v>
      </c>
      <c r="Y92" s="407">
        <v>299.93</v>
      </c>
      <c r="Z92" s="407">
        <v>299.93</v>
      </c>
      <c r="AA92" s="520"/>
      <c r="AB92" s="409"/>
      <c r="AC92" s="410" t="s">
        <v>362</v>
      </c>
      <c r="AD92" s="411">
        <v>31</v>
      </c>
      <c r="AE92" s="411" t="str" cm="1">
        <f t="array" ref="AE92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92" s="412"/>
      <c r="AG92" s="413" t="s">
        <v>176</v>
      </c>
      <c r="AH92" s="413"/>
      <c r="AI92" s="413" t="s">
        <v>326</v>
      </c>
      <c r="AJ92" s="414"/>
      <c r="AK92" s="415"/>
      <c r="AL92" s="415"/>
      <c r="AM92" s="412">
        <v>3</v>
      </c>
      <c r="AN92" s="416">
        <v>1</v>
      </c>
      <c r="AO92" s="417" t="s">
        <v>363</v>
      </c>
      <c r="AP92" s="418" t="s">
        <v>179</v>
      </c>
      <c r="AQ92" s="418"/>
      <c r="AR92" s="419">
        <v>73</v>
      </c>
      <c r="AS92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92" s="420" t="s">
        <v>364</v>
      </c>
      <c r="AU92" s="421"/>
      <c r="AV92" s="421"/>
      <c r="AW92" s="421" t="str">
        <f>IF(COUNTIF('설명회 참석자 명부'!$W$4:$W$29,표3[[#This Row],[성  명]])&gt;0,"O","")</f>
        <v/>
      </c>
      <c r="AX92" s="421" t="str">
        <f>_xlfn.XLOOKUP(표3[[#This Row],[성  명]],'설명회 참석자 명부'!$W$4:$W$29,'설명회 참석자 명부'!$X$4:$X$29,"")</f>
        <v/>
      </c>
      <c r="AY92" s="421"/>
      <c r="AZ92" s="421"/>
      <c r="BA92" s="421"/>
      <c r="BB92" s="421"/>
      <c r="BC92" s="421"/>
      <c r="BD92" s="421"/>
      <c r="BE92" s="421"/>
      <c r="BF92" s="422"/>
      <c r="BG92" s="422"/>
      <c r="BH92" s="422"/>
      <c r="BI92" s="422"/>
      <c r="BJ92" s="422"/>
      <c r="BK92" s="422" t="str">
        <f>IFERROR(LEFT(표3[[#This Row],[주소]],FIND(" ",표3[[#This Row],[주소]])-1),"")</f>
        <v>서울</v>
      </c>
      <c r="BL92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2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오금동</v>
      </c>
      <c r="BN92" s="422"/>
      <c r="BO92" s="422"/>
      <c r="BP92" s="422"/>
      <c r="BQ92" s="422"/>
      <c r="BR92" s="423"/>
      <c r="BS92" s="714">
        <v>169</v>
      </c>
      <c r="BT92" s="715">
        <v>11390000</v>
      </c>
      <c r="BU92" s="715">
        <v>1924910000</v>
      </c>
      <c r="BV92" s="715" t="s">
        <v>326</v>
      </c>
      <c r="BW92" s="715">
        <v>299.93</v>
      </c>
      <c r="BX92" s="715">
        <v>182357440</v>
      </c>
      <c r="BY92" s="715" t="s">
        <v>179</v>
      </c>
      <c r="BZ92" s="715" t="s">
        <v>179</v>
      </c>
      <c r="CA92" s="715" t="s">
        <v>179</v>
      </c>
      <c r="CB92" s="715" t="s">
        <v>179</v>
      </c>
      <c r="CC92" s="715">
        <v>2107267440</v>
      </c>
      <c r="CD92" s="726">
        <f>표3[[#This Row],[종전추정가액]]*1.5219</f>
        <v>3207050316.9359999</v>
      </c>
      <c r="CE92" s="424"/>
      <c r="CF92" s="425"/>
      <c r="CG92" s="425"/>
      <c r="CH92" s="426"/>
      <c r="CI92" s="426"/>
      <c r="CJ92" s="427"/>
      <c r="CK92" s="428"/>
      <c r="CL92" s="429"/>
      <c r="CM92" s="430"/>
      <c r="CN92" s="431"/>
      <c r="CO92" s="431"/>
      <c r="CP92" s="431"/>
      <c r="CQ92" s="431"/>
      <c r="CR92" s="431"/>
      <c r="CS92" s="432"/>
      <c r="CT92" s="433"/>
      <c r="CU92" s="433"/>
      <c r="CV92" s="433"/>
      <c r="CW92" s="433"/>
      <c r="CX92" s="433"/>
      <c r="CY92" s="433"/>
      <c r="CZ92" s="433"/>
      <c r="DA92" s="433"/>
      <c r="DB92" s="433"/>
      <c r="DC92" s="433"/>
      <c r="DD92" s="433"/>
      <c r="DE92" s="433"/>
      <c r="DF92" s="434"/>
    </row>
    <row r="93" spans="1:110" s="533" customFormat="1" ht="19.5" thickTop="1">
      <c r="A93" s="435"/>
      <c r="B93" s="436"/>
      <c r="C93" s="437">
        <v>28</v>
      </c>
      <c r="D93" s="438">
        <v>15</v>
      </c>
      <c r="E93" s="438" t="s">
        <v>365</v>
      </c>
      <c r="F93" s="667">
        <v>0</v>
      </c>
      <c r="G93" s="439"/>
      <c r="H93" s="440"/>
      <c r="I93" s="440"/>
      <c r="J93" s="440"/>
      <c r="K93" s="440"/>
      <c r="L93" s="440"/>
      <c r="M93" s="440"/>
      <c r="N93" s="440"/>
      <c r="O93" s="440"/>
      <c r="P93" s="441"/>
      <c r="Q93" s="442" t="s">
        <v>173</v>
      </c>
      <c r="R93" s="443">
        <v>525.9</v>
      </c>
      <c r="S93" s="443"/>
      <c r="T93" s="670">
        <f>표3[[#This Row],[편입면적]]/(SUM(표3[공부면적]))</f>
        <v>0</v>
      </c>
      <c r="U93" s="444" t="s">
        <v>174</v>
      </c>
      <c r="V93" s="445"/>
      <c r="W93" s="446"/>
      <c r="X93" s="447"/>
      <c r="Y93" s="447">
        <v>0</v>
      </c>
      <c r="Z93" s="447">
        <v>896.99</v>
      </c>
      <c r="AA93" s="517"/>
      <c r="AB93" s="449"/>
      <c r="AC93" s="450" t="s">
        <v>366</v>
      </c>
      <c r="AD93" s="451">
        <v>37</v>
      </c>
      <c r="AE93" s="451" t="str" cm="1">
        <f t="array" ref="AE9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93" s="452"/>
      <c r="AG93" s="453" t="s">
        <v>176</v>
      </c>
      <c r="AH93" s="453"/>
      <c r="AI93" s="453" t="s">
        <v>183</v>
      </c>
      <c r="AJ93" s="453"/>
      <c r="AK93" s="454"/>
      <c r="AL93" s="454"/>
      <c r="AM93" s="452">
        <v>3</v>
      </c>
      <c r="AN93" s="455">
        <v>1</v>
      </c>
      <c r="AO93" s="456"/>
      <c r="AP93" s="457" t="s">
        <v>179</v>
      </c>
      <c r="AQ93" s="457"/>
      <c r="AR93" s="458"/>
      <c r="AS93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93" s="459"/>
      <c r="AU93" s="460"/>
      <c r="AV93" s="460"/>
      <c r="AW93" s="460" t="str">
        <f>IF(COUNTIF('설명회 참석자 명부'!$W$4:$W$29,표3[[#This Row],[성  명]])&gt;0,"O","")</f>
        <v/>
      </c>
      <c r="AX93" s="460">
        <f>_xlfn.XLOOKUP(표3[[#This Row],[성  명]],'설명회 참석자 명부'!$W$4:$W$29,'설명회 참석자 명부'!$X$4:$X$29,"")</f>
        <v>0</v>
      </c>
      <c r="AY93" s="460"/>
      <c r="AZ93" s="460"/>
      <c r="BA93" s="460"/>
      <c r="BB93" s="460"/>
      <c r="BC93" s="460"/>
      <c r="BD93" s="460"/>
      <c r="BE93" s="460"/>
      <c r="BF93" s="461"/>
      <c r="BG93" s="461"/>
      <c r="BH93" s="461"/>
      <c r="BI93" s="461"/>
      <c r="BJ93" s="461"/>
      <c r="BK93" s="461" t="str">
        <f>IFERROR(LEFT(표3[[#This Row],[주소]],FIND(" ",표3[[#This Row],[주소]])-1),"")</f>
        <v/>
      </c>
      <c r="BL93" s="461" t="str">
        <f>IFERROR(MID(표3[[#This Row],[주소]], FIND(" ", 표3[[#This Row],[주소]])+1, FIND(" ", 표3[[#This Row],[주소]], FIND(" ", 표3[[#This Row],[주소]])+1) - FIND(" ", 표3[[#This Row],[주소]])-1),"")</f>
        <v/>
      </c>
      <c r="BM93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93" s="461"/>
      <c r="BO93" s="461"/>
      <c r="BP93" s="461"/>
      <c r="BQ93" s="461"/>
      <c r="BR93" s="462"/>
      <c r="BS93" s="722"/>
      <c r="BT93" s="723"/>
      <c r="BU93" s="723"/>
      <c r="BV93" s="723"/>
      <c r="BW93" s="723"/>
      <c r="BX93" s="723"/>
      <c r="BY93" s="723"/>
      <c r="BZ93" s="723"/>
      <c r="CA93" s="723"/>
      <c r="CB93" s="723"/>
      <c r="CC93" s="723"/>
      <c r="CD93" s="727">
        <f>표3[[#This Row],[종전추정가액]]*1.5219</f>
        <v>0</v>
      </c>
      <c r="CE93" s="463"/>
      <c r="CF93" s="464"/>
      <c r="CG93" s="464"/>
      <c r="CH93" s="465"/>
      <c r="CI93" s="465"/>
      <c r="CJ93" s="466"/>
      <c r="CK93" s="467"/>
      <c r="CL93" s="468"/>
      <c r="CM93" s="469"/>
      <c r="CN93" s="470"/>
      <c r="CO93" s="470"/>
      <c r="CP93" s="470"/>
      <c r="CQ93" s="470"/>
      <c r="CR93" s="470"/>
      <c r="CS93" s="471"/>
      <c r="CT93" s="472"/>
      <c r="CU93" s="472"/>
      <c r="CV93" s="472"/>
      <c r="CW93" s="472"/>
      <c r="CX93" s="472"/>
      <c r="CY93" s="472"/>
      <c r="CZ93" s="472"/>
      <c r="DA93" s="472"/>
      <c r="DB93" s="472"/>
      <c r="DC93" s="472"/>
      <c r="DD93" s="472"/>
      <c r="DE93" s="472"/>
      <c r="DF93" s="473"/>
    </row>
    <row r="94" spans="1:110" s="532" customFormat="1" ht="19">
      <c r="A94" s="475"/>
      <c r="B94" s="476">
        <v>62</v>
      </c>
      <c r="C94" s="477">
        <v>28</v>
      </c>
      <c r="D94" s="478">
        <v>15</v>
      </c>
      <c r="E94" s="478" t="s">
        <v>367</v>
      </c>
      <c r="F94" s="479">
        <v>101</v>
      </c>
      <c r="G94" s="480"/>
      <c r="H94" s="481"/>
      <c r="I94" s="481"/>
      <c r="J94" s="481"/>
      <c r="K94" s="481" t="s">
        <v>174</v>
      </c>
      <c r="L94" s="481" t="s">
        <v>174</v>
      </c>
      <c r="M94" s="481" t="s">
        <v>174</v>
      </c>
      <c r="N94" s="481"/>
      <c r="O94" s="481"/>
      <c r="P94" s="482" t="s">
        <v>874</v>
      </c>
      <c r="Q94" s="483" t="s">
        <v>179</v>
      </c>
      <c r="R94" s="484">
        <v>0</v>
      </c>
      <c r="S94" s="485">
        <v>56.4</v>
      </c>
      <c r="T94" s="671">
        <f>표3[[#This Row],[편입면적]]/(SUM(표3[공부면적]))</f>
        <v>7.046476761619189E-3</v>
      </c>
      <c r="U94" s="486" t="s">
        <v>179</v>
      </c>
      <c r="V94" s="487"/>
      <c r="W94" s="488">
        <v>71.459999999999994</v>
      </c>
      <c r="X94" s="489">
        <v>24.72</v>
      </c>
      <c r="Y94" s="489">
        <v>96.179999999999993</v>
      </c>
      <c r="Z94" s="489" t="s">
        <v>179</v>
      </c>
      <c r="AA94" s="518"/>
      <c r="AB94" s="491"/>
      <c r="AC94" s="492"/>
      <c r="AD94" s="493"/>
      <c r="AE94" s="493"/>
      <c r="AF94" s="494"/>
      <c r="AG94" s="495" t="s">
        <v>176</v>
      </c>
      <c r="AH94" s="495"/>
      <c r="AI94" s="495" t="s">
        <v>183</v>
      </c>
      <c r="AJ94" s="496"/>
      <c r="AK94" s="497"/>
      <c r="AL94" s="497"/>
      <c r="AM94" s="494"/>
      <c r="AN94" s="498"/>
      <c r="AO94" s="499" t="s">
        <v>368</v>
      </c>
      <c r="AP94" s="500">
        <v>1037409714</v>
      </c>
      <c r="AQ94" s="500"/>
      <c r="AR94" s="501">
        <v>74</v>
      </c>
      <c r="AS9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94" s="502" t="s">
        <v>369</v>
      </c>
      <c r="AU94" s="503" t="s">
        <v>190</v>
      </c>
      <c r="AV94" s="503"/>
      <c r="AW94" s="503" t="str">
        <f>IF(COUNTIF('설명회 참석자 명부'!$W$4:$W$29,표3[[#This Row],[성  명]])&gt;0,"O","")</f>
        <v/>
      </c>
      <c r="AX94" s="503" t="str">
        <f>_xlfn.XLOOKUP(표3[[#This Row],[성  명]],'설명회 참석자 명부'!$W$4:$W$29,'설명회 참석자 명부'!$X$4:$X$29,"")</f>
        <v/>
      </c>
      <c r="AY94" s="503"/>
      <c r="AZ94" s="503"/>
      <c r="BA94" s="503" t="s">
        <v>190</v>
      </c>
      <c r="BB94" s="503" t="s">
        <v>190</v>
      </c>
      <c r="BC94" s="503"/>
      <c r="BD94" s="503"/>
      <c r="BE94" s="503"/>
      <c r="BF94" s="504"/>
      <c r="BG94" s="504"/>
      <c r="BH94" s="504"/>
      <c r="BI94" s="504"/>
      <c r="BJ94" s="504"/>
      <c r="BK94" s="504" t="str">
        <f>IFERROR(LEFT(표3[[#This Row],[주소]],FIND(" ",표3[[#This Row],[주소]])-1),"")</f>
        <v>서울특별시</v>
      </c>
      <c r="BL9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94" s="504"/>
      <c r="BO94" s="504"/>
      <c r="BP94" s="504"/>
      <c r="BQ94" s="504"/>
      <c r="BR94" s="505"/>
      <c r="BS94" s="714" t="s">
        <v>179</v>
      </c>
      <c r="BT94" s="715" t="s">
        <v>179</v>
      </c>
      <c r="BU94" s="715" t="s">
        <v>179</v>
      </c>
      <c r="BV94" s="715" t="s">
        <v>179</v>
      </c>
      <c r="BW94" s="715" t="s">
        <v>179</v>
      </c>
      <c r="BX94" s="715" t="s">
        <v>179</v>
      </c>
      <c r="BY94" s="715" t="s">
        <v>370</v>
      </c>
      <c r="BZ94" s="715">
        <v>96.18</v>
      </c>
      <c r="CA94" s="715">
        <v>56.4</v>
      </c>
      <c r="CB94" s="715">
        <v>691000000</v>
      </c>
      <c r="CC94" s="715">
        <v>691000000</v>
      </c>
      <c r="CD94" s="726">
        <f>표3[[#This Row],[종전추정가액]]*1.5219</f>
        <v>1051632900</v>
      </c>
      <c r="CE94" s="506"/>
      <c r="CF94" s="507"/>
      <c r="CG94" s="507"/>
      <c r="CH94" s="508"/>
      <c r="CI94" s="508"/>
      <c r="CJ94" s="509"/>
      <c r="CK94" s="510"/>
      <c r="CL94" s="511"/>
      <c r="CM94" s="512"/>
      <c r="CN94" s="513"/>
      <c r="CO94" s="513"/>
      <c r="CP94" s="513"/>
      <c r="CQ94" s="513"/>
      <c r="CR94" s="513"/>
      <c r="CS94" s="514"/>
      <c r="CT94" s="515"/>
      <c r="CU94" s="515"/>
      <c r="CV94" s="515"/>
      <c r="CW94" s="515"/>
      <c r="CX94" s="515"/>
      <c r="CY94" s="515"/>
      <c r="CZ94" s="515"/>
      <c r="DA94" s="515"/>
      <c r="DB94" s="515"/>
      <c r="DC94" s="515"/>
      <c r="DD94" s="515"/>
      <c r="DE94" s="515"/>
      <c r="DF94" s="516"/>
    </row>
    <row r="95" spans="1:110" s="532" customFormat="1" ht="19">
      <c r="A95" s="475"/>
      <c r="B95" s="476">
        <v>63</v>
      </c>
      <c r="C95" s="477">
        <v>28</v>
      </c>
      <c r="D95" s="478">
        <v>15</v>
      </c>
      <c r="E95" s="478" t="s">
        <v>367</v>
      </c>
      <c r="F95" s="479">
        <v>102</v>
      </c>
      <c r="G95" s="480"/>
      <c r="H95" s="481"/>
      <c r="I95" s="481"/>
      <c r="J95" s="481"/>
      <c r="K95" s="481"/>
      <c r="L95" s="481"/>
      <c r="M95" s="481"/>
      <c r="N95" s="481"/>
      <c r="O95" s="481"/>
      <c r="P95" s="482"/>
      <c r="Q95" s="483" t="s">
        <v>179</v>
      </c>
      <c r="R95" s="484">
        <v>0</v>
      </c>
      <c r="S95" s="485">
        <v>62.9</v>
      </c>
      <c r="T95" s="671">
        <f>표3[[#This Row],[편입면적]]/(SUM(표3[공부면적]))</f>
        <v>7.8585707146426771E-3</v>
      </c>
      <c r="U95" s="486" t="s">
        <v>179</v>
      </c>
      <c r="V95" s="487"/>
      <c r="W95" s="488">
        <v>79.8</v>
      </c>
      <c r="X95" s="489">
        <v>27.5</v>
      </c>
      <c r="Y95" s="489">
        <v>107.3</v>
      </c>
      <c r="Z95" s="489" t="s">
        <v>179</v>
      </c>
      <c r="AA95" s="518"/>
      <c r="AB95" s="491"/>
      <c r="AC95" s="492"/>
      <c r="AD95" s="493"/>
      <c r="AE95" s="493"/>
      <c r="AF95" s="494"/>
      <c r="AG95" s="495" t="s">
        <v>176</v>
      </c>
      <c r="AH95" s="495"/>
      <c r="AI95" s="495" t="s">
        <v>183</v>
      </c>
      <c r="AJ95" s="496"/>
      <c r="AK95" s="497"/>
      <c r="AL95" s="497"/>
      <c r="AM95" s="494"/>
      <c r="AN95" s="498"/>
      <c r="AO95" s="499" t="s">
        <v>371</v>
      </c>
      <c r="AP95" s="500" t="s">
        <v>179</v>
      </c>
      <c r="AQ95" s="500"/>
      <c r="AR95" s="501">
        <v>37</v>
      </c>
      <c r="AS9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95" s="502" t="s">
        <v>372</v>
      </c>
      <c r="AU95" s="503" t="s">
        <v>190</v>
      </c>
      <c r="AV95" s="503"/>
      <c r="AW95" s="503" t="str">
        <f>IF(COUNTIF('설명회 참석자 명부'!$W$4:$W$29,표3[[#This Row],[성  명]])&gt;0,"O","")</f>
        <v/>
      </c>
      <c r="AX95" s="503" t="str">
        <f>_xlfn.XLOOKUP(표3[[#This Row],[성  명]],'설명회 참석자 명부'!$W$4:$W$29,'설명회 참석자 명부'!$X$4:$X$29,"")</f>
        <v/>
      </c>
      <c r="AY95" s="503"/>
      <c r="AZ95" s="503"/>
      <c r="BA95" s="503"/>
      <c r="BB95" s="503"/>
      <c r="BC95" s="503"/>
      <c r="BD95" s="503"/>
      <c r="BE95" s="503"/>
      <c r="BF95" s="504"/>
      <c r="BG95" s="504"/>
      <c r="BH95" s="504"/>
      <c r="BI95" s="504"/>
      <c r="BJ95" s="504"/>
      <c r="BK95" s="504" t="str">
        <f>IFERROR(LEFT(표3[[#This Row],[주소]],FIND(" ",표3[[#This Row],[주소]])-1),"")</f>
        <v>서울특별시</v>
      </c>
      <c r="BL9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95" s="504"/>
      <c r="BO95" s="504"/>
      <c r="BP95" s="504"/>
      <c r="BQ95" s="504"/>
      <c r="BR95" s="505"/>
      <c r="BS95" s="714" t="s">
        <v>179</v>
      </c>
      <c r="BT95" s="715" t="s">
        <v>179</v>
      </c>
      <c r="BU95" s="715" t="s">
        <v>179</v>
      </c>
      <c r="BV95" s="715" t="s">
        <v>179</v>
      </c>
      <c r="BW95" s="715" t="s">
        <v>179</v>
      </c>
      <c r="BX95" s="715" t="s">
        <v>179</v>
      </c>
      <c r="BY95" s="715" t="s">
        <v>370</v>
      </c>
      <c r="BZ95" s="715">
        <v>107.3</v>
      </c>
      <c r="CA95" s="715">
        <v>62.9</v>
      </c>
      <c r="CB95" s="715">
        <v>770000000</v>
      </c>
      <c r="CC95" s="715">
        <v>770000000</v>
      </c>
      <c r="CD95" s="726">
        <f>표3[[#This Row],[종전추정가액]]*1.5219</f>
        <v>1171863000</v>
      </c>
      <c r="CE95" s="506"/>
      <c r="CF95" s="507"/>
      <c r="CG95" s="507"/>
      <c r="CH95" s="508"/>
      <c r="CI95" s="508"/>
      <c r="CJ95" s="509"/>
      <c r="CK95" s="510"/>
      <c r="CL95" s="511"/>
      <c r="CM95" s="512"/>
      <c r="CN95" s="513"/>
      <c r="CO95" s="513"/>
      <c r="CP95" s="513"/>
      <c r="CQ95" s="513"/>
      <c r="CR95" s="513"/>
      <c r="CS95" s="514"/>
      <c r="CT95" s="515"/>
      <c r="CU95" s="515"/>
      <c r="CV95" s="515"/>
      <c r="CW95" s="515"/>
      <c r="CX95" s="515"/>
      <c r="CY95" s="515"/>
      <c r="CZ95" s="515"/>
      <c r="DA95" s="515"/>
      <c r="DB95" s="515"/>
      <c r="DC95" s="515"/>
      <c r="DD95" s="515"/>
      <c r="DE95" s="515"/>
      <c r="DF95" s="516"/>
    </row>
    <row r="96" spans="1:110" s="532" customFormat="1" ht="19">
      <c r="A96" s="475"/>
      <c r="B96" s="476">
        <v>64</v>
      </c>
      <c r="C96" s="477">
        <v>28</v>
      </c>
      <c r="D96" s="478">
        <v>15</v>
      </c>
      <c r="E96" s="478" t="s">
        <v>367</v>
      </c>
      <c r="F96" s="479">
        <v>103</v>
      </c>
      <c r="G96" s="480"/>
      <c r="H96" s="481"/>
      <c r="I96" s="481"/>
      <c r="J96" s="481"/>
      <c r="K96" s="481"/>
      <c r="L96" s="481"/>
      <c r="M96" s="481"/>
      <c r="N96" s="481"/>
      <c r="O96" s="481"/>
      <c r="P96" s="482"/>
      <c r="Q96" s="483" t="s">
        <v>179</v>
      </c>
      <c r="R96" s="484">
        <v>0</v>
      </c>
      <c r="S96" s="485">
        <v>65.64</v>
      </c>
      <c r="T96" s="671">
        <f>표3[[#This Row],[편입면적]]/(SUM(표3[공부면적]))</f>
        <v>8.2008995502248876E-3</v>
      </c>
      <c r="U96" s="486" t="s">
        <v>179</v>
      </c>
      <c r="V96" s="487"/>
      <c r="W96" s="488">
        <v>83.96</v>
      </c>
      <c r="X96" s="489">
        <v>27.99</v>
      </c>
      <c r="Y96" s="489">
        <v>111.94999999999999</v>
      </c>
      <c r="Z96" s="489" t="s">
        <v>179</v>
      </c>
      <c r="AA96" s="518"/>
      <c r="AB96" s="491"/>
      <c r="AC96" s="492"/>
      <c r="AD96" s="493"/>
      <c r="AE96" s="493"/>
      <c r="AF96" s="494"/>
      <c r="AG96" s="495" t="s">
        <v>176</v>
      </c>
      <c r="AH96" s="495"/>
      <c r="AI96" s="495" t="s">
        <v>183</v>
      </c>
      <c r="AJ96" s="496"/>
      <c r="AK96" s="497"/>
      <c r="AL96" s="497"/>
      <c r="AM96" s="494"/>
      <c r="AN96" s="498"/>
      <c r="AO96" s="499" t="s">
        <v>373</v>
      </c>
      <c r="AP96" s="500">
        <v>1053084290</v>
      </c>
      <c r="AQ96" s="500"/>
      <c r="AR96" s="501">
        <v>67</v>
      </c>
      <c r="AS9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96" s="502" t="s">
        <v>374</v>
      </c>
      <c r="AU96" s="503"/>
      <c r="AV96" s="503"/>
      <c r="AW96" s="503" t="str">
        <f>IF(COUNTIF('설명회 참석자 명부'!$W$4:$W$29,표3[[#This Row],[성  명]])&gt;0,"O","")</f>
        <v/>
      </c>
      <c r="AX96" s="503" t="str">
        <f>_xlfn.XLOOKUP(표3[[#This Row],[성  명]],'설명회 참석자 명부'!$W$4:$W$29,'설명회 참석자 명부'!$X$4:$X$29,"")</f>
        <v/>
      </c>
      <c r="AY96" s="503"/>
      <c r="AZ96" s="503"/>
      <c r="BA96" s="503"/>
      <c r="BB96" s="503" t="s">
        <v>190</v>
      </c>
      <c r="BC96" s="503"/>
      <c r="BD96" s="503"/>
      <c r="BE96" s="503"/>
      <c r="BF96" s="504"/>
      <c r="BG96" s="504"/>
      <c r="BH96" s="504"/>
      <c r="BI96" s="504"/>
      <c r="BJ96" s="504"/>
      <c r="BK96" s="504" t="str">
        <f>IFERROR(LEFT(표3[[#This Row],[주소]],FIND(" ",표3[[#This Row],[주소]])-1),"")</f>
        <v>서울특별시</v>
      </c>
      <c r="BL96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동남로3길</v>
      </c>
      <c r="BN96" s="504"/>
      <c r="BO96" s="504"/>
      <c r="BP96" s="504"/>
      <c r="BQ96" s="504"/>
      <c r="BR96" s="505"/>
      <c r="BS96" s="714" t="s">
        <v>179</v>
      </c>
      <c r="BT96" s="715" t="s">
        <v>179</v>
      </c>
      <c r="BU96" s="715" t="s">
        <v>179</v>
      </c>
      <c r="BV96" s="715" t="s">
        <v>179</v>
      </c>
      <c r="BW96" s="715" t="s">
        <v>179</v>
      </c>
      <c r="BX96" s="715" t="s">
        <v>179</v>
      </c>
      <c r="BY96" s="715" t="s">
        <v>370</v>
      </c>
      <c r="BZ96" s="715">
        <v>111.95</v>
      </c>
      <c r="CA96" s="715">
        <v>65.64</v>
      </c>
      <c r="CB96" s="715">
        <v>804000000</v>
      </c>
      <c r="CC96" s="715">
        <v>804000000</v>
      </c>
      <c r="CD96" s="726">
        <f>표3[[#This Row],[종전추정가액]]*1.5219</f>
        <v>1223607600</v>
      </c>
      <c r="CE96" s="506"/>
      <c r="CF96" s="507"/>
      <c r="CG96" s="507"/>
      <c r="CH96" s="508"/>
      <c r="CI96" s="508"/>
      <c r="CJ96" s="509"/>
      <c r="CK96" s="510"/>
      <c r="CL96" s="511"/>
      <c r="CM96" s="512"/>
      <c r="CN96" s="513"/>
      <c r="CO96" s="513"/>
      <c r="CP96" s="513"/>
      <c r="CQ96" s="513"/>
      <c r="CR96" s="513"/>
      <c r="CS96" s="514"/>
      <c r="CT96" s="515"/>
      <c r="CU96" s="515"/>
      <c r="CV96" s="515"/>
      <c r="CW96" s="515"/>
      <c r="CX96" s="515"/>
      <c r="CY96" s="515"/>
      <c r="CZ96" s="515"/>
      <c r="DA96" s="515"/>
      <c r="DB96" s="515"/>
      <c r="DC96" s="515"/>
      <c r="DD96" s="515"/>
      <c r="DE96" s="515"/>
      <c r="DF96" s="516"/>
    </row>
    <row r="97" spans="1:110" s="532" customFormat="1" ht="19">
      <c r="A97" s="475"/>
      <c r="B97" s="476">
        <v>65</v>
      </c>
      <c r="C97" s="477">
        <v>28</v>
      </c>
      <c r="D97" s="478">
        <v>15</v>
      </c>
      <c r="E97" s="478" t="s">
        <v>367</v>
      </c>
      <c r="F97" s="479">
        <v>201</v>
      </c>
      <c r="G97" s="480"/>
      <c r="H97" s="481"/>
      <c r="I97" s="481"/>
      <c r="J97" s="481"/>
      <c r="K97" s="481" t="s">
        <v>174</v>
      </c>
      <c r="L97" s="481" t="s">
        <v>174</v>
      </c>
      <c r="M97" s="481" t="s">
        <v>174</v>
      </c>
      <c r="N97" s="481"/>
      <c r="O97" s="481"/>
      <c r="P97" s="482" t="s">
        <v>875</v>
      </c>
      <c r="Q97" s="483" t="s">
        <v>179</v>
      </c>
      <c r="R97" s="484">
        <v>0</v>
      </c>
      <c r="S97" s="485">
        <v>58.82</v>
      </c>
      <c r="T97" s="671">
        <f>표3[[#This Row],[편입면적]]/(SUM(표3[공부면적]))</f>
        <v>7.3488255872063962E-3</v>
      </c>
      <c r="U97" s="486" t="s">
        <v>179</v>
      </c>
      <c r="V97" s="487"/>
      <c r="W97" s="488">
        <v>75.599999999999994</v>
      </c>
      <c r="X97" s="489">
        <v>24.72</v>
      </c>
      <c r="Y97" s="489">
        <v>100.32</v>
      </c>
      <c r="Z97" s="489" t="s">
        <v>179</v>
      </c>
      <c r="AA97" s="518"/>
      <c r="AB97" s="491"/>
      <c r="AC97" s="492"/>
      <c r="AD97" s="493"/>
      <c r="AE97" s="493"/>
      <c r="AF97" s="494"/>
      <c r="AG97" s="495" t="s">
        <v>176</v>
      </c>
      <c r="AH97" s="495"/>
      <c r="AI97" s="495" t="s">
        <v>183</v>
      </c>
      <c r="AJ97" s="496"/>
      <c r="AK97" s="497"/>
      <c r="AL97" s="497"/>
      <c r="AM97" s="494"/>
      <c r="AN97" s="498"/>
      <c r="AO97" s="499" t="s">
        <v>375</v>
      </c>
      <c r="AP97" s="500" t="s">
        <v>179</v>
      </c>
      <c r="AQ97" s="500"/>
      <c r="AR97" s="501">
        <v>70</v>
      </c>
      <c r="AS9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97" s="502" t="s">
        <v>376</v>
      </c>
      <c r="AU97" s="503" t="s">
        <v>190</v>
      </c>
      <c r="AV97" s="503"/>
      <c r="AW97" s="503" t="str">
        <f>IF(COUNTIF('설명회 참석자 명부'!$W$4:$W$29,표3[[#This Row],[성  명]])&gt;0,"O","")</f>
        <v/>
      </c>
      <c r="AX97" s="503" t="str">
        <f>_xlfn.XLOOKUP(표3[[#This Row],[성  명]],'설명회 참석자 명부'!$W$4:$W$29,'설명회 참석자 명부'!$X$4:$X$29,"")</f>
        <v/>
      </c>
      <c r="AY97" s="503"/>
      <c r="AZ97" s="503"/>
      <c r="BA97" s="503"/>
      <c r="BB97" s="503"/>
      <c r="BC97" s="503"/>
      <c r="BD97" s="503"/>
      <c r="BE97" s="503"/>
      <c r="BF97" s="504"/>
      <c r="BG97" s="504"/>
      <c r="BH97" s="504"/>
      <c r="BI97" s="504"/>
      <c r="BJ97" s="504"/>
      <c r="BK97" s="504" t="str">
        <f>IFERROR(LEFT(표3[[#This Row],[주소]],FIND(" ",표3[[#This Row],[주소]])-1),"")</f>
        <v>서울특별시</v>
      </c>
      <c r="BL9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97" s="504"/>
      <c r="BO97" s="504"/>
      <c r="BP97" s="504"/>
      <c r="BQ97" s="504"/>
      <c r="BR97" s="505"/>
      <c r="BS97" s="714" t="s">
        <v>179</v>
      </c>
      <c r="BT97" s="715" t="s">
        <v>179</v>
      </c>
      <c r="BU97" s="715" t="s">
        <v>179</v>
      </c>
      <c r="BV97" s="715" t="s">
        <v>179</v>
      </c>
      <c r="BW97" s="715" t="s">
        <v>179</v>
      </c>
      <c r="BX97" s="715" t="s">
        <v>179</v>
      </c>
      <c r="BY97" s="715" t="s">
        <v>370</v>
      </c>
      <c r="BZ97" s="715">
        <v>100.32</v>
      </c>
      <c r="CA97" s="715">
        <v>58.82</v>
      </c>
      <c r="CB97" s="715">
        <v>743000000</v>
      </c>
      <c r="CC97" s="715">
        <v>743000000</v>
      </c>
      <c r="CD97" s="726">
        <f>표3[[#This Row],[종전추정가액]]*1.5219</f>
        <v>1130771700</v>
      </c>
      <c r="CE97" s="506"/>
      <c r="CF97" s="507"/>
      <c r="CG97" s="507"/>
      <c r="CH97" s="508"/>
      <c r="CI97" s="508"/>
      <c r="CJ97" s="509"/>
      <c r="CK97" s="510"/>
      <c r="CL97" s="511"/>
      <c r="CM97" s="512"/>
      <c r="CN97" s="513"/>
      <c r="CO97" s="513"/>
      <c r="CP97" s="513"/>
      <c r="CQ97" s="513"/>
      <c r="CR97" s="513"/>
      <c r="CS97" s="514"/>
      <c r="CT97" s="515"/>
      <c r="CU97" s="515"/>
      <c r="CV97" s="515"/>
      <c r="CW97" s="515"/>
      <c r="CX97" s="515"/>
      <c r="CY97" s="515"/>
      <c r="CZ97" s="515"/>
      <c r="DA97" s="515"/>
      <c r="DB97" s="515"/>
      <c r="DC97" s="515"/>
      <c r="DD97" s="515"/>
      <c r="DE97" s="515"/>
      <c r="DF97" s="516"/>
    </row>
    <row r="98" spans="1:110" s="532" customFormat="1" ht="19">
      <c r="A98" s="475"/>
      <c r="B98" s="476">
        <v>66</v>
      </c>
      <c r="C98" s="477">
        <v>28</v>
      </c>
      <c r="D98" s="478">
        <v>15</v>
      </c>
      <c r="E98" s="478" t="s">
        <v>367</v>
      </c>
      <c r="F98" s="479">
        <v>202</v>
      </c>
      <c r="G98" s="480"/>
      <c r="H98" s="481"/>
      <c r="I98" s="481"/>
      <c r="J98" s="481"/>
      <c r="K98" s="481"/>
      <c r="L98" s="481"/>
      <c r="M98" s="481"/>
      <c r="N98" s="481"/>
      <c r="O98" s="481"/>
      <c r="P98" s="482"/>
      <c r="Q98" s="483" t="s">
        <v>179</v>
      </c>
      <c r="R98" s="484">
        <v>0</v>
      </c>
      <c r="S98" s="485">
        <v>62.9</v>
      </c>
      <c r="T98" s="671">
        <f>표3[[#This Row],[편입면적]]/(SUM(표3[공부면적]))</f>
        <v>7.8585707146426771E-3</v>
      </c>
      <c r="U98" s="486" t="s">
        <v>179</v>
      </c>
      <c r="V98" s="487"/>
      <c r="W98" s="488">
        <v>79.8</v>
      </c>
      <c r="X98" s="489">
        <v>27.5</v>
      </c>
      <c r="Y98" s="489">
        <v>107.3</v>
      </c>
      <c r="Z98" s="489" t="s">
        <v>179</v>
      </c>
      <c r="AA98" s="518"/>
      <c r="AB98" s="491"/>
      <c r="AC98" s="492"/>
      <c r="AD98" s="493"/>
      <c r="AE98" s="493"/>
      <c r="AF98" s="494"/>
      <c r="AG98" s="495" t="s">
        <v>176</v>
      </c>
      <c r="AH98" s="495"/>
      <c r="AI98" s="495" t="s">
        <v>183</v>
      </c>
      <c r="AJ98" s="496"/>
      <c r="AK98" s="497"/>
      <c r="AL98" s="497"/>
      <c r="AM98" s="494"/>
      <c r="AN98" s="498"/>
      <c r="AO98" s="499" t="s">
        <v>377</v>
      </c>
      <c r="AP98" s="500" t="s">
        <v>179</v>
      </c>
      <c r="AQ98" s="500"/>
      <c r="AR98" s="501">
        <v>49</v>
      </c>
      <c r="AS9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98" s="502" t="s">
        <v>378</v>
      </c>
      <c r="AU98" s="503"/>
      <c r="AV98" s="503"/>
      <c r="AW98" s="503" t="str">
        <f>IF(COUNTIF('설명회 참석자 명부'!$W$4:$W$29,표3[[#This Row],[성  명]])&gt;0,"O","")</f>
        <v/>
      </c>
      <c r="AX98" s="503" t="str">
        <f>_xlfn.XLOOKUP(표3[[#This Row],[성  명]],'설명회 참석자 명부'!$W$4:$W$29,'설명회 참석자 명부'!$X$4:$X$29,"")</f>
        <v/>
      </c>
      <c r="AY98" s="503"/>
      <c r="AZ98" s="503"/>
      <c r="BA98" s="503"/>
      <c r="BB98" s="503"/>
      <c r="BC98" s="503"/>
      <c r="BD98" s="503"/>
      <c r="BE98" s="503"/>
      <c r="BF98" s="504"/>
      <c r="BG98" s="504"/>
      <c r="BH98" s="504"/>
      <c r="BI98" s="504"/>
      <c r="BJ98" s="504"/>
      <c r="BK98" s="504" t="str">
        <f>IFERROR(LEFT(표3[[#This Row],[주소]],FIND(" ",표3[[#This Row],[주소]])-1),"")</f>
        <v>서울</v>
      </c>
      <c r="BL98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석촌동</v>
      </c>
      <c r="BN98" s="504"/>
      <c r="BO98" s="504"/>
      <c r="BP98" s="504"/>
      <c r="BQ98" s="504"/>
      <c r="BR98" s="505"/>
      <c r="BS98" s="714" t="s">
        <v>179</v>
      </c>
      <c r="BT98" s="715" t="s">
        <v>179</v>
      </c>
      <c r="BU98" s="715" t="s">
        <v>179</v>
      </c>
      <c r="BV98" s="715" t="s">
        <v>179</v>
      </c>
      <c r="BW98" s="715" t="s">
        <v>179</v>
      </c>
      <c r="BX98" s="715" t="s">
        <v>179</v>
      </c>
      <c r="BY98" s="715" t="s">
        <v>370</v>
      </c>
      <c r="BZ98" s="715">
        <v>107.3</v>
      </c>
      <c r="CA98" s="715">
        <v>62.9</v>
      </c>
      <c r="CB98" s="715">
        <v>795000000</v>
      </c>
      <c r="CC98" s="715">
        <v>795000000</v>
      </c>
      <c r="CD98" s="726">
        <f>표3[[#This Row],[종전추정가액]]*1.5219</f>
        <v>1209910500</v>
      </c>
      <c r="CE98" s="506"/>
      <c r="CF98" s="507"/>
      <c r="CG98" s="507"/>
      <c r="CH98" s="508"/>
      <c r="CI98" s="508"/>
      <c r="CJ98" s="509"/>
      <c r="CK98" s="510"/>
      <c r="CL98" s="511"/>
      <c r="CM98" s="512"/>
      <c r="CN98" s="513"/>
      <c r="CO98" s="513"/>
      <c r="CP98" s="513"/>
      <c r="CQ98" s="513"/>
      <c r="CR98" s="513"/>
      <c r="CS98" s="514"/>
      <c r="CT98" s="515"/>
      <c r="CU98" s="515"/>
      <c r="CV98" s="515"/>
      <c r="CW98" s="515"/>
      <c r="CX98" s="515"/>
      <c r="CY98" s="515"/>
      <c r="CZ98" s="515"/>
      <c r="DA98" s="515"/>
      <c r="DB98" s="515"/>
      <c r="DC98" s="515"/>
      <c r="DD98" s="515"/>
      <c r="DE98" s="515"/>
      <c r="DF98" s="516"/>
    </row>
    <row r="99" spans="1:110" s="532" customFormat="1" ht="19">
      <c r="A99" s="475"/>
      <c r="B99" s="476">
        <v>67</v>
      </c>
      <c r="C99" s="477">
        <v>28</v>
      </c>
      <c r="D99" s="478">
        <v>15</v>
      </c>
      <c r="E99" s="478" t="s">
        <v>367</v>
      </c>
      <c r="F99" s="479">
        <v>203</v>
      </c>
      <c r="G99" s="480"/>
      <c r="H99" s="481"/>
      <c r="I99" s="481"/>
      <c r="J99" s="481"/>
      <c r="K99" s="481"/>
      <c r="L99" s="481"/>
      <c r="M99" s="481"/>
      <c r="N99" s="481"/>
      <c r="O99" s="481"/>
      <c r="P99" s="482"/>
      <c r="Q99" s="483" t="s">
        <v>179</v>
      </c>
      <c r="R99" s="484">
        <v>0</v>
      </c>
      <c r="S99" s="485">
        <v>65.64</v>
      </c>
      <c r="T99" s="671">
        <f>표3[[#This Row],[편입면적]]/(SUM(표3[공부면적]))</f>
        <v>8.2008995502248876E-3</v>
      </c>
      <c r="U99" s="486" t="s">
        <v>179</v>
      </c>
      <c r="V99" s="487"/>
      <c r="W99" s="488">
        <v>83.96</v>
      </c>
      <c r="X99" s="489">
        <v>27.99</v>
      </c>
      <c r="Y99" s="489">
        <v>111.94999999999999</v>
      </c>
      <c r="Z99" s="489" t="s">
        <v>179</v>
      </c>
      <c r="AA99" s="518"/>
      <c r="AB99" s="491"/>
      <c r="AC99" s="492"/>
      <c r="AD99" s="493"/>
      <c r="AE99" s="493"/>
      <c r="AF99" s="494"/>
      <c r="AG99" s="495" t="s">
        <v>176</v>
      </c>
      <c r="AH99" s="495"/>
      <c r="AI99" s="495" t="s">
        <v>183</v>
      </c>
      <c r="AJ99" s="496"/>
      <c r="AK99" s="497"/>
      <c r="AL99" s="497"/>
      <c r="AM99" s="494"/>
      <c r="AN99" s="498"/>
      <c r="AO99" s="499" t="s">
        <v>379</v>
      </c>
      <c r="AP99" s="500">
        <v>1087076397</v>
      </c>
      <c r="AQ99" s="500" t="s">
        <v>380</v>
      </c>
      <c r="AR99" s="501">
        <v>60</v>
      </c>
      <c r="AS9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99" s="502" t="s">
        <v>381</v>
      </c>
      <c r="AU99" s="503" t="s">
        <v>190</v>
      </c>
      <c r="AV99" s="503"/>
      <c r="AW99" s="503" t="str">
        <f>IF(COUNTIF('설명회 참석자 명부'!$W$4:$W$29,표3[[#This Row],[성  명]])&gt;0,"O","")</f>
        <v/>
      </c>
      <c r="AX99" s="503" t="str">
        <f>_xlfn.XLOOKUP(표3[[#This Row],[성  명]],'설명회 참석자 명부'!$W$4:$W$29,'설명회 참석자 명부'!$X$4:$X$29,"")</f>
        <v/>
      </c>
      <c r="AY99" s="503"/>
      <c r="AZ99" s="503"/>
      <c r="BA99" s="503"/>
      <c r="BB99" s="503" t="s">
        <v>190</v>
      </c>
      <c r="BC99" s="503"/>
      <c r="BD99" s="503"/>
      <c r="BE99" s="503"/>
      <c r="BF99" s="504"/>
      <c r="BG99" s="504"/>
      <c r="BH99" s="504"/>
      <c r="BI99" s="504"/>
      <c r="BJ99" s="504"/>
      <c r="BK99" s="504" t="str">
        <f>IFERROR(LEFT(표3[[#This Row],[주소]],FIND(" ",표3[[#This Row],[주소]])-1),"")</f>
        <v>서울</v>
      </c>
      <c r="BL99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9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99" s="504"/>
      <c r="BO99" s="504"/>
      <c r="BP99" s="504"/>
      <c r="BQ99" s="504"/>
      <c r="BR99" s="505"/>
      <c r="BS99" s="714" t="s">
        <v>179</v>
      </c>
      <c r="BT99" s="715" t="s">
        <v>179</v>
      </c>
      <c r="BU99" s="715" t="s">
        <v>179</v>
      </c>
      <c r="BV99" s="715" t="s">
        <v>179</v>
      </c>
      <c r="BW99" s="715" t="s">
        <v>179</v>
      </c>
      <c r="BX99" s="715" t="s">
        <v>179</v>
      </c>
      <c r="BY99" s="715" t="s">
        <v>370</v>
      </c>
      <c r="BZ99" s="715">
        <v>111.95</v>
      </c>
      <c r="CA99" s="715">
        <v>65.64</v>
      </c>
      <c r="CB99" s="715">
        <v>829000000</v>
      </c>
      <c r="CC99" s="715">
        <v>829000000</v>
      </c>
      <c r="CD99" s="726">
        <f>표3[[#This Row],[종전추정가액]]*1.5219</f>
        <v>1261655100</v>
      </c>
      <c r="CE99" s="506"/>
      <c r="CF99" s="507"/>
      <c r="CG99" s="507"/>
      <c r="CH99" s="508"/>
      <c r="CI99" s="508"/>
      <c r="CJ99" s="509"/>
      <c r="CK99" s="510"/>
      <c r="CL99" s="511"/>
      <c r="CM99" s="512"/>
      <c r="CN99" s="513"/>
      <c r="CO99" s="513"/>
      <c r="CP99" s="513"/>
      <c r="CQ99" s="513"/>
      <c r="CR99" s="513"/>
      <c r="CS99" s="514"/>
      <c r="CT99" s="515"/>
      <c r="CU99" s="515"/>
      <c r="CV99" s="515"/>
      <c r="CW99" s="515"/>
      <c r="CX99" s="515"/>
      <c r="CY99" s="515"/>
      <c r="CZ99" s="515"/>
      <c r="DA99" s="515"/>
      <c r="DB99" s="515"/>
      <c r="DC99" s="515"/>
      <c r="DD99" s="515"/>
      <c r="DE99" s="515"/>
      <c r="DF99" s="516"/>
    </row>
    <row r="100" spans="1:110" s="532" customFormat="1" ht="19">
      <c r="A100" s="475"/>
      <c r="B100" s="476">
        <v>68</v>
      </c>
      <c r="C100" s="477">
        <v>28</v>
      </c>
      <c r="D100" s="478">
        <v>15</v>
      </c>
      <c r="E100" s="478" t="s">
        <v>367</v>
      </c>
      <c r="F100" s="479">
        <v>301</v>
      </c>
      <c r="G100" s="480"/>
      <c r="H100" s="481"/>
      <c r="I100" s="481"/>
      <c r="J100" s="481"/>
      <c r="K100" s="481"/>
      <c r="L100" s="481"/>
      <c r="M100" s="481"/>
      <c r="N100" s="481"/>
      <c r="O100" s="481"/>
      <c r="P100" s="482"/>
      <c r="Q100" s="483" t="s">
        <v>179</v>
      </c>
      <c r="R100" s="484">
        <v>0</v>
      </c>
      <c r="S100" s="485">
        <v>51.1</v>
      </c>
      <c r="T100" s="671">
        <f>표3[[#This Row],[편입면적]]/(SUM(표3[공부면적]))</f>
        <v>6.3843078460769608E-3</v>
      </c>
      <c r="U100" s="486" t="s">
        <v>179</v>
      </c>
      <c r="V100" s="487"/>
      <c r="W100" s="488">
        <v>62.43</v>
      </c>
      <c r="X100" s="489">
        <v>24.72</v>
      </c>
      <c r="Y100" s="489">
        <v>87.15</v>
      </c>
      <c r="Z100" s="489" t="s">
        <v>179</v>
      </c>
      <c r="AA100" s="518"/>
      <c r="AB100" s="491"/>
      <c r="AC100" s="492"/>
      <c r="AD100" s="493"/>
      <c r="AE100" s="493"/>
      <c r="AF100" s="494"/>
      <c r="AG100" s="495" t="s">
        <v>176</v>
      </c>
      <c r="AH100" s="495"/>
      <c r="AI100" s="495" t="s">
        <v>183</v>
      </c>
      <c r="AJ100" s="496"/>
      <c r="AK100" s="497"/>
      <c r="AL100" s="497"/>
      <c r="AM100" s="494"/>
      <c r="AN100" s="498"/>
      <c r="AO100" s="499" t="s">
        <v>382</v>
      </c>
      <c r="AP100" s="500" t="s">
        <v>179</v>
      </c>
      <c r="AQ100" s="500"/>
      <c r="AR100" s="501">
        <v>67</v>
      </c>
      <c r="AS10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100" s="502" t="s">
        <v>383</v>
      </c>
      <c r="AU100" s="503"/>
      <c r="AV100" s="503"/>
      <c r="AW100" s="503" t="str">
        <f>IF(COUNTIF('설명회 참석자 명부'!$W$4:$W$29,표3[[#This Row],[성  명]])&gt;0,"O","")</f>
        <v>O</v>
      </c>
      <c r="AX100" s="503" t="str">
        <f>_xlfn.XLOOKUP(표3[[#This Row],[성  명]],'설명회 참석자 명부'!$W$4:$W$29,'설명회 참석자 명부'!$X$4:$X$29,"")</f>
        <v>수취인불명</v>
      </c>
      <c r="AY100" s="503"/>
      <c r="AZ100" s="503"/>
      <c r="BA100" s="503"/>
      <c r="BB100" s="503"/>
      <c r="BC100" s="503"/>
      <c r="BD100" s="503"/>
      <c r="BE100" s="503"/>
      <c r="BF100" s="504"/>
      <c r="BG100" s="504"/>
      <c r="BH100" s="504"/>
      <c r="BI100" s="504"/>
      <c r="BJ100" s="504"/>
      <c r="BK100" s="504" t="str">
        <f>IFERROR(LEFT(표3[[#This Row],[주소]],FIND(" ",표3[[#This Row],[주소]])-1),"")</f>
        <v>서울특별시</v>
      </c>
      <c r="BL10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0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백제고분로32길</v>
      </c>
      <c r="BN100" s="504"/>
      <c r="BO100" s="504"/>
      <c r="BP100" s="504"/>
      <c r="BQ100" s="504"/>
      <c r="BR100" s="505"/>
      <c r="BS100" s="714" t="s">
        <v>179</v>
      </c>
      <c r="BT100" s="715" t="s">
        <v>179</v>
      </c>
      <c r="BU100" s="715" t="s">
        <v>179</v>
      </c>
      <c r="BV100" s="715" t="s">
        <v>179</v>
      </c>
      <c r="BW100" s="715" t="s">
        <v>179</v>
      </c>
      <c r="BX100" s="715" t="s">
        <v>179</v>
      </c>
      <c r="BY100" s="715" t="s">
        <v>370</v>
      </c>
      <c r="BZ100" s="715">
        <v>87.15</v>
      </c>
      <c r="CA100" s="715">
        <v>51.1</v>
      </c>
      <c r="CB100" s="715">
        <v>652000000</v>
      </c>
      <c r="CC100" s="715">
        <v>652000000</v>
      </c>
      <c r="CD100" s="726">
        <f>표3[[#This Row],[종전추정가액]]*1.5219</f>
        <v>992278800</v>
      </c>
      <c r="CE100" s="506"/>
      <c r="CF100" s="507"/>
      <c r="CG100" s="507"/>
      <c r="CH100" s="508"/>
      <c r="CI100" s="508"/>
      <c r="CJ100" s="509"/>
      <c r="CK100" s="510"/>
      <c r="CL100" s="511"/>
      <c r="CM100" s="512"/>
      <c r="CN100" s="513"/>
      <c r="CO100" s="513"/>
      <c r="CP100" s="513"/>
      <c r="CQ100" s="513"/>
      <c r="CR100" s="513"/>
      <c r="CS100" s="514"/>
      <c r="CT100" s="515"/>
      <c r="CU100" s="515"/>
      <c r="CV100" s="515"/>
      <c r="CW100" s="515"/>
      <c r="CX100" s="515"/>
      <c r="CY100" s="515"/>
      <c r="CZ100" s="515"/>
      <c r="DA100" s="515"/>
      <c r="DB100" s="515"/>
      <c r="DC100" s="515"/>
      <c r="DD100" s="515"/>
      <c r="DE100" s="515"/>
      <c r="DF100" s="516"/>
    </row>
    <row r="101" spans="1:110" s="532" customFormat="1" ht="19">
      <c r="A101" s="475"/>
      <c r="B101" s="476">
        <v>69</v>
      </c>
      <c r="C101" s="477">
        <v>28</v>
      </c>
      <c r="D101" s="478">
        <v>15</v>
      </c>
      <c r="E101" s="478" t="s">
        <v>367</v>
      </c>
      <c r="F101" s="479">
        <v>302</v>
      </c>
      <c r="G101" s="480"/>
      <c r="H101" s="481"/>
      <c r="I101" s="481"/>
      <c r="J101" s="481"/>
      <c r="K101" s="481"/>
      <c r="L101" s="481"/>
      <c r="M101" s="481"/>
      <c r="N101" s="481"/>
      <c r="O101" s="481"/>
      <c r="P101" s="482"/>
      <c r="Q101" s="483" t="s">
        <v>179</v>
      </c>
      <c r="R101" s="484">
        <v>0</v>
      </c>
      <c r="S101" s="485">
        <v>53.5</v>
      </c>
      <c r="T101" s="671">
        <f>표3[[#This Row],[편입면적]]/(SUM(표3[공부면적]))</f>
        <v>6.6841579210394795E-3</v>
      </c>
      <c r="U101" s="486" t="s">
        <v>179</v>
      </c>
      <c r="V101" s="487"/>
      <c r="W101" s="488">
        <v>63.75</v>
      </c>
      <c r="X101" s="489">
        <v>27.5</v>
      </c>
      <c r="Y101" s="489">
        <v>91.25</v>
      </c>
      <c r="Z101" s="489" t="s">
        <v>179</v>
      </c>
      <c r="AA101" s="518"/>
      <c r="AB101" s="491"/>
      <c r="AC101" s="492"/>
      <c r="AD101" s="493"/>
      <c r="AE101" s="493"/>
      <c r="AF101" s="494"/>
      <c r="AG101" s="495" t="s">
        <v>176</v>
      </c>
      <c r="AH101" s="495"/>
      <c r="AI101" s="495" t="s">
        <v>183</v>
      </c>
      <c r="AJ101" s="496"/>
      <c r="AK101" s="497"/>
      <c r="AL101" s="497"/>
      <c r="AM101" s="494"/>
      <c r="AN101" s="498"/>
      <c r="AO101" s="499" t="s">
        <v>384</v>
      </c>
      <c r="AP101" s="500" t="s">
        <v>179</v>
      </c>
      <c r="AQ101" s="500"/>
      <c r="AR101" s="501">
        <v>51</v>
      </c>
      <c r="AS10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101" s="502" t="s">
        <v>385</v>
      </c>
      <c r="AU101" s="503"/>
      <c r="AV101" s="503"/>
      <c r="AW101" s="503" t="str">
        <f>IF(COUNTIF('설명회 참석자 명부'!$W$4:$W$29,표3[[#This Row],[성  명]])&gt;0,"O","")</f>
        <v>O</v>
      </c>
      <c r="AX101" s="503" t="str">
        <f>_xlfn.XLOOKUP(표3[[#This Row],[성  명]],'설명회 참석자 명부'!$W$4:$W$29,'설명회 참석자 명부'!$X$4:$X$29,"")</f>
        <v>반송</v>
      </c>
      <c r="AY101" s="503"/>
      <c r="AZ101" s="503"/>
      <c r="BA101" s="503"/>
      <c r="BB101" s="503"/>
      <c r="BC101" s="503"/>
      <c r="BD101" s="503"/>
      <c r="BE101" s="503"/>
      <c r="BF101" s="504"/>
      <c r="BG101" s="504"/>
      <c r="BH101" s="504"/>
      <c r="BI101" s="504"/>
      <c r="BJ101" s="504"/>
      <c r="BK101" s="504" t="str">
        <f>IFERROR(LEFT(표3[[#This Row],[주소]],FIND(" ",표3[[#This Row],[주소]])-1),"")</f>
        <v>서울특별시</v>
      </c>
      <c r="BL10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0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송이로12길</v>
      </c>
      <c r="BN101" s="504"/>
      <c r="BO101" s="504"/>
      <c r="BP101" s="504"/>
      <c r="BQ101" s="504"/>
      <c r="BR101" s="505"/>
      <c r="BS101" s="714" t="s">
        <v>179</v>
      </c>
      <c r="BT101" s="715" t="s">
        <v>179</v>
      </c>
      <c r="BU101" s="715" t="s">
        <v>179</v>
      </c>
      <c r="BV101" s="715" t="s">
        <v>179</v>
      </c>
      <c r="BW101" s="715" t="s">
        <v>179</v>
      </c>
      <c r="BX101" s="715" t="s">
        <v>179</v>
      </c>
      <c r="BY101" s="715" t="s">
        <v>370</v>
      </c>
      <c r="BZ101" s="715">
        <v>91.25</v>
      </c>
      <c r="CA101" s="715">
        <v>53.5</v>
      </c>
      <c r="CB101" s="715">
        <v>683000000</v>
      </c>
      <c r="CC101" s="715">
        <v>683000000</v>
      </c>
      <c r="CD101" s="726">
        <f>표3[[#This Row],[종전추정가액]]*1.5219</f>
        <v>1039457700</v>
      </c>
      <c r="CE101" s="506"/>
      <c r="CF101" s="507"/>
      <c r="CG101" s="507"/>
      <c r="CH101" s="508"/>
      <c r="CI101" s="508"/>
      <c r="CJ101" s="509"/>
      <c r="CK101" s="510"/>
      <c r="CL101" s="511"/>
      <c r="CM101" s="512"/>
      <c r="CN101" s="513"/>
      <c r="CO101" s="513"/>
      <c r="CP101" s="513"/>
      <c r="CQ101" s="513"/>
      <c r="CR101" s="513"/>
      <c r="CS101" s="514"/>
      <c r="CT101" s="515"/>
      <c r="CU101" s="515"/>
      <c r="CV101" s="515"/>
      <c r="CW101" s="515"/>
      <c r="CX101" s="515"/>
      <c r="CY101" s="515"/>
      <c r="CZ101" s="515"/>
      <c r="DA101" s="515"/>
      <c r="DB101" s="515"/>
      <c r="DC101" s="515"/>
      <c r="DD101" s="515"/>
      <c r="DE101" s="515"/>
      <c r="DF101" s="516"/>
    </row>
    <row r="102" spans="1:110" s="532" customFormat="1" ht="19.5" thickBot="1">
      <c r="A102" s="394"/>
      <c r="B102" s="395">
        <v>70</v>
      </c>
      <c r="C102" s="396">
        <v>28</v>
      </c>
      <c r="D102" s="397">
        <v>15</v>
      </c>
      <c r="E102" s="397" t="s">
        <v>367</v>
      </c>
      <c r="F102" s="398">
        <v>303</v>
      </c>
      <c r="G102" s="399"/>
      <c r="H102" s="400"/>
      <c r="I102" s="400"/>
      <c r="J102" s="400"/>
      <c r="K102" s="400"/>
      <c r="L102" s="400"/>
      <c r="M102" s="400"/>
      <c r="N102" s="400"/>
      <c r="O102" s="400"/>
      <c r="P102" s="401"/>
      <c r="Q102" s="402" t="s">
        <v>179</v>
      </c>
      <c r="R102" s="403">
        <v>0</v>
      </c>
      <c r="S102" s="404">
        <v>49</v>
      </c>
      <c r="T102" s="672">
        <f>표3[[#This Row],[편입면적]]/(SUM(표3[공부면적]))</f>
        <v>6.1219390304847569E-3</v>
      </c>
      <c r="U102" s="662" t="s">
        <v>179</v>
      </c>
      <c r="V102" s="405"/>
      <c r="W102" s="406">
        <v>55.61</v>
      </c>
      <c r="X102" s="407">
        <v>27.98</v>
      </c>
      <c r="Y102" s="407">
        <v>83.59</v>
      </c>
      <c r="Z102" s="407" t="s">
        <v>179</v>
      </c>
      <c r="AA102" s="520"/>
      <c r="AB102" s="409"/>
      <c r="AC102" s="410"/>
      <c r="AD102" s="411"/>
      <c r="AE102" s="411"/>
      <c r="AF102" s="412"/>
      <c r="AG102" s="413" t="s">
        <v>176</v>
      </c>
      <c r="AH102" s="413"/>
      <c r="AI102" s="413" t="s">
        <v>183</v>
      </c>
      <c r="AJ102" s="414"/>
      <c r="AK102" s="415"/>
      <c r="AL102" s="415"/>
      <c r="AM102" s="412"/>
      <c r="AN102" s="416"/>
      <c r="AO102" s="417" t="s">
        <v>386</v>
      </c>
      <c r="AP102" s="587">
        <v>1026616111</v>
      </c>
      <c r="AQ102" s="418"/>
      <c r="AR102" s="419">
        <v>92</v>
      </c>
      <c r="AS102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 미만</v>
      </c>
      <c r="AT102" s="420" t="s">
        <v>387</v>
      </c>
      <c r="AU102" s="421"/>
      <c r="AV102" s="421"/>
      <c r="AW102" s="421" t="str">
        <f>IF(COUNTIF('설명회 참석자 명부'!$W$4:$W$29,표3[[#This Row],[성  명]])&gt;0,"O","")</f>
        <v/>
      </c>
      <c r="AX102" s="421" t="str">
        <f>_xlfn.XLOOKUP(표3[[#This Row],[성  명]],'설명회 참석자 명부'!$W$4:$W$29,'설명회 참석자 명부'!$X$4:$X$29,"")</f>
        <v/>
      </c>
      <c r="AY102" s="421"/>
      <c r="AZ102" s="421"/>
      <c r="BA102" s="421" t="s">
        <v>190</v>
      </c>
      <c r="BB102" s="421" t="s">
        <v>190</v>
      </c>
      <c r="BC102" s="421"/>
      <c r="BD102" s="421"/>
      <c r="BE102" s="421"/>
      <c r="BF102" s="422"/>
      <c r="BG102" s="422"/>
      <c r="BH102" s="422"/>
      <c r="BI102" s="422"/>
      <c r="BJ102" s="422"/>
      <c r="BK102" s="422" t="str">
        <f>IFERROR(LEFT(표3[[#This Row],[주소]],FIND(" ",표3[[#This Row],[주소]])-1),"")</f>
        <v>서울특별시</v>
      </c>
      <c r="BL102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02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102" s="422"/>
      <c r="BO102" s="422"/>
      <c r="BP102" s="422"/>
      <c r="BQ102" s="422"/>
      <c r="BR102" s="423"/>
      <c r="BS102" s="714" t="s">
        <v>179</v>
      </c>
      <c r="BT102" s="715" t="s">
        <v>179</v>
      </c>
      <c r="BU102" s="715" t="s">
        <v>179</v>
      </c>
      <c r="BV102" s="715" t="s">
        <v>179</v>
      </c>
      <c r="BW102" s="715" t="s">
        <v>179</v>
      </c>
      <c r="BX102" s="715" t="s">
        <v>179</v>
      </c>
      <c r="BY102" s="715" t="s">
        <v>370</v>
      </c>
      <c r="BZ102" s="715">
        <v>83.59</v>
      </c>
      <c r="CA102" s="715">
        <v>49</v>
      </c>
      <c r="CB102" s="715">
        <v>625000000</v>
      </c>
      <c r="CC102" s="715">
        <v>625000000</v>
      </c>
      <c r="CD102" s="726">
        <f>표3[[#This Row],[종전추정가액]]*1.5219</f>
        <v>951187500</v>
      </c>
      <c r="CE102" s="424"/>
      <c r="CF102" s="425"/>
      <c r="CG102" s="425"/>
      <c r="CH102" s="426"/>
      <c r="CI102" s="426"/>
      <c r="CJ102" s="427"/>
      <c r="CK102" s="428"/>
      <c r="CL102" s="429"/>
      <c r="CM102" s="430"/>
      <c r="CN102" s="431"/>
      <c r="CO102" s="431"/>
      <c r="CP102" s="431"/>
      <c r="CQ102" s="431"/>
      <c r="CR102" s="431"/>
      <c r="CS102" s="432"/>
      <c r="CT102" s="433"/>
      <c r="CU102" s="433"/>
      <c r="CV102" s="433"/>
      <c r="CW102" s="433"/>
      <c r="CX102" s="433"/>
      <c r="CY102" s="433"/>
      <c r="CZ102" s="433"/>
      <c r="DA102" s="433"/>
      <c r="DB102" s="433"/>
      <c r="DC102" s="433"/>
      <c r="DD102" s="433"/>
      <c r="DE102" s="433"/>
      <c r="DF102" s="434"/>
    </row>
    <row r="103" spans="1:110" s="533" customFormat="1" ht="19.5" thickTop="1">
      <c r="A103" s="435"/>
      <c r="B103" s="436">
        <v>71</v>
      </c>
      <c r="C103" s="437">
        <v>28</v>
      </c>
      <c r="D103" s="438">
        <v>17</v>
      </c>
      <c r="E103" s="438"/>
      <c r="F103" s="667">
        <v>0</v>
      </c>
      <c r="G103" s="439"/>
      <c r="H103" s="440"/>
      <c r="I103" s="440"/>
      <c r="J103" s="440"/>
      <c r="K103" s="440"/>
      <c r="L103" s="440"/>
      <c r="M103" s="440"/>
      <c r="N103" s="440"/>
      <c r="O103" s="440"/>
      <c r="P103" s="441" t="s">
        <v>388</v>
      </c>
      <c r="Q103" s="442" t="s">
        <v>173</v>
      </c>
      <c r="R103" s="659">
        <v>155.5</v>
      </c>
      <c r="S103" s="443">
        <v>155.5</v>
      </c>
      <c r="T103" s="670">
        <f>표3[[#This Row],[편입면적]]/(SUM(표3[공부면적]))</f>
        <v>1.9427786106946524E-2</v>
      </c>
      <c r="U103" s="444" t="s">
        <v>174</v>
      </c>
      <c r="V103" s="445"/>
      <c r="W103" s="446">
        <v>406.01</v>
      </c>
      <c r="X103" s="447"/>
      <c r="Y103" s="447">
        <v>406.01</v>
      </c>
      <c r="Z103" s="447">
        <v>406.01</v>
      </c>
      <c r="AA103" s="517"/>
      <c r="AB103" s="449"/>
      <c r="AC103" s="450" t="s">
        <v>389</v>
      </c>
      <c r="AD103" s="451">
        <v>22</v>
      </c>
      <c r="AE103" s="451" t="str" cm="1">
        <f t="array" ref="AE103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03" s="452"/>
      <c r="AG103" s="453" t="s">
        <v>176</v>
      </c>
      <c r="AH103" s="453"/>
      <c r="AI103" s="453" t="s">
        <v>326</v>
      </c>
      <c r="AJ103" s="453"/>
      <c r="AK103" s="454"/>
      <c r="AL103" s="454"/>
      <c r="AM103" s="452">
        <v>5</v>
      </c>
      <c r="AN103" s="455">
        <v>0</v>
      </c>
      <c r="AO103" s="456" t="s">
        <v>390</v>
      </c>
      <c r="AP103" s="457" t="s">
        <v>179</v>
      </c>
      <c r="AQ103" s="457"/>
      <c r="AR103" s="458">
        <v>56</v>
      </c>
      <c r="AS103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103" s="459" t="s">
        <v>391</v>
      </c>
      <c r="AU103" s="460" t="s">
        <v>190</v>
      </c>
      <c r="AV103" s="460"/>
      <c r="AW103" s="460" t="str">
        <f>IF(COUNTIF('설명회 참석자 명부'!$W$4:$W$29,표3[[#This Row],[성  명]])&gt;0,"O","")</f>
        <v/>
      </c>
      <c r="AX103" s="460" t="str">
        <f>_xlfn.XLOOKUP(표3[[#This Row],[성  명]],'설명회 참석자 명부'!$W$4:$W$29,'설명회 참석자 명부'!$X$4:$X$29,"")</f>
        <v/>
      </c>
      <c r="AY103" s="460"/>
      <c r="AZ103" s="460"/>
      <c r="BA103" s="460"/>
      <c r="BB103" s="460"/>
      <c r="BC103" s="460"/>
      <c r="BD103" s="460"/>
      <c r="BE103" s="460"/>
      <c r="BF103" s="461"/>
      <c r="BG103" s="461"/>
      <c r="BH103" s="461"/>
      <c r="BI103" s="461"/>
      <c r="BJ103" s="461"/>
      <c r="BK103" s="461" t="str">
        <f>IFERROR(LEFT(표3[[#This Row],[주소]],FIND(" ",표3[[#This Row],[주소]])-1),"")</f>
        <v>서울특별시</v>
      </c>
      <c r="BL103" s="461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03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103" s="461"/>
      <c r="BO103" s="461"/>
      <c r="BP103" s="461"/>
      <c r="BQ103" s="461"/>
      <c r="BR103" s="462"/>
      <c r="BS103" s="722">
        <v>155.5</v>
      </c>
      <c r="BT103" s="723">
        <v>11400000</v>
      </c>
      <c r="BU103" s="723">
        <v>1772700000</v>
      </c>
      <c r="BV103" s="723" t="s">
        <v>326</v>
      </c>
      <c r="BW103" s="723">
        <v>406.01</v>
      </c>
      <c r="BX103" s="723">
        <v>363784960</v>
      </c>
      <c r="BY103" s="723" t="s">
        <v>179</v>
      </c>
      <c r="BZ103" s="723" t="s">
        <v>179</v>
      </c>
      <c r="CA103" s="723" t="s">
        <v>179</v>
      </c>
      <c r="CB103" s="723" t="s">
        <v>179</v>
      </c>
      <c r="CC103" s="723">
        <v>2136484960</v>
      </c>
      <c r="CD103" s="727">
        <f>표3[[#This Row],[종전추정가액]]*1.5219</f>
        <v>3251516460.6240001</v>
      </c>
      <c r="CE103" s="463"/>
      <c r="CF103" s="464"/>
      <c r="CG103" s="464"/>
      <c r="CH103" s="465"/>
      <c r="CI103" s="465"/>
      <c r="CJ103" s="466"/>
      <c r="CK103" s="467"/>
      <c r="CL103" s="468"/>
      <c r="CM103" s="469"/>
      <c r="CN103" s="470"/>
      <c r="CO103" s="470"/>
      <c r="CP103" s="470"/>
      <c r="CQ103" s="470"/>
      <c r="CR103" s="470"/>
      <c r="CS103" s="471"/>
      <c r="CT103" s="472"/>
      <c r="CU103" s="472"/>
      <c r="CV103" s="472"/>
      <c r="CW103" s="472"/>
      <c r="CX103" s="472"/>
      <c r="CY103" s="472"/>
      <c r="CZ103" s="472"/>
      <c r="DA103" s="472"/>
      <c r="DB103" s="472"/>
      <c r="DC103" s="472"/>
      <c r="DD103" s="472"/>
      <c r="DE103" s="472"/>
      <c r="DF103" s="473"/>
    </row>
    <row r="104" spans="1:110" s="532" customFormat="1" ht="19">
      <c r="A104" s="475"/>
      <c r="B104" s="476">
        <v>72</v>
      </c>
      <c r="C104" s="477">
        <v>28</v>
      </c>
      <c r="D104" s="478">
        <v>18</v>
      </c>
      <c r="E104" s="478"/>
      <c r="F104" s="668">
        <v>0</v>
      </c>
      <c r="G104" s="480"/>
      <c r="H104" s="481"/>
      <c r="I104" s="481"/>
      <c r="J104" s="481"/>
      <c r="K104" s="481"/>
      <c r="L104" s="481"/>
      <c r="M104" s="481"/>
      <c r="N104" s="481"/>
      <c r="O104" s="481"/>
      <c r="P104" s="482"/>
      <c r="Q104" s="483" t="s">
        <v>173</v>
      </c>
      <c r="R104" s="660">
        <v>138.19999999999999</v>
      </c>
      <c r="S104" s="484">
        <v>138.19999999999999</v>
      </c>
      <c r="T104" s="671">
        <f>표3[[#This Row],[편입면적]]/(SUM(표3[공부면적]))</f>
        <v>1.7266366816591702E-2</v>
      </c>
      <c r="U104" s="486" t="s">
        <v>174</v>
      </c>
      <c r="V104" s="487"/>
      <c r="W104" s="488">
        <v>218.64</v>
      </c>
      <c r="X104" s="489">
        <v>79.56</v>
      </c>
      <c r="Y104" s="489">
        <v>298.2</v>
      </c>
      <c r="Z104" s="489">
        <v>298.2</v>
      </c>
      <c r="AA104" s="518"/>
      <c r="AB104" s="491"/>
      <c r="AC104" s="492" t="s">
        <v>392</v>
      </c>
      <c r="AD104" s="493">
        <v>31</v>
      </c>
      <c r="AE104" s="493" t="str" cm="1">
        <f t="array" ref="AE10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04" s="494"/>
      <c r="AG104" s="495" t="s">
        <v>176</v>
      </c>
      <c r="AH104" s="495"/>
      <c r="AI104" s="495" t="s">
        <v>326</v>
      </c>
      <c r="AJ104" s="496"/>
      <c r="AK104" s="497"/>
      <c r="AL104" s="497"/>
      <c r="AM104" s="494">
        <v>3</v>
      </c>
      <c r="AN104" s="498">
        <v>1</v>
      </c>
      <c r="AO104" s="499" t="s">
        <v>393</v>
      </c>
      <c r="AP104" s="500" t="s">
        <v>179</v>
      </c>
      <c r="AQ104" s="500"/>
      <c r="AR104" s="501">
        <v>42</v>
      </c>
      <c r="AS10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104" s="502" t="s">
        <v>394</v>
      </c>
      <c r="AU104" s="503" t="s">
        <v>190</v>
      </c>
      <c r="AV104" s="503"/>
      <c r="AW104" s="503" t="str">
        <f>IF(COUNTIF('설명회 참석자 명부'!$W$4:$W$29,표3[[#This Row],[성  명]])&gt;0,"O","")</f>
        <v/>
      </c>
      <c r="AX104" s="503" t="str">
        <f>_xlfn.XLOOKUP(표3[[#This Row],[성  명]],'설명회 참석자 명부'!$W$4:$W$29,'설명회 참석자 명부'!$X$4:$X$29,"")</f>
        <v/>
      </c>
      <c r="AY104" s="503"/>
      <c r="AZ104" s="503"/>
      <c r="BA104" s="503"/>
      <c r="BB104" s="503"/>
      <c r="BC104" s="503"/>
      <c r="BD104" s="503"/>
      <c r="BE104" s="503"/>
      <c r="BF104" s="504"/>
      <c r="BG104" s="504"/>
      <c r="BH104" s="504"/>
      <c r="BI104" s="504"/>
      <c r="BJ104" s="504"/>
      <c r="BK104" s="504" t="str">
        <f>IFERROR(LEFT(표3[[#This Row],[주소]],FIND(" ",표3[[#This Row],[주소]])-1),"")</f>
        <v>서울특별시</v>
      </c>
      <c r="BL10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0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104" s="504"/>
      <c r="BO104" s="504"/>
      <c r="BP104" s="504"/>
      <c r="BQ104" s="504"/>
      <c r="BR104" s="505"/>
      <c r="BS104" s="714">
        <v>138.19999999999999</v>
      </c>
      <c r="BT104" s="715">
        <v>11390000</v>
      </c>
      <c r="BU104" s="715">
        <v>1574098000</v>
      </c>
      <c r="BV104" s="715" t="s">
        <v>326</v>
      </c>
      <c r="BW104" s="715">
        <v>298.2</v>
      </c>
      <c r="BX104" s="715">
        <v>181305600</v>
      </c>
      <c r="BY104" s="715" t="s">
        <v>179</v>
      </c>
      <c r="BZ104" s="715" t="s">
        <v>179</v>
      </c>
      <c r="CA104" s="715" t="s">
        <v>179</v>
      </c>
      <c r="CB104" s="715" t="s">
        <v>179</v>
      </c>
      <c r="CC104" s="715">
        <v>1755403600</v>
      </c>
      <c r="CD104" s="726">
        <f>표3[[#This Row],[종전추정가액]]*1.5219</f>
        <v>2671548738.8400002</v>
      </c>
      <c r="CE104" s="506"/>
      <c r="CF104" s="507"/>
      <c r="CG104" s="507"/>
      <c r="CH104" s="508"/>
      <c r="CI104" s="508"/>
      <c r="CJ104" s="509"/>
      <c r="CK104" s="510"/>
      <c r="CL104" s="511"/>
      <c r="CM104" s="512"/>
      <c r="CN104" s="513"/>
      <c r="CO104" s="513"/>
      <c r="CP104" s="513"/>
      <c r="CQ104" s="513"/>
      <c r="CR104" s="513"/>
      <c r="CS104" s="514"/>
      <c r="CT104" s="515"/>
      <c r="CU104" s="515"/>
      <c r="CV104" s="515"/>
      <c r="CW104" s="515"/>
      <c r="CX104" s="515"/>
      <c r="CY104" s="515"/>
      <c r="CZ104" s="515"/>
      <c r="DA104" s="515"/>
      <c r="DB104" s="515"/>
      <c r="DC104" s="515"/>
      <c r="DD104" s="515"/>
      <c r="DE104" s="515"/>
      <c r="DF104" s="516"/>
    </row>
    <row r="105" spans="1:110" s="532" customFormat="1" ht="19.5" thickBot="1">
      <c r="A105" s="394"/>
      <c r="B105" s="395">
        <v>73</v>
      </c>
      <c r="C105" s="396">
        <v>28</v>
      </c>
      <c r="D105" s="397">
        <v>19</v>
      </c>
      <c r="E105" s="397"/>
      <c r="F105" s="666">
        <v>0</v>
      </c>
      <c r="G105" s="399"/>
      <c r="H105" s="400"/>
      <c r="I105" s="400"/>
      <c r="J105" s="400"/>
      <c r="K105" s="400"/>
      <c r="L105" s="400"/>
      <c r="M105" s="400"/>
      <c r="N105" s="400"/>
      <c r="O105" s="400"/>
      <c r="P105" s="401"/>
      <c r="Q105" s="402" t="s">
        <v>173</v>
      </c>
      <c r="R105" s="658">
        <v>167.3</v>
      </c>
      <c r="S105" s="403">
        <v>167.3</v>
      </c>
      <c r="T105" s="672">
        <f>표3[[#This Row],[편입면적]]/(SUM(표3[공부면적]))</f>
        <v>2.0902048975512243E-2</v>
      </c>
      <c r="U105" s="662" t="s">
        <v>174</v>
      </c>
      <c r="V105" s="405"/>
      <c r="W105" s="406">
        <v>278.61</v>
      </c>
      <c r="X105" s="407">
        <v>92.99</v>
      </c>
      <c r="Y105" s="407">
        <v>371.6</v>
      </c>
      <c r="Z105" s="407">
        <v>371.6</v>
      </c>
      <c r="AA105" s="520"/>
      <c r="AB105" s="409"/>
      <c r="AC105" s="410" t="s">
        <v>395</v>
      </c>
      <c r="AD105" s="411">
        <v>30</v>
      </c>
      <c r="AE105" s="411" t="str" cm="1">
        <f t="array" ref="AE10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05" s="412"/>
      <c r="AG105" s="413" t="s">
        <v>176</v>
      </c>
      <c r="AH105" s="413"/>
      <c r="AI105" s="413" t="s">
        <v>326</v>
      </c>
      <c r="AJ105" s="414"/>
      <c r="AK105" s="415"/>
      <c r="AL105" s="415"/>
      <c r="AM105" s="412">
        <v>3</v>
      </c>
      <c r="AN105" s="416">
        <v>1</v>
      </c>
      <c r="AO105" s="417" t="s">
        <v>396</v>
      </c>
      <c r="AP105" s="418">
        <v>1029997006</v>
      </c>
      <c r="AQ105" s="418"/>
      <c r="AR105" s="419">
        <v>71</v>
      </c>
      <c r="AS105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105" s="420" t="s">
        <v>397</v>
      </c>
      <c r="AU105" s="421"/>
      <c r="AV105" s="421"/>
      <c r="AW105" s="421" t="str">
        <f>IF(COUNTIF('설명회 참석자 명부'!$W$4:$W$29,표3[[#This Row],[성  명]])&gt;0,"O","")</f>
        <v/>
      </c>
      <c r="AX105" s="421" t="str">
        <f>_xlfn.XLOOKUP(표3[[#This Row],[성  명]],'설명회 참석자 명부'!$W$4:$W$29,'설명회 참석자 명부'!$X$4:$X$29,"")</f>
        <v/>
      </c>
      <c r="AY105" s="421"/>
      <c r="AZ105" s="421"/>
      <c r="BA105" s="421" t="s">
        <v>190</v>
      </c>
      <c r="BB105" s="421"/>
      <c r="BC105" s="421"/>
      <c r="BD105" s="421"/>
      <c r="BE105" s="421"/>
      <c r="BF105" s="422"/>
      <c r="BG105" s="422"/>
      <c r="BH105" s="422"/>
      <c r="BI105" s="422"/>
      <c r="BJ105" s="422"/>
      <c r="BK105" s="422" t="str">
        <f>IFERROR(LEFT(표3[[#This Row],[주소]],FIND(" ",표3[[#This Row],[주소]])-1),"")</f>
        <v>서울특별시</v>
      </c>
      <c r="BL105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05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105" s="422"/>
      <c r="BO105" s="422"/>
      <c r="BP105" s="422"/>
      <c r="BQ105" s="422"/>
      <c r="BR105" s="423"/>
      <c r="BS105" s="714">
        <v>167.3</v>
      </c>
      <c r="BT105" s="715">
        <v>11390000</v>
      </c>
      <c r="BU105" s="715">
        <v>1905547000</v>
      </c>
      <c r="BV105" s="715" t="s">
        <v>326</v>
      </c>
      <c r="BW105" s="715">
        <v>371.6</v>
      </c>
      <c r="BX105" s="715">
        <v>237824000</v>
      </c>
      <c r="BY105" s="715" t="s">
        <v>179</v>
      </c>
      <c r="BZ105" s="715" t="s">
        <v>179</v>
      </c>
      <c r="CA105" s="715" t="s">
        <v>179</v>
      </c>
      <c r="CB105" s="715" t="s">
        <v>179</v>
      </c>
      <c r="CC105" s="715">
        <v>2143371000</v>
      </c>
      <c r="CD105" s="726">
        <f>표3[[#This Row],[종전추정가액]]*1.5219</f>
        <v>3261996324.9000001</v>
      </c>
      <c r="CE105" s="424"/>
      <c r="CF105" s="425"/>
      <c r="CG105" s="425"/>
      <c r="CH105" s="426"/>
      <c r="CI105" s="426"/>
      <c r="CJ105" s="427"/>
      <c r="CK105" s="428"/>
      <c r="CL105" s="429"/>
      <c r="CM105" s="430"/>
      <c r="CN105" s="431"/>
      <c r="CO105" s="431"/>
      <c r="CP105" s="431"/>
      <c r="CQ105" s="431"/>
      <c r="CR105" s="431"/>
      <c r="CS105" s="432"/>
      <c r="CT105" s="433"/>
      <c r="CU105" s="433"/>
      <c r="CV105" s="433"/>
      <c r="CW105" s="433"/>
      <c r="CX105" s="433"/>
      <c r="CY105" s="433"/>
      <c r="CZ105" s="433"/>
      <c r="DA105" s="433"/>
      <c r="DB105" s="433"/>
      <c r="DC105" s="433"/>
      <c r="DD105" s="433"/>
      <c r="DE105" s="433"/>
      <c r="DF105" s="434"/>
    </row>
    <row r="106" spans="1:110" s="533" customFormat="1" ht="19.5" thickTop="1">
      <c r="A106" s="435"/>
      <c r="B106" s="436"/>
      <c r="C106" s="437">
        <v>28</v>
      </c>
      <c r="D106" s="438">
        <v>21</v>
      </c>
      <c r="E106" s="438" t="s">
        <v>398</v>
      </c>
      <c r="F106" s="667">
        <v>0</v>
      </c>
      <c r="G106" s="439"/>
      <c r="H106" s="440"/>
      <c r="I106" s="440"/>
      <c r="J106" s="440"/>
      <c r="K106" s="440"/>
      <c r="L106" s="440"/>
      <c r="M106" s="440"/>
      <c r="N106" s="440"/>
      <c r="O106" s="440"/>
      <c r="P106" s="441"/>
      <c r="Q106" s="442" t="s">
        <v>173</v>
      </c>
      <c r="R106" s="443">
        <v>632</v>
      </c>
      <c r="S106" s="443"/>
      <c r="T106" s="670">
        <f>표3[[#This Row],[편입면적]]/(SUM(표3[공부면적]))</f>
        <v>0</v>
      </c>
      <c r="U106" s="444" t="s">
        <v>174</v>
      </c>
      <c r="V106" s="445"/>
      <c r="W106" s="446"/>
      <c r="X106" s="447"/>
      <c r="Y106" s="447">
        <v>0</v>
      </c>
      <c r="Z106" s="447">
        <v>975.36</v>
      </c>
      <c r="AA106" s="517"/>
      <c r="AB106" s="449"/>
      <c r="AC106" s="450" t="s">
        <v>399</v>
      </c>
      <c r="AD106" s="451">
        <v>36</v>
      </c>
      <c r="AE106" s="451" t="str" cm="1">
        <f t="array" ref="AE10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06" s="452"/>
      <c r="AG106" s="453" t="s">
        <v>176</v>
      </c>
      <c r="AH106" s="453"/>
      <c r="AI106" s="453" t="s">
        <v>183</v>
      </c>
      <c r="AJ106" s="453"/>
      <c r="AK106" s="454"/>
      <c r="AL106" s="454"/>
      <c r="AM106" s="452">
        <v>3</v>
      </c>
      <c r="AN106" s="455">
        <v>1</v>
      </c>
      <c r="AO106" s="456"/>
      <c r="AP106" s="457" t="s">
        <v>179</v>
      </c>
      <c r="AQ106" s="457"/>
      <c r="AR106" s="458"/>
      <c r="AS106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06" s="459"/>
      <c r="AU106" s="460"/>
      <c r="AV106" s="460"/>
      <c r="AW106" s="460" t="str">
        <f>IF(COUNTIF('설명회 참석자 명부'!$W$4:$W$29,표3[[#This Row],[성  명]])&gt;0,"O","")</f>
        <v/>
      </c>
      <c r="AX106" s="460">
        <f>_xlfn.XLOOKUP(표3[[#This Row],[성  명]],'설명회 참석자 명부'!$W$4:$W$29,'설명회 참석자 명부'!$X$4:$X$29,"")</f>
        <v>0</v>
      </c>
      <c r="AY106" s="460"/>
      <c r="AZ106" s="460"/>
      <c r="BA106" s="460"/>
      <c r="BB106" s="460"/>
      <c r="BC106" s="460"/>
      <c r="BD106" s="460"/>
      <c r="BE106" s="460"/>
      <c r="BF106" s="461"/>
      <c r="BG106" s="461"/>
      <c r="BH106" s="461"/>
      <c r="BI106" s="461"/>
      <c r="BJ106" s="461"/>
      <c r="BK106" s="461" t="str">
        <f>IFERROR(LEFT(표3[[#This Row],[주소]],FIND(" ",표3[[#This Row],[주소]])-1),"")</f>
        <v/>
      </c>
      <c r="BL106" s="461" t="str">
        <f>IFERROR(MID(표3[[#This Row],[주소]], FIND(" ", 표3[[#This Row],[주소]])+1, FIND(" ", 표3[[#This Row],[주소]], FIND(" ", 표3[[#This Row],[주소]])+1) - FIND(" ", 표3[[#This Row],[주소]])-1),"")</f>
        <v/>
      </c>
      <c r="BM106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106" s="461"/>
      <c r="BO106" s="461"/>
      <c r="BP106" s="461"/>
      <c r="BQ106" s="461"/>
      <c r="BR106" s="462"/>
      <c r="BS106" s="722"/>
      <c r="BT106" s="723"/>
      <c r="BU106" s="723"/>
      <c r="BV106" s="723"/>
      <c r="BW106" s="723"/>
      <c r="BX106" s="723"/>
      <c r="BY106" s="723"/>
      <c r="BZ106" s="723"/>
      <c r="CA106" s="723"/>
      <c r="CB106" s="723"/>
      <c r="CC106" s="723"/>
      <c r="CD106" s="727">
        <f>표3[[#This Row],[종전추정가액]]*1.5219</f>
        <v>0</v>
      </c>
      <c r="CE106" s="463"/>
      <c r="CF106" s="464"/>
      <c r="CG106" s="464"/>
      <c r="CH106" s="465"/>
      <c r="CI106" s="465"/>
      <c r="CJ106" s="466"/>
      <c r="CK106" s="467"/>
      <c r="CL106" s="468"/>
      <c r="CM106" s="469"/>
      <c r="CN106" s="470"/>
      <c r="CO106" s="470"/>
      <c r="CP106" s="470"/>
      <c r="CQ106" s="470"/>
      <c r="CR106" s="470"/>
      <c r="CS106" s="471"/>
      <c r="CT106" s="472"/>
      <c r="CU106" s="472"/>
      <c r="CV106" s="472"/>
      <c r="CW106" s="472"/>
      <c r="CX106" s="472"/>
      <c r="CY106" s="472"/>
      <c r="CZ106" s="472"/>
      <c r="DA106" s="472"/>
      <c r="DB106" s="472"/>
      <c r="DC106" s="472"/>
      <c r="DD106" s="472"/>
      <c r="DE106" s="472"/>
      <c r="DF106" s="473"/>
    </row>
    <row r="107" spans="1:110" s="532" customFormat="1" ht="19">
      <c r="A107" s="475"/>
      <c r="B107" s="476">
        <v>74</v>
      </c>
      <c r="C107" s="477">
        <v>28</v>
      </c>
      <c r="D107" s="478">
        <v>21</v>
      </c>
      <c r="E107" s="478" t="s">
        <v>400</v>
      </c>
      <c r="F107" s="479">
        <v>101</v>
      </c>
      <c r="G107" s="480"/>
      <c r="H107" s="481"/>
      <c r="I107" s="481"/>
      <c r="J107" s="481"/>
      <c r="K107" s="481" t="s">
        <v>174</v>
      </c>
      <c r="L107" s="481" t="s">
        <v>174</v>
      </c>
      <c r="M107" s="481" t="s">
        <v>174</v>
      </c>
      <c r="N107" s="481"/>
      <c r="O107" s="481"/>
      <c r="P107" s="482" t="s">
        <v>876</v>
      </c>
      <c r="Q107" s="483" t="s">
        <v>179</v>
      </c>
      <c r="R107" s="484">
        <v>0</v>
      </c>
      <c r="S107" s="485">
        <v>52.8</v>
      </c>
      <c r="T107" s="671">
        <f>표3[[#This Row],[편입면적]]/(SUM(표3[공부면적]))</f>
        <v>6.5967016491754113E-3</v>
      </c>
      <c r="U107" s="486" t="s">
        <v>179</v>
      </c>
      <c r="V107" s="487"/>
      <c r="W107" s="488">
        <v>55.29</v>
      </c>
      <c r="X107" s="489">
        <v>20.38</v>
      </c>
      <c r="Y107" s="489">
        <v>75.67</v>
      </c>
      <c r="Z107" s="489" t="s">
        <v>179</v>
      </c>
      <c r="AA107" s="518"/>
      <c r="AB107" s="491"/>
      <c r="AC107" s="492"/>
      <c r="AD107" s="493"/>
      <c r="AE107" s="493"/>
      <c r="AF107" s="494"/>
      <c r="AG107" s="495" t="s">
        <v>176</v>
      </c>
      <c r="AH107" s="495"/>
      <c r="AI107" s="495" t="s">
        <v>183</v>
      </c>
      <c r="AJ107" s="496"/>
      <c r="AK107" s="497"/>
      <c r="AL107" s="497"/>
      <c r="AM107" s="494"/>
      <c r="AN107" s="498"/>
      <c r="AO107" s="499" t="s">
        <v>401</v>
      </c>
      <c r="AP107" s="500">
        <v>1072265756</v>
      </c>
      <c r="AQ107" s="500"/>
      <c r="AR107" s="501">
        <v>57</v>
      </c>
      <c r="AS10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07" s="502" t="s">
        <v>402</v>
      </c>
      <c r="AU107" s="503"/>
      <c r="AV107" s="657" t="s">
        <v>174</v>
      </c>
      <c r="AW107" s="503" t="str">
        <f>IF(COUNTIF('설명회 참석자 명부'!$W$4:$W$29,표3[[#This Row],[성  명]])&gt;0,"O","")</f>
        <v/>
      </c>
      <c r="AX107" s="503" t="str">
        <f>_xlfn.XLOOKUP(표3[[#This Row],[성  명]],'설명회 참석자 명부'!$W$4:$W$29,'설명회 참석자 명부'!$X$4:$X$29,"")</f>
        <v/>
      </c>
      <c r="AY107" s="503"/>
      <c r="AZ107" s="503"/>
      <c r="BA107" s="503"/>
      <c r="BB107" s="503" t="s">
        <v>190</v>
      </c>
      <c r="BC107" s="503"/>
      <c r="BD107" s="503"/>
      <c r="BE107" s="503"/>
      <c r="BF107" s="504"/>
      <c r="BG107" s="504"/>
      <c r="BH107" s="504"/>
      <c r="BI107" s="504"/>
      <c r="BJ107" s="504"/>
      <c r="BK107" s="504" t="str">
        <f>IFERROR(LEFT(표3[[#This Row],[주소]],FIND(" ",표3[[#This Row],[주소]])-1),"")</f>
        <v>송파구</v>
      </c>
      <c r="BL107" s="504" t="str">
        <f>IFERROR(MID(표3[[#This Row],[주소]], FIND(" ", 표3[[#This Row],[주소]])+1, FIND(" ", 표3[[#This Row],[주소]], FIND(" ", 표3[[#This Row],[주소]])+1) - FIND(" ", 표3[[#This Row],[주소]])-1),"")</f>
        <v>문정동28-21</v>
      </c>
      <c r="BM10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107" s="504"/>
      <c r="BO107" s="504"/>
      <c r="BP107" s="504"/>
      <c r="BQ107" s="504"/>
      <c r="BR107" s="505"/>
      <c r="BS107" s="714" t="s">
        <v>179</v>
      </c>
      <c r="BT107" s="715" t="s">
        <v>179</v>
      </c>
      <c r="BU107" s="715" t="s">
        <v>179</v>
      </c>
      <c r="BV107" s="715" t="s">
        <v>179</v>
      </c>
      <c r="BW107" s="715" t="s">
        <v>179</v>
      </c>
      <c r="BX107" s="715" t="s">
        <v>179</v>
      </c>
      <c r="BY107" s="715" t="s">
        <v>370</v>
      </c>
      <c r="BZ107" s="715">
        <v>75.67</v>
      </c>
      <c r="CA107" s="715">
        <v>52.8</v>
      </c>
      <c r="CB107" s="715">
        <v>553000000</v>
      </c>
      <c r="CC107" s="715">
        <v>553000000</v>
      </c>
      <c r="CD107" s="726">
        <f>표3[[#This Row],[종전추정가액]]*1.5219</f>
        <v>841610700</v>
      </c>
      <c r="CE107" s="506"/>
      <c r="CF107" s="507"/>
      <c r="CG107" s="507"/>
      <c r="CH107" s="508"/>
      <c r="CI107" s="508"/>
      <c r="CJ107" s="509"/>
      <c r="CK107" s="510"/>
      <c r="CL107" s="511"/>
      <c r="CM107" s="512"/>
      <c r="CN107" s="513"/>
      <c r="CO107" s="513"/>
      <c r="CP107" s="513"/>
      <c r="CQ107" s="513"/>
      <c r="CR107" s="513"/>
      <c r="CS107" s="514"/>
      <c r="CT107" s="515"/>
      <c r="CU107" s="515"/>
      <c r="CV107" s="515"/>
      <c r="CW107" s="515"/>
      <c r="CX107" s="515"/>
      <c r="CY107" s="515"/>
      <c r="CZ107" s="515"/>
      <c r="DA107" s="515"/>
      <c r="DB107" s="515"/>
      <c r="DC107" s="515"/>
      <c r="DD107" s="515"/>
      <c r="DE107" s="515"/>
      <c r="DF107" s="516"/>
    </row>
    <row r="108" spans="1:110" s="532" customFormat="1" ht="19">
      <c r="A108" s="475"/>
      <c r="B108" s="476">
        <v>75</v>
      </c>
      <c r="C108" s="477">
        <v>28</v>
      </c>
      <c r="D108" s="478">
        <v>21</v>
      </c>
      <c r="E108" s="478" t="s">
        <v>400</v>
      </c>
      <c r="F108" s="479">
        <v>102</v>
      </c>
      <c r="G108" s="480"/>
      <c r="H108" s="481"/>
      <c r="I108" s="481"/>
      <c r="J108" s="481"/>
      <c r="K108" s="481"/>
      <c r="L108" s="481"/>
      <c r="M108" s="481"/>
      <c r="N108" s="481"/>
      <c r="O108" s="481"/>
      <c r="P108" s="482"/>
      <c r="Q108" s="483" t="s">
        <v>179</v>
      </c>
      <c r="R108" s="484">
        <v>0</v>
      </c>
      <c r="S108" s="485">
        <v>52.8</v>
      </c>
      <c r="T108" s="671">
        <f>표3[[#This Row],[편입면적]]/(SUM(표3[공부면적]))</f>
        <v>6.5967016491754113E-3</v>
      </c>
      <c r="U108" s="486" t="s">
        <v>179</v>
      </c>
      <c r="V108" s="487"/>
      <c r="W108" s="488">
        <v>55.29</v>
      </c>
      <c r="X108" s="489">
        <v>20.38</v>
      </c>
      <c r="Y108" s="489">
        <v>75.67</v>
      </c>
      <c r="Z108" s="489" t="s">
        <v>179</v>
      </c>
      <c r="AA108" s="518"/>
      <c r="AB108" s="491"/>
      <c r="AC108" s="492"/>
      <c r="AD108" s="493"/>
      <c r="AE108" s="493"/>
      <c r="AF108" s="494"/>
      <c r="AG108" s="495" t="s">
        <v>176</v>
      </c>
      <c r="AH108" s="495"/>
      <c r="AI108" s="495" t="s">
        <v>183</v>
      </c>
      <c r="AJ108" s="496"/>
      <c r="AK108" s="497"/>
      <c r="AL108" s="497"/>
      <c r="AM108" s="494"/>
      <c r="AN108" s="498"/>
      <c r="AO108" s="499" t="s">
        <v>403</v>
      </c>
      <c r="AP108" s="500">
        <v>1033112358</v>
      </c>
      <c r="AQ108" s="500" t="s">
        <v>404</v>
      </c>
      <c r="AR108" s="501">
        <v>72</v>
      </c>
      <c r="AS10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108" s="502" t="s">
        <v>405</v>
      </c>
      <c r="AU108" s="503"/>
      <c r="AV108" s="657" t="s">
        <v>174</v>
      </c>
      <c r="AW108" s="503" t="str">
        <f>IF(COUNTIF('설명회 참석자 명부'!$W$4:$W$29,표3[[#This Row],[성  명]])&gt;0,"O","")</f>
        <v/>
      </c>
      <c r="AX108" s="503" t="str">
        <f>_xlfn.XLOOKUP(표3[[#This Row],[성  명]],'설명회 참석자 명부'!$W$4:$W$29,'설명회 참석자 명부'!$X$4:$X$29,"")</f>
        <v/>
      </c>
      <c r="AY108" s="503"/>
      <c r="AZ108" s="503"/>
      <c r="BA108" s="503" t="s">
        <v>190</v>
      </c>
      <c r="BB108" s="503"/>
      <c r="BC108" s="503"/>
      <c r="BD108" s="503"/>
      <c r="BE108" s="503"/>
      <c r="BF108" s="504"/>
      <c r="BG108" s="504"/>
      <c r="BH108" s="504"/>
      <c r="BI108" s="504"/>
      <c r="BJ108" s="504"/>
      <c r="BK108" s="504" t="str">
        <f>IFERROR(LEFT(표3[[#This Row],[주소]],FIND(" ",표3[[#This Row],[주소]])-1),"")</f>
        <v>전북특별자치도</v>
      </c>
      <c r="BL108" s="504" t="str">
        <f>IFERROR(MID(표3[[#This Row],[주소]], FIND(" ", 표3[[#This Row],[주소]])+1, FIND(" ", 표3[[#This Row],[주소]], FIND(" ", 표3[[#This Row],[주소]])+1) - FIND(" ", 표3[[#This Row],[주소]])-1),"")</f>
        <v>정읍시</v>
      </c>
      <c r="BM10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영원면</v>
      </c>
      <c r="BN108" s="504"/>
      <c r="BO108" s="504"/>
      <c r="BP108" s="504"/>
      <c r="BQ108" s="504"/>
      <c r="BR108" s="505"/>
      <c r="BS108" s="714" t="s">
        <v>179</v>
      </c>
      <c r="BT108" s="715" t="s">
        <v>179</v>
      </c>
      <c r="BU108" s="715" t="s">
        <v>179</v>
      </c>
      <c r="BV108" s="715" t="s">
        <v>179</v>
      </c>
      <c r="BW108" s="715" t="s">
        <v>179</v>
      </c>
      <c r="BX108" s="715" t="s">
        <v>179</v>
      </c>
      <c r="BY108" s="715" t="s">
        <v>370</v>
      </c>
      <c r="BZ108" s="715">
        <v>75.67</v>
      </c>
      <c r="CA108" s="715">
        <v>52.8</v>
      </c>
      <c r="CB108" s="715">
        <v>553000000</v>
      </c>
      <c r="CC108" s="715">
        <v>553000000</v>
      </c>
      <c r="CD108" s="726">
        <f>표3[[#This Row],[종전추정가액]]*1.5219</f>
        <v>841610700</v>
      </c>
      <c r="CE108" s="506"/>
      <c r="CF108" s="507"/>
      <c r="CG108" s="507"/>
      <c r="CH108" s="508"/>
      <c r="CI108" s="508"/>
      <c r="CJ108" s="509"/>
      <c r="CK108" s="510"/>
      <c r="CL108" s="511"/>
      <c r="CM108" s="512"/>
      <c r="CN108" s="513"/>
      <c r="CO108" s="513"/>
      <c r="CP108" s="513"/>
      <c r="CQ108" s="513"/>
      <c r="CR108" s="513"/>
      <c r="CS108" s="514"/>
      <c r="CT108" s="515"/>
      <c r="CU108" s="515"/>
      <c r="CV108" s="515"/>
      <c r="CW108" s="515"/>
      <c r="CX108" s="515"/>
      <c r="CY108" s="515"/>
      <c r="CZ108" s="515"/>
      <c r="DA108" s="515"/>
      <c r="DB108" s="515"/>
      <c r="DC108" s="515"/>
      <c r="DD108" s="515"/>
      <c r="DE108" s="515"/>
      <c r="DF108" s="516"/>
    </row>
    <row r="109" spans="1:110" s="532" customFormat="1" ht="19">
      <c r="A109" s="475"/>
      <c r="B109" s="476">
        <v>76</v>
      </c>
      <c r="C109" s="477">
        <v>28</v>
      </c>
      <c r="D109" s="478">
        <v>21</v>
      </c>
      <c r="E109" s="478" t="s">
        <v>400</v>
      </c>
      <c r="F109" s="479">
        <v>103</v>
      </c>
      <c r="G109" s="480"/>
      <c r="H109" s="481"/>
      <c r="I109" s="481"/>
      <c r="J109" s="481"/>
      <c r="K109" s="481"/>
      <c r="L109" s="481"/>
      <c r="M109" s="481"/>
      <c r="N109" s="481"/>
      <c r="O109" s="481"/>
      <c r="P109" s="482"/>
      <c r="Q109" s="483" t="s">
        <v>179</v>
      </c>
      <c r="R109" s="484">
        <v>0</v>
      </c>
      <c r="S109" s="485">
        <v>52.8</v>
      </c>
      <c r="T109" s="671">
        <f>표3[[#This Row],[편입면적]]/(SUM(표3[공부면적]))</f>
        <v>6.5967016491754113E-3</v>
      </c>
      <c r="U109" s="486" t="s">
        <v>179</v>
      </c>
      <c r="V109" s="487"/>
      <c r="W109" s="488">
        <v>55.29</v>
      </c>
      <c r="X109" s="489">
        <v>20.38</v>
      </c>
      <c r="Y109" s="489">
        <v>75.67</v>
      </c>
      <c r="Z109" s="489" t="s">
        <v>179</v>
      </c>
      <c r="AA109" s="518"/>
      <c r="AB109" s="491"/>
      <c r="AC109" s="492"/>
      <c r="AD109" s="493"/>
      <c r="AE109" s="493"/>
      <c r="AF109" s="494"/>
      <c r="AG109" s="495" t="s">
        <v>176</v>
      </c>
      <c r="AH109" s="495"/>
      <c r="AI109" s="495" t="s">
        <v>183</v>
      </c>
      <c r="AJ109" s="496"/>
      <c r="AK109" s="497"/>
      <c r="AL109" s="497"/>
      <c r="AM109" s="494"/>
      <c r="AN109" s="498"/>
      <c r="AO109" s="499" t="s">
        <v>406</v>
      </c>
      <c r="AP109" s="500" t="s">
        <v>179</v>
      </c>
      <c r="AQ109" s="500"/>
      <c r="AR109" s="501">
        <v>74</v>
      </c>
      <c r="AS10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109" s="502" t="s">
        <v>407</v>
      </c>
      <c r="AU109" s="503"/>
      <c r="AV109" s="503"/>
      <c r="AW109" s="503" t="str">
        <f>IF(COUNTIF('설명회 참석자 명부'!$W$4:$W$29,표3[[#This Row],[성  명]])&gt;0,"O","")</f>
        <v/>
      </c>
      <c r="AX109" s="503" t="str">
        <f>_xlfn.XLOOKUP(표3[[#This Row],[성  명]],'설명회 참석자 명부'!$W$4:$W$29,'설명회 참석자 명부'!$X$4:$X$29,"")</f>
        <v/>
      </c>
      <c r="AY109" s="503"/>
      <c r="AZ109" s="503"/>
      <c r="BA109" s="503"/>
      <c r="BB109" s="503"/>
      <c r="BC109" s="503"/>
      <c r="BD109" s="503"/>
      <c r="BE109" s="503"/>
      <c r="BF109" s="504"/>
      <c r="BG109" s="504"/>
      <c r="BH109" s="504"/>
      <c r="BI109" s="504"/>
      <c r="BJ109" s="504"/>
      <c r="BK109" s="504" t="str">
        <f>IFERROR(LEFT(표3[[#This Row],[주소]],FIND(" ",표3[[#This Row],[주소]])-1),"")</f>
        <v>서울특별시</v>
      </c>
      <c r="BL109" s="504" t="str">
        <f>IFERROR(MID(표3[[#This Row],[주소]], FIND(" ", 표3[[#This Row],[주소]])+1, FIND(" ", 표3[[#This Row],[주소]], FIND(" ", 표3[[#This Row],[주소]])+1) - FIND(" ", 표3[[#This Row],[주소]])-1),"")</f>
        <v>강동구</v>
      </c>
      <c r="BM10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성내동</v>
      </c>
      <c r="BN109" s="504"/>
      <c r="BO109" s="504"/>
      <c r="BP109" s="504"/>
      <c r="BQ109" s="504"/>
      <c r="BR109" s="505"/>
      <c r="BS109" s="714" t="s">
        <v>179</v>
      </c>
      <c r="BT109" s="715" t="s">
        <v>179</v>
      </c>
      <c r="BU109" s="715" t="s">
        <v>179</v>
      </c>
      <c r="BV109" s="715" t="s">
        <v>179</v>
      </c>
      <c r="BW109" s="715" t="s">
        <v>179</v>
      </c>
      <c r="BX109" s="715" t="s">
        <v>179</v>
      </c>
      <c r="BY109" s="715" t="s">
        <v>370</v>
      </c>
      <c r="BZ109" s="715">
        <v>75.67</v>
      </c>
      <c r="CA109" s="715">
        <v>52.8</v>
      </c>
      <c r="CB109" s="715">
        <v>553000000</v>
      </c>
      <c r="CC109" s="715">
        <v>553000000</v>
      </c>
      <c r="CD109" s="726">
        <f>표3[[#This Row],[종전추정가액]]*1.5219</f>
        <v>841610700</v>
      </c>
      <c r="CE109" s="506"/>
      <c r="CF109" s="507"/>
      <c r="CG109" s="507"/>
      <c r="CH109" s="508"/>
      <c r="CI109" s="508"/>
      <c r="CJ109" s="509"/>
      <c r="CK109" s="510"/>
      <c r="CL109" s="511"/>
      <c r="CM109" s="512"/>
      <c r="CN109" s="513"/>
      <c r="CO109" s="513"/>
      <c r="CP109" s="513"/>
      <c r="CQ109" s="513"/>
      <c r="CR109" s="513"/>
      <c r="CS109" s="514"/>
      <c r="CT109" s="515"/>
      <c r="CU109" s="515"/>
      <c r="CV109" s="515"/>
      <c r="CW109" s="515"/>
      <c r="CX109" s="515"/>
      <c r="CY109" s="515"/>
      <c r="CZ109" s="515"/>
      <c r="DA109" s="515"/>
      <c r="DB109" s="515"/>
      <c r="DC109" s="515"/>
      <c r="DD109" s="515"/>
      <c r="DE109" s="515"/>
      <c r="DF109" s="516"/>
    </row>
    <row r="110" spans="1:110" s="532" customFormat="1" ht="19">
      <c r="A110" s="475"/>
      <c r="B110" s="476">
        <v>77</v>
      </c>
      <c r="C110" s="477">
        <v>28</v>
      </c>
      <c r="D110" s="478">
        <v>21</v>
      </c>
      <c r="E110" s="478" t="s">
        <v>400</v>
      </c>
      <c r="F110" s="479">
        <v>105</v>
      </c>
      <c r="G110" s="480"/>
      <c r="H110" s="481"/>
      <c r="I110" s="481"/>
      <c r="J110" s="481"/>
      <c r="K110" s="481"/>
      <c r="L110" s="481"/>
      <c r="M110" s="481"/>
      <c r="N110" s="481"/>
      <c r="O110" s="481"/>
      <c r="P110" s="482"/>
      <c r="Q110" s="483" t="s">
        <v>179</v>
      </c>
      <c r="R110" s="484">
        <v>0</v>
      </c>
      <c r="S110" s="485">
        <v>52.8</v>
      </c>
      <c r="T110" s="671">
        <f>표3[[#This Row],[편입면적]]/(SUM(표3[공부면적]))</f>
        <v>6.5967016491754113E-3</v>
      </c>
      <c r="U110" s="486" t="s">
        <v>179</v>
      </c>
      <c r="V110" s="487"/>
      <c r="W110" s="488">
        <v>55.29</v>
      </c>
      <c r="X110" s="489">
        <v>20.38</v>
      </c>
      <c r="Y110" s="489">
        <v>75.67</v>
      </c>
      <c r="Z110" s="489" t="s">
        <v>179</v>
      </c>
      <c r="AA110" s="518"/>
      <c r="AB110" s="491"/>
      <c r="AC110" s="492"/>
      <c r="AD110" s="493"/>
      <c r="AE110" s="493"/>
      <c r="AF110" s="494"/>
      <c r="AG110" s="495" t="s">
        <v>176</v>
      </c>
      <c r="AH110" s="495"/>
      <c r="AI110" s="495" t="s">
        <v>183</v>
      </c>
      <c r="AJ110" s="496"/>
      <c r="AK110" s="497"/>
      <c r="AL110" s="497"/>
      <c r="AM110" s="494"/>
      <c r="AN110" s="498"/>
      <c r="AO110" s="499" t="s">
        <v>408</v>
      </c>
      <c r="AP110" s="500" t="s">
        <v>179</v>
      </c>
      <c r="AQ110" s="500"/>
      <c r="AR110" s="501">
        <v>41</v>
      </c>
      <c r="AS11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110" s="502" t="s">
        <v>409</v>
      </c>
      <c r="AU110" s="503" t="s">
        <v>190</v>
      </c>
      <c r="AV110" s="503"/>
      <c r="AW110" s="503" t="str">
        <f>IF(COUNTIF('설명회 참석자 명부'!$W$4:$W$29,표3[[#This Row],[성  명]])&gt;0,"O","")</f>
        <v/>
      </c>
      <c r="AX110" s="503" t="str">
        <f>_xlfn.XLOOKUP(표3[[#This Row],[성  명]],'설명회 참석자 명부'!$W$4:$W$29,'설명회 참석자 명부'!$X$4:$X$29,"")</f>
        <v/>
      </c>
      <c r="AY110" s="503"/>
      <c r="AZ110" s="503"/>
      <c r="BA110" s="503"/>
      <c r="BB110" s="503"/>
      <c r="BC110" s="503"/>
      <c r="BD110" s="503"/>
      <c r="BE110" s="503"/>
      <c r="BF110" s="504"/>
      <c r="BG110" s="504"/>
      <c r="BH110" s="504"/>
      <c r="BI110" s="504"/>
      <c r="BJ110" s="504"/>
      <c r="BK110" s="504" t="str">
        <f>IFERROR(LEFT(표3[[#This Row],[주소]],FIND(" ",표3[[#This Row],[주소]])-1),"")</f>
        <v>서울특별시</v>
      </c>
      <c r="BL11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1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110" s="504"/>
      <c r="BO110" s="504"/>
      <c r="BP110" s="504"/>
      <c r="BQ110" s="504"/>
      <c r="BR110" s="505"/>
      <c r="BS110" s="714" t="s">
        <v>179</v>
      </c>
      <c r="BT110" s="715" t="s">
        <v>179</v>
      </c>
      <c r="BU110" s="715" t="s">
        <v>179</v>
      </c>
      <c r="BV110" s="715" t="s">
        <v>179</v>
      </c>
      <c r="BW110" s="715" t="s">
        <v>179</v>
      </c>
      <c r="BX110" s="715" t="s">
        <v>179</v>
      </c>
      <c r="BY110" s="715" t="s">
        <v>370</v>
      </c>
      <c r="BZ110" s="715">
        <v>75.67</v>
      </c>
      <c r="CA110" s="715">
        <v>52.8</v>
      </c>
      <c r="CB110" s="715">
        <v>553000000</v>
      </c>
      <c r="CC110" s="715">
        <v>553000000</v>
      </c>
      <c r="CD110" s="726">
        <f>표3[[#This Row],[종전추정가액]]*1.5219</f>
        <v>841610700</v>
      </c>
      <c r="CE110" s="506"/>
      <c r="CF110" s="507"/>
      <c r="CG110" s="507"/>
      <c r="CH110" s="508"/>
      <c r="CI110" s="508"/>
      <c r="CJ110" s="509"/>
      <c r="CK110" s="510"/>
      <c r="CL110" s="511"/>
      <c r="CM110" s="512"/>
      <c r="CN110" s="513"/>
      <c r="CO110" s="513"/>
      <c r="CP110" s="513"/>
      <c r="CQ110" s="513"/>
      <c r="CR110" s="513"/>
      <c r="CS110" s="514"/>
      <c r="CT110" s="515"/>
      <c r="CU110" s="515"/>
      <c r="CV110" s="515"/>
      <c r="CW110" s="515"/>
      <c r="CX110" s="515"/>
      <c r="CY110" s="515"/>
      <c r="CZ110" s="515"/>
      <c r="DA110" s="515"/>
      <c r="DB110" s="515"/>
      <c r="DC110" s="515"/>
      <c r="DD110" s="515"/>
      <c r="DE110" s="515"/>
      <c r="DF110" s="516"/>
    </row>
    <row r="111" spans="1:110" s="532" customFormat="1" ht="19">
      <c r="A111" s="475"/>
      <c r="B111" s="476">
        <v>78</v>
      </c>
      <c r="C111" s="477">
        <v>28</v>
      </c>
      <c r="D111" s="478">
        <v>21</v>
      </c>
      <c r="E111" s="478" t="s">
        <v>400</v>
      </c>
      <c r="F111" s="479">
        <v>201</v>
      </c>
      <c r="G111" s="480"/>
      <c r="H111" s="481"/>
      <c r="I111" s="481"/>
      <c r="J111" s="481"/>
      <c r="K111" s="481"/>
      <c r="L111" s="481"/>
      <c r="M111" s="481"/>
      <c r="N111" s="481"/>
      <c r="O111" s="481"/>
      <c r="P111" s="482"/>
      <c r="Q111" s="483" t="s">
        <v>179</v>
      </c>
      <c r="R111" s="484">
        <v>0</v>
      </c>
      <c r="S111" s="485">
        <v>52.8</v>
      </c>
      <c r="T111" s="671">
        <f>표3[[#This Row],[편입면적]]/(SUM(표3[공부면적]))</f>
        <v>6.5967016491754113E-3</v>
      </c>
      <c r="U111" s="486" t="s">
        <v>179</v>
      </c>
      <c r="V111" s="487"/>
      <c r="W111" s="488">
        <v>55.29</v>
      </c>
      <c r="X111" s="489">
        <v>20.38</v>
      </c>
      <c r="Y111" s="489">
        <v>75.67</v>
      </c>
      <c r="Z111" s="489" t="s">
        <v>179</v>
      </c>
      <c r="AA111" s="518"/>
      <c r="AB111" s="491"/>
      <c r="AC111" s="492"/>
      <c r="AD111" s="493"/>
      <c r="AE111" s="493"/>
      <c r="AF111" s="494"/>
      <c r="AG111" s="495" t="s">
        <v>176</v>
      </c>
      <c r="AH111" s="495"/>
      <c r="AI111" s="495" t="s">
        <v>183</v>
      </c>
      <c r="AJ111" s="496"/>
      <c r="AK111" s="497"/>
      <c r="AL111" s="497"/>
      <c r="AM111" s="494"/>
      <c r="AN111" s="498"/>
      <c r="AO111" s="499" t="s">
        <v>410</v>
      </c>
      <c r="AP111" s="500" t="s">
        <v>179</v>
      </c>
      <c r="AQ111" s="500"/>
      <c r="AR111" s="501">
        <v>58</v>
      </c>
      <c r="AS11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11" s="502" t="s">
        <v>411</v>
      </c>
      <c r="AU111" s="503"/>
      <c r="AV111" s="503"/>
      <c r="AW111" s="503" t="str">
        <f>IF(COUNTIF('설명회 참석자 명부'!$W$4:$W$29,표3[[#This Row],[성  명]])&gt;0,"O","")</f>
        <v/>
      </c>
      <c r="AX111" s="503" t="str">
        <f>_xlfn.XLOOKUP(표3[[#This Row],[성  명]],'설명회 참석자 명부'!$W$4:$W$29,'설명회 참석자 명부'!$X$4:$X$29,"")</f>
        <v/>
      </c>
      <c r="AY111" s="503"/>
      <c r="AZ111" s="503"/>
      <c r="BA111" s="503"/>
      <c r="BB111" s="503"/>
      <c r="BC111" s="503"/>
      <c r="BD111" s="503"/>
      <c r="BE111" s="503"/>
      <c r="BF111" s="504"/>
      <c r="BG111" s="504"/>
      <c r="BH111" s="504"/>
      <c r="BI111" s="504"/>
      <c r="BJ111" s="504"/>
      <c r="BK111" s="504" t="str">
        <f>IFERROR(LEFT(표3[[#This Row],[주소]],FIND(" ",표3[[#This Row],[주소]])-1),"")</f>
        <v>서울특별시</v>
      </c>
      <c r="BL11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1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</v>
      </c>
      <c r="BN111" s="504"/>
      <c r="BO111" s="504"/>
      <c r="BP111" s="504"/>
      <c r="BQ111" s="504"/>
      <c r="BR111" s="505"/>
      <c r="BS111" s="714" t="s">
        <v>179</v>
      </c>
      <c r="BT111" s="715" t="s">
        <v>179</v>
      </c>
      <c r="BU111" s="715" t="s">
        <v>179</v>
      </c>
      <c r="BV111" s="715" t="s">
        <v>179</v>
      </c>
      <c r="BW111" s="715" t="s">
        <v>179</v>
      </c>
      <c r="BX111" s="715" t="s">
        <v>179</v>
      </c>
      <c r="BY111" s="715" t="s">
        <v>370</v>
      </c>
      <c r="BZ111" s="715">
        <v>75.67</v>
      </c>
      <c r="CA111" s="715">
        <v>52.8</v>
      </c>
      <c r="CB111" s="715">
        <v>569000000</v>
      </c>
      <c r="CC111" s="715">
        <v>569000000</v>
      </c>
      <c r="CD111" s="726">
        <f>표3[[#This Row],[종전추정가액]]*1.5219</f>
        <v>865961100</v>
      </c>
      <c r="CE111" s="506"/>
      <c r="CF111" s="507"/>
      <c r="CG111" s="507"/>
      <c r="CH111" s="508"/>
      <c r="CI111" s="508"/>
      <c r="CJ111" s="509"/>
      <c r="CK111" s="510"/>
      <c r="CL111" s="511"/>
      <c r="CM111" s="512"/>
      <c r="CN111" s="513"/>
      <c r="CO111" s="513"/>
      <c r="CP111" s="513"/>
      <c r="CQ111" s="513"/>
      <c r="CR111" s="513"/>
      <c r="CS111" s="514"/>
      <c r="CT111" s="515"/>
      <c r="CU111" s="515"/>
      <c r="CV111" s="515"/>
      <c r="CW111" s="515"/>
      <c r="CX111" s="515"/>
      <c r="CY111" s="515"/>
      <c r="CZ111" s="515"/>
      <c r="DA111" s="515"/>
      <c r="DB111" s="515"/>
      <c r="DC111" s="515"/>
      <c r="DD111" s="515"/>
      <c r="DE111" s="515"/>
      <c r="DF111" s="516"/>
    </row>
    <row r="112" spans="1:110" s="532" customFormat="1" ht="19">
      <c r="A112" s="475"/>
      <c r="B112" s="476">
        <v>79</v>
      </c>
      <c r="C112" s="477">
        <v>28</v>
      </c>
      <c r="D112" s="478">
        <v>21</v>
      </c>
      <c r="E112" s="478" t="s">
        <v>400</v>
      </c>
      <c r="F112" s="479">
        <v>202</v>
      </c>
      <c r="G112" s="480"/>
      <c r="H112" s="481"/>
      <c r="I112" s="481"/>
      <c r="J112" s="481"/>
      <c r="K112" s="481" t="s">
        <v>174</v>
      </c>
      <c r="L112" s="481" t="s">
        <v>174</v>
      </c>
      <c r="M112" s="481" t="s">
        <v>174</v>
      </c>
      <c r="N112" s="481"/>
      <c r="O112" s="481"/>
      <c r="P112" s="482" t="s">
        <v>412</v>
      </c>
      <c r="Q112" s="483" t="s">
        <v>179</v>
      </c>
      <c r="R112" s="484">
        <v>0</v>
      </c>
      <c r="S112" s="485">
        <v>52.8</v>
      </c>
      <c r="T112" s="671">
        <f>표3[[#This Row],[편입면적]]/(SUM(표3[공부면적]))</f>
        <v>6.5967016491754113E-3</v>
      </c>
      <c r="U112" s="486" t="s">
        <v>179</v>
      </c>
      <c r="V112" s="487"/>
      <c r="W112" s="488">
        <v>55.29</v>
      </c>
      <c r="X112" s="489">
        <v>20.38</v>
      </c>
      <c r="Y112" s="489">
        <v>75.67</v>
      </c>
      <c r="Z112" s="489" t="s">
        <v>179</v>
      </c>
      <c r="AA112" s="518"/>
      <c r="AB112" s="491"/>
      <c r="AC112" s="492"/>
      <c r="AD112" s="493"/>
      <c r="AE112" s="493"/>
      <c r="AF112" s="494"/>
      <c r="AG112" s="495" t="s">
        <v>176</v>
      </c>
      <c r="AH112" s="495"/>
      <c r="AI112" s="495" t="s">
        <v>183</v>
      </c>
      <c r="AJ112" s="496"/>
      <c r="AK112" s="497"/>
      <c r="AL112" s="497"/>
      <c r="AM112" s="494"/>
      <c r="AN112" s="498"/>
      <c r="AO112" s="499" t="s">
        <v>413</v>
      </c>
      <c r="AP112" s="500">
        <v>1031124282</v>
      </c>
      <c r="AQ112" s="500"/>
      <c r="AR112" s="501">
        <v>52</v>
      </c>
      <c r="AS11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112" s="502" t="s">
        <v>414</v>
      </c>
      <c r="AU112" s="503" t="s">
        <v>190</v>
      </c>
      <c r="AV112" s="503"/>
      <c r="AW112" s="503" t="str">
        <f>IF(COUNTIF('설명회 참석자 명부'!$W$4:$W$29,표3[[#This Row],[성  명]])&gt;0,"O","")</f>
        <v/>
      </c>
      <c r="AX112" s="503" t="str">
        <f>_xlfn.XLOOKUP(표3[[#This Row],[성  명]],'설명회 참석자 명부'!$W$4:$W$29,'설명회 참석자 명부'!$X$4:$X$29,"")</f>
        <v/>
      </c>
      <c r="AY112" s="503"/>
      <c r="AZ112" s="503"/>
      <c r="BA112" s="503"/>
      <c r="BB112" s="503"/>
      <c r="BC112" s="503"/>
      <c r="BD112" s="503"/>
      <c r="BE112" s="503"/>
      <c r="BF112" s="504"/>
      <c r="BG112" s="504"/>
      <c r="BH112" s="504"/>
      <c r="BI112" s="504"/>
      <c r="BJ112" s="504"/>
      <c r="BK112" s="504" t="str">
        <f>IFERROR(LEFT(표3[[#This Row],[주소]],FIND(" ",표3[[#This Row],[주소]])-1),"")</f>
        <v>경기도</v>
      </c>
      <c r="BL112" s="504" t="str">
        <f>IFERROR(MID(표3[[#This Row],[주소]], FIND(" ", 표3[[#This Row],[주소]])+1, FIND(" ", 표3[[#This Row],[주소]], FIND(" ", 표3[[#This Row],[주소]])+1) - FIND(" ", 표3[[#This Row],[주소]])-1),"")</f>
        <v>광주시</v>
      </c>
      <c r="BM11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곤지암읍</v>
      </c>
      <c r="BN112" s="504"/>
      <c r="BO112" s="504"/>
      <c r="BP112" s="504"/>
      <c r="BQ112" s="504"/>
      <c r="BR112" s="505"/>
      <c r="BS112" s="714" t="s">
        <v>179</v>
      </c>
      <c r="BT112" s="715" t="s">
        <v>179</v>
      </c>
      <c r="BU112" s="715" t="s">
        <v>179</v>
      </c>
      <c r="BV112" s="715" t="s">
        <v>179</v>
      </c>
      <c r="BW112" s="715" t="s">
        <v>179</v>
      </c>
      <c r="BX112" s="715" t="s">
        <v>179</v>
      </c>
      <c r="BY112" s="715" t="s">
        <v>370</v>
      </c>
      <c r="BZ112" s="715">
        <v>75.67</v>
      </c>
      <c r="CA112" s="715">
        <v>52.8</v>
      </c>
      <c r="CB112" s="715">
        <v>569000000</v>
      </c>
      <c r="CC112" s="715">
        <v>569000000</v>
      </c>
      <c r="CD112" s="726">
        <f>표3[[#This Row],[종전추정가액]]*1.5219</f>
        <v>865961100</v>
      </c>
      <c r="CE112" s="506"/>
      <c r="CF112" s="507"/>
      <c r="CG112" s="507"/>
      <c r="CH112" s="508"/>
      <c r="CI112" s="508"/>
      <c r="CJ112" s="509"/>
      <c r="CK112" s="510"/>
      <c r="CL112" s="511"/>
      <c r="CM112" s="512"/>
      <c r="CN112" s="513"/>
      <c r="CO112" s="513"/>
      <c r="CP112" s="513"/>
      <c r="CQ112" s="513"/>
      <c r="CR112" s="513"/>
      <c r="CS112" s="514"/>
      <c r="CT112" s="515"/>
      <c r="CU112" s="515"/>
      <c r="CV112" s="515"/>
      <c r="CW112" s="515"/>
      <c r="CX112" s="515"/>
      <c r="CY112" s="515"/>
      <c r="CZ112" s="515"/>
      <c r="DA112" s="515"/>
      <c r="DB112" s="515"/>
      <c r="DC112" s="515"/>
      <c r="DD112" s="515"/>
      <c r="DE112" s="515"/>
      <c r="DF112" s="516"/>
    </row>
    <row r="113" spans="1:110" s="532" customFormat="1" ht="23">
      <c r="A113" s="475"/>
      <c r="B113" s="476">
        <v>80</v>
      </c>
      <c r="C113" s="477">
        <v>28</v>
      </c>
      <c r="D113" s="478">
        <v>21</v>
      </c>
      <c r="E113" s="478" t="s">
        <v>400</v>
      </c>
      <c r="F113" s="479">
        <v>203</v>
      </c>
      <c r="G113" s="480"/>
      <c r="H113" s="481"/>
      <c r="I113" s="481"/>
      <c r="J113" s="481"/>
      <c r="K113" s="481"/>
      <c r="L113" s="481"/>
      <c r="M113" s="481"/>
      <c r="N113" s="481"/>
      <c r="O113" s="481"/>
      <c r="P113" s="482"/>
      <c r="Q113" s="483" t="s">
        <v>179</v>
      </c>
      <c r="R113" s="484">
        <v>0</v>
      </c>
      <c r="S113" s="485">
        <v>52.8</v>
      </c>
      <c r="T113" s="671">
        <f>표3[[#This Row],[편입면적]]/(SUM(표3[공부면적]))</f>
        <v>6.5967016491754113E-3</v>
      </c>
      <c r="U113" s="486" t="s">
        <v>179</v>
      </c>
      <c r="V113" s="487"/>
      <c r="W113" s="488">
        <v>55.29</v>
      </c>
      <c r="X113" s="489">
        <v>20.38</v>
      </c>
      <c r="Y113" s="489">
        <v>75.67</v>
      </c>
      <c r="Z113" s="489" t="s">
        <v>179</v>
      </c>
      <c r="AA113" s="518"/>
      <c r="AB113" s="491"/>
      <c r="AC113" s="492"/>
      <c r="AD113" s="493"/>
      <c r="AE113" s="493"/>
      <c r="AF113" s="494"/>
      <c r="AG113" s="495" t="s">
        <v>176</v>
      </c>
      <c r="AH113" s="495"/>
      <c r="AI113" s="495" t="s">
        <v>183</v>
      </c>
      <c r="AJ113" s="496"/>
      <c r="AK113" s="497"/>
      <c r="AL113" s="497"/>
      <c r="AM113" s="494"/>
      <c r="AN113" s="498"/>
      <c r="AO113" s="499" t="s">
        <v>415</v>
      </c>
      <c r="AP113" s="626" t="s">
        <v>416</v>
      </c>
      <c r="AQ113" s="500"/>
      <c r="AR113" s="501">
        <v>60</v>
      </c>
      <c r="AS11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13" s="502" t="s">
        <v>417</v>
      </c>
      <c r="AU113" s="503" t="s">
        <v>190</v>
      </c>
      <c r="AV113" s="503"/>
      <c r="AW113" s="503" t="str">
        <f>IF(COUNTIF('설명회 참석자 명부'!$W$4:$W$29,표3[[#This Row],[성  명]])&gt;0,"O","")</f>
        <v/>
      </c>
      <c r="AX113" s="503" t="str">
        <f>_xlfn.XLOOKUP(표3[[#This Row],[성  명]],'설명회 참석자 명부'!$W$4:$W$29,'설명회 참석자 명부'!$X$4:$X$29,"")</f>
        <v/>
      </c>
      <c r="AY113" s="503"/>
      <c r="AZ113" s="503"/>
      <c r="BA113" s="503" t="s">
        <v>190</v>
      </c>
      <c r="BB113" s="503"/>
      <c r="BC113" s="503"/>
      <c r="BD113" s="503"/>
      <c r="BE113" s="503"/>
      <c r="BF113" s="504"/>
      <c r="BG113" s="504"/>
      <c r="BH113" s="504"/>
      <c r="BI113" s="504"/>
      <c r="BJ113" s="504"/>
      <c r="BK113" s="504" t="str">
        <f>IFERROR(LEFT(표3[[#This Row],[주소]],FIND(" ",표3[[#This Row],[주소]])-1),"")</f>
        <v>서울</v>
      </c>
      <c r="BL11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1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113" s="504"/>
      <c r="BO113" s="504"/>
      <c r="BP113" s="504"/>
      <c r="BQ113" s="504"/>
      <c r="BR113" s="505"/>
      <c r="BS113" s="714" t="s">
        <v>179</v>
      </c>
      <c r="BT113" s="715" t="s">
        <v>179</v>
      </c>
      <c r="BU113" s="715" t="s">
        <v>179</v>
      </c>
      <c r="BV113" s="715" t="s">
        <v>179</v>
      </c>
      <c r="BW113" s="715" t="s">
        <v>179</v>
      </c>
      <c r="BX113" s="715" t="s">
        <v>179</v>
      </c>
      <c r="BY113" s="715" t="s">
        <v>370</v>
      </c>
      <c r="BZ113" s="715">
        <v>75.67</v>
      </c>
      <c r="CA113" s="715">
        <v>52.8</v>
      </c>
      <c r="CB113" s="715">
        <v>569000000</v>
      </c>
      <c r="CC113" s="715">
        <v>569000000</v>
      </c>
      <c r="CD113" s="726">
        <f>표3[[#This Row],[종전추정가액]]*1.5219</f>
        <v>865961100</v>
      </c>
      <c r="CE113" s="506"/>
      <c r="CF113" s="507"/>
      <c r="CG113" s="507"/>
      <c r="CH113" s="508"/>
      <c r="CI113" s="508"/>
      <c r="CJ113" s="509"/>
      <c r="CK113" s="510"/>
      <c r="CL113" s="511"/>
      <c r="CM113" s="512"/>
      <c r="CN113" s="513"/>
      <c r="CO113" s="513"/>
      <c r="CP113" s="513"/>
      <c r="CQ113" s="513"/>
      <c r="CR113" s="513"/>
      <c r="CS113" s="514"/>
      <c r="CT113" s="515"/>
      <c r="CU113" s="515"/>
      <c r="CV113" s="515"/>
      <c r="CW113" s="515"/>
      <c r="CX113" s="515"/>
      <c r="CY113" s="515"/>
      <c r="CZ113" s="515"/>
      <c r="DA113" s="515"/>
      <c r="DB113" s="515"/>
      <c r="DC113" s="515"/>
      <c r="DD113" s="515"/>
      <c r="DE113" s="515"/>
      <c r="DF113" s="516"/>
    </row>
    <row r="114" spans="1:110" s="532" customFormat="1" ht="19">
      <c r="A114" s="475"/>
      <c r="B114" s="476">
        <v>81</v>
      </c>
      <c r="C114" s="477">
        <v>28</v>
      </c>
      <c r="D114" s="478">
        <v>21</v>
      </c>
      <c r="E114" s="478" t="s">
        <v>400</v>
      </c>
      <c r="F114" s="479">
        <v>205</v>
      </c>
      <c r="G114" s="480"/>
      <c r="H114" s="481"/>
      <c r="I114" s="481"/>
      <c r="J114" s="481"/>
      <c r="K114" s="481"/>
      <c r="L114" s="481"/>
      <c r="M114" s="481"/>
      <c r="N114" s="481"/>
      <c r="O114" s="481"/>
      <c r="P114" s="482" t="s">
        <v>418</v>
      </c>
      <c r="Q114" s="483" t="s">
        <v>179</v>
      </c>
      <c r="R114" s="484">
        <v>0</v>
      </c>
      <c r="S114" s="485">
        <v>52.8</v>
      </c>
      <c r="T114" s="671">
        <f>표3[[#This Row],[편입면적]]/(SUM(표3[공부면적]))</f>
        <v>6.5967016491754113E-3</v>
      </c>
      <c r="U114" s="486" t="s">
        <v>179</v>
      </c>
      <c r="V114" s="487"/>
      <c r="W114" s="488">
        <v>55.29</v>
      </c>
      <c r="X114" s="489">
        <v>20.38</v>
      </c>
      <c r="Y114" s="489">
        <v>75.67</v>
      </c>
      <c r="Z114" s="489" t="s">
        <v>179</v>
      </c>
      <c r="AA114" s="518"/>
      <c r="AB114" s="491"/>
      <c r="AC114" s="492"/>
      <c r="AD114" s="493"/>
      <c r="AE114" s="493"/>
      <c r="AF114" s="494"/>
      <c r="AG114" s="495" t="s">
        <v>176</v>
      </c>
      <c r="AH114" s="495"/>
      <c r="AI114" s="495" t="s">
        <v>183</v>
      </c>
      <c r="AJ114" s="496"/>
      <c r="AK114" s="497"/>
      <c r="AL114" s="497"/>
      <c r="AM114" s="494"/>
      <c r="AN114" s="498"/>
      <c r="AO114" s="499" t="s">
        <v>419</v>
      </c>
      <c r="AP114" s="500" t="s">
        <v>420</v>
      </c>
      <c r="AQ114" s="500" t="s">
        <v>421</v>
      </c>
      <c r="AR114" s="501">
        <v>65</v>
      </c>
      <c r="AS11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14" s="502" t="s">
        <v>422</v>
      </c>
      <c r="AU114" s="503"/>
      <c r="AV114" s="657" t="s">
        <v>174</v>
      </c>
      <c r="AW114" s="503" t="str">
        <f>IF(COUNTIF('설명회 참석자 명부'!$W$4:$W$29,표3[[#This Row],[성  명]])&gt;0,"O","")</f>
        <v/>
      </c>
      <c r="AX114" s="503" t="str">
        <f>_xlfn.XLOOKUP(표3[[#This Row],[성  명]],'설명회 참석자 명부'!$W$4:$W$29,'설명회 참석자 명부'!$X$4:$X$29,"")</f>
        <v/>
      </c>
      <c r="AY114" s="503"/>
      <c r="AZ114" s="503"/>
      <c r="BA114" s="503" t="s">
        <v>190</v>
      </c>
      <c r="BB114" s="503"/>
      <c r="BC114" s="503"/>
      <c r="BD114" s="503"/>
      <c r="BE114" s="503"/>
      <c r="BF114" s="504"/>
      <c r="BG114" s="504"/>
      <c r="BH114" s="504"/>
      <c r="BI114" s="504"/>
      <c r="BJ114" s="504"/>
      <c r="BK114" s="504" t="str">
        <f>IFERROR(LEFT(표3[[#This Row],[주소]],FIND(" ",표3[[#This Row],[주소]])-1),"")</f>
        <v>서울특별시</v>
      </c>
      <c r="BL11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1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백제고분로45길</v>
      </c>
      <c r="BN114" s="504"/>
      <c r="BO114" s="504"/>
      <c r="BP114" s="504"/>
      <c r="BQ114" s="504"/>
      <c r="BR114" s="505"/>
      <c r="BS114" s="714" t="s">
        <v>179</v>
      </c>
      <c r="BT114" s="715" t="s">
        <v>179</v>
      </c>
      <c r="BU114" s="715" t="s">
        <v>179</v>
      </c>
      <c r="BV114" s="715" t="s">
        <v>179</v>
      </c>
      <c r="BW114" s="715" t="s">
        <v>179</v>
      </c>
      <c r="BX114" s="715" t="s">
        <v>179</v>
      </c>
      <c r="BY114" s="715" t="s">
        <v>370</v>
      </c>
      <c r="BZ114" s="715">
        <v>75.67</v>
      </c>
      <c r="CA114" s="715">
        <v>52.8</v>
      </c>
      <c r="CB114" s="715">
        <v>569000000</v>
      </c>
      <c r="CC114" s="715">
        <v>569000000</v>
      </c>
      <c r="CD114" s="726">
        <f>표3[[#This Row],[종전추정가액]]*1.5219</f>
        <v>865961100</v>
      </c>
      <c r="CE114" s="506"/>
      <c r="CF114" s="507"/>
      <c r="CG114" s="507"/>
      <c r="CH114" s="508"/>
      <c r="CI114" s="508"/>
      <c r="CJ114" s="509"/>
      <c r="CK114" s="510"/>
      <c r="CL114" s="511"/>
      <c r="CM114" s="512"/>
      <c r="CN114" s="513"/>
      <c r="CO114" s="513"/>
      <c r="CP114" s="513"/>
      <c r="CQ114" s="513"/>
      <c r="CR114" s="513"/>
      <c r="CS114" s="514"/>
      <c r="CT114" s="515"/>
      <c r="CU114" s="515"/>
      <c r="CV114" s="515"/>
      <c r="CW114" s="515"/>
      <c r="CX114" s="515"/>
      <c r="CY114" s="515"/>
      <c r="CZ114" s="515"/>
      <c r="DA114" s="515"/>
      <c r="DB114" s="515"/>
      <c r="DC114" s="515"/>
      <c r="DD114" s="515"/>
      <c r="DE114" s="515"/>
      <c r="DF114" s="516"/>
    </row>
    <row r="115" spans="1:110" s="532" customFormat="1" ht="19">
      <c r="A115" s="475"/>
      <c r="B115" s="476">
        <v>82</v>
      </c>
      <c r="C115" s="477">
        <v>28</v>
      </c>
      <c r="D115" s="478">
        <v>21</v>
      </c>
      <c r="E115" s="478" t="s">
        <v>400</v>
      </c>
      <c r="F115" s="479">
        <v>301</v>
      </c>
      <c r="G115" s="480"/>
      <c r="H115" s="481"/>
      <c r="I115" s="481"/>
      <c r="J115" s="481"/>
      <c r="K115" s="481"/>
      <c r="L115" s="481"/>
      <c r="M115" s="481"/>
      <c r="N115" s="481"/>
      <c r="O115" s="481"/>
      <c r="P115" s="482"/>
      <c r="Q115" s="483" t="s">
        <v>179</v>
      </c>
      <c r="R115" s="484">
        <v>0</v>
      </c>
      <c r="S115" s="485">
        <v>52.8</v>
      </c>
      <c r="T115" s="671">
        <f>표3[[#This Row],[편입면적]]/(SUM(표3[공부면적]))</f>
        <v>6.5967016491754113E-3</v>
      </c>
      <c r="U115" s="486" t="s">
        <v>179</v>
      </c>
      <c r="V115" s="487"/>
      <c r="W115" s="488">
        <v>55.29</v>
      </c>
      <c r="X115" s="489">
        <v>20.38</v>
      </c>
      <c r="Y115" s="489">
        <v>75.67</v>
      </c>
      <c r="Z115" s="489" t="s">
        <v>179</v>
      </c>
      <c r="AA115" s="518"/>
      <c r="AB115" s="491"/>
      <c r="AC115" s="492"/>
      <c r="AD115" s="493"/>
      <c r="AE115" s="493"/>
      <c r="AF115" s="494"/>
      <c r="AG115" s="495" t="s">
        <v>176</v>
      </c>
      <c r="AH115" s="495"/>
      <c r="AI115" s="495" t="s">
        <v>183</v>
      </c>
      <c r="AJ115" s="496"/>
      <c r="AK115" s="497"/>
      <c r="AL115" s="497"/>
      <c r="AM115" s="494"/>
      <c r="AN115" s="498"/>
      <c r="AO115" s="499" t="s">
        <v>423</v>
      </c>
      <c r="AP115" s="500">
        <v>1091560958</v>
      </c>
      <c r="AQ115" s="500" t="s">
        <v>424</v>
      </c>
      <c r="AR115" s="501">
        <v>65</v>
      </c>
      <c r="AS11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15" s="502" t="s">
        <v>425</v>
      </c>
      <c r="AU115" s="503"/>
      <c r="AV115" s="503" t="s">
        <v>190</v>
      </c>
      <c r="AW115" s="503" t="str">
        <f>IF(COUNTIF('설명회 참석자 명부'!$W$4:$W$29,표3[[#This Row],[성  명]])&gt;0,"O","")</f>
        <v/>
      </c>
      <c r="AX115" s="503" t="str">
        <f>_xlfn.XLOOKUP(표3[[#This Row],[성  명]],'설명회 참석자 명부'!$W$4:$W$29,'설명회 참석자 명부'!$X$4:$X$29,"")</f>
        <v/>
      </c>
      <c r="AY115" s="503"/>
      <c r="AZ115" s="503"/>
      <c r="BA115" s="503"/>
      <c r="BB115" s="503" t="s">
        <v>190</v>
      </c>
      <c r="BC115" s="503"/>
      <c r="BD115" s="503"/>
      <c r="BE115" s="503"/>
      <c r="BF115" s="504"/>
      <c r="BG115" s="504"/>
      <c r="BH115" s="504"/>
      <c r="BI115" s="504"/>
      <c r="BJ115" s="504"/>
      <c r="BK115" s="504" t="str">
        <f>IFERROR(LEFT(표3[[#This Row],[주소]],FIND(" ",표3[[#This Row],[주소]])-1),"")</f>
        <v>서울특별시</v>
      </c>
      <c r="BL11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1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문정동28-21</v>
      </c>
      <c r="BN115" s="504"/>
      <c r="BO115" s="504"/>
      <c r="BP115" s="504"/>
      <c r="BQ115" s="504"/>
      <c r="BR115" s="505"/>
      <c r="BS115" s="714" t="s">
        <v>179</v>
      </c>
      <c r="BT115" s="715" t="s">
        <v>179</v>
      </c>
      <c r="BU115" s="715" t="s">
        <v>179</v>
      </c>
      <c r="BV115" s="715" t="s">
        <v>179</v>
      </c>
      <c r="BW115" s="715" t="s">
        <v>179</v>
      </c>
      <c r="BX115" s="715" t="s">
        <v>179</v>
      </c>
      <c r="BY115" s="715" t="s">
        <v>370</v>
      </c>
      <c r="BZ115" s="715">
        <v>75.67</v>
      </c>
      <c r="CA115" s="715">
        <v>52.8</v>
      </c>
      <c r="CB115" s="715">
        <v>575000000</v>
      </c>
      <c r="CC115" s="715">
        <v>575000000</v>
      </c>
      <c r="CD115" s="726">
        <f>표3[[#This Row],[종전추정가액]]*1.5219</f>
        <v>875092500</v>
      </c>
      <c r="CE115" s="506"/>
      <c r="CF115" s="507"/>
      <c r="CG115" s="507"/>
      <c r="CH115" s="508"/>
      <c r="CI115" s="508"/>
      <c r="CJ115" s="509"/>
      <c r="CK115" s="510"/>
      <c r="CL115" s="511"/>
      <c r="CM115" s="512"/>
      <c r="CN115" s="513"/>
      <c r="CO115" s="513"/>
      <c r="CP115" s="513"/>
      <c r="CQ115" s="513"/>
      <c r="CR115" s="513"/>
      <c r="CS115" s="514"/>
      <c r="CT115" s="515"/>
      <c r="CU115" s="515"/>
      <c r="CV115" s="515"/>
      <c r="CW115" s="515"/>
      <c r="CX115" s="515"/>
      <c r="CY115" s="515"/>
      <c r="CZ115" s="515"/>
      <c r="DA115" s="515"/>
      <c r="DB115" s="515"/>
      <c r="DC115" s="515"/>
      <c r="DD115" s="515"/>
      <c r="DE115" s="515"/>
      <c r="DF115" s="516"/>
    </row>
    <row r="116" spans="1:110" s="532" customFormat="1" ht="19">
      <c r="A116" s="475"/>
      <c r="B116" s="476">
        <v>83</v>
      </c>
      <c r="C116" s="477">
        <v>28</v>
      </c>
      <c r="D116" s="478">
        <v>21</v>
      </c>
      <c r="E116" s="478" t="s">
        <v>400</v>
      </c>
      <c r="F116" s="479">
        <v>302</v>
      </c>
      <c r="G116" s="480"/>
      <c r="H116" s="481"/>
      <c r="I116" s="481"/>
      <c r="J116" s="481"/>
      <c r="K116" s="481"/>
      <c r="L116" s="481"/>
      <c r="M116" s="481"/>
      <c r="N116" s="481"/>
      <c r="O116" s="481"/>
      <c r="P116" s="482"/>
      <c r="Q116" s="483" t="s">
        <v>179</v>
      </c>
      <c r="R116" s="484">
        <v>0</v>
      </c>
      <c r="S116" s="485">
        <v>52.8</v>
      </c>
      <c r="T116" s="671">
        <f>표3[[#This Row],[편입면적]]/(SUM(표3[공부면적]))</f>
        <v>6.5967016491754113E-3</v>
      </c>
      <c r="U116" s="486" t="s">
        <v>179</v>
      </c>
      <c r="V116" s="487"/>
      <c r="W116" s="488">
        <v>55.29</v>
      </c>
      <c r="X116" s="489">
        <v>20.38</v>
      </c>
      <c r="Y116" s="489">
        <v>75.67</v>
      </c>
      <c r="Z116" s="489" t="s">
        <v>179</v>
      </c>
      <c r="AA116" s="518"/>
      <c r="AB116" s="491"/>
      <c r="AC116" s="492"/>
      <c r="AD116" s="493"/>
      <c r="AE116" s="493"/>
      <c r="AF116" s="494"/>
      <c r="AG116" s="495" t="s">
        <v>176</v>
      </c>
      <c r="AH116" s="495"/>
      <c r="AI116" s="495" t="s">
        <v>183</v>
      </c>
      <c r="AJ116" s="496"/>
      <c r="AK116" s="497"/>
      <c r="AL116" s="497"/>
      <c r="AM116" s="494"/>
      <c r="AN116" s="498"/>
      <c r="AO116" s="499" t="s">
        <v>426</v>
      </c>
      <c r="AP116" s="500">
        <v>1046417645</v>
      </c>
      <c r="AQ116" s="500" t="s">
        <v>427</v>
      </c>
      <c r="AR116" s="501">
        <v>43</v>
      </c>
      <c r="AS11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116" s="502" t="s">
        <v>428</v>
      </c>
      <c r="AU116" s="503" t="s">
        <v>190</v>
      </c>
      <c r="AV116" s="657" t="s">
        <v>174</v>
      </c>
      <c r="AW116" s="503" t="str">
        <f>IF(COUNTIF('설명회 참석자 명부'!$W$4:$W$29,표3[[#This Row],[성  명]])&gt;0,"O","")</f>
        <v/>
      </c>
      <c r="AX116" s="503" t="str">
        <f>_xlfn.XLOOKUP(표3[[#This Row],[성  명]],'설명회 참석자 명부'!$W$4:$W$29,'설명회 참석자 명부'!$X$4:$X$29,"")</f>
        <v/>
      </c>
      <c r="AY116" s="503"/>
      <c r="AZ116" s="503"/>
      <c r="BA116" s="503"/>
      <c r="BB116" s="503" t="s">
        <v>190</v>
      </c>
      <c r="BC116" s="503"/>
      <c r="BD116" s="503"/>
      <c r="BE116" s="503"/>
      <c r="BF116" s="504"/>
      <c r="BG116" s="504"/>
      <c r="BH116" s="504"/>
      <c r="BI116" s="504"/>
      <c r="BJ116" s="504"/>
      <c r="BK116" s="504" t="str">
        <f>IFERROR(LEFT(표3[[#This Row],[주소]],FIND(" ",표3[[#This Row],[주소]])-1),"")</f>
        <v>경기도</v>
      </c>
      <c r="BL116" s="504" t="str">
        <f>IFERROR(MID(표3[[#This Row],[주소]], FIND(" ", 표3[[#This Row],[주소]])+1, FIND(" ", 표3[[#This Row],[주소]], FIND(" ", 표3[[#This Row],[주소]])+1) - FIND(" ", 표3[[#This Row],[주소]])-1),"")</f>
        <v>광주시</v>
      </c>
      <c r="BM11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경충대로</v>
      </c>
      <c r="BN116" s="504"/>
      <c r="BO116" s="504"/>
      <c r="BP116" s="504"/>
      <c r="BQ116" s="504"/>
      <c r="BR116" s="505"/>
      <c r="BS116" s="714" t="s">
        <v>179</v>
      </c>
      <c r="BT116" s="715" t="s">
        <v>179</v>
      </c>
      <c r="BU116" s="715" t="s">
        <v>179</v>
      </c>
      <c r="BV116" s="715" t="s">
        <v>179</v>
      </c>
      <c r="BW116" s="715" t="s">
        <v>179</v>
      </c>
      <c r="BX116" s="715" t="s">
        <v>179</v>
      </c>
      <c r="BY116" s="715" t="s">
        <v>370</v>
      </c>
      <c r="BZ116" s="715">
        <v>75.67</v>
      </c>
      <c r="CA116" s="715">
        <v>52.8</v>
      </c>
      <c r="CB116" s="715">
        <v>575000000</v>
      </c>
      <c r="CC116" s="715">
        <v>575000000</v>
      </c>
      <c r="CD116" s="726">
        <f>표3[[#This Row],[종전추정가액]]*1.5219</f>
        <v>875092500</v>
      </c>
      <c r="CE116" s="506"/>
      <c r="CF116" s="507"/>
      <c r="CG116" s="507"/>
      <c r="CH116" s="508"/>
      <c r="CI116" s="508"/>
      <c r="CJ116" s="509"/>
      <c r="CK116" s="510"/>
      <c r="CL116" s="511"/>
      <c r="CM116" s="512"/>
      <c r="CN116" s="513"/>
      <c r="CO116" s="513"/>
      <c r="CP116" s="513"/>
      <c r="CQ116" s="513"/>
      <c r="CR116" s="513"/>
      <c r="CS116" s="514"/>
      <c r="CT116" s="515"/>
      <c r="CU116" s="515"/>
      <c r="CV116" s="515"/>
      <c r="CW116" s="515"/>
      <c r="CX116" s="515"/>
      <c r="CY116" s="515"/>
      <c r="CZ116" s="515"/>
      <c r="DA116" s="515"/>
      <c r="DB116" s="515"/>
      <c r="DC116" s="515"/>
      <c r="DD116" s="515"/>
      <c r="DE116" s="515"/>
      <c r="DF116" s="516"/>
    </row>
    <row r="117" spans="1:110" s="532" customFormat="1" ht="19">
      <c r="A117" s="475"/>
      <c r="B117" s="476">
        <v>84</v>
      </c>
      <c r="C117" s="477">
        <v>28</v>
      </c>
      <c r="D117" s="478">
        <v>21</v>
      </c>
      <c r="E117" s="478" t="s">
        <v>400</v>
      </c>
      <c r="F117" s="479">
        <v>303</v>
      </c>
      <c r="G117" s="480"/>
      <c r="H117" s="481"/>
      <c r="I117" s="481"/>
      <c r="J117" s="481"/>
      <c r="K117" s="481"/>
      <c r="L117" s="481"/>
      <c r="M117" s="481"/>
      <c r="N117" s="481"/>
      <c r="O117" s="481"/>
      <c r="P117" s="482"/>
      <c r="Q117" s="483" t="s">
        <v>179</v>
      </c>
      <c r="R117" s="484">
        <v>0</v>
      </c>
      <c r="S117" s="485">
        <v>52.8</v>
      </c>
      <c r="T117" s="671">
        <f>표3[[#This Row],[편입면적]]/(SUM(표3[공부면적]))</f>
        <v>6.5967016491754113E-3</v>
      </c>
      <c r="U117" s="486" t="s">
        <v>179</v>
      </c>
      <c r="V117" s="487"/>
      <c r="W117" s="488">
        <v>55.29</v>
      </c>
      <c r="X117" s="489">
        <v>20.38</v>
      </c>
      <c r="Y117" s="489">
        <v>75.67</v>
      </c>
      <c r="Z117" s="489" t="s">
        <v>179</v>
      </c>
      <c r="AA117" s="518"/>
      <c r="AB117" s="491"/>
      <c r="AC117" s="492"/>
      <c r="AD117" s="493"/>
      <c r="AE117" s="493"/>
      <c r="AF117" s="494"/>
      <c r="AG117" s="495" t="s">
        <v>176</v>
      </c>
      <c r="AH117" s="495"/>
      <c r="AI117" s="495" t="s">
        <v>183</v>
      </c>
      <c r="AJ117" s="496"/>
      <c r="AK117" s="497"/>
      <c r="AL117" s="497"/>
      <c r="AM117" s="494"/>
      <c r="AN117" s="498"/>
      <c r="AO117" s="499" t="s">
        <v>429</v>
      </c>
      <c r="AP117" s="500" t="s">
        <v>179</v>
      </c>
      <c r="AQ117" s="500"/>
      <c r="AR117" s="501">
        <v>71</v>
      </c>
      <c r="AS11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117" s="502" t="s">
        <v>430</v>
      </c>
      <c r="AU117" s="503" t="s">
        <v>190</v>
      </c>
      <c r="AV117" s="503"/>
      <c r="AW117" s="503" t="str">
        <f>IF(COUNTIF('설명회 참석자 명부'!$W$4:$W$29,표3[[#This Row],[성  명]])&gt;0,"O","")</f>
        <v/>
      </c>
      <c r="AX117" s="503" t="str">
        <f>_xlfn.XLOOKUP(표3[[#This Row],[성  명]],'설명회 참석자 명부'!$W$4:$W$29,'설명회 참석자 명부'!$X$4:$X$29,"")</f>
        <v/>
      </c>
      <c r="AY117" s="503"/>
      <c r="AZ117" s="503"/>
      <c r="BA117" s="503"/>
      <c r="BB117" s="503"/>
      <c r="BC117" s="503"/>
      <c r="BD117" s="503"/>
      <c r="BE117" s="503"/>
      <c r="BF117" s="504"/>
      <c r="BG117" s="504"/>
      <c r="BH117" s="504"/>
      <c r="BI117" s="504"/>
      <c r="BJ117" s="504"/>
      <c r="BK117" s="504" t="str">
        <f>IFERROR(LEFT(표3[[#This Row],[주소]],FIND(" ",표3[[#This Row],[주소]])-1),"")</f>
        <v>서울특별시</v>
      </c>
      <c r="BL11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1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117" s="504"/>
      <c r="BO117" s="504"/>
      <c r="BP117" s="504"/>
      <c r="BQ117" s="504"/>
      <c r="BR117" s="505"/>
      <c r="BS117" s="714" t="s">
        <v>179</v>
      </c>
      <c r="BT117" s="715" t="s">
        <v>179</v>
      </c>
      <c r="BU117" s="715" t="s">
        <v>179</v>
      </c>
      <c r="BV117" s="715" t="s">
        <v>179</v>
      </c>
      <c r="BW117" s="715" t="s">
        <v>179</v>
      </c>
      <c r="BX117" s="715" t="s">
        <v>179</v>
      </c>
      <c r="BY117" s="715" t="s">
        <v>370</v>
      </c>
      <c r="BZ117" s="715">
        <v>75.67</v>
      </c>
      <c r="CA117" s="715">
        <v>52.8</v>
      </c>
      <c r="CB117" s="715">
        <v>575000000</v>
      </c>
      <c r="CC117" s="715">
        <v>575000000</v>
      </c>
      <c r="CD117" s="726">
        <f>표3[[#This Row],[종전추정가액]]*1.5219</f>
        <v>875092500</v>
      </c>
      <c r="CE117" s="506"/>
      <c r="CF117" s="507"/>
      <c r="CG117" s="507"/>
      <c r="CH117" s="508"/>
      <c r="CI117" s="508"/>
      <c r="CJ117" s="509"/>
      <c r="CK117" s="510"/>
      <c r="CL117" s="511"/>
      <c r="CM117" s="512"/>
      <c r="CN117" s="513"/>
      <c r="CO117" s="513"/>
      <c r="CP117" s="513"/>
      <c r="CQ117" s="513"/>
      <c r="CR117" s="513"/>
      <c r="CS117" s="514"/>
      <c r="CT117" s="515"/>
      <c r="CU117" s="515"/>
      <c r="CV117" s="515"/>
      <c r="CW117" s="515"/>
      <c r="CX117" s="515"/>
      <c r="CY117" s="515"/>
      <c r="CZ117" s="515"/>
      <c r="DA117" s="515"/>
      <c r="DB117" s="515"/>
      <c r="DC117" s="515"/>
      <c r="DD117" s="515"/>
      <c r="DE117" s="515"/>
      <c r="DF117" s="516"/>
    </row>
    <row r="118" spans="1:110" s="532" customFormat="1" ht="19.5" thickBot="1">
      <c r="A118" s="394"/>
      <c r="B118" s="395">
        <v>85</v>
      </c>
      <c r="C118" s="396">
        <v>28</v>
      </c>
      <c r="D118" s="397">
        <v>21</v>
      </c>
      <c r="E118" s="397" t="s">
        <v>400</v>
      </c>
      <c r="F118" s="398">
        <v>305</v>
      </c>
      <c r="G118" s="399"/>
      <c r="H118" s="400"/>
      <c r="I118" s="400"/>
      <c r="J118" s="400"/>
      <c r="K118" s="400"/>
      <c r="L118" s="400"/>
      <c r="M118" s="400"/>
      <c r="N118" s="400"/>
      <c r="O118" s="400"/>
      <c r="P118" s="401"/>
      <c r="Q118" s="402" t="s">
        <v>179</v>
      </c>
      <c r="R118" s="403">
        <v>0</v>
      </c>
      <c r="S118" s="404">
        <v>51.2</v>
      </c>
      <c r="T118" s="672">
        <f>표3[[#This Row],[편입면적]]/(SUM(표3[공부면적]))</f>
        <v>6.3968015992003991E-3</v>
      </c>
      <c r="U118" s="662" t="s">
        <v>179</v>
      </c>
      <c r="V118" s="405"/>
      <c r="W118" s="406">
        <v>52.41</v>
      </c>
      <c r="X118" s="407">
        <v>20.38</v>
      </c>
      <c r="Y118" s="407">
        <v>72.789999999999992</v>
      </c>
      <c r="Z118" s="407" t="s">
        <v>179</v>
      </c>
      <c r="AA118" s="520"/>
      <c r="AB118" s="409"/>
      <c r="AC118" s="410"/>
      <c r="AD118" s="411"/>
      <c r="AE118" s="411"/>
      <c r="AF118" s="412"/>
      <c r="AG118" s="413" t="s">
        <v>176</v>
      </c>
      <c r="AH118" s="413"/>
      <c r="AI118" s="413" t="s">
        <v>183</v>
      </c>
      <c r="AJ118" s="414"/>
      <c r="AK118" s="415"/>
      <c r="AL118" s="415"/>
      <c r="AM118" s="412"/>
      <c r="AN118" s="416"/>
      <c r="AO118" s="417" t="s">
        <v>431</v>
      </c>
      <c r="AP118" s="418" t="s">
        <v>179</v>
      </c>
      <c r="AQ118" s="418"/>
      <c r="AR118" s="419">
        <v>82</v>
      </c>
      <c r="AS118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</v>
      </c>
      <c r="AT118" s="420" t="s">
        <v>432</v>
      </c>
      <c r="AU118" s="421"/>
      <c r="AV118" s="421"/>
      <c r="AW118" s="421" t="str">
        <f>IF(COUNTIF('설명회 참석자 명부'!$W$4:$W$29,표3[[#This Row],[성  명]])&gt;0,"O","")</f>
        <v/>
      </c>
      <c r="AX118" s="421" t="str">
        <f>_xlfn.XLOOKUP(표3[[#This Row],[성  명]],'설명회 참석자 명부'!$W$4:$W$29,'설명회 참석자 명부'!$X$4:$X$29,"")</f>
        <v/>
      </c>
      <c r="AY118" s="421"/>
      <c r="AZ118" s="421"/>
      <c r="BA118" s="421"/>
      <c r="BB118" s="421"/>
      <c r="BC118" s="421"/>
      <c r="BD118" s="421"/>
      <c r="BE118" s="421"/>
      <c r="BF118" s="422"/>
      <c r="BG118" s="422"/>
      <c r="BH118" s="422"/>
      <c r="BI118" s="422"/>
      <c r="BJ118" s="422"/>
      <c r="BK118" s="422" t="str">
        <f>IFERROR(LEFT(표3[[#This Row],[주소]],FIND(" ",표3[[#This Row],[주소]])-1),"")</f>
        <v>서울특별시</v>
      </c>
      <c r="BL118" s="422" t="str">
        <f>IFERROR(MID(표3[[#This Row],[주소]], FIND(" ", 표3[[#This Row],[주소]])+1, FIND(" ", 표3[[#This Row],[주소]], FIND(" ", 표3[[#This Row],[주소]])+1) - FIND(" ", 표3[[#This Row],[주소]])-1),"")</f>
        <v>마포구</v>
      </c>
      <c r="BM118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양화로1길</v>
      </c>
      <c r="BN118" s="422"/>
      <c r="BO118" s="422"/>
      <c r="BP118" s="422"/>
      <c r="BQ118" s="422"/>
      <c r="BR118" s="423"/>
      <c r="BS118" s="714" t="s">
        <v>179</v>
      </c>
      <c r="BT118" s="715" t="s">
        <v>179</v>
      </c>
      <c r="BU118" s="715" t="s">
        <v>179</v>
      </c>
      <c r="BV118" s="715" t="s">
        <v>179</v>
      </c>
      <c r="BW118" s="715" t="s">
        <v>179</v>
      </c>
      <c r="BX118" s="715" t="s">
        <v>179</v>
      </c>
      <c r="BY118" s="715" t="s">
        <v>370</v>
      </c>
      <c r="BZ118" s="715">
        <v>72.790000000000006</v>
      </c>
      <c r="CA118" s="715">
        <v>51.2</v>
      </c>
      <c r="CB118" s="715">
        <v>556000000</v>
      </c>
      <c r="CC118" s="715">
        <v>556000000</v>
      </c>
      <c r="CD118" s="726">
        <f>표3[[#This Row],[종전추정가액]]*1.5219</f>
        <v>846176400</v>
      </c>
      <c r="CE118" s="424"/>
      <c r="CF118" s="425"/>
      <c r="CG118" s="425"/>
      <c r="CH118" s="426"/>
      <c r="CI118" s="426"/>
      <c r="CJ118" s="427"/>
      <c r="CK118" s="428"/>
      <c r="CL118" s="429"/>
      <c r="CM118" s="430"/>
      <c r="CN118" s="431"/>
      <c r="CO118" s="431"/>
      <c r="CP118" s="431"/>
      <c r="CQ118" s="431"/>
      <c r="CR118" s="431"/>
      <c r="CS118" s="432"/>
      <c r="CT118" s="433"/>
      <c r="CU118" s="433"/>
      <c r="CV118" s="433"/>
      <c r="CW118" s="433"/>
      <c r="CX118" s="433"/>
      <c r="CY118" s="433"/>
      <c r="CZ118" s="433"/>
      <c r="DA118" s="433"/>
      <c r="DB118" s="433"/>
      <c r="DC118" s="433"/>
      <c r="DD118" s="433"/>
      <c r="DE118" s="433"/>
      <c r="DF118" s="434"/>
    </row>
    <row r="119" spans="1:110" s="533" customFormat="1" ht="19.5" thickTop="1">
      <c r="A119" s="435"/>
      <c r="B119" s="436">
        <v>86</v>
      </c>
      <c r="C119" s="437">
        <v>28</v>
      </c>
      <c r="D119" s="438">
        <v>23</v>
      </c>
      <c r="E119" s="438"/>
      <c r="F119" s="667">
        <v>0</v>
      </c>
      <c r="G119" s="439"/>
      <c r="H119" s="440"/>
      <c r="I119" s="440"/>
      <c r="J119" s="440"/>
      <c r="K119" s="440"/>
      <c r="L119" s="440"/>
      <c r="M119" s="440"/>
      <c r="N119" s="440"/>
      <c r="O119" s="440"/>
      <c r="P119" s="441"/>
      <c r="Q119" s="442" t="s">
        <v>173</v>
      </c>
      <c r="R119" s="659">
        <v>206.1</v>
      </c>
      <c r="S119" s="443">
        <v>206.1</v>
      </c>
      <c r="T119" s="670">
        <f>표3[[#This Row],[편입면적]]/(SUM(표3[공부면적]))</f>
        <v>2.5749625187406294E-2</v>
      </c>
      <c r="U119" s="444" t="s">
        <v>174</v>
      </c>
      <c r="V119" s="445"/>
      <c r="W119" s="446">
        <v>412.96</v>
      </c>
      <c r="X119" s="447">
        <v>148</v>
      </c>
      <c r="Y119" s="447">
        <v>560.96</v>
      </c>
      <c r="Z119" s="447">
        <v>560.96</v>
      </c>
      <c r="AA119" s="448"/>
      <c r="AB119" s="449"/>
      <c r="AC119" s="450" t="s">
        <v>433</v>
      </c>
      <c r="AD119" s="451">
        <v>37</v>
      </c>
      <c r="AE119" s="451" t="str" cm="1">
        <f t="array" ref="AE11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19" s="452"/>
      <c r="AG119" s="453" t="s">
        <v>176</v>
      </c>
      <c r="AH119" s="453"/>
      <c r="AI119" s="453" t="s">
        <v>326</v>
      </c>
      <c r="AJ119" s="453"/>
      <c r="AK119" s="454"/>
      <c r="AL119" s="454"/>
      <c r="AM119" s="452">
        <v>4</v>
      </c>
      <c r="AN119" s="455">
        <v>1</v>
      </c>
      <c r="AO119" s="456" t="s">
        <v>434</v>
      </c>
      <c r="AP119" s="457" t="s">
        <v>179</v>
      </c>
      <c r="AQ119" s="457"/>
      <c r="AR119" s="458">
        <v>51</v>
      </c>
      <c r="AS119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119" s="459" t="s">
        <v>435</v>
      </c>
      <c r="AU119" s="460"/>
      <c r="AV119" s="460"/>
      <c r="AW119" s="460" t="str">
        <f>IF(COUNTIF('설명회 참석자 명부'!$W$4:$W$29,표3[[#This Row],[성  명]])&gt;0,"O","")</f>
        <v>O</v>
      </c>
      <c r="AX119" s="460" t="str">
        <f>_xlfn.XLOOKUP(표3[[#This Row],[성  명]],'설명회 참석자 명부'!$W$4:$W$29,'설명회 참석자 명부'!$X$4:$X$29,"")</f>
        <v>재건축</v>
      </c>
      <c r="AY119" s="460"/>
      <c r="AZ119" s="460"/>
      <c r="BA119" s="460"/>
      <c r="BB119" s="460"/>
      <c r="BC119" s="460"/>
      <c r="BD119" s="460"/>
      <c r="BE119" s="460"/>
      <c r="BF119" s="461"/>
      <c r="BG119" s="461"/>
      <c r="BH119" s="461"/>
      <c r="BI119" s="461"/>
      <c r="BJ119" s="461"/>
      <c r="BK119" s="461" t="str">
        <f>IFERROR(LEFT(표3[[#This Row],[주소]],FIND(" ",표3[[#This Row],[주소]])-1),"")</f>
        <v>서울</v>
      </c>
      <c r="BL119" s="461" t="str">
        <f>IFERROR(MID(표3[[#This Row],[주소]], FIND(" ", 표3[[#This Row],[주소]])+1, FIND(" ", 표3[[#This Row],[주소]], FIND(" ", 표3[[#This Row],[주소]])+1) - FIND(" ", 표3[[#This Row],[주소]])-1),"")</f>
        <v>강동구</v>
      </c>
      <c r="BM119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둔촌동</v>
      </c>
      <c r="BN119" s="461"/>
      <c r="BO119" s="461"/>
      <c r="BP119" s="461"/>
      <c r="BQ119" s="461"/>
      <c r="BR119" s="462"/>
      <c r="BS119" s="722">
        <v>206.1</v>
      </c>
      <c r="BT119" s="723">
        <v>11510000</v>
      </c>
      <c r="BU119" s="723">
        <v>2372211000</v>
      </c>
      <c r="BV119" s="723" t="s">
        <v>326</v>
      </c>
      <c r="BW119" s="723">
        <v>560.96</v>
      </c>
      <c r="BX119" s="723">
        <v>233359360.00000003</v>
      </c>
      <c r="BY119" s="723" t="s">
        <v>179</v>
      </c>
      <c r="BZ119" s="723" t="s">
        <v>179</v>
      </c>
      <c r="CA119" s="723" t="s">
        <v>179</v>
      </c>
      <c r="CB119" s="723" t="s">
        <v>179</v>
      </c>
      <c r="CC119" s="723">
        <v>2605570360</v>
      </c>
      <c r="CD119" s="727">
        <f>표3[[#This Row],[종전추정가액]]*1.5219</f>
        <v>3965417530.8840003</v>
      </c>
      <c r="CE119" s="463"/>
      <c r="CF119" s="464"/>
      <c r="CG119" s="464"/>
      <c r="CH119" s="465"/>
      <c r="CI119" s="465"/>
      <c r="CJ119" s="466"/>
      <c r="CK119" s="467"/>
      <c r="CL119" s="468"/>
      <c r="CM119" s="469"/>
      <c r="CN119" s="470"/>
      <c r="CO119" s="470"/>
      <c r="CP119" s="470"/>
      <c r="CQ119" s="470"/>
      <c r="CR119" s="470"/>
      <c r="CS119" s="471"/>
      <c r="CT119" s="472"/>
      <c r="CU119" s="472"/>
      <c r="CV119" s="472"/>
      <c r="CW119" s="472"/>
      <c r="CX119" s="472"/>
      <c r="CY119" s="472"/>
      <c r="CZ119" s="472"/>
      <c r="DA119" s="472"/>
      <c r="DB119" s="472"/>
      <c r="DC119" s="472"/>
      <c r="DD119" s="472"/>
      <c r="DE119" s="472"/>
      <c r="DF119" s="473"/>
    </row>
    <row r="120" spans="1:110" s="532" customFormat="1" ht="19.5" thickBot="1">
      <c r="A120" s="394"/>
      <c r="B120" s="395">
        <v>87</v>
      </c>
      <c r="C120" s="396">
        <v>28</v>
      </c>
      <c r="D120" s="397">
        <v>24</v>
      </c>
      <c r="E120" s="397"/>
      <c r="F120" s="666">
        <v>0</v>
      </c>
      <c r="G120" s="399"/>
      <c r="H120" s="400"/>
      <c r="I120" s="400"/>
      <c r="J120" s="400"/>
      <c r="K120" s="400"/>
      <c r="L120" s="400"/>
      <c r="M120" s="400"/>
      <c r="N120" s="400"/>
      <c r="O120" s="400"/>
      <c r="P120" s="401"/>
      <c r="Q120" s="402" t="s">
        <v>436</v>
      </c>
      <c r="R120" s="658">
        <v>413.9</v>
      </c>
      <c r="S120" s="403">
        <v>413.9</v>
      </c>
      <c r="T120" s="672">
        <f>표3[[#This Row],[편입면적]]/(SUM(표3[공부면적]))</f>
        <v>5.1711644177911034E-2</v>
      </c>
      <c r="U120" s="662" t="s">
        <v>174</v>
      </c>
      <c r="V120" s="405"/>
      <c r="W120" s="406">
        <v>760.39</v>
      </c>
      <c r="X120" s="407">
        <v>196.06</v>
      </c>
      <c r="Y120" s="407">
        <v>956.45</v>
      </c>
      <c r="Z120" s="407" t="s">
        <v>179</v>
      </c>
      <c r="AA120" s="408"/>
      <c r="AB120" s="409"/>
      <c r="AC120" s="410" t="s">
        <v>437</v>
      </c>
      <c r="AD120" s="411">
        <v>37</v>
      </c>
      <c r="AE120" s="411" t="str" cm="1">
        <f t="array" ref="AE12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20" s="412"/>
      <c r="AG120" s="413" t="s">
        <v>176</v>
      </c>
      <c r="AH120" s="413"/>
      <c r="AI120" s="413" t="s">
        <v>438</v>
      </c>
      <c r="AJ120" s="414"/>
      <c r="AK120" s="415"/>
      <c r="AL120" s="415"/>
      <c r="AM120" s="412">
        <v>4</v>
      </c>
      <c r="AN120" s="416">
        <v>1</v>
      </c>
      <c r="AO120" s="417" t="s">
        <v>439</v>
      </c>
      <c r="AP120" s="418" t="s">
        <v>179</v>
      </c>
      <c r="AQ120" s="418"/>
      <c r="AR120" s="419">
        <v>44</v>
      </c>
      <c r="AS120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120" s="420" t="s">
        <v>440</v>
      </c>
      <c r="AU120" s="421"/>
      <c r="AV120" s="421"/>
      <c r="AW120" s="421" t="str">
        <f>IF(COUNTIF('설명회 참석자 명부'!$W$4:$W$29,표3[[#This Row],[성  명]])&gt;0,"O","")</f>
        <v/>
      </c>
      <c r="AX120" s="421" t="str">
        <f>_xlfn.XLOOKUP(표3[[#This Row],[성  명]],'설명회 참석자 명부'!$W$4:$W$29,'설명회 참석자 명부'!$X$4:$X$29,"")</f>
        <v/>
      </c>
      <c r="AY120" s="421"/>
      <c r="AZ120" s="421"/>
      <c r="BA120" s="421" t="s">
        <v>190</v>
      </c>
      <c r="BB120" s="421"/>
      <c r="BC120" s="421"/>
      <c r="BD120" s="421"/>
      <c r="BE120" s="421"/>
      <c r="BF120" s="422"/>
      <c r="BG120" s="422"/>
      <c r="BH120" s="422"/>
      <c r="BI120" s="422"/>
      <c r="BJ120" s="422"/>
      <c r="BK120" s="422" t="str">
        <f>IFERROR(LEFT(표3[[#This Row],[주소]],FIND(" ",표3[[#This Row],[주소]])-1),"")</f>
        <v>경기도</v>
      </c>
      <c r="BL120" s="422" t="str">
        <f>IFERROR(MID(표3[[#This Row],[주소]], FIND(" ", 표3[[#This Row],[주소]])+1, FIND(" ", 표3[[#This Row],[주소]], FIND(" ", 표3[[#This Row],[주소]])+1) - FIND(" ", 표3[[#This Row],[주소]])-1),"")</f>
        <v>광주시</v>
      </c>
      <c r="BM120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곤지암읍</v>
      </c>
      <c r="BN120" s="422"/>
      <c r="BO120" s="422"/>
      <c r="BP120" s="422"/>
      <c r="BQ120" s="422"/>
      <c r="BR120" s="423"/>
      <c r="BS120" s="714">
        <v>413.9</v>
      </c>
      <c r="BT120" s="715">
        <v>11510000</v>
      </c>
      <c r="BU120" s="715">
        <v>4763989000</v>
      </c>
      <c r="BV120" s="715" t="s">
        <v>330</v>
      </c>
      <c r="BW120" s="715">
        <v>956.45</v>
      </c>
      <c r="BX120" s="715">
        <v>348147800</v>
      </c>
      <c r="BY120" s="715" t="s">
        <v>179</v>
      </c>
      <c r="BZ120" s="715" t="s">
        <v>179</v>
      </c>
      <c r="CA120" s="715" t="s">
        <v>179</v>
      </c>
      <c r="CB120" s="715" t="s">
        <v>179</v>
      </c>
      <c r="CC120" s="715">
        <v>5112136800</v>
      </c>
      <c r="CD120" s="726">
        <f>표3[[#This Row],[종전추정가액]]*1.5219</f>
        <v>7780160995.9200001</v>
      </c>
      <c r="CE120" s="424"/>
      <c r="CF120" s="425"/>
      <c r="CG120" s="425"/>
      <c r="CH120" s="426"/>
      <c r="CI120" s="426"/>
      <c r="CJ120" s="427"/>
      <c r="CK120" s="428"/>
      <c r="CL120" s="429"/>
      <c r="CM120" s="430"/>
      <c r="CN120" s="431"/>
      <c r="CO120" s="431"/>
      <c r="CP120" s="431"/>
      <c r="CQ120" s="431"/>
      <c r="CR120" s="431"/>
      <c r="CS120" s="432"/>
      <c r="CT120" s="433"/>
      <c r="CU120" s="433"/>
      <c r="CV120" s="433"/>
      <c r="CW120" s="433"/>
      <c r="CX120" s="433"/>
      <c r="CY120" s="433"/>
      <c r="CZ120" s="433"/>
      <c r="DA120" s="433"/>
      <c r="DB120" s="433"/>
      <c r="DC120" s="433"/>
      <c r="DD120" s="433"/>
      <c r="DE120" s="433"/>
      <c r="DF120" s="434"/>
    </row>
    <row r="121" spans="1:110" s="533" customFormat="1" ht="19.5" thickTop="1">
      <c r="A121" s="435"/>
      <c r="B121" s="436"/>
      <c r="C121" s="437">
        <v>28</v>
      </c>
      <c r="D121" s="438">
        <v>26</v>
      </c>
      <c r="E121" s="438" t="s">
        <v>441</v>
      </c>
      <c r="F121" s="667">
        <v>0</v>
      </c>
      <c r="G121" s="439"/>
      <c r="H121" s="440"/>
      <c r="I121" s="440"/>
      <c r="J121" s="440"/>
      <c r="K121" s="440"/>
      <c r="L121" s="440"/>
      <c r="M121" s="440"/>
      <c r="N121" s="440"/>
      <c r="O121" s="440"/>
      <c r="P121" s="441"/>
      <c r="Q121" s="442" t="s">
        <v>173</v>
      </c>
      <c r="R121" s="443">
        <v>206</v>
      </c>
      <c r="S121" s="443"/>
      <c r="T121" s="670">
        <f>표3[[#This Row],[편입면적]]/(SUM(표3[공부면적]))</f>
        <v>0</v>
      </c>
      <c r="U121" s="444" t="s">
        <v>174</v>
      </c>
      <c r="V121" s="445"/>
      <c r="W121" s="446"/>
      <c r="X121" s="447"/>
      <c r="Y121" s="447">
        <v>0</v>
      </c>
      <c r="Z121" s="447">
        <v>408.25</v>
      </c>
      <c r="AA121" s="448"/>
      <c r="AB121" s="449"/>
      <c r="AC121" s="450" t="s">
        <v>442</v>
      </c>
      <c r="AD121" s="451">
        <v>9</v>
      </c>
      <c r="AE121" s="451" t="str" cm="1">
        <f t="array" ref="AE121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21" s="452"/>
      <c r="AG121" s="453" t="s">
        <v>176</v>
      </c>
      <c r="AH121" s="453"/>
      <c r="AI121" s="453" t="s">
        <v>183</v>
      </c>
      <c r="AJ121" s="453"/>
      <c r="AK121" s="454"/>
      <c r="AL121" s="454"/>
      <c r="AM121" s="452">
        <v>5</v>
      </c>
      <c r="AN121" s="455">
        <v>0</v>
      </c>
      <c r="AO121" s="456"/>
      <c r="AP121" s="457" t="s">
        <v>179</v>
      </c>
      <c r="AQ121" s="457"/>
      <c r="AR121" s="458"/>
      <c r="AS121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21" s="459"/>
      <c r="AU121" s="460"/>
      <c r="AV121" s="460"/>
      <c r="AW121" s="460" t="str">
        <f>IF(COUNTIF('설명회 참석자 명부'!$W$4:$W$29,표3[[#This Row],[성  명]])&gt;0,"O","")</f>
        <v/>
      </c>
      <c r="AX121" s="460">
        <f>_xlfn.XLOOKUP(표3[[#This Row],[성  명]],'설명회 참석자 명부'!$W$4:$W$29,'설명회 참석자 명부'!$X$4:$X$29,"")</f>
        <v>0</v>
      </c>
      <c r="AY121" s="460"/>
      <c r="AZ121" s="460"/>
      <c r="BA121" s="460"/>
      <c r="BB121" s="460"/>
      <c r="BC121" s="460"/>
      <c r="BD121" s="460"/>
      <c r="BE121" s="460"/>
      <c r="BF121" s="461"/>
      <c r="BG121" s="461"/>
      <c r="BH121" s="461"/>
      <c r="BI121" s="461"/>
      <c r="BJ121" s="461"/>
      <c r="BK121" s="461" t="str">
        <f>IFERROR(LEFT(표3[[#This Row],[주소]],FIND(" ",표3[[#This Row],[주소]])-1),"")</f>
        <v/>
      </c>
      <c r="BL121" s="461" t="str">
        <f>IFERROR(MID(표3[[#This Row],[주소]], FIND(" ", 표3[[#This Row],[주소]])+1, FIND(" ", 표3[[#This Row],[주소]], FIND(" ", 표3[[#This Row],[주소]])+1) - FIND(" ", 표3[[#This Row],[주소]])-1),"")</f>
        <v/>
      </c>
      <c r="BM121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121" s="461"/>
      <c r="BO121" s="461"/>
      <c r="BP121" s="461"/>
      <c r="BQ121" s="461"/>
      <c r="BR121" s="462"/>
      <c r="BS121" s="722"/>
      <c r="BT121" s="723"/>
      <c r="BU121" s="723"/>
      <c r="BV121" s="723"/>
      <c r="BW121" s="723"/>
      <c r="BX121" s="723"/>
      <c r="BY121" s="723"/>
      <c r="BZ121" s="723"/>
      <c r="CA121" s="723"/>
      <c r="CB121" s="723"/>
      <c r="CC121" s="723"/>
      <c r="CD121" s="727">
        <f>표3[[#This Row],[종전추정가액]]*1.5219</f>
        <v>0</v>
      </c>
      <c r="CE121" s="463"/>
      <c r="CF121" s="464"/>
      <c r="CG121" s="464"/>
      <c r="CH121" s="465"/>
      <c r="CI121" s="465"/>
      <c r="CJ121" s="466"/>
      <c r="CK121" s="467"/>
      <c r="CL121" s="468"/>
      <c r="CM121" s="469"/>
      <c r="CN121" s="470"/>
      <c r="CO121" s="470"/>
      <c r="CP121" s="470"/>
      <c r="CQ121" s="470"/>
      <c r="CR121" s="470"/>
      <c r="CS121" s="471"/>
      <c r="CT121" s="472"/>
      <c r="CU121" s="472"/>
      <c r="CV121" s="472"/>
      <c r="CW121" s="472"/>
      <c r="CX121" s="472"/>
      <c r="CY121" s="472"/>
      <c r="CZ121" s="472"/>
      <c r="DA121" s="472"/>
      <c r="DB121" s="472"/>
      <c r="DC121" s="472"/>
      <c r="DD121" s="472"/>
      <c r="DE121" s="472"/>
      <c r="DF121" s="473"/>
    </row>
    <row r="122" spans="1:110" s="532" customFormat="1" ht="19">
      <c r="A122" s="475"/>
      <c r="B122" s="476">
        <v>88</v>
      </c>
      <c r="C122" s="477">
        <v>28</v>
      </c>
      <c r="D122" s="478">
        <v>26</v>
      </c>
      <c r="E122" s="676" t="s">
        <v>443</v>
      </c>
      <c r="F122" s="479">
        <v>101</v>
      </c>
      <c r="G122" s="480"/>
      <c r="H122" s="481"/>
      <c r="I122" s="481"/>
      <c r="J122" s="481"/>
      <c r="K122" s="481"/>
      <c r="L122" s="481"/>
      <c r="M122" s="481"/>
      <c r="N122" s="481"/>
      <c r="O122" s="481"/>
      <c r="P122" s="482"/>
      <c r="Q122" s="483" t="s">
        <v>179</v>
      </c>
      <c r="R122" s="484">
        <v>0</v>
      </c>
      <c r="S122" s="484">
        <v>23.06</v>
      </c>
      <c r="T122" s="671">
        <f>표3[[#This Row],[편입면적]]/(SUM(표3[공부면적]))</f>
        <v>2.881059470264867E-3</v>
      </c>
      <c r="U122" s="486" t="s">
        <v>179</v>
      </c>
      <c r="V122" s="487"/>
      <c r="W122" s="488">
        <v>37.03</v>
      </c>
      <c r="X122" s="489">
        <v>22.11</v>
      </c>
      <c r="Y122" s="489">
        <v>59.14</v>
      </c>
      <c r="Z122" s="489" t="s">
        <v>179</v>
      </c>
      <c r="AA122" s="490"/>
      <c r="AB122" s="491"/>
      <c r="AC122" s="492"/>
      <c r="AD122" s="493"/>
      <c r="AE122" s="493"/>
      <c r="AF122" s="494"/>
      <c r="AG122" s="495" t="s">
        <v>176</v>
      </c>
      <c r="AH122" s="495"/>
      <c r="AI122" s="495" t="s">
        <v>183</v>
      </c>
      <c r="AJ122" s="496"/>
      <c r="AK122" s="497"/>
      <c r="AL122" s="497"/>
      <c r="AM122" s="494"/>
      <c r="AN122" s="498"/>
      <c r="AO122" s="499" t="s">
        <v>444</v>
      </c>
      <c r="AP122" s="500" t="s">
        <v>179</v>
      </c>
      <c r="AQ122" s="500"/>
      <c r="AR122" s="501">
        <v>69</v>
      </c>
      <c r="AS12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122" s="502" t="s">
        <v>445</v>
      </c>
      <c r="AU122" s="503"/>
      <c r="AV122" s="503"/>
      <c r="AW122" s="503" t="str">
        <f>IF(COUNTIF('설명회 참석자 명부'!$W$4:$W$29,표3[[#This Row],[성  명]])&gt;0,"O","")</f>
        <v/>
      </c>
      <c r="AX122" s="503" t="str">
        <f>_xlfn.XLOOKUP(표3[[#This Row],[성  명]],'설명회 참석자 명부'!$W$4:$W$29,'설명회 참석자 명부'!$X$4:$X$29,"")</f>
        <v/>
      </c>
      <c r="AY122" s="503"/>
      <c r="AZ122" s="503"/>
      <c r="BA122" s="503"/>
      <c r="BB122" s="503"/>
      <c r="BC122" s="503"/>
      <c r="BD122" s="503"/>
      <c r="BE122" s="503"/>
      <c r="BF122" s="504"/>
      <c r="BG122" s="504"/>
      <c r="BH122" s="504"/>
      <c r="BI122" s="504"/>
      <c r="BJ122" s="504"/>
      <c r="BK122" s="504" t="str">
        <f>IFERROR(LEFT(표3[[#This Row],[주소]],FIND(" ",표3[[#This Row],[주소]])-1),"")</f>
        <v>서울특별시</v>
      </c>
      <c r="BL12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2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동남로2길</v>
      </c>
      <c r="BN122" s="504"/>
      <c r="BO122" s="504"/>
      <c r="BP122" s="504"/>
      <c r="BQ122" s="504"/>
      <c r="BR122" s="505"/>
      <c r="BS122" s="714" t="s">
        <v>179</v>
      </c>
      <c r="BT122" s="715" t="s">
        <v>179</v>
      </c>
      <c r="BU122" s="715" t="s">
        <v>179</v>
      </c>
      <c r="BV122" s="715" t="s">
        <v>179</v>
      </c>
      <c r="BW122" s="715" t="s">
        <v>179</v>
      </c>
      <c r="BX122" s="715" t="s">
        <v>179</v>
      </c>
      <c r="BY122" s="715" t="s">
        <v>187</v>
      </c>
      <c r="BZ122" s="715">
        <v>37.03</v>
      </c>
      <c r="CA122" s="715">
        <v>23.06</v>
      </c>
      <c r="CB122" s="715">
        <v>329000000</v>
      </c>
      <c r="CC122" s="715">
        <v>329000000</v>
      </c>
      <c r="CD122" s="726">
        <f>표3[[#This Row],[종전추정가액]]*1.5219</f>
        <v>500705100</v>
      </c>
      <c r="CE122" s="506"/>
      <c r="CF122" s="507"/>
      <c r="CG122" s="507"/>
      <c r="CH122" s="508"/>
      <c r="CI122" s="508"/>
      <c r="CJ122" s="509"/>
      <c r="CK122" s="510"/>
      <c r="CL122" s="511"/>
      <c r="CM122" s="512"/>
      <c r="CN122" s="513"/>
      <c r="CO122" s="513"/>
      <c r="CP122" s="513"/>
      <c r="CQ122" s="513"/>
      <c r="CR122" s="513"/>
      <c r="CS122" s="514"/>
      <c r="CT122" s="515"/>
      <c r="CU122" s="515"/>
      <c r="CV122" s="515"/>
      <c r="CW122" s="515"/>
      <c r="CX122" s="515"/>
      <c r="CY122" s="515"/>
      <c r="CZ122" s="515"/>
      <c r="DA122" s="515"/>
      <c r="DB122" s="515"/>
      <c r="DC122" s="515"/>
      <c r="DD122" s="515"/>
      <c r="DE122" s="515"/>
      <c r="DF122" s="516"/>
    </row>
    <row r="123" spans="1:110" s="532" customFormat="1" ht="19">
      <c r="A123" s="475"/>
      <c r="B123" s="476">
        <v>88</v>
      </c>
      <c r="C123" s="477">
        <v>28</v>
      </c>
      <c r="D123" s="478">
        <v>26</v>
      </c>
      <c r="E123" s="676" t="s">
        <v>443</v>
      </c>
      <c r="F123" s="479">
        <v>201</v>
      </c>
      <c r="G123" s="480"/>
      <c r="H123" s="481"/>
      <c r="I123" s="481"/>
      <c r="J123" s="481"/>
      <c r="K123" s="481"/>
      <c r="L123" s="481"/>
      <c r="M123" s="481"/>
      <c r="N123" s="481"/>
      <c r="O123" s="481"/>
      <c r="P123" s="482"/>
      <c r="Q123" s="483" t="s">
        <v>179</v>
      </c>
      <c r="R123" s="484">
        <v>0</v>
      </c>
      <c r="S123" s="484">
        <v>17.59</v>
      </c>
      <c r="T123" s="671">
        <f>표3[[#This Row],[편입면적]]/(SUM(표3[공부면적]))</f>
        <v>2.1976511744127934E-3</v>
      </c>
      <c r="U123" s="486" t="s">
        <v>179</v>
      </c>
      <c r="V123" s="487"/>
      <c r="W123" s="488">
        <v>28.04</v>
      </c>
      <c r="X123" s="489">
        <v>7.44</v>
      </c>
      <c r="Y123" s="489">
        <v>35.479999999999997</v>
      </c>
      <c r="Z123" s="489" t="s">
        <v>179</v>
      </c>
      <c r="AA123" s="490"/>
      <c r="AB123" s="491"/>
      <c r="AC123" s="492"/>
      <c r="AD123" s="493"/>
      <c r="AE123" s="493"/>
      <c r="AF123" s="494"/>
      <c r="AG123" s="495" t="s">
        <v>176</v>
      </c>
      <c r="AH123" s="495"/>
      <c r="AI123" s="495" t="s">
        <v>183</v>
      </c>
      <c r="AJ123" s="496"/>
      <c r="AK123" s="497"/>
      <c r="AL123" s="497"/>
      <c r="AM123" s="494"/>
      <c r="AN123" s="498"/>
      <c r="AO123" s="499" t="s">
        <v>444</v>
      </c>
      <c r="AP123" s="500" t="s">
        <v>179</v>
      </c>
      <c r="AQ123" s="500"/>
      <c r="AR123" s="501"/>
      <c r="AS12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23" s="502" t="s">
        <v>445</v>
      </c>
      <c r="AU123" s="503"/>
      <c r="AV123" s="503"/>
      <c r="AW123" s="503" t="str">
        <f>IF(COUNTIF('설명회 참석자 명부'!$W$4:$W$29,표3[[#This Row],[성  명]])&gt;0,"O","")</f>
        <v/>
      </c>
      <c r="AX123" s="503" t="str">
        <f>_xlfn.XLOOKUP(표3[[#This Row],[성  명]],'설명회 참석자 명부'!$W$4:$W$29,'설명회 참석자 명부'!$X$4:$X$29,"")</f>
        <v/>
      </c>
      <c r="AY123" s="503"/>
      <c r="AZ123" s="503"/>
      <c r="BA123" s="503"/>
      <c r="BB123" s="503"/>
      <c r="BC123" s="503"/>
      <c r="BD123" s="503"/>
      <c r="BE123" s="503"/>
      <c r="BF123" s="504"/>
      <c r="BG123" s="504"/>
      <c r="BH123" s="504"/>
      <c r="BI123" s="504"/>
      <c r="BJ123" s="504"/>
      <c r="BK123" s="504" t="str">
        <f>IFERROR(LEFT(표3[[#This Row],[주소]],FIND(" ",표3[[#This Row],[주소]])-1),"")</f>
        <v>서울특별시</v>
      </c>
      <c r="BL12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2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동남로2길</v>
      </c>
      <c r="BN123" s="504"/>
      <c r="BO123" s="504"/>
      <c r="BP123" s="504"/>
      <c r="BQ123" s="504"/>
      <c r="BR123" s="505"/>
      <c r="BS123" s="714" t="s">
        <v>179</v>
      </c>
      <c r="BT123" s="715" t="s">
        <v>179</v>
      </c>
      <c r="BU123" s="715" t="s">
        <v>179</v>
      </c>
      <c r="BV123" s="715" t="s">
        <v>179</v>
      </c>
      <c r="BW123" s="715" t="s">
        <v>179</v>
      </c>
      <c r="BX123" s="715" t="s">
        <v>179</v>
      </c>
      <c r="BY123" s="715" t="s">
        <v>191</v>
      </c>
      <c r="BZ123" s="715">
        <v>28.24</v>
      </c>
      <c r="CA123" s="715">
        <v>17.59</v>
      </c>
      <c r="CB123" s="715">
        <v>258000000</v>
      </c>
      <c r="CC123" s="715">
        <v>258000000</v>
      </c>
      <c r="CD123" s="726">
        <f>표3[[#This Row],[종전추정가액]]*1.5219</f>
        <v>392650200</v>
      </c>
      <c r="CE123" s="506"/>
      <c r="CF123" s="507"/>
      <c r="CG123" s="507"/>
      <c r="CH123" s="508"/>
      <c r="CI123" s="508"/>
      <c r="CJ123" s="509"/>
      <c r="CK123" s="510"/>
      <c r="CL123" s="511"/>
      <c r="CM123" s="512"/>
      <c r="CN123" s="513"/>
      <c r="CO123" s="513"/>
      <c r="CP123" s="513"/>
      <c r="CQ123" s="513"/>
      <c r="CR123" s="513"/>
      <c r="CS123" s="514"/>
      <c r="CT123" s="515"/>
      <c r="CU123" s="515"/>
      <c r="CV123" s="515"/>
      <c r="CW123" s="515"/>
      <c r="CX123" s="515"/>
      <c r="CY123" s="515"/>
      <c r="CZ123" s="515"/>
      <c r="DA123" s="515"/>
      <c r="DB123" s="515"/>
      <c r="DC123" s="515"/>
      <c r="DD123" s="515"/>
      <c r="DE123" s="515"/>
      <c r="DF123" s="516"/>
    </row>
    <row r="124" spans="1:110" s="532" customFormat="1" ht="19">
      <c r="A124" s="475"/>
      <c r="B124" s="476">
        <v>88</v>
      </c>
      <c r="C124" s="477">
        <v>28</v>
      </c>
      <c r="D124" s="478">
        <v>26</v>
      </c>
      <c r="E124" s="676" t="s">
        <v>443</v>
      </c>
      <c r="F124" s="479">
        <v>202</v>
      </c>
      <c r="G124" s="480"/>
      <c r="H124" s="481"/>
      <c r="I124" s="481"/>
      <c r="J124" s="481"/>
      <c r="K124" s="481"/>
      <c r="L124" s="481"/>
      <c r="M124" s="481"/>
      <c r="N124" s="481"/>
      <c r="O124" s="481"/>
      <c r="P124" s="482"/>
      <c r="Q124" s="483" t="s">
        <v>179</v>
      </c>
      <c r="R124" s="484">
        <v>0</v>
      </c>
      <c r="S124" s="484">
        <v>15.01</v>
      </c>
      <c r="T124" s="671">
        <f>표3[[#This Row],[편입면적]]/(SUM(표3[공부면적]))</f>
        <v>1.8753123438280857E-3</v>
      </c>
      <c r="U124" s="486" t="s">
        <v>179</v>
      </c>
      <c r="V124" s="487"/>
      <c r="W124" s="488">
        <v>24.1</v>
      </c>
      <c r="X124" s="489">
        <v>7.32</v>
      </c>
      <c r="Y124" s="489">
        <v>31.42</v>
      </c>
      <c r="Z124" s="489" t="s">
        <v>179</v>
      </c>
      <c r="AA124" s="490"/>
      <c r="AB124" s="491"/>
      <c r="AC124" s="492"/>
      <c r="AD124" s="493"/>
      <c r="AE124" s="493"/>
      <c r="AF124" s="494"/>
      <c r="AG124" s="495" t="s">
        <v>176</v>
      </c>
      <c r="AH124" s="495"/>
      <c r="AI124" s="495" t="s">
        <v>183</v>
      </c>
      <c r="AJ124" s="496"/>
      <c r="AK124" s="497"/>
      <c r="AL124" s="497"/>
      <c r="AM124" s="494"/>
      <c r="AN124" s="498"/>
      <c r="AO124" s="499" t="s">
        <v>444</v>
      </c>
      <c r="AP124" s="500" t="s">
        <v>179</v>
      </c>
      <c r="AQ124" s="500"/>
      <c r="AR124" s="501"/>
      <c r="AS12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24" s="502" t="s">
        <v>445</v>
      </c>
      <c r="AU124" s="503"/>
      <c r="AV124" s="503"/>
      <c r="AW124" s="503" t="str">
        <f>IF(COUNTIF('설명회 참석자 명부'!$W$4:$W$29,표3[[#This Row],[성  명]])&gt;0,"O","")</f>
        <v/>
      </c>
      <c r="AX124" s="503" t="str">
        <f>_xlfn.XLOOKUP(표3[[#This Row],[성  명]],'설명회 참석자 명부'!$W$4:$W$29,'설명회 참석자 명부'!$X$4:$X$29,"")</f>
        <v/>
      </c>
      <c r="AY124" s="503"/>
      <c r="AZ124" s="503"/>
      <c r="BA124" s="503"/>
      <c r="BB124" s="503"/>
      <c r="BC124" s="503"/>
      <c r="BD124" s="503"/>
      <c r="BE124" s="503"/>
      <c r="BF124" s="504"/>
      <c r="BG124" s="504"/>
      <c r="BH124" s="504"/>
      <c r="BI124" s="504"/>
      <c r="BJ124" s="504"/>
      <c r="BK124" s="504" t="str">
        <f>IFERROR(LEFT(표3[[#This Row],[주소]],FIND(" ",표3[[#This Row],[주소]])-1),"")</f>
        <v>서울특별시</v>
      </c>
      <c r="BL12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2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동남로2길</v>
      </c>
      <c r="BN124" s="504"/>
      <c r="BO124" s="504"/>
      <c r="BP124" s="504"/>
      <c r="BQ124" s="504"/>
      <c r="BR124" s="505"/>
      <c r="BS124" s="714" t="s">
        <v>179</v>
      </c>
      <c r="BT124" s="715" t="s">
        <v>179</v>
      </c>
      <c r="BU124" s="715" t="s">
        <v>179</v>
      </c>
      <c r="BV124" s="715" t="s">
        <v>179</v>
      </c>
      <c r="BW124" s="715" t="s">
        <v>179</v>
      </c>
      <c r="BX124" s="715" t="s">
        <v>179</v>
      </c>
      <c r="BY124" s="715" t="s">
        <v>191</v>
      </c>
      <c r="BZ124" s="715">
        <v>24.1</v>
      </c>
      <c r="CA124" s="715">
        <v>15.01</v>
      </c>
      <c r="CB124" s="715">
        <v>220000000</v>
      </c>
      <c r="CC124" s="715">
        <v>220000000</v>
      </c>
      <c r="CD124" s="726">
        <f>표3[[#This Row],[종전추정가액]]*1.5219</f>
        <v>334818000</v>
      </c>
      <c r="CE124" s="506"/>
      <c r="CF124" s="507"/>
      <c r="CG124" s="507"/>
      <c r="CH124" s="508"/>
      <c r="CI124" s="508"/>
      <c r="CJ124" s="509"/>
      <c r="CK124" s="510"/>
      <c r="CL124" s="511"/>
      <c r="CM124" s="512"/>
      <c r="CN124" s="513"/>
      <c r="CO124" s="513"/>
      <c r="CP124" s="513"/>
      <c r="CQ124" s="513"/>
      <c r="CR124" s="513"/>
      <c r="CS124" s="514"/>
      <c r="CT124" s="515"/>
      <c r="CU124" s="515"/>
      <c r="CV124" s="515"/>
      <c r="CW124" s="515"/>
      <c r="CX124" s="515"/>
      <c r="CY124" s="515"/>
      <c r="CZ124" s="515"/>
      <c r="DA124" s="515"/>
      <c r="DB124" s="515"/>
      <c r="DC124" s="515"/>
      <c r="DD124" s="515"/>
      <c r="DE124" s="515"/>
      <c r="DF124" s="516"/>
    </row>
    <row r="125" spans="1:110" s="532" customFormat="1" ht="19">
      <c r="A125" s="475"/>
      <c r="B125" s="476">
        <v>88</v>
      </c>
      <c r="C125" s="477">
        <v>28</v>
      </c>
      <c r="D125" s="478">
        <v>26</v>
      </c>
      <c r="E125" s="676" t="s">
        <v>443</v>
      </c>
      <c r="F125" s="479">
        <v>203</v>
      </c>
      <c r="G125" s="480"/>
      <c r="H125" s="481"/>
      <c r="I125" s="481"/>
      <c r="J125" s="481"/>
      <c r="K125" s="481"/>
      <c r="L125" s="481"/>
      <c r="M125" s="481"/>
      <c r="N125" s="481"/>
      <c r="O125" s="481"/>
      <c r="P125" s="482"/>
      <c r="Q125" s="483" t="s">
        <v>179</v>
      </c>
      <c r="R125" s="484">
        <v>0</v>
      </c>
      <c r="S125" s="484">
        <v>17.350000000000001</v>
      </c>
      <c r="T125" s="671">
        <f>표3[[#This Row],[편입면적]]/(SUM(표3[공부면적]))</f>
        <v>2.1676661669165417E-3</v>
      </c>
      <c r="U125" s="486" t="s">
        <v>179</v>
      </c>
      <c r="V125" s="487"/>
      <c r="W125" s="488">
        <v>27.85</v>
      </c>
      <c r="X125" s="489">
        <v>7.48</v>
      </c>
      <c r="Y125" s="489">
        <v>35.33</v>
      </c>
      <c r="Z125" s="489" t="s">
        <v>179</v>
      </c>
      <c r="AA125" s="490"/>
      <c r="AB125" s="491"/>
      <c r="AC125" s="492"/>
      <c r="AD125" s="493"/>
      <c r="AE125" s="493"/>
      <c r="AF125" s="494"/>
      <c r="AG125" s="495" t="s">
        <v>176</v>
      </c>
      <c r="AH125" s="495"/>
      <c r="AI125" s="495" t="s">
        <v>183</v>
      </c>
      <c r="AJ125" s="496"/>
      <c r="AK125" s="497"/>
      <c r="AL125" s="497"/>
      <c r="AM125" s="494"/>
      <c r="AN125" s="498"/>
      <c r="AO125" s="499" t="s">
        <v>444</v>
      </c>
      <c r="AP125" s="500" t="s">
        <v>179</v>
      </c>
      <c r="AQ125" s="500"/>
      <c r="AR125" s="501"/>
      <c r="AS12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25" s="502" t="s">
        <v>445</v>
      </c>
      <c r="AU125" s="503"/>
      <c r="AV125" s="503"/>
      <c r="AW125" s="503" t="str">
        <f>IF(COUNTIF('설명회 참석자 명부'!$W$4:$W$29,표3[[#This Row],[성  명]])&gt;0,"O","")</f>
        <v/>
      </c>
      <c r="AX125" s="503" t="str">
        <f>_xlfn.XLOOKUP(표3[[#This Row],[성  명]],'설명회 참석자 명부'!$W$4:$W$29,'설명회 참석자 명부'!$X$4:$X$29,"")</f>
        <v/>
      </c>
      <c r="AY125" s="503"/>
      <c r="AZ125" s="503"/>
      <c r="BA125" s="503"/>
      <c r="BB125" s="503"/>
      <c r="BC125" s="503"/>
      <c r="BD125" s="503"/>
      <c r="BE125" s="503"/>
      <c r="BF125" s="504"/>
      <c r="BG125" s="504"/>
      <c r="BH125" s="504"/>
      <c r="BI125" s="504"/>
      <c r="BJ125" s="504"/>
      <c r="BK125" s="504" t="str">
        <f>IFERROR(LEFT(표3[[#This Row],[주소]],FIND(" ",표3[[#This Row],[주소]])-1),"")</f>
        <v>서울특별시</v>
      </c>
      <c r="BL12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2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동남로2길</v>
      </c>
      <c r="BN125" s="504"/>
      <c r="BO125" s="504"/>
      <c r="BP125" s="504"/>
      <c r="BQ125" s="504"/>
      <c r="BR125" s="505"/>
      <c r="BS125" s="714" t="s">
        <v>179</v>
      </c>
      <c r="BT125" s="715" t="s">
        <v>179</v>
      </c>
      <c r="BU125" s="715" t="s">
        <v>179</v>
      </c>
      <c r="BV125" s="715" t="s">
        <v>179</v>
      </c>
      <c r="BW125" s="715" t="s">
        <v>179</v>
      </c>
      <c r="BX125" s="715" t="s">
        <v>179</v>
      </c>
      <c r="BY125" s="715" t="s">
        <v>191</v>
      </c>
      <c r="BZ125" s="715">
        <v>27.85</v>
      </c>
      <c r="CA125" s="715">
        <v>17.350000000000001</v>
      </c>
      <c r="CB125" s="715">
        <v>254000000</v>
      </c>
      <c r="CC125" s="715">
        <v>254000000</v>
      </c>
      <c r="CD125" s="726">
        <f>표3[[#This Row],[종전추정가액]]*1.5219</f>
        <v>386562600</v>
      </c>
      <c r="CE125" s="506"/>
      <c r="CF125" s="507"/>
      <c r="CG125" s="507"/>
      <c r="CH125" s="508"/>
      <c r="CI125" s="508"/>
      <c r="CJ125" s="509"/>
      <c r="CK125" s="510"/>
      <c r="CL125" s="511"/>
      <c r="CM125" s="512"/>
      <c r="CN125" s="513"/>
      <c r="CO125" s="513"/>
      <c r="CP125" s="513"/>
      <c r="CQ125" s="513"/>
      <c r="CR125" s="513"/>
      <c r="CS125" s="514"/>
      <c r="CT125" s="515"/>
      <c r="CU125" s="515"/>
      <c r="CV125" s="515"/>
      <c r="CW125" s="515"/>
      <c r="CX125" s="515"/>
      <c r="CY125" s="515"/>
      <c r="CZ125" s="515"/>
      <c r="DA125" s="515"/>
      <c r="DB125" s="515"/>
      <c r="DC125" s="515"/>
      <c r="DD125" s="515"/>
      <c r="DE125" s="515"/>
      <c r="DF125" s="516"/>
    </row>
    <row r="126" spans="1:110" s="532" customFormat="1" ht="19">
      <c r="A126" s="475"/>
      <c r="B126" s="476">
        <v>88</v>
      </c>
      <c r="C126" s="477">
        <v>28</v>
      </c>
      <c r="D126" s="478">
        <v>26</v>
      </c>
      <c r="E126" s="676" t="s">
        <v>443</v>
      </c>
      <c r="F126" s="479">
        <v>301</v>
      </c>
      <c r="G126" s="480"/>
      <c r="H126" s="481"/>
      <c r="I126" s="481"/>
      <c r="J126" s="481"/>
      <c r="K126" s="481"/>
      <c r="L126" s="481"/>
      <c r="M126" s="481"/>
      <c r="N126" s="481"/>
      <c r="O126" s="481"/>
      <c r="P126" s="482"/>
      <c r="Q126" s="483" t="s">
        <v>179</v>
      </c>
      <c r="R126" s="484">
        <v>0</v>
      </c>
      <c r="S126" s="484">
        <v>17.59</v>
      </c>
      <c r="T126" s="671">
        <f>표3[[#This Row],[편입면적]]/(SUM(표3[공부면적]))</f>
        <v>2.1976511744127934E-3</v>
      </c>
      <c r="U126" s="486" t="s">
        <v>179</v>
      </c>
      <c r="V126" s="487"/>
      <c r="W126" s="488">
        <v>28.24</v>
      </c>
      <c r="X126" s="489">
        <v>7.44</v>
      </c>
      <c r="Y126" s="489">
        <v>35.68</v>
      </c>
      <c r="Z126" s="489" t="s">
        <v>179</v>
      </c>
      <c r="AA126" s="490"/>
      <c r="AB126" s="491"/>
      <c r="AC126" s="492"/>
      <c r="AD126" s="493"/>
      <c r="AE126" s="493"/>
      <c r="AF126" s="494"/>
      <c r="AG126" s="495" t="s">
        <v>176</v>
      </c>
      <c r="AH126" s="495"/>
      <c r="AI126" s="495" t="s">
        <v>183</v>
      </c>
      <c r="AJ126" s="496"/>
      <c r="AK126" s="497"/>
      <c r="AL126" s="497"/>
      <c r="AM126" s="494"/>
      <c r="AN126" s="498"/>
      <c r="AO126" s="499" t="s">
        <v>444</v>
      </c>
      <c r="AP126" s="500" t="s">
        <v>179</v>
      </c>
      <c r="AQ126" s="500"/>
      <c r="AR126" s="501"/>
      <c r="AS12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26" s="502" t="s">
        <v>445</v>
      </c>
      <c r="AU126" s="503"/>
      <c r="AV126" s="503"/>
      <c r="AW126" s="503" t="str">
        <f>IF(COUNTIF('설명회 참석자 명부'!$W$4:$W$29,표3[[#This Row],[성  명]])&gt;0,"O","")</f>
        <v/>
      </c>
      <c r="AX126" s="503" t="str">
        <f>_xlfn.XLOOKUP(표3[[#This Row],[성  명]],'설명회 참석자 명부'!$W$4:$W$29,'설명회 참석자 명부'!$X$4:$X$29,"")</f>
        <v/>
      </c>
      <c r="AY126" s="503"/>
      <c r="AZ126" s="503"/>
      <c r="BA126" s="503"/>
      <c r="BB126" s="503"/>
      <c r="BC126" s="503"/>
      <c r="BD126" s="503"/>
      <c r="BE126" s="503"/>
      <c r="BF126" s="504"/>
      <c r="BG126" s="504"/>
      <c r="BH126" s="504"/>
      <c r="BI126" s="504"/>
      <c r="BJ126" s="504"/>
      <c r="BK126" s="504" t="str">
        <f>IFERROR(LEFT(표3[[#This Row],[주소]],FIND(" ",표3[[#This Row],[주소]])-1),"")</f>
        <v>서울특별시</v>
      </c>
      <c r="BL126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2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동남로2길</v>
      </c>
      <c r="BN126" s="504"/>
      <c r="BO126" s="504"/>
      <c r="BP126" s="504"/>
      <c r="BQ126" s="504"/>
      <c r="BR126" s="505"/>
      <c r="BS126" s="714" t="s">
        <v>179</v>
      </c>
      <c r="BT126" s="715" t="s">
        <v>179</v>
      </c>
      <c r="BU126" s="715" t="s">
        <v>179</v>
      </c>
      <c r="BV126" s="715" t="s">
        <v>179</v>
      </c>
      <c r="BW126" s="715" t="s">
        <v>179</v>
      </c>
      <c r="BX126" s="715" t="s">
        <v>179</v>
      </c>
      <c r="BY126" s="715" t="s">
        <v>191</v>
      </c>
      <c r="BZ126" s="715">
        <v>28.24</v>
      </c>
      <c r="CA126" s="715">
        <v>17.59</v>
      </c>
      <c r="CB126" s="715">
        <v>261000000</v>
      </c>
      <c r="CC126" s="715">
        <v>261000000</v>
      </c>
      <c r="CD126" s="726">
        <f>표3[[#This Row],[종전추정가액]]*1.5219</f>
        <v>397215900</v>
      </c>
      <c r="CE126" s="506"/>
      <c r="CF126" s="507"/>
      <c r="CG126" s="507"/>
      <c r="CH126" s="508"/>
      <c r="CI126" s="508"/>
      <c r="CJ126" s="509"/>
      <c r="CK126" s="510"/>
      <c r="CL126" s="511"/>
      <c r="CM126" s="512"/>
      <c r="CN126" s="513"/>
      <c r="CO126" s="513"/>
      <c r="CP126" s="513"/>
      <c r="CQ126" s="513"/>
      <c r="CR126" s="513"/>
      <c r="CS126" s="514"/>
      <c r="CT126" s="515"/>
      <c r="CU126" s="515"/>
      <c r="CV126" s="515"/>
      <c r="CW126" s="515"/>
      <c r="CX126" s="515"/>
      <c r="CY126" s="515"/>
      <c r="CZ126" s="515"/>
      <c r="DA126" s="515"/>
      <c r="DB126" s="515"/>
      <c r="DC126" s="515"/>
      <c r="DD126" s="515"/>
      <c r="DE126" s="515"/>
      <c r="DF126" s="516"/>
    </row>
    <row r="127" spans="1:110" s="532" customFormat="1" ht="19">
      <c r="A127" s="475"/>
      <c r="B127" s="476">
        <v>88</v>
      </c>
      <c r="C127" s="477">
        <v>28</v>
      </c>
      <c r="D127" s="478">
        <v>26</v>
      </c>
      <c r="E127" s="676" t="s">
        <v>443</v>
      </c>
      <c r="F127" s="479">
        <v>302</v>
      </c>
      <c r="G127" s="480"/>
      <c r="H127" s="481"/>
      <c r="I127" s="481"/>
      <c r="J127" s="481"/>
      <c r="K127" s="481"/>
      <c r="L127" s="481"/>
      <c r="M127" s="481"/>
      <c r="N127" s="481"/>
      <c r="O127" s="481"/>
      <c r="P127" s="482"/>
      <c r="Q127" s="483" t="s">
        <v>179</v>
      </c>
      <c r="R127" s="484">
        <v>0</v>
      </c>
      <c r="S127" s="484">
        <v>37.04</v>
      </c>
      <c r="T127" s="671">
        <f>표3[[#This Row],[편입면적]]/(SUM(표3[공부면적]))</f>
        <v>4.6276861569215389E-3</v>
      </c>
      <c r="U127" s="486" t="s">
        <v>179</v>
      </c>
      <c r="V127" s="487"/>
      <c r="W127" s="488">
        <v>59.46</v>
      </c>
      <c r="X127" s="489">
        <v>14.8</v>
      </c>
      <c r="Y127" s="489">
        <v>74.260000000000005</v>
      </c>
      <c r="Z127" s="489" t="s">
        <v>179</v>
      </c>
      <c r="AA127" s="490"/>
      <c r="AB127" s="491"/>
      <c r="AC127" s="492"/>
      <c r="AD127" s="493"/>
      <c r="AE127" s="493"/>
      <c r="AF127" s="494"/>
      <c r="AG127" s="495" t="s">
        <v>176</v>
      </c>
      <c r="AH127" s="495"/>
      <c r="AI127" s="495" t="s">
        <v>183</v>
      </c>
      <c r="AJ127" s="496"/>
      <c r="AK127" s="497"/>
      <c r="AL127" s="497"/>
      <c r="AM127" s="494"/>
      <c r="AN127" s="498"/>
      <c r="AO127" s="499" t="s">
        <v>444</v>
      </c>
      <c r="AP127" s="500" t="s">
        <v>179</v>
      </c>
      <c r="AQ127" s="500"/>
      <c r="AR127" s="501"/>
      <c r="AS12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27" s="502" t="s">
        <v>445</v>
      </c>
      <c r="AU127" s="503"/>
      <c r="AV127" s="503"/>
      <c r="AW127" s="503" t="str">
        <f>IF(COUNTIF('설명회 참석자 명부'!$W$4:$W$29,표3[[#This Row],[성  명]])&gt;0,"O","")</f>
        <v/>
      </c>
      <c r="AX127" s="503" t="str">
        <f>_xlfn.XLOOKUP(표3[[#This Row],[성  명]],'설명회 참석자 명부'!$W$4:$W$29,'설명회 참석자 명부'!$X$4:$X$29,"")</f>
        <v/>
      </c>
      <c r="AY127" s="503"/>
      <c r="AZ127" s="503"/>
      <c r="BA127" s="503"/>
      <c r="BB127" s="503"/>
      <c r="BC127" s="503"/>
      <c r="BD127" s="503"/>
      <c r="BE127" s="503"/>
      <c r="BF127" s="504"/>
      <c r="BG127" s="504"/>
      <c r="BH127" s="504"/>
      <c r="BI127" s="504"/>
      <c r="BJ127" s="504"/>
      <c r="BK127" s="504" t="str">
        <f>IFERROR(LEFT(표3[[#This Row],[주소]],FIND(" ",표3[[#This Row],[주소]])-1),"")</f>
        <v>서울특별시</v>
      </c>
      <c r="BL12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2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동남로2길</v>
      </c>
      <c r="BN127" s="504"/>
      <c r="BO127" s="504"/>
      <c r="BP127" s="504"/>
      <c r="BQ127" s="504"/>
      <c r="BR127" s="505"/>
      <c r="BS127" s="714" t="s">
        <v>179</v>
      </c>
      <c r="BT127" s="715" t="s">
        <v>179</v>
      </c>
      <c r="BU127" s="715" t="s">
        <v>179</v>
      </c>
      <c r="BV127" s="715" t="s">
        <v>179</v>
      </c>
      <c r="BW127" s="715" t="s">
        <v>179</v>
      </c>
      <c r="BX127" s="715" t="s">
        <v>179</v>
      </c>
      <c r="BY127" s="715" t="s">
        <v>191</v>
      </c>
      <c r="BZ127" s="715">
        <v>59.46</v>
      </c>
      <c r="CA127" s="715">
        <v>37.04</v>
      </c>
      <c r="CB127" s="715">
        <v>549000000</v>
      </c>
      <c r="CC127" s="715">
        <v>549000000</v>
      </c>
      <c r="CD127" s="726">
        <f>표3[[#This Row],[종전추정가액]]*1.5219</f>
        <v>835523100</v>
      </c>
      <c r="CE127" s="506"/>
      <c r="CF127" s="507"/>
      <c r="CG127" s="507"/>
      <c r="CH127" s="508"/>
      <c r="CI127" s="508"/>
      <c r="CJ127" s="509"/>
      <c r="CK127" s="510"/>
      <c r="CL127" s="511"/>
      <c r="CM127" s="512"/>
      <c r="CN127" s="513"/>
      <c r="CO127" s="513"/>
      <c r="CP127" s="513"/>
      <c r="CQ127" s="513"/>
      <c r="CR127" s="513"/>
      <c r="CS127" s="514"/>
      <c r="CT127" s="515"/>
      <c r="CU127" s="515"/>
      <c r="CV127" s="515"/>
      <c r="CW127" s="515"/>
      <c r="CX127" s="515"/>
      <c r="CY127" s="515"/>
      <c r="CZ127" s="515"/>
      <c r="DA127" s="515"/>
      <c r="DB127" s="515"/>
      <c r="DC127" s="515"/>
      <c r="DD127" s="515"/>
      <c r="DE127" s="515"/>
      <c r="DF127" s="516"/>
    </row>
    <row r="128" spans="1:110" s="532" customFormat="1" ht="19.5" thickBot="1">
      <c r="A128" s="394"/>
      <c r="B128" s="395">
        <v>88</v>
      </c>
      <c r="C128" s="396">
        <v>28</v>
      </c>
      <c r="D128" s="397">
        <v>26</v>
      </c>
      <c r="E128" s="698" t="s">
        <v>443</v>
      </c>
      <c r="F128" s="398">
        <v>401</v>
      </c>
      <c r="G128" s="399"/>
      <c r="H128" s="400"/>
      <c r="I128" s="400"/>
      <c r="J128" s="400"/>
      <c r="K128" s="400"/>
      <c r="L128" s="400"/>
      <c r="M128" s="400"/>
      <c r="N128" s="400"/>
      <c r="O128" s="400"/>
      <c r="P128" s="401"/>
      <c r="Q128" s="402" t="s">
        <v>179</v>
      </c>
      <c r="R128" s="403">
        <v>0</v>
      </c>
      <c r="S128" s="403">
        <v>78.33</v>
      </c>
      <c r="T128" s="672">
        <f>표3[[#This Row],[편입면적]]/(SUM(표3[공부면적]))</f>
        <v>9.7863568215892042E-3</v>
      </c>
      <c r="U128" s="662" t="s">
        <v>179</v>
      </c>
      <c r="V128" s="405"/>
      <c r="W128" s="674">
        <v>68.23</v>
      </c>
      <c r="X128" s="407">
        <v>57.74</v>
      </c>
      <c r="Y128" s="407">
        <v>125.97</v>
      </c>
      <c r="Z128" s="407" t="s">
        <v>179</v>
      </c>
      <c r="AA128" s="408"/>
      <c r="AB128" s="409"/>
      <c r="AC128" s="410"/>
      <c r="AD128" s="411"/>
      <c r="AE128" s="411"/>
      <c r="AF128" s="412"/>
      <c r="AG128" s="413" t="s">
        <v>176</v>
      </c>
      <c r="AH128" s="413"/>
      <c r="AI128" s="413" t="s">
        <v>183</v>
      </c>
      <c r="AJ128" s="414"/>
      <c r="AK128" s="415"/>
      <c r="AL128" s="415"/>
      <c r="AM128" s="412"/>
      <c r="AN128" s="416"/>
      <c r="AO128" s="417" t="s">
        <v>444</v>
      </c>
      <c r="AP128" s="418" t="s">
        <v>179</v>
      </c>
      <c r="AQ128" s="418"/>
      <c r="AR128" s="419"/>
      <c r="AS128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28" s="420" t="s">
        <v>445</v>
      </c>
      <c r="AU128" s="421"/>
      <c r="AV128" s="421"/>
      <c r="AW128" s="421" t="str">
        <f>IF(COUNTIF('설명회 참석자 명부'!$W$4:$W$29,표3[[#This Row],[성  명]])&gt;0,"O","")</f>
        <v/>
      </c>
      <c r="AX128" s="421" t="str">
        <f>_xlfn.XLOOKUP(표3[[#This Row],[성  명]],'설명회 참석자 명부'!$W$4:$W$29,'설명회 참석자 명부'!$X$4:$X$29,"")</f>
        <v/>
      </c>
      <c r="AY128" s="421"/>
      <c r="AZ128" s="421"/>
      <c r="BA128" s="421"/>
      <c r="BB128" s="421"/>
      <c r="BC128" s="421"/>
      <c r="BD128" s="421"/>
      <c r="BE128" s="421"/>
      <c r="BF128" s="422"/>
      <c r="BG128" s="422"/>
      <c r="BH128" s="422"/>
      <c r="BI128" s="422"/>
      <c r="BJ128" s="422"/>
      <c r="BK128" s="422" t="str">
        <f>IFERROR(LEFT(표3[[#This Row],[주소]],FIND(" ",표3[[#This Row],[주소]])-1),"")</f>
        <v>서울특별시</v>
      </c>
      <c r="BL128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28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동남로2길</v>
      </c>
      <c r="BN128" s="422"/>
      <c r="BO128" s="422"/>
      <c r="BP128" s="422"/>
      <c r="BQ128" s="422"/>
      <c r="BR128" s="423"/>
      <c r="BS128" s="714" t="s">
        <v>179</v>
      </c>
      <c r="BT128" s="715" t="s">
        <v>179</v>
      </c>
      <c r="BU128" s="715" t="s">
        <v>179</v>
      </c>
      <c r="BV128" s="715" t="s">
        <v>179</v>
      </c>
      <c r="BW128" s="715" t="s">
        <v>179</v>
      </c>
      <c r="BX128" s="715" t="s">
        <v>179</v>
      </c>
      <c r="BY128" s="715" t="s">
        <v>191</v>
      </c>
      <c r="BZ128" s="715">
        <v>125.77</v>
      </c>
      <c r="CA128" s="715">
        <v>78.33</v>
      </c>
      <c r="CB128" s="715">
        <v>1161000000</v>
      </c>
      <c r="CC128" s="715">
        <v>1161000000</v>
      </c>
      <c r="CD128" s="726">
        <f>표3[[#This Row],[종전추정가액]]*1.5219</f>
        <v>1766925900</v>
      </c>
      <c r="CE128" s="424"/>
      <c r="CF128" s="425"/>
      <c r="CG128" s="425"/>
      <c r="CH128" s="426"/>
      <c r="CI128" s="426"/>
      <c r="CJ128" s="427"/>
      <c r="CK128" s="428"/>
      <c r="CL128" s="429"/>
      <c r="CM128" s="430"/>
      <c r="CN128" s="431"/>
      <c r="CO128" s="431"/>
      <c r="CP128" s="431"/>
      <c r="CQ128" s="431"/>
      <c r="CR128" s="431"/>
      <c r="CS128" s="432"/>
      <c r="CT128" s="433"/>
      <c r="CU128" s="433"/>
      <c r="CV128" s="433"/>
      <c r="CW128" s="433"/>
      <c r="CX128" s="433"/>
      <c r="CY128" s="433"/>
      <c r="CZ128" s="433"/>
      <c r="DA128" s="433"/>
      <c r="DB128" s="433"/>
      <c r="DC128" s="433"/>
      <c r="DD128" s="433"/>
      <c r="DE128" s="433"/>
      <c r="DF128" s="434"/>
    </row>
    <row r="129" spans="1:110" s="533" customFormat="1" ht="19.5" thickTop="1">
      <c r="A129" s="435"/>
      <c r="B129" s="436"/>
      <c r="C129" s="437">
        <v>28</v>
      </c>
      <c r="D129" s="438">
        <v>27</v>
      </c>
      <c r="E129" s="438" t="s">
        <v>446</v>
      </c>
      <c r="F129" s="667">
        <v>0</v>
      </c>
      <c r="G129" s="439"/>
      <c r="H129" s="440"/>
      <c r="I129" s="440"/>
      <c r="J129" s="440"/>
      <c r="K129" s="440"/>
      <c r="L129" s="440"/>
      <c r="M129" s="440"/>
      <c r="N129" s="440"/>
      <c r="O129" s="440"/>
      <c r="P129" s="441"/>
      <c r="Q129" s="442" t="s">
        <v>173</v>
      </c>
      <c r="R129" s="443">
        <v>226.9</v>
      </c>
      <c r="S129" s="443"/>
      <c r="T129" s="670">
        <f>표3[[#This Row],[편입면적]]/(SUM(표3[공부면적]))</f>
        <v>0</v>
      </c>
      <c r="U129" s="444" t="s">
        <v>174</v>
      </c>
      <c r="V129" s="445"/>
      <c r="W129" s="534"/>
      <c r="X129" s="447"/>
      <c r="Y129" s="447">
        <v>0</v>
      </c>
      <c r="Z129" s="447">
        <v>453.35</v>
      </c>
      <c r="AA129" s="448"/>
      <c r="AB129" s="449"/>
      <c r="AC129" s="450" t="s">
        <v>447</v>
      </c>
      <c r="AD129" s="451">
        <v>10</v>
      </c>
      <c r="AE129" s="451" t="str" cm="1">
        <f t="array" ref="AE129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29" s="452"/>
      <c r="AG129" s="453" t="s">
        <v>176</v>
      </c>
      <c r="AH129" s="453"/>
      <c r="AI129" s="453" t="s">
        <v>183</v>
      </c>
      <c r="AJ129" s="453"/>
      <c r="AK129" s="454"/>
      <c r="AL129" s="454"/>
      <c r="AM129" s="452">
        <v>5</v>
      </c>
      <c r="AN129" s="455">
        <v>0</v>
      </c>
      <c r="AO129" s="456"/>
      <c r="AP129" s="457" t="s">
        <v>179</v>
      </c>
      <c r="AQ129" s="457"/>
      <c r="AR129" s="458"/>
      <c r="AS129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29" s="459"/>
      <c r="AU129" s="460"/>
      <c r="AV129" s="460"/>
      <c r="AW129" s="460" t="str">
        <f>IF(COUNTIF('설명회 참석자 명부'!$W$4:$W$29,표3[[#This Row],[성  명]])&gt;0,"O","")</f>
        <v/>
      </c>
      <c r="AX129" s="460">
        <f>_xlfn.XLOOKUP(표3[[#This Row],[성  명]],'설명회 참석자 명부'!$W$4:$W$29,'설명회 참석자 명부'!$X$4:$X$29,"")</f>
        <v>0</v>
      </c>
      <c r="AY129" s="460"/>
      <c r="AZ129" s="460"/>
      <c r="BA129" s="460"/>
      <c r="BB129" s="460"/>
      <c r="BC129" s="460"/>
      <c r="BD129" s="460"/>
      <c r="BE129" s="460"/>
      <c r="BF129" s="461"/>
      <c r="BG129" s="461"/>
      <c r="BH129" s="461"/>
      <c r="BI129" s="461"/>
      <c r="BJ129" s="461"/>
      <c r="BK129" s="461" t="str">
        <f>IFERROR(LEFT(표3[[#This Row],[주소]],FIND(" ",표3[[#This Row],[주소]])-1),"")</f>
        <v/>
      </c>
      <c r="BL129" s="461" t="str">
        <f>IFERROR(MID(표3[[#This Row],[주소]], FIND(" ", 표3[[#This Row],[주소]])+1, FIND(" ", 표3[[#This Row],[주소]], FIND(" ", 표3[[#This Row],[주소]])+1) - FIND(" ", 표3[[#This Row],[주소]])-1),"")</f>
        <v/>
      </c>
      <c r="BM129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129" s="461"/>
      <c r="BO129" s="461"/>
      <c r="BP129" s="461"/>
      <c r="BQ129" s="461"/>
      <c r="BR129" s="462"/>
      <c r="BS129" s="722"/>
      <c r="BT129" s="723"/>
      <c r="BU129" s="723"/>
      <c r="BV129" s="723"/>
      <c r="BW129" s="723"/>
      <c r="BX129" s="723"/>
      <c r="BY129" s="723"/>
      <c r="BZ129" s="723"/>
      <c r="CA129" s="723"/>
      <c r="CB129" s="723"/>
      <c r="CC129" s="723"/>
      <c r="CD129" s="727">
        <f>표3[[#This Row],[종전추정가액]]*1.5219</f>
        <v>0</v>
      </c>
      <c r="CE129" s="463"/>
      <c r="CF129" s="464"/>
      <c r="CG129" s="464"/>
      <c r="CH129" s="465"/>
      <c r="CI129" s="465"/>
      <c r="CJ129" s="466"/>
      <c r="CK129" s="467"/>
      <c r="CL129" s="468"/>
      <c r="CM129" s="469"/>
      <c r="CN129" s="470"/>
      <c r="CO129" s="470"/>
      <c r="CP129" s="470"/>
      <c r="CQ129" s="470"/>
      <c r="CR129" s="470"/>
      <c r="CS129" s="471"/>
      <c r="CT129" s="472"/>
      <c r="CU129" s="472"/>
      <c r="CV129" s="472"/>
      <c r="CW129" s="472"/>
      <c r="CX129" s="472"/>
      <c r="CY129" s="472"/>
      <c r="CZ129" s="472"/>
      <c r="DA129" s="472"/>
      <c r="DB129" s="472"/>
      <c r="DC129" s="472"/>
      <c r="DD129" s="472"/>
      <c r="DE129" s="472"/>
      <c r="DF129" s="473"/>
    </row>
    <row r="130" spans="1:110" s="532" customFormat="1" ht="19">
      <c r="A130" s="475"/>
      <c r="B130" s="476">
        <v>89</v>
      </c>
      <c r="C130" s="477">
        <v>28</v>
      </c>
      <c r="D130" s="478">
        <v>27</v>
      </c>
      <c r="E130" s="676" t="s">
        <v>448</v>
      </c>
      <c r="F130" s="479">
        <v>201</v>
      </c>
      <c r="G130" s="480"/>
      <c r="H130" s="481"/>
      <c r="I130" s="481"/>
      <c r="J130" s="481"/>
      <c r="K130" s="481"/>
      <c r="L130" s="481"/>
      <c r="M130" s="481"/>
      <c r="N130" s="481"/>
      <c r="O130" s="481"/>
      <c r="P130" s="482" t="s">
        <v>877</v>
      </c>
      <c r="Q130" s="483" t="s">
        <v>179</v>
      </c>
      <c r="R130" s="484">
        <v>0</v>
      </c>
      <c r="S130" s="485">
        <v>27.13</v>
      </c>
      <c r="T130" s="671">
        <f>표3[[#This Row],[편입면적]]/(SUM(표3[공부면적]))</f>
        <v>3.3895552223888051E-3</v>
      </c>
      <c r="U130" s="486" t="s">
        <v>179</v>
      </c>
      <c r="V130" s="487"/>
      <c r="W130" s="535">
        <v>41.91</v>
      </c>
      <c r="X130" s="489">
        <v>12.3</v>
      </c>
      <c r="Y130" s="489">
        <v>54.209999999999994</v>
      </c>
      <c r="Z130" s="489" t="s">
        <v>179</v>
      </c>
      <c r="AA130" s="490"/>
      <c r="AB130" s="491"/>
      <c r="AC130" s="492"/>
      <c r="AD130" s="493"/>
      <c r="AE130" s="493"/>
      <c r="AF130" s="494"/>
      <c r="AG130" s="495" t="s">
        <v>176</v>
      </c>
      <c r="AH130" s="495"/>
      <c r="AI130" s="495" t="s">
        <v>183</v>
      </c>
      <c r="AJ130" s="496"/>
      <c r="AK130" s="497"/>
      <c r="AL130" s="497"/>
      <c r="AM130" s="494"/>
      <c r="AN130" s="498"/>
      <c r="AO130" s="499" t="s">
        <v>449</v>
      </c>
      <c r="AP130" s="500" t="s">
        <v>179</v>
      </c>
      <c r="AQ130" s="500"/>
      <c r="AR130" s="501"/>
      <c r="AS13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0" s="502" t="s">
        <v>450</v>
      </c>
      <c r="AU130" s="503"/>
      <c r="AV130" s="503"/>
      <c r="AW130" s="503" t="str">
        <f>IF(COUNTIF('설명회 참석자 명부'!$W$4:$W$29,표3[[#This Row],[성  명]])&gt;0,"O","")</f>
        <v/>
      </c>
      <c r="AX130" s="503" t="str">
        <f>_xlfn.XLOOKUP(표3[[#This Row],[성  명]],'설명회 참석자 명부'!$W$4:$W$29,'설명회 참석자 명부'!$X$4:$X$29,"")</f>
        <v/>
      </c>
      <c r="AY130" s="503"/>
      <c r="AZ130" s="503"/>
      <c r="BA130" s="503"/>
      <c r="BB130" s="503"/>
      <c r="BC130" s="503"/>
      <c r="BD130" s="503"/>
      <c r="BE130" s="503"/>
      <c r="BF130" s="504"/>
      <c r="BG130" s="504"/>
      <c r="BH130" s="504"/>
      <c r="BI130" s="504"/>
      <c r="BJ130" s="504"/>
      <c r="BK130" s="504" t="str">
        <f>IFERROR(LEFT(표3[[#This Row],[주소]],FIND(" ",표3[[#This Row],[주소]])-1),"")</f>
        <v>서울특별시</v>
      </c>
      <c r="BL13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0" s="504"/>
      <c r="BO130" s="504"/>
      <c r="BP130" s="504"/>
      <c r="BQ130" s="504"/>
      <c r="BR130" s="505"/>
      <c r="BS130" s="714" t="s">
        <v>179</v>
      </c>
      <c r="BT130" s="715" t="s">
        <v>179</v>
      </c>
      <c r="BU130" s="715" t="s">
        <v>179</v>
      </c>
      <c r="BV130" s="715" t="s">
        <v>179</v>
      </c>
      <c r="BW130" s="715" t="s">
        <v>179</v>
      </c>
      <c r="BX130" s="715" t="s">
        <v>179</v>
      </c>
      <c r="BY130" s="715" t="s">
        <v>191</v>
      </c>
      <c r="BZ130" s="715">
        <v>41.91</v>
      </c>
      <c r="CA130" s="715">
        <v>27.13</v>
      </c>
      <c r="CB130" s="715">
        <v>390000000</v>
      </c>
      <c r="CC130" s="715">
        <v>390000000</v>
      </c>
      <c r="CD130" s="726">
        <f>표3[[#This Row],[종전추정가액]]*1.5219</f>
        <v>593541000</v>
      </c>
      <c r="CE130" s="506"/>
      <c r="CF130" s="507"/>
      <c r="CG130" s="507"/>
      <c r="CH130" s="508"/>
      <c r="CI130" s="508"/>
      <c r="CJ130" s="509"/>
      <c r="CK130" s="510"/>
      <c r="CL130" s="511"/>
      <c r="CM130" s="512"/>
      <c r="CN130" s="513"/>
      <c r="CO130" s="513"/>
      <c r="CP130" s="513"/>
      <c r="CQ130" s="513"/>
      <c r="CR130" s="513"/>
      <c r="CS130" s="514"/>
      <c r="CT130" s="515"/>
      <c r="CU130" s="515"/>
      <c r="CV130" s="515"/>
      <c r="CW130" s="515"/>
      <c r="CX130" s="515"/>
      <c r="CY130" s="515"/>
      <c r="CZ130" s="515"/>
      <c r="DA130" s="515"/>
      <c r="DB130" s="515"/>
      <c r="DC130" s="515"/>
      <c r="DD130" s="515"/>
      <c r="DE130" s="515"/>
      <c r="DF130" s="516"/>
    </row>
    <row r="131" spans="1:110" s="532" customFormat="1" ht="345">
      <c r="A131" s="475"/>
      <c r="B131" s="476">
        <v>89</v>
      </c>
      <c r="C131" s="477">
        <v>28</v>
      </c>
      <c r="D131" s="478">
        <v>27</v>
      </c>
      <c r="E131" s="676" t="s">
        <v>448</v>
      </c>
      <c r="F131" s="479">
        <v>202</v>
      </c>
      <c r="G131" s="480"/>
      <c r="H131" s="481"/>
      <c r="I131" s="481"/>
      <c r="J131" s="481"/>
      <c r="K131" s="481"/>
      <c r="L131" s="481"/>
      <c r="M131" s="481"/>
      <c r="N131" s="481"/>
      <c r="O131" s="481"/>
      <c r="P131" s="760" t="s">
        <v>879</v>
      </c>
      <c r="Q131" s="483" t="s">
        <v>179</v>
      </c>
      <c r="R131" s="484">
        <v>0</v>
      </c>
      <c r="S131" s="485">
        <v>11.58</v>
      </c>
      <c r="T131" s="671">
        <f>표3[[#This Row],[편입면적]]/(SUM(표3[공부면적]))</f>
        <v>1.4467766116941527E-3</v>
      </c>
      <c r="U131" s="486" t="s">
        <v>179</v>
      </c>
      <c r="V131" s="487"/>
      <c r="W131" s="535">
        <v>17.89</v>
      </c>
      <c r="X131" s="489">
        <v>5.25</v>
      </c>
      <c r="Y131" s="489">
        <v>23.14</v>
      </c>
      <c r="Z131" s="489" t="s">
        <v>179</v>
      </c>
      <c r="AA131" s="490"/>
      <c r="AB131" s="491"/>
      <c r="AC131" s="492"/>
      <c r="AD131" s="493"/>
      <c r="AE131" s="493"/>
      <c r="AF131" s="494"/>
      <c r="AG131" s="495" t="s">
        <v>176</v>
      </c>
      <c r="AH131" s="495"/>
      <c r="AI131" s="495" t="s">
        <v>183</v>
      </c>
      <c r="AJ131" s="496"/>
      <c r="AK131" s="497"/>
      <c r="AL131" s="497"/>
      <c r="AM131" s="494"/>
      <c r="AN131" s="498"/>
      <c r="AO131" s="499" t="s">
        <v>449</v>
      </c>
      <c r="AP131" s="500" t="s">
        <v>179</v>
      </c>
      <c r="AQ131" s="500"/>
      <c r="AR131" s="501"/>
      <c r="AS13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1" s="502" t="s">
        <v>450</v>
      </c>
      <c r="AU131" s="503"/>
      <c r="AV131" s="503"/>
      <c r="AW131" s="503" t="str">
        <f>IF(COUNTIF('설명회 참석자 명부'!$W$4:$W$29,표3[[#This Row],[성  명]])&gt;0,"O","")</f>
        <v/>
      </c>
      <c r="AX131" s="503" t="str">
        <f>_xlfn.XLOOKUP(표3[[#This Row],[성  명]],'설명회 참석자 명부'!$W$4:$W$29,'설명회 참석자 명부'!$X$4:$X$29,"")</f>
        <v/>
      </c>
      <c r="AY131" s="503"/>
      <c r="AZ131" s="503"/>
      <c r="BA131" s="503"/>
      <c r="BB131" s="503"/>
      <c r="BC131" s="503"/>
      <c r="BD131" s="503"/>
      <c r="BE131" s="503"/>
      <c r="BF131" s="504"/>
      <c r="BG131" s="504"/>
      <c r="BH131" s="504"/>
      <c r="BI131" s="504"/>
      <c r="BJ131" s="504"/>
      <c r="BK131" s="504" t="str">
        <f>IFERROR(LEFT(표3[[#This Row],[주소]],FIND(" ",표3[[#This Row],[주소]])-1),"")</f>
        <v>서울특별시</v>
      </c>
      <c r="BL13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1" s="504"/>
      <c r="BO131" s="504"/>
      <c r="BP131" s="504"/>
      <c r="BQ131" s="504"/>
      <c r="BR131" s="505"/>
      <c r="BS131" s="714" t="s">
        <v>179</v>
      </c>
      <c r="BT131" s="715" t="s">
        <v>179</v>
      </c>
      <c r="BU131" s="715" t="s">
        <v>179</v>
      </c>
      <c r="BV131" s="715" t="s">
        <v>179</v>
      </c>
      <c r="BW131" s="715" t="s">
        <v>179</v>
      </c>
      <c r="BX131" s="715" t="s">
        <v>179</v>
      </c>
      <c r="BY131" s="715" t="s">
        <v>191</v>
      </c>
      <c r="BZ131" s="715">
        <v>17.89</v>
      </c>
      <c r="CA131" s="715">
        <v>11.58</v>
      </c>
      <c r="CB131" s="715">
        <v>166000000</v>
      </c>
      <c r="CC131" s="715">
        <v>166000000</v>
      </c>
      <c r="CD131" s="726">
        <f>표3[[#This Row],[종전추정가액]]*1.5219</f>
        <v>252635400</v>
      </c>
      <c r="CE131" s="506"/>
      <c r="CF131" s="507"/>
      <c r="CG131" s="507"/>
      <c r="CH131" s="508"/>
      <c r="CI131" s="508"/>
      <c r="CJ131" s="509"/>
      <c r="CK131" s="510"/>
      <c r="CL131" s="511"/>
      <c r="CM131" s="512"/>
      <c r="CN131" s="513"/>
      <c r="CO131" s="513"/>
      <c r="CP131" s="513"/>
      <c r="CQ131" s="513"/>
      <c r="CR131" s="513"/>
      <c r="CS131" s="514"/>
      <c r="CT131" s="515"/>
      <c r="CU131" s="515"/>
      <c r="CV131" s="515"/>
      <c r="CW131" s="515"/>
      <c r="CX131" s="515"/>
      <c r="CY131" s="515"/>
      <c r="CZ131" s="515"/>
      <c r="DA131" s="515"/>
      <c r="DB131" s="515"/>
      <c r="DC131" s="515"/>
      <c r="DD131" s="515"/>
      <c r="DE131" s="515"/>
      <c r="DF131" s="516"/>
    </row>
    <row r="132" spans="1:110" s="532" customFormat="1" ht="19">
      <c r="A132" s="475"/>
      <c r="B132" s="476">
        <v>89</v>
      </c>
      <c r="C132" s="477">
        <v>28</v>
      </c>
      <c r="D132" s="478">
        <v>27</v>
      </c>
      <c r="E132" s="676" t="s">
        <v>448</v>
      </c>
      <c r="F132" s="479">
        <v>203</v>
      </c>
      <c r="G132" s="480"/>
      <c r="H132" s="481"/>
      <c r="I132" s="481"/>
      <c r="J132" s="481"/>
      <c r="K132" s="481"/>
      <c r="L132" s="481"/>
      <c r="M132" s="481"/>
      <c r="N132" s="481"/>
      <c r="O132" s="481"/>
      <c r="P132" s="482" t="s">
        <v>877</v>
      </c>
      <c r="Q132" s="483" t="s">
        <v>179</v>
      </c>
      <c r="R132" s="484">
        <v>0</v>
      </c>
      <c r="S132" s="485">
        <v>29.77</v>
      </c>
      <c r="T132" s="671">
        <f>표3[[#This Row],[편입면적]]/(SUM(표3[공부면적]))</f>
        <v>3.7193903048475759E-3</v>
      </c>
      <c r="U132" s="486" t="s">
        <v>179</v>
      </c>
      <c r="V132" s="487"/>
      <c r="W132" s="535">
        <v>45.99</v>
      </c>
      <c r="X132" s="489">
        <v>13.49</v>
      </c>
      <c r="Y132" s="489">
        <v>59.480000000000004</v>
      </c>
      <c r="Z132" s="489" t="s">
        <v>179</v>
      </c>
      <c r="AA132" s="490"/>
      <c r="AB132" s="491"/>
      <c r="AC132" s="492"/>
      <c r="AD132" s="493"/>
      <c r="AE132" s="493"/>
      <c r="AF132" s="494"/>
      <c r="AG132" s="495" t="s">
        <v>176</v>
      </c>
      <c r="AH132" s="495"/>
      <c r="AI132" s="495" t="s">
        <v>183</v>
      </c>
      <c r="AJ132" s="496"/>
      <c r="AK132" s="497"/>
      <c r="AL132" s="497"/>
      <c r="AM132" s="494"/>
      <c r="AN132" s="498"/>
      <c r="AO132" s="499" t="s">
        <v>449</v>
      </c>
      <c r="AP132" s="500" t="s">
        <v>179</v>
      </c>
      <c r="AQ132" s="500"/>
      <c r="AR132" s="501"/>
      <c r="AS13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2" s="502" t="s">
        <v>450</v>
      </c>
      <c r="AU132" s="503"/>
      <c r="AV132" s="503"/>
      <c r="AW132" s="503" t="str">
        <f>IF(COUNTIF('설명회 참석자 명부'!$W$4:$W$29,표3[[#This Row],[성  명]])&gt;0,"O","")</f>
        <v/>
      </c>
      <c r="AX132" s="503" t="str">
        <f>_xlfn.XLOOKUP(표3[[#This Row],[성  명]],'설명회 참석자 명부'!$W$4:$W$29,'설명회 참석자 명부'!$X$4:$X$29,"")</f>
        <v/>
      </c>
      <c r="AY132" s="503"/>
      <c r="AZ132" s="503"/>
      <c r="BA132" s="503"/>
      <c r="BB132" s="503"/>
      <c r="BC132" s="503"/>
      <c r="BD132" s="503"/>
      <c r="BE132" s="503"/>
      <c r="BF132" s="504"/>
      <c r="BG132" s="504"/>
      <c r="BH132" s="504"/>
      <c r="BI132" s="504"/>
      <c r="BJ132" s="504"/>
      <c r="BK132" s="504" t="str">
        <f>IFERROR(LEFT(표3[[#This Row],[주소]],FIND(" ",표3[[#This Row],[주소]])-1),"")</f>
        <v>서울특별시</v>
      </c>
      <c r="BL13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2" s="504"/>
      <c r="BO132" s="504"/>
      <c r="BP132" s="504"/>
      <c r="BQ132" s="504"/>
      <c r="BR132" s="505"/>
      <c r="BS132" s="714" t="s">
        <v>179</v>
      </c>
      <c r="BT132" s="715" t="s">
        <v>179</v>
      </c>
      <c r="BU132" s="715" t="s">
        <v>179</v>
      </c>
      <c r="BV132" s="715" t="s">
        <v>179</v>
      </c>
      <c r="BW132" s="715" t="s">
        <v>179</v>
      </c>
      <c r="BX132" s="715" t="s">
        <v>179</v>
      </c>
      <c r="BY132" s="715" t="s">
        <v>191</v>
      </c>
      <c r="BZ132" s="715">
        <v>45.99</v>
      </c>
      <c r="CA132" s="715">
        <v>29.77</v>
      </c>
      <c r="CB132" s="715">
        <v>428000000</v>
      </c>
      <c r="CC132" s="715">
        <v>428000000</v>
      </c>
      <c r="CD132" s="726">
        <f>표3[[#This Row],[종전추정가액]]*1.5219</f>
        <v>651373200</v>
      </c>
      <c r="CE132" s="506"/>
      <c r="CF132" s="507"/>
      <c r="CG132" s="507"/>
      <c r="CH132" s="508"/>
      <c r="CI132" s="508"/>
      <c r="CJ132" s="509"/>
      <c r="CK132" s="510"/>
      <c r="CL132" s="511"/>
      <c r="CM132" s="512"/>
      <c r="CN132" s="513"/>
      <c r="CO132" s="513"/>
      <c r="CP132" s="513"/>
      <c r="CQ132" s="513"/>
      <c r="CR132" s="513"/>
      <c r="CS132" s="514"/>
      <c r="CT132" s="515"/>
      <c r="CU132" s="515"/>
      <c r="CV132" s="515"/>
      <c r="CW132" s="515"/>
      <c r="CX132" s="515"/>
      <c r="CY132" s="515"/>
      <c r="CZ132" s="515"/>
      <c r="DA132" s="515"/>
      <c r="DB132" s="515"/>
      <c r="DC132" s="515"/>
      <c r="DD132" s="515"/>
      <c r="DE132" s="515"/>
      <c r="DF132" s="516"/>
    </row>
    <row r="133" spans="1:110" s="532" customFormat="1" ht="19">
      <c r="A133" s="475"/>
      <c r="B133" s="476">
        <v>89</v>
      </c>
      <c r="C133" s="477">
        <v>28</v>
      </c>
      <c r="D133" s="478">
        <v>27</v>
      </c>
      <c r="E133" s="676" t="s">
        <v>448</v>
      </c>
      <c r="F133" s="479">
        <v>301</v>
      </c>
      <c r="G133" s="480"/>
      <c r="H133" s="481"/>
      <c r="I133" s="481"/>
      <c r="J133" s="481"/>
      <c r="K133" s="481"/>
      <c r="L133" s="481"/>
      <c r="M133" s="481"/>
      <c r="N133" s="481"/>
      <c r="O133" s="481"/>
      <c r="P133" s="482" t="s">
        <v>877</v>
      </c>
      <c r="Q133" s="483" t="s">
        <v>179</v>
      </c>
      <c r="R133" s="484">
        <v>0</v>
      </c>
      <c r="S133" s="485">
        <v>27.13</v>
      </c>
      <c r="T133" s="671">
        <f>표3[[#This Row],[편입면적]]/(SUM(표3[공부면적]))</f>
        <v>3.3895552223888051E-3</v>
      </c>
      <c r="U133" s="486" t="s">
        <v>179</v>
      </c>
      <c r="V133" s="487"/>
      <c r="W133" s="535">
        <v>41.91</v>
      </c>
      <c r="X133" s="489">
        <v>12.3</v>
      </c>
      <c r="Y133" s="489">
        <v>54.209999999999994</v>
      </c>
      <c r="Z133" s="489" t="s">
        <v>179</v>
      </c>
      <c r="AA133" s="490"/>
      <c r="AB133" s="491"/>
      <c r="AC133" s="492"/>
      <c r="AD133" s="493"/>
      <c r="AE133" s="493"/>
      <c r="AF133" s="494"/>
      <c r="AG133" s="495" t="s">
        <v>176</v>
      </c>
      <c r="AH133" s="495"/>
      <c r="AI133" s="495" t="s">
        <v>183</v>
      </c>
      <c r="AJ133" s="496"/>
      <c r="AK133" s="497"/>
      <c r="AL133" s="497"/>
      <c r="AM133" s="494"/>
      <c r="AN133" s="498"/>
      <c r="AO133" s="499" t="s">
        <v>449</v>
      </c>
      <c r="AP133" s="500" t="s">
        <v>179</v>
      </c>
      <c r="AQ133" s="500"/>
      <c r="AR133" s="501"/>
      <c r="AS13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3" s="502" t="s">
        <v>450</v>
      </c>
      <c r="AU133" s="503"/>
      <c r="AV133" s="503"/>
      <c r="AW133" s="503" t="str">
        <f>IF(COUNTIF('설명회 참석자 명부'!$W$4:$W$29,표3[[#This Row],[성  명]])&gt;0,"O","")</f>
        <v/>
      </c>
      <c r="AX133" s="503" t="str">
        <f>_xlfn.XLOOKUP(표3[[#This Row],[성  명]],'설명회 참석자 명부'!$W$4:$W$29,'설명회 참석자 명부'!$X$4:$X$29,"")</f>
        <v/>
      </c>
      <c r="AY133" s="503"/>
      <c r="AZ133" s="503"/>
      <c r="BA133" s="503"/>
      <c r="BB133" s="503"/>
      <c r="BC133" s="503"/>
      <c r="BD133" s="503"/>
      <c r="BE133" s="503"/>
      <c r="BF133" s="504"/>
      <c r="BG133" s="504"/>
      <c r="BH133" s="504"/>
      <c r="BI133" s="504"/>
      <c r="BJ133" s="504"/>
      <c r="BK133" s="504" t="str">
        <f>IFERROR(LEFT(표3[[#This Row],[주소]],FIND(" ",표3[[#This Row],[주소]])-1),"")</f>
        <v>서울특별시</v>
      </c>
      <c r="BL13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3" s="504"/>
      <c r="BO133" s="504"/>
      <c r="BP133" s="504"/>
      <c r="BQ133" s="504"/>
      <c r="BR133" s="505"/>
      <c r="BS133" s="714" t="s">
        <v>179</v>
      </c>
      <c r="BT133" s="715" t="s">
        <v>179</v>
      </c>
      <c r="BU133" s="715" t="s">
        <v>179</v>
      </c>
      <c r="BV133" s="715" t="s">
        <v>179</v>
      </c>
      <c r="BW133" s="715" t="s">
        <v>179</v>
      </c>
      <c r="BX133" s="715" t="s">
        <v>179</v>
      </c>
      <c r="BY133" s="715" t="s">
        <v>191</v>
      </c>
      <c r="BZ133" s="715">
        <v>41.91</v>
      </c>
      <c r="CA133" s="715">
        <v>27.13</v>
      </c>
      <c r="CB133" s="715">
        <v>394000000</v>
      </c>
      <c r="CC133" s="715">
        <v>394000000</v>
      </c>
      <c r="CD133" s="726">
        <f>표3[[#This Row],[종전추정가액]]*1.5219</f>
        <v>599628600</v>
      </c>
      <c r="CE133" s="506"/>
      <c r="CF133" s="507"/>
      <c r="CG133" s="507"/>
      <c r="CH133" s="508"/>
      <c r="CI133" s="508"/>
      <c r="CJ133" s="509"/>
      <c r="CK133" s="510"/>
      <c r="CL133" s="511"/>
      <c r="CM133" s="512"/>
      <c r="CN133" s="513"/>
      <c r="CO133" s="513"/>
      <c r="CP133" s="513"/>
      <c r="CQ133" s="513"/>
      <c r="CR133" s="513"/>
      <c r="CS133" s="514"/>
      <c r="CT133" s="515"/>
      <c r="CU133" s="515"/>
      <c r="CV133" s="515"/>
      <c r="CW133" s="515"/>
      <c r="CX133" s="515"/>
      <c r="CY133" s="515"/>
      <c r="CZ133" s="515"/>
      <c r="DA133" s="515"/>
      <c r="DB133" s="515"/>
      <c r="DC133" s="515"/>
      <c r="DD133" s="515"/>
      <c r="DE133" s="515"/>
      <c r="DF133" s="516"/>
    </row>
    <row r="134" spans="1:110" s="532" customFormat="1" ht="19">
      <c r="A134" s="475"/>
      <c r="B134" s="476">
        <v>89</v>
      </c>
      <c r="C134" s="477">
        <v>28</v>
      </c>
      <c r="D134" s="478">
        <v>27</v>
      </c>
      <c r="E134" s="676" t="s">
        <v>448</v>
      </c>
      <c r="F134" s="479">
        <v>302</v>
      </c>
      <c r="G134" s="480"/>
      <c r="H134" s="481"/>
      <c r="I134" s="481"/>
      <c r="J134" s="481"/>
      <c r="K134" s="481"/>
      <c r="L134" s="481"/>
      <c r="M134" s="481"/>
      <c r="N134" s="481"/>
      <c r="O134" s="481"/>
      <c r="P134" s="482" t="s">
        <v>877</v>
      </c>
      <c r="Q134" s="483" t="s">
        <v>179</v>
      </c>
      <c r="R134" s="484">
        <v>0</v>
      </c>
      <c r="S134" s="485">
        <v>11.58</v>
      </c>
      <c r="T134" s="671">
        <f>표3[[#This Row],[편입면적]]/(SUM(표3[공부면적]))</f>
        <v>1.4467766116941527E-3</v>
      </c>
      <c r="U134" s="486" t="s">
        <v>179</v>
      </c>
      <c r="V134" s="487"/>
      <c r="W134" s="535">
        <v>17.89</v>
      </c>
      <c r="X134" s="489">
        <v>5.25</v>
      </c>
      <c r="Y134" s="489">
        <v>23.14</v>
      </c>
      <c r="Z134" s="489" t="s">
        <v>179</v>
      </c>
      <c r="AA134" s="490"/>
      <c r="AB134" s="491"/>
      <c r="AC134" s="492"/>
      <c r="AD134" s="493"/>
      <c r="AE134" s="493"/>
      <c r="AF134" s="494"/>
      <c r="AG134" s="495" t="s">
        <v>176</v>
      </c>
      <c r="AH134" s="495"/>
      <c r="AI134" s="495" t="s">
        <v>183</v>
      </c>
      <c r="AJ134" s="496"/>
      <c r="AK134" s="497"/>
      <c r="AL134" s="497"/>
      <c r="AM134" s="494"/>
      <c r="AN134" s="498"/>
      <c r="AO134" s="499" t="s">
        <v>449</v>
      </c>
      <c r="AP134" s="500" t="s">
        <v>179</v>
      </c>
      <c r="AQ134" s="500"/>
      <c r="AR134" s="501"/>
      <c r="AS13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4" s="502" t="s">
        <v>450</v>
      </c>
      <c r="AU134" s="503"/>
      <c r="AV134" s="503"/>
      <c r="AW134" s="503" t="str">
        <f>IF(COUNTIF('설명회 참석자 명부'!$W$4:$W$29,표3[[#This Row],[성  명]])&gt;0,"O","")</f>
        <v/>
      </c>
      <c r="AX134" s="503" t="str">
        <f>_xlfn.XLOOKUP(표3[[#This Row],[성  명]],'설명회 참석자 명부'!$W$4:$W$29,'설명회 참석자 명부'!$X$4:$X$29,"")</f>
        <v/>
      </c>
      <c r="AY134" s="503"/>
      <c r="AZ134" s="503"/>
      <c r="BA134" s="503"/>
      <c r="BB134" s="503"/>
      <c r="BC134" s="503"/>
      <c r="BD134" s="503"/>
      <c r="BE134" s="503"/>
      <c r="BF134" s="504"/>
      <c r="BG134" s="504"/>
      <c r="BH134" s="504"/>
      <c r="BI134" s="504"/>
      <c r="BJ134" s="504"/>
      <c r="BK134" s="504" t="str">
        <f>IFERROR(LEFT(표3[[#This Row],[주소]],FIND(" ",표3[[#This Row],[주소]])-1),"")</f>
        <v>서울특별시</v>
      </c>
      <c r="BL13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4" s="504"/>
      <c r="BO134" s="504"/>
      <c r="BP134" s="504"/>
      <c r="BQ134" s="504"/>
      <c r="BR134" s="505"/>
      <c r="BS134" s="714" t="s">
        <v>179</v>
      </c>
      <c r="BT134" s="715" t="s">
        <v>179</v>
      </c>
      <c r="BU134" s="715" t="s">
        <v>179</v>
      </c>
      <c r="BV134" s="715" t="s">
        <v>179</v>
      </c>
      <c r="BW134" s="715" t="s">
        <v>179</v>
      </c>
      <c r="BX134" s="715" t="s">
        <v>179</v>
      </c>
      <c r="BY134" s="715" t="s">
        <v>191</v>
      </c>
      <c r="BZ134" s="715">
        <v>17.89</v>
      </c>
      <c r="CA134" s="715">
        <v>11.58</v>
      </c>
      <c r="CB134" s="715">
        <v>168000000</v>
      </c>
      <c r="CC134" s="715">
        <v>168000000</v>
      </c>
      <c r="CD134" s="726">
        <f>표3[[#This Row],[종전추정가액]]*1.5219</f>
        <v>255679200</v>
      </c>
      <c r="CE134" s="506"/>
      <c r="CF134" s="507"/>
      <c r="CG134" s="507"/>
      <c r="CH134" s="508"/>
      <c r="CI134" s="508"/>
      <c r="CJ134" s="509"/>
      <c r="CK134" s="510"/>
      <c r="CL134" s="511"/>
      <c r="CM134" s="512"/>
      <c r="CN134" s="513"/>
      <c r="CO134" s="513"/>
      <c r="CP134" s="513"/>
      <c r="CQ134" s="513"/>
      <c r="CR134" s="513"/>
      <c r="CS134" s="514"/>
      <c r="CT134" s="515"/>
      <c r="CU134" s="515"/>
      <c r="CV134" s="515"/>
      <c r="CW134" s="515"/>
      <c r="CX134" s="515"/>
      <c r="CY134" s="515"/>
      <c r="CZ134" s="515"/>
      <c r="DA134" s="515"/>
      <c r="DB134" s="515"/>
      <c r="DC134" s="515"/>
      <c r="DD134" s="515"/>
      <c r="DE134" s="515"/>
      <c r="DF134" s="516"/>
    </row>
    <row r="135" spans="1:110" s="532" customFormat="1" ht="19">
      <c r="A135" s="475"/>
      <c r="B135" s="476">
        <v>89</v>
      </c>
      <c r="C135" s="477">
        <v>28</v>
      </c>
      <c r="D135" s="478">
        <v>27</v>
      </c>
      <c r="E135" s="676" t="s">
        <v>448</v>
      </c>
      <c r="F135" s="479">
        <v>303</v>
      </c>
      <c r="G135" s="480"/>
      <c r="H135" s="481"/>
      <c r="I135" s="481"/>
      <c r="J135" s="481"/>
      <c r="K135" s="481"/>
      <c r="L135" s="481"/>
      <c r="M135" s="481"/>
      <c r="N135" s="481"/>
      <c r="O135" s="481"/>
      <c r="P135" s="482" t="s">
        <v>877</v>
      </c>
      <c r="Q135" s="483" t="s">
        <v>179</v>
      </c>
      <c r="R135" s="484">
        <v>0</v>
      </c>
      <c r="S135" s="485">
        <v>29.77</v>
      </c>
      <c r="T135" s="671">
        <f>표3[[#This Row],[편입면적]]/(SUM(표3[공부면적]))</f>
        <v>3.7193903048475759E-3</v>
      </c>
      <c r="U135" s="486" t="s">
        <v>179</v>
      </c>
      <c r="V135" s="487"/>
      <c r="W135" s="535">
        <v>45.99</v>
      </c>
      <c r="X135" s="489">
        <v>13.49</v>
      </c>
      <c r="Y135" s="489">
        <v>59.480000000000004</v>
      </c>
      <c r="Z135" s="489" t="s">
        <v>179</v>
      </c>
      <c r="AA135" s="490"/>
      <c r="AB135" s="491"/>
      <c r="AC135" s="492"/>
      <c r="AD135" s="493"/>
      <c r="AE135" s="493"/>
      <c r="AF135" s="494"/>
      <c r="AG135" s="495" t="s">
        <v>176</v>
      </c>
      <c r="AH135" s="495"/>
      <c r="AI135" s="495" t="s">
        <v>183</v>
      </c>
      <c r="AJ135" s="496"/>
      <c r="AK135" s="497"/>
      <c r="AL135" s="497"/>
      <c r="AM135" s="494"/>
      <c r="AN135" s="498"/>
      <c r="AO135" s="499" t="s">
        <v>449</v>
      </c>
      <c r="AP135" s="500" t="s">
        <v>179</v>
      </c>
      <c r="AQ135" s="500"/>
      <c r="AR135" s="501"/>
      <c r="AS13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5" s="502" t="s">
        <v>450</v>
      </c>
      <c r="AU135" s="503"/>
      <c r="AV135" s="503"/>
      <c r="AW135" s="503" t="str">
        <f>IF(COUNTIF('설명회 참석자 명부'!$W$4:$W$29,표3[[#This Row],[성  명]])&gt;0,"O","")</f>
        <v/>
      </c>
      <c r="AX135" s="503" t="str">
        <f>_xlfn.XLOOKUP(표3[[#This Row],[성  명]],'설명회 참석자 명부'!$W$4:$W$29,'설명회 참석자 명부'!$X$4:$X$29,"")</f>
        <v/>
      </c>
      <c r="AY135" s="503"/>
      <c r="AZ135" s="503"/>
      <c r="BA135" s="503"/>
      <c r="BB135" s="503"/>
      <c r="BC135" s="503"/>
      <c r="BD135" s="503"/>
      <c r="BE135" s="503"/>
      <c r="BF135" s="504"/>
      <c r="BG135" s="504"/>
      <c r="BH135" s="504"/>
      <c r="BI135" s="504"/>
      <c r="BJ135" s="504"/>
      <c r="BK135" s="504" t="str">
        <f>IFERROR(LEFT(표3[[#This Row],[주소]],FIND(" ",표3[[#This Row],[주소]])-1),"")</f>
        <v>서울특별시</v>
      </c>
      <c r="BL13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5" s="504"/>
      <c r="BO135" s="504"/>
      <c r="BP135" s="504"/>
      <c r="BQ135" s="504"/>
      <c r="BR135" s="505"/>
      <c r="BS135" s="714" t="s">
        <v>179</v>
      </c>
      <c r="BT135" s="715" t="s">
        <v>179</v>
      </c>
      <c r="BU135" s="715" t="s">
        <v>179</v>
      </c>
      <c r="BV135" s="715" t="s">
        <v>179</v>
      </c>
      <c r="BW135" s="715" t="s">
        <v>179</v>
      </c>
      <c r="BX135" s="715" t="s">
        <v>179</v>
      </c>
      <c r="BY135" s="715" t="s">
        <v>191</v>
      </c>
      <c r="BZ135" s="715">
        <v>45.99</v>
      </c>
      <c r="CA135" s="715">
        <v>29.77</v>
      </c>
      <c r="CB135" s="715">
        <v>432000000</v>
      </c>
      <c r="CC135" s="715">
        <v>432000000</v>
      </c>
      <c r="CD135" s="726">
        <f>표3[[#This Row],[종전추정가액]]*1.5219</f>
        <v>657460800</v>
      </c>
      <c r="CE135" s="506"/>
      <c r="CF135" s="507"/>
      <c r="CG135" s="507"/>
      <c r="CH135" s="508"/>
      <c r="CI135" s="508"/>
      <c r="CJ135" s="509"/>
      <c r="CK135" s="510"/>
      <c r="CL135" s="511"/>
      <c r="CM135" s="512"/>
      <c r="CN135" s="513"/>
      <c r="CO135" s="513"/>
      <c r="CP135" s="513"/>
      <c r="CQ135" s="513"/>
      <c r="CR135" s="513"/>
      <c r="CS135" s="514"/>
      <c r="CT135" s="515"/>
      <c r="CU135" s="515"/>
      <c r="CV135" s="515"/>
      <c r="CW135" s="515"/>
      <c r="CX135" s="515"/>
      <c r="CY135" s="515"/>
      <c r="CZ135" s="515"/>
      <c r="DA135" s="515"/>
      <c r="DB135" s="515"/>
      <c r="DC135" s="515"/>
      <c r="DD135" s="515"/>
      <c r="DE135" s="515"/>
      <c r="DF135" s="516"/>
    </row>
    <row r="136" spans="1:110" s="532" customFormat="1" ht="19">
      <c r="A136" s="475"/>
      <c r="B136" s="476">
        <v>89</v>
      </c>
      <c r="C136" s="477">
        <v>28</v>
      </c>
      <c r="D136" s="478">
        <v>27</v>
      </c>
      <c r="E136" s="676" t="s">
        <v>448</v>
      </c>
      <c r="F136" s="479">
        <v>401</v>
      </c>
      <c r="G136" s="480"/>
      <c r="H136" s="481"/>
      <c r="I136" s="481"/>
      <c r="J136" s="481"/>
      <c r="K136" s="481"/>
      <c r="L136" s="481"/>
      <c r="M136" s="481"/>
      <c r="N136" s="481"/>
      <c r="O136" s="481"/>
      <c r="P136" s="482" t="s">
        <v>877</v>
      </c>
      <c r="Q136" s="483" t="s">
        <v>179</v>
      </c>
      <c r="R136" s="484">
        <v>0</v>
      </c>
      <c r="S136" s="485">
        <v>15.4</v>
      </c>
      <c r="T136" s="671">
        <f>표3[[#This Row],[편입면적]]/(SUM(표3[공부면적]))</f>
        <v>1.9240379810094952E-3</v>
      </c>
      <c r="U136" s="486" t="s">
        <v>179</v>
      </c>
      <c r="V136" s="487"/>
      <c r="W136" s="535">
        <v>23.79</v>
      </c>
      <c r="X136" s="489">
        <v>6.98</v>
      </c>
      <c r="Y136" s="489">
        <v>30.77</v>
      </c>
      <c r="Z136" s="489" t="s">
        <v>179</v>
      </c>
      <c r="AA136" s="490"/>
      <c r="AB136" s="491"/>
      <c r="AC136" s="492"/>
      <c r="AD136" s="493"/>
      <c r="AE136" s="493"/>
      <c r="AF136" s="494"/>
      <c r="AG136" s="495" t="s">
        <v>176</v>
      </c>
      <c r="AH136" s="495"/>
      <c r="AI136" s="495" t="s">
        <v>183</v>
      </c>
      <c r="AJ136" s="496"/>
      <c r="AK136" s="497"/>
      <c r="AL136" s="497"/>
      <c r="AM136" s="494"/>
      <c r="AN136" s="498"/>
      <c r="AO136" s="499" t="s">
        <v>449</v>
      </c>
      <c r="AP136" s="500" t="s">
        <v>179</v>
      </c>
      <c r="AQ136" s="500"/>
      <c r="AR136" s="501"/>
      <c r="AS13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6" s="502" t="s">
        <v>450</v>
      </c>
      <c r="AU136" s="503"/>
      <c r="AV136" s="503"/>
      <c r="AW136" s="503" t="str">
        <f>IF(COUNTIF('설명회 참석자 명부'!$W$4:$W$29,표3[[#This Row],[성  명]])&gt;0,"O","")</f>
        <v/>
      </c>
      <c r="AX136" s="503" t="str">
        <f>_xlfn.XLOOKUP(표3[[#This Row],[성  명]],'설명회 참석자 명부'!$W$4:$W$29,'설명회 참석자 명부'!$X$4:$X$29,"")</f>
        <v/>
      </c>
      <c r="AY136" s="503"/>
      <c r="AZ136" s="503"/>
      <c r="BA136" s="503"/>
      <c r="BB136" s="503"/>
      <c r="BC136" s="503"/>
      <c r="BD136" s="503"/>
      <c r="BE136" s="503"/>
      <c r="BF136" s="504"/>
      <c r="BG136" s="504"/>
      <c r="BH136" s="504"/>
      <c r="BI136" s="504"/>
      <c r="BJ136" s="504"/>
      <c r="BK136" s="504" t="str">
        <f>IFERROR(LEFT(표3[[#This Row],[주소]],FIND(" ",표3[[#This Row],[주소]])-1),"")</f>
        <v>서울특별시</v>
      </c>
      <c r="BL136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6" s="504"/>
      <c r="BO136" s="504"/>
      <c r="BP136" s="504"/>
      <c r="BQ136" s="504"/>
      <c r="BR136" s="505"/>
      <c r="BS136" s="714" t="s">
        <v>179</v>
      </c>
      <c r="BT136" s="715" t="s">
        <v>179</v>
      </c>
      <c r="BU136" s="715" t="s">
        <v>179</v>
      </c>
      <c r="BV136" s="715" t="s">
        <v>179</v>
      </c>
      <c r="BW136" s="715" t="s">
        <v>179</v>
      </c>
      <c r="BX136" s="715" t="s">
        <v>179</v>
      </c>
      <c r="BY136" s="715" t="s">
        <v>191</v>
      </c>
      <c r="BZ136" s="715">
        <v>23.79</v>
      </c>
      <c r="CA136" s="715">
        <v>15.4</v>
      </c>
      <c r="CB136" s="715">
        <v>224000000</v>
      </c>
      <c r="CC136" s="715">
        <v>224000000</v>
      </c>
      <c r="CD136" s="726">
        <f>표3[[#This Row],[종전추정가액]]*1.5219</f>
        <v>340905600</v>
      </c>
      <c r="CE136" s="506"/>
      <c r="CF136" s="507"/>
      <c r="CG136" s="507"/>
      <c r="CH136" s="508"/>
      <c r="CI136" s="508"/>
      <c r="CJ136" s="509"/>
      <c r="CK136" s="510"/>
      <c r="CL136" s="511"/>
      <c r="CM136" s="512"/>
      <c r="CN136" s="513"/>
      <c r="CO136" s="513"/>
      <c r="CP136" s="513"/>
      <c r="CQ136" s="513"/>
      <c r="CR136" s="513"/>
      <c r="CS136" s="514"/>
      <c r="CT136" s="515"/>
      <c r="CU136" s="515"/>
      <c r="CV136" s="515"/>
      <c r="CW136" s="515"/>
      <c r="CX136" s="515"/>
      <c r="CY136" s="515"/>
      <c r="CZ136" s="515"/>
      <c r="DA136" s="515"/>
      <c r="DB136" s="515"/>
      <c r="DC136" s="515"/>
      <c r="DD136" s="515"/>
      <c r="DE136" s="515"/>
      <c r="DF136" s="516"/>
    </row>
    <row r="137" spans="1:110" s="532" customFormat="1" ht="19">
      <c r="A137" s="475"/>
      <c r="B137" s="476">
        <v>89</v>
      </c>
      <c r="C137" s="477">
        <v>28</v>
      </c>
      <c r="D137" s="478">
        <v>27</v>
      </c>
      <c r="E137" s="676" t="s">
        <v>448</v>
      </c>
      <c r="F137" s="479">
        <v>402</v>
      </c>
      <c r="G137" s="480"/>
      <c r="H137" s="481"/>
      <c r="I137" s="481"/>
      <c r="J137" s="481"/>
      <c r="K137" s="481"/>
      <c r="L137" s="481"/>
      <c r="M137" s="481"/>
      <c r="N137" s="481"/>
      <c r="O137" s="481"/>
      <c r="P137" s="482" t="s">
        <v>877</v>
      </c>
      <c r="Q137" s="483" t="s">
        <v>179</v>
      </c>
      <c r="R137" s="484">
        <v>0</v>
      </c>
      <c r="S137" s="485">
        <v>11.28</v>
      </c>
      <c r="T137" s="671">
        <f>표3[[#This Row],[편입면적]]/(SUM(표3[공부면적]))</f>
        <v>1.4092953523238379E-3</v>
      </c>
      <c r="U137" s="486" t="s">
        <v>179</v>
      </c>
      <c r="V137" s="487"/>
      <c r="W137" s="535">
        <v>17.43</v>
      </c>
      <c r="X137" s="489">
        <v>5.1100000000000003</v>
      </c>
      <c r="Y137" s="489">
        <v>22.54</v>
      </c>
      <c r="Z137" s="489" t="s">
        <v>179</v>
      </c>
      <c r="AA137" s="490"/>
      <c r="AB137" s="491"/>
      <c r="AC137" s="492"/>
      <c r="AD137" s="493"/>
      <c r="AE137" s="493"/>
      <c r="AF137" s="494"/>
      <c r="AG137" s="495" t="s">
        <v>176</v>
      </c>
      <c r="AH137" s="495"/>
      <c r="AI137" s="495" t="s">
        <v>183</v>
      </c>
      <c r="AJ137" s="496"/>
      <c r="AK137" s="497"/>
      <c r="AL137" s="497"/>
      <c r="AM137" s="494"/>
      <c r="AN137" s="498"/>
      <c r="AO137" s="499" t="s">
        <v>449</v>
      </c>
      <c r="AP137" s="500" t="s">
        <v>179</v>
      </c>
      <c r="AQ137" s="500"/>
      <c r="AR137" s="501"/>
      <c r="AS13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7" s="502" t="s">
        <v>450</v>
      </c>
      <c r="AU137" s="503"/>
      <c r="AV137" s="503"/>
      <c r="AW137" s="503" t="str">
        <f>IF(COUNTIF('설명회 참석자 명부'!$W$4:$W$29,표3[[#This Row],[성  명]])&gt;0,"O","")</f>
        <v/>
      </c>
      <c r="AX137" s="503" t="str">
        <f>_xlfn.XLOOKUP(표3[[#This Row],[성  명]],'설명회 참석자 명부'!$W$4:$W$29,'설명회 참석자 명부'!$X$4:$X$29,"")</f>
        <v/>
      </c>
      <c r="AY137" s="503"/>
      <c r="AZ137" s="503"/>
      <c r="BA137" s="503"/>
      <c r="BB137" s="503"/>
      <c r="BC137" s="503"/>
      <c r="BD137" s="503"/>
      <c r="BE137" s="503"/>
      <c r="BF137" s="504"/>
      <c r="BG137" s="504"/>
      <c r="BH137" s="504"/>
      <c r="BI137" s="504"/>
      <c r="BJ137" s="504"/>
      <c r="BK137" s="504" t="str">
        <f>IFERROR(LEFT(표3[[#This Row],[주소]],FIND(" ",표3[[#This Row],[주소]])-1),"")</f>
        <v>서울특별시</v>
      </c>
      <c r="BL13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7" s="504"/>
      <c r="BO137" s="504"/>
      <c r="BP137" s="504"/>
      <c r="BQ137" s="504"/>
      <c r="BR137" s="505"/>
      <c r="BS137" s="714" t="s">
        <v>179</v>
      </c>
      <c r="BT137" s="715" t="s">
        <v>179</v>
      </c>
      <c r="BU137" s="715" t="s">
        <v>179</v>
      </c>
      <c r="BV137" s="715" t="s">
        <v>179</v>
      </c>
      <c r="BW137" s="715" t="s">
        <v>179</v>
      </c>
      <c r="BX137" s="715" t="s">
        <v>179</v>
      </c>
      <c r="BY137" s="715" t="s">
        <v>191</v>
      </c>
      <c r="BZ137" s="715">
        <v>17.43</v>
      </c>
      <c r="CA137" s="715">
        <v>11.28</v>
      </c>
      <c r="CB137" s="715">
        <v>164000000</v>
      </c>
      <c r="CC137" s="715">
        <v>164000000</v>
      </c>
      <c r="CD137" s="726">
        <f>표3[[#This Row],[종전추정가액]]*1.5219</f>
        <v>249591600</v>
      </c>
      <c r="CE137" s="506"/>
      <c r="CF137" s="507"/>
      <c r="CG137" s="507"/>
      <c r="CH137" s="508"/>
      <c r="CI137" s="508"/>
      <c r="CJ137" s="509"/>
      <c r="CK137" s="510"/>
      <c r="CL137" s="511"/>
      <c r="CM137" s="512"/>
      <c r="CN137" s="513"/>
      <c r="CO137" s="513"/>
      <c r="CP137" s="513"/>
      <c r="CQ137" s="513"/>
      <c r="CR137" s="513"/>
      <c r="CS137" s="514"/>
      <c r="CT137" s="515"/>
      <c r="CU137" s="515"/>
      <c r="CV137" s="515"/>
      <c r="CW137" s="515"/>
      <c r="CX137" s="515"/>
      <c r="CY137" s="515"/>
      <c r="CZ137" s="515"/>
      <c r="DA137" s="515"/>
      <c r="DB137" s="515"/>
      <c r="DC137" s="515"/>
      <c r="DD137" s="515"/>
      <c r="DE137" s="515"/>
      <c r="DF137" s="516"/>
    </row>
    <row r="138" spans="1:110" s="532" customFormat="1" ht="19">
      <c r="A138" s="475"/>
      <c r="B138" s="476">
        <v>89</v>
      </c>
      <c r="C138" s="477">
        <v>28</v>
      </c>
      <c r="D138" s="478">
        <v>27</v>
      </c>
      <c r="E138" s="676" t="s">
        <v>448</v>
      </c>
      <c r="F138" s="479">
        <v>403</v>
      </c>
      <c r="G138" s="480"/>
      <c r="H138" s="481"/>
      <c r="I138" s="481"/>
      <c r="J138" s="481"/>
      <c r="K138" s="481"/>
      <c r="L138" s="481"/>
      <c r="M138" s="481"/>
      <c r="N138" s="481"/>
      <c r="O138" s="481"/>
      <c r="P138" s="482" t="s">
        <v>877</v>
      </c>
      <c r="Q138" s="483" t="s">
        <v>179</v>
      </c>
      <c r="R138" s="484">
        <v>0</v>
      </c>
      <c r="S138" s="485">
        <v>26.21</v>
      </c>
      <c r="T138" s="671">
        <f>표3[[#This Row],[편입면적]]/(SUM(표3[공부면적]))</f>
        <v>3.2746126936531732E-3</v>
      </c>
      <c r="U138" s="486" t="s">
        <v>179</v>
      </c>
      <c r="V138" s="487"/>
      <c r="W138" s="535">
        <v>40.409999999999997</v>
      </c>
      <c r="X138" s="489">
        <v>11.88</v>
      </c>
      <c r="Y138" s="489">
        <v>52.29</v>
      </c>
      <c r="Z138" s="489" t="s">
        <v>179</v>
      </c>
      <c r="AA138" s="490"/>
      <c r="AB138" s="491"/>
      <c r="AC138" s="492"/>
      <c r="AD138" s="493"/>
      <c r="AE138" s="493"/>
      <c r="AF138" s="494"/>
      <c r="AG138" s="495" t="s">
        <v>176</v>
      </c>
      <c r="AH138" s="495"/>
      <c r="AI138" s="495" t="s">
        <v>183</v>
      </c>
      <c r="AJ138" s="496"/>
      <c r="AK138" s="497"/>
      <c r="AL138" s="497"/>
      <c r="AM138" s="494"/>
      <c r="AN138" s="498"/>
      <c r="AO138" s="499" t="s">
        <v>449</v>
      </c>
      <c r="AP138" s="500" t="s">
        <v>179</v>
      </c>
      <c r="AQ138" s="500"/>
      <c r="AR138" s="501"/>
      <c r="AS13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8" s="502" t="s">
        <v>450</v>
      </c>
      <c r="AU138" s="503"/>
      <c r="AV138" s="503"/>
      <c r="AW138" s="503" t="str">
        <f>IF(COUNTIF('설명회 참석자 명부'!$W$4:$W$29,표3[[#This Row],[성  명]])&gt;0,"O","")</f>
        <v/>
      </c>
      <c r="AX138" s="503" t="str">
        <f>_xlfn.XLOOKUP(표3[[#This Row],[성  명]],'설명회 참석자 명부'!$W$4:$W$29,'설명회 참석자 명부'!$X$4:$X$29,"")</f>
        <v/>
      </c>
      <c r="AY138" s="503"/>
      <c r="AZ138" s="503"/>
      <c r="BA138" s="503"/>
      <c r="BB138" s="503"/>
      <c r="BC138" s="503"/>
      <c r="BD138" s="503"/>
      <c r="BE138" s="503"/>
      <c r="BF138" s="504"/>
      <c r="BG138" s="504"/>
      <c r="BH138" s="504"/>
      <c r="BI138" s="504"/>
      <c r="BJ138" s="504"/>
      <c r="BK138" s="504" t="str">
        <f>IFERROR(LEFT(표3[[#This Row],[주소]],FIND(" ",표3[[#This Row],[주소]])-1),"")</f>
        <v>서울특별시</v>
      </c>
      <c r="BL138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8" s="504"/>
      <c r="BO138" s="504"/>
      <c r="BP138" s="504"/>
      <c r="BQ138" s="504"/>
      <c r="BR138" s="505"/>
      <c r="BS138" s="714" t="s">
        <v>179</v>
      </c>
      <c r="BT138" s="715" t="s">
        <v>179</v>
      </c>
      <c r="BU138" s="715" t="s">
        <v>179</v>
      </c>
      <c r="BV138" s="715" t="s">
        <v>179</v>
      </c>
      <c r="BW138" s="715" t="s">
        <v>179</v>
      </c>
      <c r="BX138" s="715" t="s">
        <v>179</v>
      </c>
      <c r="BY138" s="715" t="s">
        <v>191</v>
      </c>
      <c r="BZ138" s="715">
        <v>40.49</v>
      </c>
      <c r="CA138" s="715">
        <v>26.21</v>
      </c>
      <c r="CB138" s="715">
        <v>380000000</v>
      </c>
      <c r="CC138" s="715">
        <v>380000000</v>
      </c>
      <c r="CD138" s="726">
        <f>표3[[#This Row],[종전추정가액]]*1.5219</f>
        <v>578322000</v>
      </c>
      <c r="CE138" s="506"/>
      <c r="CF138" s="507"/>
      <c r="CG138" s="507"/>
      <c r="CH138" s="508"/>
      <c r="CI138" s="508"/>
      <c r="CJ138" s="509"/>
      <c r="CK138" s="510"/>
      <c r="CL138" s="511"/>
      <c r="CM138" s="512"/>
      <c r="CN138" s="513"/>
      <c r="CO138" s="513"/>
      <c r="CP138" s="513"/>
      <c r="CQ138" s="513"/>
      <c r="CR138" s="513"/>
      <c r="CS138" s="514"/>
      <c r="CT138" s="515"/>
      <c r="CU138" s="515"/>
      <c r="CV138" s="515"/>
      <c r="CW138" s="515"/>
      <c r="CX138" s="515"/>
      <c r="CY138" s="515"/>
      <c r="CZ138" s="515"/>
      <c r="DA138" s="515"/>
      <c r="DB138" s="515"/>
      <c r="DC138" s="515"/>
      <c r="DD138" s="515"/>
      <c r="DE138" s="515"/>
      <c r="DF138" s="516"/>
    </row>
    <row r="139" spans="1:110" s="532" customFormat="1" ht="19.5" thickBot="1">
      <c r="A139" s="394"/>
      <c r="B139" s="395">
        <v>89</v>
      </c>
      <c r="C139" s="396">
        <v>28</v>
      </c>
      <c r="D139" s="397">
        <v>27</v>
      </c>
      <c r="E139" s="698" t="s">
        <v>448</v>
      </c>
      <c r="F139" s="398">
        <v>501</v>
      </c>
      <c r="G139" s="399"/>
      <c r="H139" s="400"/>
      <c r="I139" s="400"/>
      <c r="J139" s="400"/>
      <c r="K139" s="400"/>
      <c r="L139" s="400"/>
      <c r="M139" s="400"/>
      <c r="N139" s="400"/>
      <c r="O139" s="400"/>
      <c r="P139" s="401" t="s">
        <v>877</v>
      </c>
      <c r="Q139" s="402" t="s">
        <v>179</v>
      </c>
      <c r="R139" s="403">
        <v>0</v>
      </c>
      <c r="S139" s="404">
        <v>37.049999999999997</v>
      </c>
      <c r="T139" s="672">
        <f>표3[[#This Row],[편입면적]]/(SUM(표3[공부면적]))</f>
        <v>4.6289355322338818E-3</v>
      </c>
      <c r="U139" s="662" t="s">
        <v>179</v>
      </c>
      <c r="V139" s="405"/>
      <c r="W139" s="674">
        <v>57.22</v>
      </c>
      <c r="X139" s="407">
        <v>16.79</v>
      </c>
      <c r="Y139" s="407">
        <v>74.009999999999991</v>
      </c>
      <c r="Z139" s="407" t="s">
        <v>179</v>
      </c>
      <c r="AA139" s="408"/>
      <c r="AB139" s="409"/>
      <c r="AC139" s="410"/>
      <c r="AD139" s="411"/>
      <c r="AE139" s="411"/>
      <c r="AF139" s="412"/>
      <c r="AG139" s="413" t="s">
        <v>176</v>
      </c>
      <c r="AH139" s="413"/>
      <c r="AI139" s="413" t="s">
        <v>183</v>
      </c>
      <c r="AJ139" s="414"/>
      <c r="AK139" s="415"/>
      <c r="AL139" s="415"/>
      <c r="AM139" s="412"/>
      <c r="AN139" s="416"/>
      <c r="AO139" s="417" t="s">
        <v>449</v>
      </c>
      <c r="AP139" s="418" t="s">
        <v>179</v>
      </c>
      <c r="AQ139" s="418"/>
      <c r="AR139" s="419"/>
      <c r="AS139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39" s="420" t="s">
        <v>450</v>
      </c>
      <c r="AU139" s="421" t="s">
        <v>190</v>
      </c>
      <c r="AV139" s="421"/>
      <c r="AW139" s="421" t="str">
        <f>IF(COUNTIF('설명회 참석자 명부'!$W$4:$W$29,표3[[#This Row],[성  명]])&gt;0,"O","")</f>
        <v/>
      </c>
      <c r="AX139" s="421" t="str">
        <f>_xlfn.XLOOKUP(표3[[#This Row],[성  명]],'설명회 참석자 명부'!$W$4:$W$29,'설명회 참석자 명부'!$X$4:$X$29,"")</f>
        <v/>
      </c>
      <c r="AY139" s="421"/>
      <c r="AZ139" s="421"/>
      <c r="BA139" s="421"/>
      <c r="BB139" s="421"/>
      <c r="BC139" s="421"/>
      <c r="BD139" s="421"/>
      <c r="BE139" s="421"/>
      <c r="BF139" s="422"/>
      <c r="BG139" s="422"/>
      <c r="BH139" s="422"/>
      <c r="BI139" s="422"/>
      <c r="BJ139" s="422"/>
      <c r="BK139" s="422" t="str">
        <f>IFERROR(LEFT(표3[[#This Row],[주소]],FIND(" ",표3[[#This Row],[주소]])-1),"")</f>
        <v>서울특별시</v>
      </c>
      <c r="BL139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39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송이로28길</v>
      </c>
      <c r="BN139" s="422"/>
      <c r="BO139" s="422"/>
      <c r="BP139" s="422"/>
      <c r="BQ139" s="422"/>
      <c r="BR139" s="423"/>
      <c r="BS139" s="714" t="s">
        <v>179</v>
      </c>
      <c r="BT139" s="715" t="s">
        <v>179</v>
      </c>
      <c r="BU139" s="715" t="s">
        <v>179</v>
      </c>
      <c r="BV139" s="715" t="s">
        <v>179</v>
      </c>
      <c r="BW139" s="715" t="s">
        <v>179</v>
      </c>
      <c r="BX139" s="715" t="s">
        <v>179</v>
      </c>
      <c r="BY139" s="715" t="s">
        <v>191</v>
      </c>
      <c r="BZ139" s="715">
        <v>57.22</v>
      </c>
      <c r="CA139" s="715">
        <v>37.049999999999997</v>
      </c>
      <c r="CB139" s="715">
        <v>538000000</v>
      </c>
      <c r="CC139" s="715">
        <v>538000000</v>
      </c>
      <c r="CD139" s="726">
        <f>표3[[#This Row],[종전추정가액]]*1.5219</f>
        <v>818782200</v>
      </c>
      <c r="CE139" s="424"/>
      <c r="CF139" s="425"/>
      <c r="CG139" s="425"/>
      <c r="CH139" s="426"/>
      <c r="CI139" s="426"/>
      <c r="CJ139" s="427"/>
      <c r="CK139" s="428"/>
      <c r="CL139" s="429"/>
      <c r="CM139" s="430"/>
      <c r="CN139" s="431"/>
      <c r="CO139" s="431"/>
      <c r="CP139" s="431"/>
      <c r="CQ139" s="431"/>
      <c r="CR139" s="431"/>
      <c r="CS139" s="432"/>
      <c r="CT139" s="433"/>
      <c r="CU139" s="433"/>
      <c r="CV139" s="433"/>
      <c r="CW139" s="433"/>
      <c r="CX139" s="433"/>
      <c r="CY139" s="433"/>
      <c r="CZ139" s="433"/>
      <c r="DA139" s="433"/>
      <c r="DB139" s="433"/>
      <c r="DC139" s="433"/>
      <c r="DD139" s="433"/>
      <c r="DE139" s="433"/>
      <c r="DF139" s="434"/>
    </row>
    <row r="140" spans="1:110" s="533" customFormat="1" ht="19.5" thickTop="1">
      <c r="A140" s="435"/>
      <c r="B140" s="436"/>
      <c r="C140" s="437">
        <v>28</v>
      </c>
      <c r="D140" s="438">
        <v>28</v>
      </c>
      <c r="E140" s="438" t="s">
        <v>451</v>
      </c>
      <c r="F140" s="667">
        <v>0</v>
      </c>
      <c r="G140" s="439"/>
      <c r="H140" s="440"/>
      <c r="I140" s="440"/>
      <c r="J140" s="440"/>
      <c r="K140" s="440"/>
      <c r="L140" s="440"/>
      <c r="M140" s="440"/>
      <c r="N140" s="440"/>
      <c r="O140" s="440"/>
      <c r="P140" s="441"/>
      <c r="Q140" s="442" t="s">
        <v>173</v>
      </c>
      <c r="R140" s="443">
        <v>227.1</v>
      </c>
      <c r="S140" s="443"/>
      <c r="T140" s="670">
        <f>표3[[#This Row],[편입면적]]/(SUM(표3[공부면적]))</f>
        <v>0</v>
      </c>
      <c r="U140" s="444" t="s">
        <v>174</v>
      </c>
      <c r="V140" s="445"/>
      <c r="W140" s="446"/>
      <c r="X140" s="447"/>
      <c r="Y140" s="447">
        <v>0</v>
      </c>
      <c r="Z140" s="447">
        <v>635.63</v>
      </c>
      <c r="AA140" s="517"/>
      <c r="AB140" s="449"/>
      <c r="AC140" s="450" t="s">
        <v>452</v>
      </c>
      <c r="AD140" s="451">
        <v>14</v>
      </c>
      <c r="AE140" s="451" t="str" cm="1">
        <f t="array" ref="AE140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40" s="452"/>
      <c r="AG140" s="453" t="s">
        <v>176</v>
      </c>
      <c r="AH140" s="453"/>
      <c r="AI140" s="453" t="s">
        <v>183</v>
      </c>
      <c r="AJ140" s="453"/>
      <c r="AK140" s="454"/>
      <c r="AL140" s="454"/>
      <c r="AM140" s="452">
        <v>5</v>
      </c>
      <c r="AN140" s="455">
        <v>1</v>
      </c>
      <c r="AO140" s="456"/>
      <c r="AP140" s="457" t="s">
        <v>179</v>
      </c>
      <c r="AQ140" s="457"/>
      <c r="AR140" s="458"/>
      <c r="AS140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0" s="459"/>
      <c r="AU140" s="460"/>
      <c r="AV140" s="460"/>
      <c r="AW140" s="460" t="str">
        <f>IF(COUNTIF('설명회 참석자 명부'!$W$4:$W$29,표3[[#This Row],[성  명]])&gt;0,"O","")</f>
        <v/>
      </c>
      <c r="AX140" s="460">
        <f>_xlfn.XLOOKUP(표3[[#This Row],[성  명]],'설명회 참석자 명부'!$W$4:$W$29,'설명회 참석자 명부'!$X$4:$X$29,"")</f>
        <v>0</v>
      </c>
      <c r="AY140" s="460"/>
      <c r="AZ140" s="460"/>
      <c r="BA140" s="460"/>
      <c r="BB140" s="460"/>
      <c r="BC140" s="460"/>
      <c r="BD140" s="460"/>
      <c r="BE140" s="460"/>
      <c r="BF140" s="461"/>
      <c r="BG140" s="461"/>
      <c r="BH140" s="461"/>
      <c r="BI140" s="461"/>
      <c r="BJ140" s="461"/>
      <c r="BK140" s="461" t="str">
        <f>IFERROR(LEFT(표3[[#This Row],[주소]],FIND(" ",표3[[#This Row],[주소]])-1),"")</f>
        <v/>
      </c>
      <c r="BL140" s="461" t="str">
        <f>IFERROR(MID(표3[[#This Row],[주소]], FIND(" ", 표3[[#This Row],[주소]])+1, FIND(" ", 표3[[#This Row],[주소]], FIND(" ", 표3[[#This Row],[주소]])+1) - FIND(" ", 표3[[#This Row],[주소]])-1),"")</f>
        <v/>
      </c>
      <c r="BM140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140" s="461"/>
      <c r="BO140" s="461"/>
      <c r="BP140" s="461"/>
      <c r="BQ140" s="461"/>
      <c r="BR140" s="462"/>
      <c r="BS140" s="722"/>
      <c r="BT140" s="723"/>
      <c r="BU140" s="723"/>
      <c r="BV140" s="723"/>
      <c r="BW140" s="723"/>
      <c r="BX140" s="723"/>
      <c r="BY140" s="723"/>
      <c r="BZ140" s="723"/>
      <c r="CA140" s="723"/>
      <c r="CB140" s="723"/>
      <c r="CC140" s="723"/>
      <c r="CD140" s="727">
        <f>표3[[#This Row],[종전추정가액]]*1.5219</f>
        <v>0</v>
      </c>
      <c r="CE140" s="463"/>
      <c r="CF140" s="464"/>
      <c r="CG140" s="464"/>
      <c r="CH140" s="465"/>
      <c r="CI140" s="465"/>
      <c r="CJ140" s="466"/>
      <c r="CK140" s="467"/>
      <c r="CL140" s="468"/>
      <c r="CM140" s="469"/>
      <c r="CN140" s="470"/>
      <c r="CO140" s="470"/>
      <c r="CP140" s="470"/>
      <c r="CQ140" s="470"/>
      <c r="CR140" s="470"/>
      <c r="CS140" s="471"/>
      <c r="CT140" s="472"/>
      <c r="CU140" s="472"/>
      <c r="CV140" s="472"/>
      <c r="CW140" s="472"/>
      <c r="CX140" s="472"/>
      <c r="CY140" s="472"/>
      <c r="CZ140" s="472"/>
      <c r="DA140" s="472"/>
      <c r="DB140" s="472"/>
      <c r="DC140" s="472"/>
      <c r="DD140" s="472"/>
      <c r="DE140" s="472"/>
      <c r="DF140" s="473"/>
    </row>
    <row r="141" spans="1:110" s="532" customFormat="1" ht="19">
      <c r="A141" s="475"/>
      <c r="B141" s="476">
        <v>90</v>
      </c>
      <c r="C141" s="477">
        <v>28</v>
      </c>
      <c r="D141" s="478">
        <v>28</v>
      </c>
      <c r="E141" s="676" t="s">
        <v>453</v>
      </c>
      <c r="F141" s="479">
        <v>201</v>
      </c>
      <c r="G141" s="480"/>
      <c r="H141" s="481"/>
      <c r="I141" s="481"/>
      <c r="J141" s="481"/>
      <c r="K141" s="481"/>
      <c r="L141" s="481"/>
      <c r="M141" s="481"/>
      <c r="N141" s="481"/>
      <c r="O141" s="481"/>
      <c r="P141" s="482"/>
      <c r="Q141" s="483" t="s">
        <v>179</v>
      </c>
      <c r="R141" s="484">
        <v>0</v>
      </c>
      <c r="S141" s="485">
        <v>11.07</v>
      </c>
      <c r="T141" s="671">
        <f>표3[[#This Row],[편입면적]]/(SUM(표3[공부면적]))</f>
        <v>1.3830584707646176E-3</v>
      </c>
      <c r="U141" s="486" t="s">
        <v>179</v>
      </c>
      <c r="V141" s="487"/>
      <c r="W141" s="536">
        <v>22.31</v>
      </c>
      <c r="X141" s="489">
        <v>5.79</v>
      </c>
      <c r="Y141" s="489">
        <v>28.099999999999998</v>
      </c>
      <c r="Z141" s="489" t="s">
        <v>179</v>
      </c>
      <c r="AA141" s="518"/>
      <c r="AB141" s="491"/>
      <c r="AC141" s="492"/>
      <c r="AD141" s="493"/>
      <c r="AE141" s="493"/>
      <c r="AF141" s="494"/>
      <c r="AG141" s="495" t="s">
        <v>176</v>
      </c>
      <c r="AH141" s="495"/>
      <c r="AI141" s="495" t="s">
        <v>183</v>
      </c>
      <c r="AJ141" s="496"/>
      <c r="AK141" s="497"/>
      <c r="AL141" s="497"/>
      <c r="AM141" s="494"/>
      <c r="AN141" s="498"/>
      <c r="AO141" s="499" t="s">
        <v>454</v>
      </c>
      <c r="AP141" s="500" t="s">
        <v>179</v>
      </c>
      <c r="AQ141" s="500"/>
      <c r="AR141" s="501"/>
      <c r="AS14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1" s="502" t="s">
        <v>455</v>
      </c>
      <c r="AU141" s="503"/>
      <c r="AV141" s="503"/>
      <c r="AW141" s="503" t="str">
        <f>IF(COUNTIF('설명회 참석자 명부'!$W$4:$W$29,표3[[#This Row],[성  명]])&gt;0,"O","")</f>
        <v/>
      </c>
      <c r="AX141" s="503" t="str">
        <f>_xlfn.XLOOKUP(표3[[#This Row],[성  명]],'설명회 참석자 명부'!$W$4:$W$29,'설명회 참석자 명부'!$X$4:$X$29,"")</f>
        <v/>
      </c>
      <c r="AY141" s="503"/>
      <c r="AZ141" s="503"/>
      <c r="BA141" s="503"/>
      <c r="BB141" s="503" t="s">
        <v>190</v>
      </c>
      <c r="BC141" s="503"/>
      <c r="BD141" s="503"/>
      <c r="BE141" s="503"/>
      <c r="BF141" s="504"/>
      <c r="BG141" s="504"/>
      <c r="BH141" s="504"/>
      <c r="BI141" s="504"/>
      <c r="BJ141" s="504"/>
      <c r="BK141" s="504" t="str">
        <f>IFERROR(LEFT(표3[[#This Row],[주소]],FIND(" ",표3[[#This Row],[주소]])-1),"")</f>
        <v>서울특별시</v>
      </c>
      <c r="BL14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1" s="504"/>
      <c r="BO141" s="504"/>
      <c r="BP141" s="504"/>
      <c r="BQ141" s="504"/>
      <c r="BR141" s="505"/>
      <c r="BS141" s="714" t="s">
        <v>179</v>
      </c>
      <c r="BT141" s="715" t="s">
        <v>179</v>
      </c>
      <c r="BU141" s="715" t="s">
        <v>179</v>
      </c>
      <c r="BV141" s="715" t="s">
        <v>179</v>
      </c>
      <c r="BW141" s="715" t="s">
        <v>179</v>
      </c>
      <c r="BX141" s="715" t="s">
        <v>179</v>
      </c>
      <c r="BY141" s="715" t="s">
        <v>187</v>
      </c>
      <c r="BZ141" s="715">
        <v>116.62</v>
      </c>
      <c r="CA141" s="715">
        <v>57.82</v>
      </c>
      <c r="CB141" s="715">
        <v>489000000</v>
      </c>
      <c r="CC141" s="715">
        <v>489000000</v>
      </c>
      <c r="CD141" s="726">
        <f>표3[[#This Row],[종전추정가액]]*1.5219</f>
        <v>744209100</v>
      </c>
      <c r="CE141" s="506"/>
      <c r="CF141" s="507"/>
      <c r="CG141" s="507"/>
      <c r="CH141" s="508"/>
      <c r="CI141" s="508"/>
      <c r="CJ141" s="509"/>
      <c r="CK141" s="510"/>
      <c r="CL141" s="511"/>
      <c r="CM141" s="512"/>
      <c r="CN141" s="513"/>
      <c r="CO141" s="513"/>
      <c r="CP141" s="513"/>
      <c r="CQ141" s="513"/>
      <c r="CR141" s="513"/>
      <c r="CS141" s="514"/>
      <c r="CT141" s="515"/>
      <c r="CU141" s="515"/>
      <c r="CV141" s="515"/>
      <c r="CW141" s="515"/>
      <c r="CX141" s="515"/>
      <c r="CY141" s="515"/>
      <c r="CZ141" s="515"/>
      <c r="DA141" s="515"/>
      <c r="DB141" s="515"/>
      <c r="DC141" s="515"/>
      <c r="DD141" s="515"/>
      <c r="DE141" s="515"/>
      <c r="DF141" s="516"/>
    </row>
    <row r="142" spans="1:110" s="532" customFormat="1" ht="19">
      <c r="A142" s="475"/>
      <c r="B142" s="476">
        <v>90</v>
      </c>
      <c r="C142" s="477">
        <v>28</v>
      </c>
      <c r="D142" s="478">
        <v>28</v>
      </c>
      <c r="E142" s="676" t="s">
        <v>453</v>
      </c>
      <c r="F142" s="479">
        <v>202</v>
      </c>
      <c r="G142" s="480"/>
      <c r="H142" s="481"/>
      <c r="I142" s="481"/>
      <c r="J142" s="481"/>
      <c r="K142" s="481"/>
      <c r="L142" s="481"/>
      <c r="M142" s="481"/>
      <c r="N142" s="481"/>
      <c r="O142" s="481"/>
      <c r="P142" s="482"/>
      <c r="Q142" s="483" t="s">
        <v>179</v>
      </c>
      <c r="R142" s="484">
        <v>0</v>
      </c>
      <c r="S142" s="485">
        <v>14.17</v>
      </c>
      <c r="T142" s="671">
        <f>표3[[#This Row],[편입면적]]/(SUM(표3[공부면적]))</f>
        <v>1.7703648175912041E-3</v>
      </c>
      <c r="U142" s="486" t="s">
        <v>179</v>
      </c>
      <c r="V142" s="487"/>
      <c r="W142" s="536">
        <v>28.58</v>
      </c>
      <c r="X142" s="489">
        <v>7.42</v>
      </c>
      <c r="Y142" s="489">
        <v>36</v>
      </c>
      <c r="Z142" s="489" t="s">
        <v>179</v>
      </c>
      <c r="AA142" s="518"/>
      <c r="AB142" s="491"/>
      <c r="AC142" s="492"/>
      <c r="AD142" s="493"/>
      <c r="AE142" s="493"/>
      <c r="AF142" s="494"/>
      <c r="AG142" s="495" t="s">
        <v>176</v>
      </c>
      <c r="AH142" s="495"/>
      <c r="AI142" s="495" t="s">
        <v>183</v>
      </c>
      <c r="AJ142" s="496"/>
      <c r="AK142" s="497"/>
      <c r="AL142" s="497"/>
      <c r="AM142" s="494"/>
      <c r="AN142" s="498"/>
      <c r="AO142" s="499" t="s">
        <v>454</v>
      </c>
      <c r="AP142" s="500" t="s">
        <v>179</v>
      </c>
      <c r="AQ142" s="500"/>
      <c r="AR142" s="501"/>
      <c r="AS14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2" s="502" t="s">
        <v>456</v>
      </c>
      <c r="AU142" s="503"/>
      <c r="AV142" s="503"/>
      <c r="AW142" s="503" t="str">
        <f>IF(COUNTIF('설명회 참석자 명부'!$W$4:$W$29,표3[[#This Row],[성  명]])&gt;0,"O","")</f>
        <v/>
      </c>
      <c r="AX142" s="503" t="str">
        <f>_xlfn.XLOOKUP(표3[[#This Row],[성  명]],'설명회 참석자 명부'!$W$4:$W$29,'설명회 참석자 명부'!$X$4:$X$29,"")</f>
        <v/>
      </c>
      <c r="AY142" s="503"/>
      <c r="AZ142" s="503"/>
      <c r="BA142" s="503"/>
      <c r="BB142" s="503" t="s">
        <v>174</v>
      </c>
      <c r="BC142" s="503"/>
      <c r="BD142" s="503"/>
      <c r="BE142" s="503"/>
      <c r="BF142" s="504"/>
      <c r="BG142" s="504"/>
      <c r="BH142" s="504"/>
      <c r="BI142" s="504"/>
      <c r="BJ142" s="504"/>
      <c r="BK142" s="504" t="str">
        <f>IFERROR(LEFT(표3[[#This Row],[주소]],FIND(" ",표3[[#This Row],[주소]])-1),"")</f>
        <v>서울특별시</v>
      </c>
      <c r="BL14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2" s="504"/>
      <c r="BO142" s="504"/>
      <c r="BP142" s="504"/>
      <c r="BQ142" s="504"/>
      <c r="BR142" s="505"/>
      <c r="BS142" s="714" t="s">
        <v>179</v>
      </c>
      <c r="BT142" s="715" t="s">
        <v>179</v>
      </c>
      <c r="BU142" s="715" t="s">
        <v>179</v>
      </c>
      <c r="BV142" s="715" t="s">
        <v>179</v>
      </c>
      <c r="BW142" s="715" t="s">
        <v>179</v>
      </c>
      <c r="BX142" s="715" t="s">
        <v>179</v>
      </c>
      <c r="BY142" s="715" t="s">
        <v>191</v>
      </c>
      <c r="BZ142" s="715">
        <v>22.31</v>
      </c>
      <c r="CA142" s="715">
        <v>11.07</v>
      </c>
      <c r="CB142" s="715">
        <v>175000000</v>
      </c>
      <c r="CC142" s="715">
        <v>175000000</v>
      </c>
      <c r="CD142" s="726">
        <f>표3[[#This Row],[종전추정가액]]*1.5219</f>
        <v>266332500</v>
      </c>
      <c r="CE142" s="506"/>
      <c r="CF142" s="507"/>
      <c r="CG142" s="507"/>
      <c r="CH142" s="508"/>
      <c r="CI142" s="508"/>
      <c r="CJ142" s="509"/>
      <c r="CK142" s="510"/>
      <c r="CL142" s="511"/>
      <c r="CM142" s="512"/>
      <c r="CN142" s="513"/>
      <c r="CO142" s="513"/>
      <c r="CP142" s="513"/>
      <c r="CQ142" s="513"/>
      <c r="CR142" s="513"/>
      <c r="CS142" s="514"/>
      <c r="CT142" s="515"/>
      <c r="CU142" s="515"/>
      <c r="CV142" s="515"/>
      <c r="CW142" s="515"/>
      <c r="CX142" s="515"/>
      <c r="CY142" s="515"/>
      <c r="CZ142" s="515"/>
      <c r="DA142" s="515"/>
      <c r="DB142" s="515"/>
      <c r="DC142" s="515"/>
      <c r="DD142" s="515"/>
      <c r="DE142" s="515"/>
      <c r="DF142" s="516"/>
    </row>
    <row r="143" spans="1:110" s="532" customFormat="1" ht="19">
      <c r="A143" s="475"/>
      <c r="B143" s="476">
        <v>90</v>
      </c>
      <c r="C143" s="477">
        <v>28</v>
      </c>
      <c r="D143" s="478">
        <v>28</v>
      </c>
      <c r="E143" s="676" t="s">
        <v>453</v>
      </c>
      <c r="F143" s="479">
        <v>203</v>
      </c>
      <c r="G143" s="480"/>
      <c r="H143" s="481"/>
      <c r="I143" s="481"/>
      <c r="J143" s="481"/>
      <c r="K143" s="481"/>
      <c r="L143" s="481"/>
      <c r="M143" s="481"/>
      <c r="N143" s="481"/>
      <c r="O143" s="481"/>
      <c r="P143" s="482"/>
      <c r="Q143" s="483" t="s">
        <v>179</v>
      </c>
      <c r="R143" s="484">
        <v>0</v>
      </c>
      <c r="S143" s="485">
        <v>14.17</v>
      </c>
      <c r="T143" s="671">
        <f>표3[[#This Row],[편입면적]]/(SUM(표3[공부면적]))</f>
        <v>1.7703648175912041E-3</v>
      </c>
      <c r="U143" s="486" t="s">
        <v>179</v>
      </c>
      <c r="V143" s="487"/>
      <c r="W143" s="536">
        <v>28.58</v>
      </c>
      <c r="X143" s="489">
        <v>7.42</v>
      </c>
      <c r="Y143" s="489">
        <v>36</v>
      </c>
      <c r="Z143" s="489" t="s">
        <v>179</v>
      </c>
      <c r="AA143" s="518"/>
      <c r="AB143" s="491"/>
      <c r="AC143" s="492"/>
      <c r="AD143" s="493"/>
      <c r="AE143" s="493"/>
      <c r="AF143" s="494"/>
      <c r="AG143" s="495" t="s">
        <v>176</v>
      </c>
      <c r="AH143" s="495"/>
      <c r="AI143" s="495" t="s">
        <v>183</v>
      </c>
      <c r="AJ143" s="496"/>
      <c r="AK143" s="497"/>
      <c r="AL143" s="497"/>
      <c r="AM143" s="494"/>
      <c r="AN143" s="498"/>
      <c r="AO143" s="499" t="s">
        <v>454</v>
      </c>
      <c r="AP143" s="500" t="s">
        <v>179</v>
      </c>
      <c r="AQ143" s="500"/>
      <c r="AR143" s="501"/>
      <c r="AS14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3" s="502" t="s">
        <v>456</v>
      </c>
      <c r="AU143" s="503"/>
      <c r="AV143" s="503"/>
      <c r="AW143" s="503" t="str">
        <f>IF(COUNTIF('설명회 참석자 명부'!$W$4:$W$29,표3[[#This Row],[성  명]])&gt;0,"O","")</f>
        <v/>
      </c>
      <c r="AX143" s="503" t="str">
        <f>_xlfn.XLOOKUP(표3[[#This Row],[성  명]],'설명회 참석자 명부'!$W$4:$W$29,'설명회 참석자 명부'!$X$4:$X$29,"")</f>
        <v/>
      </c>
      <c r="AY143" s="503"/>
      <c r="AZ143" s="503"/>
      <c r="BA143" s="503"/>
      <c r="BB143" s="503" t="s">
        <v>174</v>
      </c>
      <c r="BC143" s="503"/>
      <c r="BD143" s="503"/>
      <c r="BE143" s="503"/>
      <c r="BF143" s="504"/>
      <c r="BG143" s="504"/>
      <c r="BH143" s="504"/>
      <c r="BI143" s="504"/>
      <c r="BJ143" s="504"/>
      <c r="BK143" s="504" t="str">
        <f>IFERROR(LEFT(표3[[#This Row],[주소]],FIND(" ",표3[[#This Row],[주소]])-1),"")</f>
        <v>서울특별시</v>
      </c>
      <c r="BL14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3" s="504"/>
      <c r="BO143" s="504"/>
      <c r="BP143" s="504"/>
      <c r="BQ143" s="504"/>
      <c r="BR143" s="505"/>
      <c r="BS143" s="714" t="s">
        <v>179</v>
      </c>
      <c r="BT143" s="715" t="s">
        <v>179</v>
      </c>
      <c r="BU143" s="715" t="s">
        <v>179</v>
      </c>
      <c r="BV143" s="715" t="s">
        <v>179</v>
      </c>
      <c r="BW143" s="715" t="s">
        <v>179</v>
      </c>
      <c r="BX143" s="715" t="s">
        <v>179</v>
      </c>
      <c r="BY143" s="715" t="s">
        <v>191</v>
      </c>
      <c r="BZ143" s="715">
        <v>28.58</v>
      </c>
      <c r="CA143" s="715">
        <v>14.17</v>
      </c>
      <c r="CB143" s="715">
        <v>224000000</v>
      </c>
      <c r="CC143" s="715">
        <v>224000000</v>
      </c>
      <c r="CD143" s="726">
        <f>표3[[#This Row],[종전추정가액]]*1.5219</f>
        <v>340905600</v>
      </c>
      <c r="CE143" s="506"/>
      <c r="CF143" s="507"/>
      <c r="CG143" s="507"/>
      <c r="CH143" s="508"/>
      <c r="CI143" s="508"/>
      <c r="CJ143" s="509"/>
      <c r="CK143" s="510"/>
      <c r="CL143" s="511"/>
      <c r="CM143" s="512"/>
      <c r="CN143" s="513"/>
      <c r="CO143" s="513"/>
      <c r="CP143" s="513"/>
      <c r="CQ143" s="513"/>
      <c r="CR143" s="513"/>
      <c r="CS143" s="514"/>
      <c r="CT143" s="515"/>
      <c r="CU143" s="515"/>
      <c r="CV143" s="515"/>
      <c r="CW143" s="515"/>
      <c r="CX143" s="515"/>
      <c r="CY143" s="515"/>
      <c r="CZ143" s="515"/>
      <c r="DA143" s="515"/>
      <c r="DB143" s="515"/>
      <c r="DC143" s="515"/>
      <c r="DD143" s="515"/>
      <c r="DE143" s="515"/>
      <c r="DF143" s="516"/>
    </row>
    <row r="144" spans="1:110" s="532" customFormat="1" ht="19">
      <c r="A144" s="475"/>
      <c r="B144" s="476">
        <v>90</v>
      </c>
      <c r="C144" s="477">
        <v>28</v>
      </c>
      <c r="D144" s="478">
        <v>28</v>
      </c>
      <c r="E144" s="676" t="s">
        <v>453</v>
      </c>
      <c r="F144" s="479">
        <v>204</v>
      </c>
      <c r="G144" s="480"/>
      <c r="H144" s="481"/>
      <c r="I144" s="481"/>
      <c r="J144" s="481"/>
      <c r="K144" s="481"/>
      <c r="L144" s="481"/>
      <c r="M144" s="481"/>
      <c r="N144" s="481"/>
      <c r="O144" s="481"/>
      <c r="P144" s="482"/>
      <c r="Q144" s="483" t="s">
        <v>179</v>
      </c>
      <c r="R144" s="484">
        <v>0</v>
      </c>
      <c r="S144" s="485">
        <v>11.07</v>
      </c>
      <c r="T144" s="671">
        <f>표3[[#This Row],[편입면적]]/(SUM(표3[공부면적]))</f>
        <v>1.3830584707646176E-3</v>
      </c>
      <c r="U144" s="486" t="s">
        <v>179</v>
      </c>
      <c r="V144" s="487"/>
      <c r="W144" s="536">
        <v>14.63</v>
      </c>
      <c r="X144" s="489">
        <v>22.31</v>
      </c>
      <c r="Y144" s="489">
        <v>36.94</v>
      </c>
      <c r="Z144" s="489" t="s">
        <v>179</v>
      </c>
      <c r="AA144" s="518"/>
      <c r="AB144" s="491"/>
      <c r="AC144" s="492"/>
      <c r="AD144" s="493"/>
      <c r="AE144" s="493"/>
      <c r="AF144" s="494"/>
      <c r="AG144" s="495" t="s">
        <v>176</v>
      </c>
      <c r="AH144" s="495"/>
      <c r="AI144" s="495" t="s">
        <v>183</v>
      </c>
      <c r="AJ144" s="496"/>
      <c r="AK144" s="497"/>
      <c r="AL144" s="497"/>
      <c r="AM144" s="494"/>
      <c r="AN144" s="498"/>
      <c r="AO144" s="499" t="s">
        <v>454</v>
      </c>
      <c r="AP144" s="500" t="s">
        <v>179</v>
      </c>
      <c r="AQ144" s="500"/>
      <c r="AR144" s="501"/>
      <c r="AS144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4" s="502" t="s">
        <v>456</v>
      </c>
      <c r="AU144" s="503"/>
      <c r="AV144" s="503"/>
      <c r="AW144" s="503" t="str">
        <f>IF(COUNTIF('설명회 참석자 명부'!$W$4:$W$29,표3[[#This Row],[성  명]])&gt;0,"O","")</f>
        <v/>
      </c>
      <c r="AX144" s="503" t="str">
        <f>_xlfn.XLOOKUP(표3[[#This Row],[성  명]],'설명회 참석자 명부'!$W$4:$W$29,'설명회 참석자 명부'!$X$4:$X$29,"")</f>
        <v/>
      </c>
      <c r="AY144" s="503"/>
      <c r="AZ144" s="503"/>
      <c r="BA144" s="503"/>
      <c r="BB144" s="503" t="s">
        <v>174</v>
      </c>
      <c r="BC144" s="503"/>
      <c r="BD144" s="503"/>
      <c r="BE144" s="503"/>
      <c r="BF144" s="504"/>
      <c r="BG144" s="504"/>
      <c r="BH144" s="504"/>
      <c r="BI144" s="504"/>
      <c r="BJ144" s="504"/>
      <c r="BK144" s="504" t="str">
        <f>IFERROR(LEFT(표3[[#This Row],[주소]],FIND(" ",표3[[#This Row],[주소]])-1),"")</f>
        <v>서울특별시</v>
      </c>
      <c r="BL144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4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4" s="504"/>
      <c r="BO144" s="504"/>
      <c r="BP144" s="504"/>
      <c r="BQ144" s="504"/>
      <c r="BR144" s="505"/>
      <c r="BS144" s="714" t="s">
        <v>179</v>
      </c>
      <c r="BT144" s="715" t="s">
        <v>179</v>
      </c>
      <c r="BU144" s="715" t="s">
        <v>179</v>
      </c>
      <c r="BV144" s="715" t="s">
        <v>179</v>
      </c>
      <c r="BW144" s="715" t="s">
        <v>179</v>
      </c>
      <c r="BX144" s="715" t="s">
        <v>179</v>
      </c>
      <c r="BY144" s="715" t="s">
        <v>191</v>
      </c>
      <c r="BZ144" s="715">
        <v>28.58</v>
      </c>
      <c r="CA144" s="715">
        <v>14.17</v>
      </c>
      <c r="CB144" s="715">
        <v>224000000</v>
      </c>
      <c r="CC144" s="715">
        <v>224000000</v>
      </c>
      <c r="CD144" s="726">
        <f>표3[[#This Row],[종전추정가액]]*1.5219</f>
        <v>340905600</v>
      </c>
      <c r="CE144" s="506"/>
      <c r="CF144" s="507"/>
      <c r="CG144" s="507"/>
      <c r="CH144" s="508"/>
      <c r="CI144" s="508"/>
      <c r="CJ144" s="509"/>
      <c r="CK144" s="510"/>
      <c r="CL144" s="511"/>
      <c r="CM144" s="512"/>
      <c r="CN144" s="513"/>
      <c r="CO144" s="513"/>
      <c r="CP144" s="513"/>
      <c r="CQ144" s="513"/>
      <c r="CR144" s="513"/>
      <c r="CS144" s="514"/>
      <c r="CT144" s="515"/>
      <c r="CU144" s="515"/>
      <c r="CV144" s="515"/>
      <c r="CW144" s="515"/>
      <c r="CX144" s="515"/>
      <c r="CY144" s="515"/>
      <c r="CZ144" s="515"/>
      <c r="DA144" s="515"/>
      <c r="DB144" s="515"/>
      <c r="DC144" s="515"/>
      <c r="DD144" s="515"/>
      <c r="DE144" s="515"/>
      <c r="DF144" s="516"/>
    </row>
    <row r="145" spans="1:110" s="532" customFormat="1" ht="19">
      <c r="A145" s="475"/>
      <c r="B145" s="476">
        <v>90</v>
      </c>
      <c r="C145" s="477">
        <v>28</v>
      </c>
      <c r="D145" s="478">
        <v>28</v>
      </c>
      <c r="E145" s="676" t="s">
        <v>453</v>
      </c>
      <c r="F145" s="479">
        <v>301</v>
      </c>
      <c r="G145" s="480"/>
      <c r="H145" s="481"/>
      <c r="I145" s="481"/>
      <c r="J145" s="481"/>
      <c r="K145" s="481"/>
      <c r="L145" s="481"/>
      <c r="M145" s="481"/>
      <c r="N145" s="481"/>
      <c r="O145" s="481"/>
      <c r="P145" s="482"/>
      <c r="Q145" s="483" t="s">
        <v>179</v>
      </c>
      <c r="R145" s="484">
        <v>0</v>
      </c>
      <c r="S145" s="485">
        <v>11.07</v>
      </c>
      <c r="T145" s="671">
        <f>표3[[#This Row],[편입면적]]/(SUM(표3[공부면적]))</f>
        <v>1.3830584707646176E-3</v>
      </c>
      <c r="U145" s="486" t="s">
        <v>179</v>
      </c>
      <c r="V145" s="487"/>
      <c r="W145" s="536">
        <v>22.31</v>
      </c>
      <c r="X145" s="489">
        <v>5.79</v>
      </c>
      <c r="Y145" s="489">
        <v>28.099999999999998</v>
      </c>
      <c r="Z145" s="489" t="s">
        <v>179</v>
      </c>
      <c r="AA145" s="518"/>
      <c r="AB145" s="491"/>
      <c r="AC145" s="492"/>
      <c r="AD145" s="493"/>
      <c r="AE145" s="493"/>
      <c r="AF145" s="494"/>
      <c r="AG145" s="495" t="s">
        <v>176</v>
      </c>
      <c r="AH145" s="495"/>
      <c r="AI145" s="495" t="s">
        <v>183</v>
      </c>
      <c r="AJ145" s="496"/>
      <c r="AK145" s="497"/>
      <c r="AL145" s="497"/>
      <c r="AM145" s="494"/>
      <c r="AN145" s="498"/>
      <c r="AO145" s="499" t="s">
        <v>454</v>
      </c>
      <c r="AP145" s="500" t="s">
        <v>179</v>
      </c>
      <c r="AQ145" s="500"/>
      <c r="AR145" s="501"/>
      <c r="AS14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5" s="502" t="s">
        <v>456</v>
      </c>
      <c r="AU145" s="503"/>
      <c r="AV145" s="503"/>
      <c r="AW145" s="503" t="str">
        <f>IF(COUNTIF('설명회 참석자 명부'!$W$4:$W$29,표3[[#This Row],[성  명]])&gt;0,"O","")</f>
        <v/>
      </c>
      <c r="AX145" s="503" t="str">
        <f>_xlfn.XLOOKUP(표3[[#This Row],[성  명]],'설명회 참석자 명부'!$W$4:$W$29,'설명회 참석자 명부'!$X$4:$X$29,"")</f>
        <v/>
      </c>
      <c r="AY145" s="503"/>
      <c r="AZ145" s="503"/>
      <c r="BA145" s="503"/>
      <c r="BB145" s="503" t="s">
        <v>174</v>
      </c>
      <c r="BC145" s="503"/>
      <c r="BD145" s="503"/>
      <c r="BE145" s="503"/>
      <c r="BF145" s="504"/>
      <c r="BG145" s="504"/>
      <c r="BH145" s="504"/>
      <c r="BI145" s="504"/>
      <c r="BJ145" s="504"/>
      <c r="BK145" s="504" t="str">
        <f>IFERROR(LEFT(표3[[#This Row],[주소]],FIND(" ",표3[[#This Row],[주소]])-1),"")</f>
        <v>서울특별시</v>
      </c>
      <c r="BL14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5" s="504"/>
      <c r="BO145" s="504"/>
      <c r="BP145" s="504"/>
      <c r="BQ145" s="504"/>
      <c r="BR145" s="505"/>
      <c r="BS145" s="714" t="s">
        <v>179</v>
      </c>
      <c r="BT145" s="715" t="s">
        <v>179</v>
      </c>
      <c r="BU145" s="715" t="s">
        <v>179</v>
      </c>
      <c r="BV145" s="715" t="s">
        <v>179</v>
      </c>
      <c r="BW145" s="715" t="s">
        <v>179</v>
      </c>
      <c r="BX145" s="715" t="s">
        <v>179</v>
      </c>
      <c r="BY145" s="715" t="s">
        <v>191</v>
      </c>
      <c r="BZ145" s="715">
        <v>36.94</v>
      </c>
      <c r="CA145" s="715">
        <v>11.07</v>
      </c>
      <c r="CB145" s="715">
        <v>228000000</v>
      </c>
      <c r="CC145" s="715">
        <v>228000000</v>
      </c>
      <c r="CD145" s="726">
        <f>표3[[#This Row],[종전추정가액]]*1.5219</f>
        <v>346993200</v>
      </c>
      <c r="CE145" s="506"/>
      <c r="CF145" s="507"/>
      <c r="CG145" s="507"/>
      <c r="CH145" s="508"/>
      <c r="CI145" s="508"/>
      <c r="CJ145" s="509"/>
      <c r="CK145" s="510"/>
      <c r="CL145" s="511"/>
      <c r="CM145" s="512"/>
      <c r="CN145" s="513"/>
      <c r="CO145" s="513"/>
      <c r="CP145" s="513"/>
      <c r="CQ145" s="513"/>
      <c r="CR145" s="513"/>
      <c r="CS145" s="514"/>
      <c r="CT145" s="515"/>
      <c r="CU145" s="515"/>
      <c r="CV145" s="515"/>
      <c r="CW145" s="515"/>
      <c r="CX145" s="515"/>
      <c r="CY145" s="515"/>
      <c r="CZ145" s="515"/>
      <c r="DA145" s="515"/>
      <c r="DB145" s="515"/>
      <c r="DC145" s="515"/>
      <c r="DD145" s="515"/>
      <c r="DE145" s="515"/>
      <c r="DF145" s="516"/>
    </row>
    <row r="146" spans="1:110" s="532" customFormat="1" ht="19">
      <c r="A146" s="475"/>
      <c r="B146" s="476">
        <v>90</v>
      </c>
      <c r="C146" s="477">
        <v>28</v>
      </c>
      <c r="D146" s="478">
        <v>28</v>
      </c>
      <c r="E146" s="676" t="s">
        <v>453</v>
      </c>
      <c r="F146" s="479">
        <v>302</v>
      </c>
      <c r="G146" s="480"/>
      <c r="H146" s="481"/>
      <c r="I146" s="481"/>
      <c r="J146" s="481"/>
      <c r="K146" s="481"/>
      <c r="L146" s="481"/>
      <c r="M146" s="481"/>
      <c r="N146" s="481"/>
      <c r="O146" s="481"/>
      <c r="P146" s="482"/>
      <c r="Q146" s="483" t="s">
        <v>179</v>
      </c>
      <c r="R146" s="484">
        <v>0</v>
      </c>
      <c r="S146" s="485">
        <v>14.17</v>
      </c>
      <c r="T146" s="671">
        <f>표3[[#This Row],[편입면적]]/(SUM(표3[공부면적]))</f>
        <v>1.7703648175912041E-3</v>
      </c>
      <c r="U146" s="486" t="s">
        <v>179</v>
      </c>
      <c r="V146" s="487"/>
      <c r="W146" s="536">
        <v>28.58</v>
      </c>
      <c r="X146" s="489">
        <v>7.42</v>
      </c>
      <c r="Y146" s="489">
        <v>36</v>
      </c>
      <c r="Z146" s="489" t="s">
        <v>179</v>
      </c>
      <c r="AA146" s="518"/>
      <c r="AB146" s="491"/>
      <c r="AC146" s="492"/>
      <c r="AD146" s="493"/>
      <c r="AE146" s="493"/>
      <c r="AF146" s="494"/>
      <c r="AG146" s="495" t="s">
        <v>176</v>
      </c>
      <c r="AH146" s="495"/>
      <c r="AI146" s="495" t="s">
        <v>183</v>
      </c>
      <c r="AJ146" s="496"/>
      <c r="AK146" s="497"/>
      <c r="AL146" s="497"/>
      <c r="AM146" s="494"/>
      <c r="AN146" s="498"/>
      <c r="AO146" s="499" t="s">
        <v>454</v>
      </c>
      <c r="AP146" s="500" t="s">
        <v>179</v>
      </c>
      <c r="AQ146" s="500"/>
      <c r="AR146" s="501"/>
      <c r="AS146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6" s="502" t="s">
        <v>456</v>
      </c>
      <c r="AU146" s="503"/>
      <c r="AV146" s="503"/>
      <c r="AW146" s="503" t="str">
        <f>IF(COUNTIF('설명회 참석자 명부'!$W$4:$W$29,표3[[#This Row],[성  명]])&gt;0,"O","")</f>
        <v/>
      </c>
      <c r="AX146" s="503" t="str">
        <f>_xlfn.XLOOKUP(표3[[#This Row],[성  명]],'설명회 참석자 명부'!$W$4:$W$29,'설명회 참석자 명부'!$X$4:$X$29,"")</f>
        <v/>
      </c>
      <c r="AY146" s="503"/>
      <c r="AZ146" s="503"/>
      <c r="BA146" s="503"/>
      <c r="BB146" s="503" t="s">
        <v>174</v>
      </c>
      <c r="BC146" s="503"/>
      <c r="BD146" s="503"/>
      <c r="BE146" s="503"/>
      <c r="BF146" s="504"/>
      <c r="BG146" s="504"/>
      <c r="BH146" s="504"/>
      <c r="BI146" s="504"/>
      <c r="BJ146" s="504"/>
      <c r="BK146" s="504" t="str">
        <f>IFERROR(LEFT(표3[[#This Row],[주소]],FIND(" ",표3[[#This Row],[주소]])-1),"")</f>
        <v>서울특별시</v>
      </c>
      <c r="BL146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6" s="504"/>
      <c r="BO146" s="504"/>
      <c r="BP146" s="504"/>
      <c r="BQ146" s="504"/>
      <c r="BR146" s="505"/>
      <c r="BS146" s="714" t="s">
        <v>179</v>
      </c>
      <c r="BT146" s="715" t="s">
        <v>179</v>
      </c>
      <c r="BU146" s="715" t="s">
        <v>179</v>
      </c>
      <c r="BV146" s="715" t="s">
        <v>179</v>
      </c>
      <c r="BW146" s="715" t="s">
        <v>179</v>
      </c>
      <c r="BX146" s="715" t="s">
        <v>179</v>
      </c>
      <c r="BY146" s="715" t="s">
        <v>191</v>
      </c>
      <c r="BZ146" s="715">
        <v>22.31</v>
      </c>
      <c r="CA146" s="715">
        <v>11.07</v>
      </c>
      <c r="CB146" s="715">
        <v>176000000</v>
      </c>
      <c r="CC146" s="715">
        <v>176000000</v>
      </c>
      <c r="CD146" s="726">
        <f>표3[[#This Row],[종전추정가액]]*1.5219</f>
        <v>267854400</v>
      </c>
      <c r="CE146" s="506"/>
      <c r="CF146" s="507"/>
      <c r="CG146" s="507"/>
      <c r="CH146" s="508"/>
      <c r="CI146" s="508"/>
      <c r="CJ146" s="509"/>
      <c r="CK146" s="510"/>
      <c r="CL146" s="511"/>
      <c r="CM146" s="512"/>
      <c r="CN146" s="513"/>
      <c r="CO146" s="513"/>
      <c r="CP146" s="513"/>
      <c r="CQ146" s="513"/>
      <c r="CR146" s="513"/>
      <c r="CS146" s="514"/>
      <c r="CT146" s="515"/>
      <c r="CU146" s="515"/>
      <c r="CV146" s="515"/>
      <c r="CW146" s="515"/>
      <c r="CX146" s="515"/>
      <c r="CY146" s="515"/>
      <c r="CZ146" s="515"/>
      <c r="DA146" s="515"/>
      <c r="DB146" s="515"/>
      <c r="DC146" s="515"/>
      <c r="DD146" s="515"/>
      <c r="DE146" s="515"/>
      <c r="DF146" s="516"/>
    </row>
    <row r="147" spans="1:110" s="532" customFormat="1" ht="19">
      <c r="A147" s="475"/>
      <c r="B147" s="476">
        <v>90</v>
      </c>
      <c r="C147" s="477">
        <v>28</v>
      </c>
      <c r="D147" s="478">
        <v>28</v>
      </c>
      <c r="E147" s="676" t="s">
        <v>453</v>
      </c>
      <c r="F147" s="479">
        <v>303</v>
      </c>
      <c r="G147" s="480"/>
      <c r="H147" s="481"/>
      <c r="I147" s="481"/>
      <c r="J147" s="481"/>
      <c r="K147" s="481"/>
      <c r="L147" s="481"/>
      <c r="M147" s="481"/>
      <c r="N147" s="481"/>
      <c r="O147" s="481"/>
      <c r="P147" s="482"/>
      <c r="Q147" s="483" t="s">
        <v>179</v>
      </c>
      <c r="R147" s="484">
        <v>0</v>
      </c>
      <c r="S147" s="485">
        <v>14.17</v>
      </c>
      <c r="T147" s="671">
        <f>표3[[#This Row],[편입면적]]/(SUM(표3[공부면적]))</f>
        <v>1.7703648175912041E-3</v>
      </c>
      <c r="U147" s="486" t="s">
        <v>179</v>
      </c>
      <c r="V147" s="487"/>
      <c r="W147" s="536">
        <v>28.58</v>
      </c>
      <c r="X147" s="489">
        <v>7.42</v>
      </c>
      <c r="Y147" s="489">
        <v>36</v>
      </c>
      <c r="Z147" s="489" t="s">
        <v>179</v>
      </c>
      <c r="AA147" s="518"/>
      <c r="AB147" s="491"/>
      <c r="AC147" s="492"/>
      <c r="AD147" s="493"/>
      <c r="AE147" s="493"/>
      <c r="AF147" s="494"/>
      <c r="AG147" s="495" t="s">
        <v>176</v>
      </c>
      <c r="AH147" s="495"/>
      <c r="AI147" s="495" t="s">
        <v>183</v>
      </c>
      <c r="AJ147" s="496"/>
      <c r="AK147" s="497"/>
      <c r="AL147" s="497"/>
      <c r="AM147" s="494"/>
      <c r="AN147" s="498"/>
      <c r="AO147" s="499" t="s">
        <v>454</v>
      </c>
      <c r="AP147" s="500" t="s">
        <v>179</v>
      </c>
      <c r="AQ147" s="500"/>
      <c r="AR147" s="501"/>
      <c r="AS147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7" s="502" t="s">
        <v>456</v>
      </c>
      <c r="AU147" s="503"/>
      <c r="AV147" s="503"/>
      <c r="AW147" s="503" t="str">
        <f>IF(COUNTIF('설명회 참석자 명부'!$W$4:$W$29,표3[[#This Row],[성  명]])&gt;0,"O","")</f>
        <v/>
      </c>
      <c r="AX147" s="503" t="str">
        <f>_xlfn.XLOOKUP(표3[[#This Row],[성  명]],'설명회 참석자 명부'!$W$4:$W$29,'설명회 참석자 명부'!$X$4:$X$29,"")</f>
        <v/>
      </c>
      <c r="AY147" s="503"/>
      <c r="AZ147" s="503"/>
      <c r="BA147" s="503"/>
      <c r="BB147" s="503" t="s">
        <v>174</v>
      </c>
      <c r="BC147" s="503"/>
      <c r="BD147" s="503"/>
      <c r="BE147" s="503"/>
      <c r="BF147" s="504"/>
      <c r="BG147" s="504"/>
      <c r="BH147" s="504"/>
      <c r="BI147" s="504"/>
      <c r="BJ147" s="504"/>
      <c r="BK147" s="504" t="str">
        <f>IFERROR(LEFT(표3[[#This Row],[주소]],FIND(" ",표3[[#This Row],[주소]])-1),"")</f>
        <v>서울특별시</v>
      </c>
      <c r="BL147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7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7" s="504"/>
      <c r="BO147" s="504"/>
      <c r="BP147" s="504"/>
      <c r="BQ147" s="504"/>
      <c r="BR147" s="505"/>
      <c r="BS147" s="714" t="s">
        <v>179</v>
      </c>
      <c r="BT147" s="715" t="s">
        <v>179</v>
      </c>
      <c r="BU147" s="715" t="s">
        <v>179</v>
      </c>
      <c r="BV147" s="715" t="s">
        <v>179</v>
      </c>
      <c r="BW147" s="715" t="s">
        <v>179</v>
      </c>
      <c r="BX147" s="715" t="s">
        <v>179</v>
      </c>
      <c r="BY147" s="715" t="s">
        <v>191</v>
      </c>
      <c r="BZ147" s="715">
        <v>28.58</v>
      </c>
      <c r="CA147" s="715">
        <v>14.17</v>
      </c>
      <c r="CB147" s="715">
        <v>226000000</v>
      </c>
      <c r="CC147" s="715">
        <v>226000000</v>
      </c>
      <c r="CD147" s="726">
        <f>표3[[#This Row],[종전추정가액]]*1.5219</f>
        <v>343949400</v>
      </c>
      <c r="CE147" s="506"/>
      <c r="CF147" s="507"/>
      <c r="CG147" s="507"/>
      <c r="CH147" s="508"/>
      <c r="CI147" s="508"/>
      <c r="CJ147" s="509"/>
      <c r="CK147" s="510"/>
      <c r="CL147" s="511"/>
      <c r="CM147" s="512"/>
      <c r="CN147" s="513"/>
      <c r="CO147" s="513"/>
      <c r="CP147" s="513"/>
      <c r="CQ147" s="513"/>
      <c r="CR147" s="513"/>
      <c r="CS147" s="514"/>
      <c r="CT147" s="515"/>
      <c r="CU147" s="515"/>
      <c r="CV147" s="515"/>
      <c r="CW147" s="515"/>
      <c r="CX147" s="515"/>
      <c r="CY147" s="515"/>
      <c r="CZ147" s="515"/>
      <c r="DA147" s="515"/>
      <c r="DB147" s="515"/>
      <c r="DC147" s="515"/>
      <c r="DD147" s="515"/>
      <c r="DE147" s="515"/>
      <c r="DF147" s="516"/>
    </row>
    <row r="148" spans="1:110" s="532" customFormat="1" ht="19">
      <c r="A148" s="475"/>
      <c r="B148" s="476">
        <v>90</v>
      </c>
      <c r="C148" s="477">
        <v>28</v>
      </c>
      <c r="D148" s="478">
        <v>28</v>
      </c>
      <c r="E148" s="676" t="s">
        <v>453</v>
      </c>
      <c r="F148" s="479">
        <v>304</v>
      </c>
      <c r="G148" s="480"/>
      <c r="H148" s="481"/>
      <c r="I148" s="481"/>
      <c r="J148" s="481"/>
      <c r="K148" s="481"/>
      <c r="L148" s="481"/>
      <c r="M148" s="481"/>
      <c r="N148" s="481"/>
      <c r="O148" s="481"/>
      <c r="P148" s="482"/>
      <c r="Q148" s="483" t="s">
        <v>179</v>
      </c>
      <c r="R148" s="484">
        <v>0</v>
      </c>
      <c r="S148" s="485">
        <v>11.07</v>
      </c>
      <c r="T148" s="671">
        <f>표3[[#This Row],[편입면적]]/(SUM(표3[공부면적]))</f>
        <v>1.3830584707646176E-3</v>
      </c>
      <c r="U148" s="486" t="s">
        <v>179</v>
      </c>
      <c r="V148" s="487"/>
      <c r="W148" s="536">
        <v>22.31</v>
      </c>
      <c r="X148" s="489">
        <v>5.79</v>
      </c>
      <c r="Y148" s="489">
        <v>28.099999999999998</v>
      </c>
      <c r="Z148" s="489" t="s">
        <v>179</v>
      </c>
      <c r="AA148" s="518"/>
      <c r="AB148" s="491"/>
      <c r="AC148" s="492"/>
      <c r="AD148" s="493"/>
      <c r="AE148" s="493"/>
      <c r="AF148" s="494"/>
      <c r="AG148" s="495" t="s">
        <v>176</v>
      </c>
      <c r="AH148" s="495"/>
      <c r="AI148" s="495" t="s">
        <v>183</v>
      </c>
      <c r="AJ148" s="496"/>
      <c r="AK148" s="497"/>
      <c r="AL148" s="497"/>
      <c r="AM148" s="494"/>
      <c r="AN148" s="498"/>
      <c r="AO148" s="499" t="s">
        <v>454</v>
      </c>
      <c r="AP148" s="500" t="s">
        <v>179</v>
      </c>
      <c r="AQ148" s="500"/>
      <c r="AR148" s="501"/>
      <c r="AS14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8" s="502" t="s">
        <v>456</v>
      </c>
      <c r="AU148" s="503"/>
      <c r="AV148" s="503"/>
      <c r="AW148" s="503" t="str">
        <f>IF(COUNTIF('설명회 참석자 명부'!$W$4:$W$29,표3[[#This Row],[성  명]])&gt;0,"O","")</f>
        <v/>
      </c>
      <c r="AX148" s="503" t="str">
        <f>_xlfn.XLOOKUP(표3[[#This Row],[성  명]],'설명회 참석자 명부'!$W$4:$W$29,'설명회 참석자 명부'!$X$4:$X$29,"")</f>
        <v/>
      </c>
      <c r="AY148" s="503"/>
      <c r="AZ148" s="503"/>
      <c r="BA148" s="503"/>
      <c r="BB148" s="503" t="s">
        <v>174</v>
      </c>
      <c r="BC148" s="503"/>
      <c r="BD148" s="503"/>
      <c r="BE148" s="503"/>
      <c r="BF148" s="504"/>
      <c r="BG148" s="504"/>
      <c r="BH148" s="504"/>
      <c r="BI148" s="504"/>
      <c r="BJ148" s="504"/>
      <c r="BK148" s="504" t="str">
        <f>IFERROR(LEFT(표3[[#This Row],[주소]],FIND(" ",표3[[#This Row],[주소]])-1),"")</f>
        <v>서울특별시</v>
      </c>
      <c r="BL148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8" s="504"/>
      <c r="BO148" s="504"/>
      <c r="BP148" s="504"/>
      <c r="BQ148" s="504"/>
      <c r="BR148" s="505"/>
      <c r="BS148" s="714" t="s">
        <v>179</v>
      </c>
      <c r="BT148" s="715" t="s">
        <v>179</v>
      </c>
      <c r="BU148" s="715" t="s">
        <v>179</v>
      </c>
      <c r="BV148" s="715" t="s">
        <v>179</v>
      </c>
      <c r="BW148" s="715" t="s">
        <v>179</v>
      </c>
      <c r="BX148" s="715" t="s">
        <v>179</v>
      </c>
      <c r="BY148" s="715" t="s">
        <v>191</v>
      </c>
      <c r="BZ148" s="715">
        <v>28.58</v>
      </c>
      <c r="CA148" s="715">
        <v>14.17</v>
      </c>
      <c r="CB148" s="715">
        <v>226000000</v>
      </c>
      <c r="CC148" s="715">
        <v>226000000</v>
      </c>
      <c r="CD148" s="726">
        <f>표3[[#This Row],[종전추정가액]]*1.5219</f>
        <v>343949400</v>
      </c>
      <c r="CE148" s="506"/>
      <c r="CF148" s="507"/>
      <c r="CG148" s="507"/>
      <c r="CH148" s="508"/>
      <c r="CI148" s="508"/>
      <c r="CJ148" s="509"/>
      <c r="CK148" s="510"/>
      <c r="CL148" s="511"/>
      <c r="CM148" s="512"/>
      <c r="CN148" s="513"/>
      <c r="CO148" s="513"/>
      <c r="CP148" s="513"/>
      <c r="CQ148" s="513"/>
      <c r="CR148" s="513"/>
      <c r="CS148" s="514"/>
      <c r="CT148" s="515"/>
      <c r="CU148" s="515"/>
      <c r="CV148" s="515"/>
      <c r="CW148" s="515"/>
      <c r="CX148" s="515"/>
      <c r="CY148" s="515"/>
      <c r="CZ148" s="515"/>
      <c r="DA148" s="515"/>
      <c r="DB148" s="515"/>
      <c r="DC148" s="515"/>
      <c r="DD148" s="515"/>
      <c r="DE148" s="515"/>
      <c r="DF148" s="516"/>
    </row>
    <row r="149" spans="1:110" s="532" customFormat="1" ht="19">
      <c r="A149" s="475"/>
      <c r="B149" s="476">
        <v>90</v>
      </c>
      <c r="C149" s="477">
        <v>28</v>
      </c>
      <c r="D149" s="478">
        <v>28</v>
      </c>
      <c r="E149" s="676" t="s">
        <v>453</v>
      </c>
      <c r="F149" s="479">
        <v>401</v>
      </c>
      <c r="G149" s="480"/>
      <c r="H149" s="481"/>
      <c r="I149" s="481"/>
      <c r="J149" s="481"/>
      <c r="K149" s="481"/>
      <c r="L149" s="481"/>
      <c r="M149" s="481"/>
      <c r="N149" s="481"/>
      <c r="O149" s="481"/>
      <c r="P149" s="482"/>
      <c r="Q149" s="483" t="s">
        <v>179</v>
      </c>
      <c r="R149" s="484">
        <v>0</v>
      </c>
      <c r="S149" s="485">
        <v>5.76</v>
      </c>
      <c r="T149" s="671">
        <f>표3[[#This Row],[편입면적]]/(SUM(표3[공부면적]))</f>
        <v>7.1964017991004488E-4</v>
      </c>
      <c r="U149" s="486" t="s">
        <v>179</v>
      </c>
      <c r="V149" s="487"/>
      <c r="W149" s="488">
        <v>22.67</v>
      </c>
      <c r="X149" s="489">
        <v>3.03</v>
      </c>
      <c r="Y149" s="489">
        <v>25.700000000000003</v>
      </c>
      <c r="Z149" s="489" t="s">
        <v>179</v>
      </c>
      <c r="AA149" s="518"/>
      <c r="AB149" s="491"/>
      <c r="AC149" s="492"/>
      <c r="AD149" s="493"/>
      <c r="AE149" s="493"/>
      <c r="AF149" s="494"/>
      <c r="AG149" s="495" t="s">
        <v>176</v>
      </c>
      <c r="AH149" s="495"/>
      <c r="AI149" s="495" t="s">
        <v>183</v>
      </c>
      <c r="AJ149" s="496"/>
      <c r="AK149" s="497"/>
      <c r="AL149" s="497"/>
      <c r="AM149" s="494"/>
      <c r="AN149" s="498"/>
      <c r="AO149" s="499" t="s">
        <v>454</v>
      </c>
      <c r="AP149" s="500" t="s">
        <v>179</v>
      </c>
      <c r="AQ149" s="500"/>
      <c r="AR149" s="501"/>
      <c r="AS14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49" s="502" t="s">
        <v>456</v>
      </c>
      <c r="AU149" s="503"/>
      <c r="AV149" s="503"/>
      <c r="AW149" s="503" t="str">
        <f>IF(COUNTIF('설명회 참석자 명부'!$W$4:$W$29,표3[[#This Row],[성  명]])&gt;0,"O","")</f>
        <v/>
      </c>
      <c r="AX149" s="503" t="str">
        <f>_xlfn.XLOOKUP(표3[[#This Row],[성  명]],'설명회 참석자 명부'!$W$4:$W$29,'설명회 참석자 명부'!$X$4:$X$29,"")</f>
        <v/>
      </c>
      <c r="AY149" s="503"/>
      <c r="AZ149" s="503"/>
      <c r="BA149" s="503"/>
      <c r="BB149" s="503" t="s">
        <v>174</v>
      </c>
      <c r="BC149" s="503"/>
      <c r="BD149" s="503"/>
      <c r="BE149" s="503"/>
      <c r="BF149" s="504"/>
      <c r="BG149" s="504"/>
      <c r="BH149" s="504"/>
      <c r="BI149" s="504"/>
      <c r="BJ149" s="504"/>
      <c r="BK149" s="504" t="str">
        <f>IFERROR(LEFT(표3[[#This Row],[주소]],FIND(" ",표3[[#This Row],[주소]])-1),"")</f>
        <v>서울특별시</v>
      </c>
      <c r="BL149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4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49" s="504"/>
      <c r="BO149" s="504"/>
      <c r="BP149" s="504"/>
      <c r="BQ149" s="504"/>
      <c r="BR149" s="505"/>
      <c r="BS149" s="714" t="s">
        <v>179</v>
      </c>
      <c r="BT149" s="715" t="s">
        <v>179</v>
      </c>
      <c r="BU149" s="715" t="s">
        <v>179</v>
      </c>
      <c r="BV149" s="715" t="s">
        <v>179</v>
      </c>
      <c r="BW149" s="715" t="s">
        <v>179</v>
      </c>
      <c r="BX149" s="715" t="s">
        <v>179</v>
      </c>
      <c r="BY149" s="715" t="s">
        <v>191</v>
      </c>
      <c r="BZ149" s="715">
        <v>22.31</v>
      </c>
      <c r="CA149" s="715">
        <v>11.07</v>
      </c>
      <c r="CB149" s="715">
        <v>176000000</v>
      </c>
      <c r="CC149" s="715">
        <v>176000000</v>
      </c>
      <c r="CD149" s="726">
        <f>표3[[#This Row],[종전추정가액]]*1.5219</f>
        <v>267854400</v>
      </c>
      <c r="CE149" s="506"/>
      <c r="CF149" s="507"/>
      <c r="CG149" s="507"/>
      <c r="CH149" s="508"/>
      <c r="CI149" s="508"/>
      <c r="CJ149" s="509"/>
      <c r="CK149" s="510"/>
      <c r="CL149" s="511"/>
      <c r="CM149" s="512"/>
      <c r="CN149" s="513"/>
      <c r="CO149" s="513"/>
      <c r="CP149" s="513"/>
      <c r="CQ149" s="513"/>
      <c r="CR149" s="513"/>
      <c r="CS149" s="514"/>
      <c r="CT149" s="515"/>
      <c r="CU149" s="515"/>
      <c r="CV149" s="515"/>
      <c r="CW149" s="515"/>
      <c r="CX149" s="515"/>
      <c r="CY149" s="515"/>
      <c r="CZ149" s="515"/>
      <c r="DA149" s="515"/>
      <c r="DB149" s="515"/>
      <c r="DC149" s="515"/>
      <c r="DD149" s="515"/>
      <c r="DE149" s="515"/>
      <c r="DF149" s="516"/>
    </row>
    <row r="150" spans="1:110" s="532" customFormat="1" ht="19">
      <c r="A150" s="475"/>
      <c r="B150" s="476">
        <v>90</v>
      </c>
      <c r="C150" s="477">
        <v>28</v>
      </c>
      <c r="D150" s="478">
        <v>28</v>
      </c>
      <c r="E150" s="676" t="s">
        <v>453</v>
      </c>
      <c r="F150" s="479">
        <v>402</v>
      </c>
      <c r="G150" s="480"/>
      <c r="H150" s="481"/>
      <c r="I150" s="481"/>
      <c r="J150" s="481"/>
      <c r="K150" s="481"/>
      <c r="L150" s="481"/>
      <c r="M150" s="481"/>
      <c r="N150" s="481"/>
      <c r="O150" s="481"/>
      <c r="P150" s="482"/>
      <c r="Q150" s="483" t="s">
        <v>179</v>
      </c>
      <c r="R150" s="484">
        <v>0</v>
      </c>
      <c r="S150" s="485">
        <v>10.75</v>
      </c>
      <c r="T150" s="671">
        <f>표3[[#This Row],[편입면적]]/(SUM(표3[공부면적]))</f>
        <v>1.3430784607696151E-3</v>
      </c>
      <c r="U150" s="486" t="s">
        <v>179</v>
      </c>
      <c r="V150" s="487"/>
      <c r="W150" s="488">
        <v>32.25</v>
      </c>
      <c r="X150" s="489">
        <v>5.64</v>
      </c>
      <c r="Y150" s="489">
        <v>37.89</v>
      </c>
      <c r="Z150" s="489" t="s">
        <v>179</v>
      </c>
      <c r="AA150" s="518"/>
      <c r="AB150" s="491"/>
      <c r="AC150" s="492"/>
      <c r="AD150" s="493"/>
      <c r="AE150" s="493"/>
      <c r="AF150" s="494"/>
      <c r="AG150" s="495" t="s">
        <v>176</v>
      </c>
      <c r="AH150" s="495"/>
      <c r="AI150" s="495" t="s">
        <v>183</v>
      </c>
      <c r="AJ150" s="496"/>
      <c r="AK150" s="497"/>
      <c r="AL150" s="497"/>
      <c r="AM150" s="494"/>
      <c r="AN150" s="498"/>
      <c r="AO150" s="499" t="s">
        <v>454</v>
      </c>
      <c r="AP150" s="500" t="s">
        <v>179</v>
      </c>
      <c r="AQ150" s="500"/>
      <c r="AR150" s="501"/>
      <c r="AS15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50" s="502" t="s">
        <v>456</v>
      </c>
      <c r="AU150" s="503"/>
      <c r="AV150" s="503"/>
      <c r="AW150" s="503" t="str">
        <f>IF(COUNTIF('설명회 참석자 명부'!$W$4:$W$29,표3[[#This Row],[성  명]])&gt;0,"O","")</f>
        <v/>
      </c>
      <c r="AX150" s="503" t="str">
        <f>_xlfn.XLOOKUP(표3[[#This Row],[성  명]],'설명회 참석자 명부'!$W$4:$W$29,'설명회 참석자 명부'!$X$4:$X$29,"")</f>
        <v/>
      </c>
      <c r="AY150" s="503"/>
      <c r="AZ150" s="503"/>
      <c r="BA150" s="503"/>
      <c r="BB150" s="503" t="s">
        <v>174</v>
      </c>
      <c r="BC150" s="503"/>
      <c r="BD150" s="503"/>
      <c r="BE150" s="503"/>
      <c r="BF150" s="504"/>
      <c r="BG150" s="504"/>
      <c r="BH150" s="504"/>
      <c r="BI150" s="504"/>
      <c r="BJ150" s="504"/>
      <c r="BK150" s="504" t="str">
        <f>IFERROR(LEFT(표3[[#This Row],[주소]],FIND(" ",표3[[#This Row],[주소]])-1),"")</f>
        <v>서울특별시</v>
      </c>
      <c r="BL15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50" s="504"/>
      <c r="BO150" s="504"/>
      <c r="BP150" s="504"/>
      <c r="BQ150" s="504"/>
      <c r="BR150" s="505"/>
      <c r="BS150" s="714" t="s">
        <v>179</v>
      </c>
      <c r="BT150" s="715" t="s">
        <v>179</v>
      </c>
      <c r="BU150" s="715" t="s">
        <v>179</v>
      </c>
      <c r="BV150" s="715" t="s">
        <v>179</v>
      </c>
      <c r="BW150" s="715" t="s">
        <v>179</v>
      </c>
      <c r="BX150" s="715" t="s">
        <v>179</v>
      </c>
      <c r="BY150" s="715" t="s">
        <v>191</v>
      </c>
      <c r="BZ150" s="715">
        <v>22.67</v>
      </c>
      <c r="CA150" s="715">
        <v>5.76</v>
      </c>
      <c r="CB150" s="715">
        <v>132000000</v>
      </c>
      <c r="CC150" s="715">
        <v>132000000</v>
      </c>
      <c r="CD150" s="726">
        <f>표3[[#This Row],[종전추정가액]]*1.5219</f>
        <v>200890800</v>
      </c>
      <c r="CE150" s="506"/>
      <c r="CF150" s="507"/>
      <c r="CG150" s="507"/>
      <c r="CH150" s="508"/>
      <c r="CI150" s="508"/>
      <c r="CJ150" s="509"/>
      <c r="CK150" s="510"/>
      <c r="CL150" s="511"/>
      <c r="CM150" s="512"/>
      <c r="CN150" s="513"/>
      <c r="CO150" s="513"/>
      <c r="CP150" s="513"/>
      <c r="CQ150" s="513"/>
      <c r="CR150" s="513"/>
      <c r="CS150" s="514"/>
      <c r="CT150" s="515"/>
      <c r="CU150" s="515"/>
      <c r="CV150" s="515"/>
      <c r="CW150" s="515"/>
      <c r="CX150" s="515"/>
      <c r="CY150" s="515"/>
      <c r="CZ150" s="515"/>
      <c r="DA150" s="515"/>
      <c r="DB150" s="515"/>
      <c r="DC150" s="515"/>
      <c r="DD150" s="515"/>
      <c r="DE150" s="515"/>
      <c r="DF150" s="516"/>
    </row>
    <row r="151" spans="1:110" s="532" customFormat="1" ht="19">
      <c r="A151" s="475"/>
      <c r="B151" s="476">
        <v>90</v>
      </c>
      <c r="C151" s="477">
        <v>28</v>
      </c>
      <c r="D151" s="478">
        <v>28</v>
      </c>
      <c r="E151" s="676" t="s">
        <v>453</v>
      </c>
      <c r="F151" s="479">
        <v>403</v>
      </c>
      <c r="G151" s="480"/>
      <c r="H151" s="481"/>
      <c r="I151" s="481"/>
      <c r="J151" s="481"/>
      <c r="K151" s="481"/>
      <c r="L151" s="481"/>
      <c r="M151" s="481"/>
      <c r="N151" s="481"/>
      <c r="O151" s="481"/>
      <c r="P151" s="482"/>
      <c r="Q151" s="483" t="s">
        <v>179</v>
      </c>
      <c r="R151" s="484">
        <v>0</v>
      </c>
      <c r="S151" s="485">
        <v>13.27</v>
      </c>
      <c r="T151" s="671">
        <f>표3[[#This Row],[편입면적]]/(SUM(표3[공부면적]))</f>
        <v>1.6579210394802597E-3</v>
      </c>
      <c r="U151" s="486" t="s">
        <v>179</v>
      </c>
      <c r="V151" s="487"/>
      <c r="W151" s="488">
        <v>26.77</v>
      </c>
      <c r="X151" s="489">
        <v>6.96</v>
      </c>
      <c r="Y151" s="489">
        <v>33.729999999999997</v>
      </c>
      <c r="Z151" s="489" t="s">
        <v>179</v>
      </c>
      <c r="AA151" s="518"/>
      <c r="AB151" s="491"/>
      <c r="AC151" s="492"/>
      <c r="AD151" s="493"/>
      <c r="AE151" s="493"/>
      <c r="AF151" s="494"/>
      <c r="AG151" s="495" t="s">
        <v>176</v>
      </c>
      <c r="AH151" s="495"/>
      <c r="AI151" s="495" t="s">
        <v>183</v>
      </c>
      <c r="AJ151" s="496"/>
      <c r="AK151" s="497"/>
      <c r="AL151" s="497"/>
      <c r="AM151" s="494"/>
      <c r="AN151" s="498"/>
      <c r="AO151" s="499" t="s">
        <v>454</v>
      </c>
      <c r="AP151" s="500" t="s">
        <v>179</v>
      </c>
      <c r="AQ151" s="500"/>
      <c r="AR151" s="501"/>
      <c r="AS15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51" s="502" t="s">
        <v>456</v>
      </c>
      <c r="AU151" s="503"/>
      <c r="AV151" s="503"/>
      <c r="AW151" s="503" t="str">
        <f>IF(COUNTIF('설명회 참석자 명부'!$W$4:$W$29,표3[[#This Row],[성  명]])&gt;0,"O","")</f>
        <v/>
      </c>
      <c r="AX151" s="503" t="str">
        <f>_xlfn.XLOOKUP(표3[[#This Row],[성  명]],'설명회 참석자 명부'!$W$4:$W$29,'설명회 참석자 명부'!$X$4:$X$29,"")</f>
        <v/>
      </c>
      <c r="AY151" s="503"/>
      <c r="AZ151" s="503"/>
      <c r="BA151" s="503"/>
      <c r="BB151" s="503" t="s">
        <v>174</v>
      </c>
      <c r="BC151" s="503"/>
      <c r="BD151" s="503"/>
      <c r="BE151" s="503"/>
      <c r="BF151" s="504"/>
      <c r="BG151" s="504"/>
      <c r="BH151" s="504"/>
      <c r="BI151" s="504"/>
      <c r="BJ151" s="504"/>
      <c r="BK151" s="504" t="str">
        <f>IFERROR(LEFT(표3[[#This Row],[주소]],FIND(" ",표3[[#This Row],[주소]])-1),"")</f>
        <v>서울특별시</v>
      </c>
      <c r="BL15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51" s="504"/>
      <c r="BO151" s="504"/>
      <c r="BP151" s="504"/>
      <c r="BQ151" s="504"/>
      <c r="BR151" s="505"/>
      <c r="BS151" s="714" t="s">
        <v>179</v>
      </c>
      <c r="BT151" s="715" t="s">
        <v>179</v>
      </c>
      <c r="BU151" s="715" t="s">
        <v>179</v>
      </c>
      <c r="BV151" s="715" t="s">
        <v>179</v>
      </c>
      <c r="BW151" s="715" t="s">
        <v>179</v>
      </c>
      <c r="BX151" s="715" t="s">
        <v>179</v>
      </c>
      <c r="BY151" s="715" t="s">
        <v>191</v>
      </c>
      <c r="BZ151" s="715">
        <v>32.25</v>
      </c>
      <c r="CA151" s="715">
        <v>10.75</v>
      </c>
      <c r="CB151" s="715">
        <v>210000000</v>
      </c>
      <c r="CC151" s="715">
        <v>210000000</v>
      </c>
      <c r="CD151" s="726">
        <f>표3[[#This Row],[종전추정가액]]*1.5219</f>
        <v>319599000</v>
      </c>
      <c r="CE151" s="506"/>
      <c r="CF151" s="507"/>
      <c r="CG151" s="507"/>
      <c r="CH151" s="508"/>
      <c r="CI151" s="508"/>
      <c r="CJ151" s="509"/>
      <c r="CK151" s="510"/>
      <c r="CL151" s="511"/>
      <c r="CM151" s="512"/>
      <c r="CN151" s="513"/>
      <c r="CO151" s="513"/>
      <c r="CP151" s="513"/>
      <c r="CQ151" s="513"/>
      <c r="CR151" s="513"/>
      <c r="CS151" s="514"/>
      <c r="CT151" s="515"/>
      <c r="CU151" s="515"/>
      <c r="CV151" s="515"/>
      <c r="CW151" s="515"/>
      <c r="CX151" s="515"/>
      <c r="CY151" s="515"/>
      <c r="CZ151" s="515"/>
      <c r="DA151" s="515"/>
      <c r="DB151" s="515"/>
      <c r="DC151" s="515"/>
      <c r="DD151" s="515"/>
      <c r="DE151" s="515"/>
      <c r="DF151" s="516"/>
    </row>
    <row r="152" spans="1:110" s="532" customFormat="1" ht="19">
      <c r="A152" s="475"/>
      <c r="B152" s="476">
        <v>90</v>
      </c>
      <c r="C152" s="477">
        <v>28</v>
      </c>
      <c r="D152" s="478">
        <v>28</v>
      </c>
      <c r="E152" s="676" t="s">
        <v>453</v>
      </c>
      <c r="F152" s="479">
        <v>404</v>
      </c>
      <c r="G152" s="480"/>
      <c r="H152" s="481"/>
      <c r="I152" s="481"/>
      <c r="J152" s="481"/>
      <c r="K152" s="481"/>
      <c r="L152" s="481"/>
      <c r="M152" s="481"/>
      <c r="N152" s="481"/>
      <c r="O152" s="481"/>
      <c r="P152" s="482"/>
      <c r="Q152" s="483" t="s">
        <v>179</v>
      </c>
      <c r="R152" s="484">
        <v>0</v>
      </c>
      <c r="S152" s="485">
        <v>11.07</v>
      </c>
      <c r="T152" s="671">
        <f>표3[[#This Row],[편입면적]]/(SUM(표3[공부면적]))</f>
        <v>1.3830584707646176E-3</v>
      </c>
      <c r="U152" s="486" t="s">
        <v>179</v>
      </c>
      <c r="V152" s="487"/>
      <c r="W152" s="488">
        <v>22.31</v>
      </c>
      <c r="X152" s="489">
        <v>5.79</v>
      </c>
      <c r="Y152" s="489">
        <v>28.099999999999998</v>
      </c>
      <c r="Z152" s="489" t="s">
        <v>179</v>
      </c>
      <c r="AA152" s="518"/>
      <c r="AB152" s="491"/>
      <c r="AC152" s="492"/>
      <c r="AD152" s="493"/>
      <c r="AE152" s="493"/>
      <c r="AF152" s="494"/>
      <c r="AG152" s="495" t="s">
        <v>176</v>
      </c>
      <c r="AH152" s="495"/>
      <c r="AI152" s="495" t="s">
        <v>183</v>
      </c>
      <c r="AJ152" s="496"/>
      <c r="AK152" s="497"/>
      <c r="AL152" s="497"/>
      <c r="AM152" s="494"/>
      <c r="AN152" s="498"/>
      <c r="AO152" s="499" t="s">
        <v>454</v>
      </c>
      <c r="AP152" s="500" t="s">
        <v>179</v>
      </c>
      <c r="AQ152" s="500"/>
      <c r="AR152" s="501"/>
      <c r="AS15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52" s="502" t="s">
        <v>456</v>
      </c>
      <c r="AU152" s="503"/>
      <c r="AV152" s="503"/>
      <c r="AW152" s="503" t="str">
        <f>IF(COUNTIF('설명회 참석자 명부'!$W$4:$W$29,표3[[#This Row],[성  명]])&gt;0,"O","")</f>
        <v/>
      </c>
      <c r="AX152" s="503" t="str">
        <f>_xlfn.XLOOKUP(표3[[#This Row],[성  명]],'설명회 참석자 명부'!$W$4:$W$29,'설명회 참석자 명부'!$X$4:$X$29,"")</f>
        <v/>
      </c>
      <c r="AY152" s="503"/>
      <c r="AZ152" s="503"/>
      <c r="BA152" s="503"/>
      <c r="BB152" s="503" t="s">
        <v>174</v>
      </c>
      <c r="BC152" s="503"/>
      <c r="BD152" s="503"/>
      <c r="BE152" s="503"/>
      <c r="BF152" s="504"/>
      <c r="BG152" s="504"/>
      <c r="BH152" s="504"/>
      <c r="BI152" s="504"/>
      <c r="BJ152" s="504"/>
      <c r="BK152" s="504" t="str">
        <f>IFERROR(LEFT(표3[[#This Row],[주소]],FIND(" ",표3[[#This Row],[주소]])-1),"")</f>
        <v>서울특별시</v>
      </c>
      <c r="BL15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52" s="504"/>
      <c r="BO152" s="504"/>
      <c r="BP152" s="504"/>
      <c r="BQ152" s="504"/>
      <c r="BR152" s="505"/>
      <c r="BS152" s="714" t="s">
        <v>179</v>
      </c>
      <c r="BT152" s="715" t="s">
        <v>179</v>
      </c>
      <c r="BU152" s="715" t="s">
        <v>179</v>
      </c>
      <c r="BV152" s="715" t="s">
        <v>179</v>
      </c>
      <c r="BW152" s="715" t="s">
        <v>179</v>
      </c>
      <c r="BX152" s="715" t="s">
        <v>179</v>
      </c>
      <c r="BY152" s="715" t="s">
        <v>191</v>
      </c>
      <c r="BZ152" s="715">
        <v>26.77</v>
      </c>
      <c r="CA152" s="715">
        <v>13.27</v>
      </c>
      <c r="CB152" s="715">
        <v>211000000</v>
      </c>
      <c r="CC152" s="715">
        <v>211000000</v>
      </c>
      <c r="CD152" s="726">
        <f>표3[[#This Row],[종전추정가액]]*1.5219</f>
        <v>321120900</v>
      </c>
      <c r="CE152" s="506"/>
      <c r="CF152" s="507"/>
      <c r="CG152" s="507"/>
      <c r="CH152" s="508"/>
      <c r="CI152" s="508"/>
      <c r="CJ152" s="509"/>
      <c r="CK152" s="510"/>
      <c r="CL152" s="511"/>
      <c r="CM152" s="512"/>
      <c r="CN152" s="513"/>
      <c r="CO152" s="513"/>
      <c r="CP152" s="513"/>
      <c r="CQ152" s="513"/>
      <c r="CR152" s="513"/>
      <c r="CS152" s="514"/>
      <c r="CT152" s="515"/>
      <c r="CU152" s="515"/>
      <c r="CV152" s="515"/>
      <c r="CW152" s="515"/>
      <c r="CX152" s="515"/>
      <c r="CY152" s="515"/>
      <c r="CZ152" s="515"/>
      <c r="DA152" s="515"/>
      <c r="DB152" s="515"/>
      <c r="DC152" s="515"/>
      <c r="DD152" s="515"/>
      <c r="DE152" s="515"/>
      <c r="DF152" s="516"/>
    </row>
    <row r="153" spans="1:110" s="532" customFormat="1" ht="19">
      <c r="A153" s="475"/>
      <c r="B153" s="476">
        <v>90</v>
      </c>
      <c r="C153" s="477">
        <v>28</v>
      </c>
      <c r="D153" s="478">
        <v>28</v>
      </c>
      <c r="E153" s="676" t="s">
        <v>453</v>
      </c>
      <c r="F153" s="479">
        <v>501</v>
      </c>
      <c r="G153" s="480"/>
      <c r="H153" s="481"/>
      <c r="I153" s="481"/>
      <c r="J153" s="481"/>
      <c r="K153" s="481"/>
      <c r="L153" s="481"/>
      <c r="M153" s="481"/>
      <c r="N153" s="481"/>
      <c r="O153" s="481"/>
      <c r="P153" s="482"/>
      <c r="Q153" s="483" t="s">
        <v>179</v>
      </c>
      <c r="R153" s="484">
        <v>0</v>
      </c>
      <c r="S153" s="485">
        <v>27.47</v>
      </c>
      <c r="T153" s="671">
        <f>표3[[#This Row],[편입면적]]/(SUM(표3[공부면적]))</f>
        <v>3.432033983008495E-3</v>
      </c>
      <c r="U153" s="486" t="s">
        <v>179</v>
      </c>
      <c r="V153" s="487"/>
      <c r="W153" s="488">
        <v>77.88</v>
      </c>
      <c r="X153" s="489">
        <v>14.39</v>
      </c>
      <c r="Y153" s="489">
        <v>92.27</v>
      </c>
      <c r="Z153" s="489" t="s">
        <v>179</v>
      </c>
      <c r="AA153" s="518"/>
      <c r="AB153" s="491"/>
      <c r="AC153" s="492"/>
      <c r="AD153" s="493"/>
      <c r="AE153" s="493"/>
      <c r="AF153" s="494"/>
      <c r="AG153" s="495" t="s">
        <v>176</v>
      </c>
      <c r="AH153" s="495"/>
      <c r="AI153" s="495" t="s">
        <v>183</v>
      </c>
      <c r="AJ153" s="496"/>
      <c r="AK153" s="497"/>
      <c r="AL153" s="497"/>
      <c r="AM153" s="494"/>
      <c r="AN153" s="498"/>
      <c r="AO153" s="499" t="s">
        <v>454</v>
      </c>
      <c r="AP153" s="500" t="s">
        <v>179</v>
      </c>
      <c r="AQ153" s="500"/>
      <c r="AR153" s="501"/>
      <c r="AS153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53" s="502" t="s">
        <v>456</v>
      </c>
      <c r="AU153" s="503"/>
      <c r="AV153" s="503"/>
      <c r="AW153" s="503" t="str">
        <f>IF(COUNTIF('설명회 참석자 명부'!$W$4:$W$29,표3[[#This Row],[성  명]])&gt;0,"O","")</f>
        <v/>
      </c>
      <c r="AX153" s="503" t="str">
        <f>_xlfn.XLOOKUP(표3[[#This Row],[성  명]],'설명회 참석자 명부'!$W$4:$W$29,'설명회 참석자 명부'!$X$4:$X$29,"")</f>
        <v/>
      </c>
      <c r="AY153" s="503"/>
      <c r="AZ153" s="503"/>
      <c r="BA153" s="503"/>
      <c r="BB153" s="503" t="s">
        <v>174</v>
      </c>
      <c r="BC153" s="503"/>
      <c r="BD153" s="503"/>
      <c r="BE153" s="503"/>
      <c r="BF153" s="504"/>
      <c r="BG153" s="504"/>
      <c r="BH153" s="504"/>
      <c r="BI153" s="504"/>
      <c r="BJ153" s="504"/>
      <c r="BK153" s="504" t="str">
        <f>IFERROR(LEFT(표3[[#This Row],[주소]],FIND(" ",표3[[#This Row],[주소]])-1),"")</f>
        <v>서울특별시</v>
      </c>
      <c r="BL153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3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53" s="504"/>
      <c r="BO153" s="504"/>
      <c r="BP153" s="504"/>
      <c r="BQ153" s="504"/>
      <c r="BR153" s="505"/>
      <c r="BS153" s="714" t="s">
        <v>179</v>
      </c>
      <c r="BT153" s="715" t="s">
        <v>179</v>
      </c>
      <c r="BU153" s="715" t="s">
        <v>179</v>
      </c>
      <c r="BV153" s="715" t="s">
        <v>179</v>
      </c>
      <c r="BW153" s="715" t="s">
        <v>179</v>
      </c>
      <c r="BX153" s="715" t="s">
        <v>179</v>
      </c>
      <c r="BY153" s="715" t="s">
        <v>191</v>
      </c>
      <c r="BZ153" s="715">
        <v>22.31</v>
      </c>
      <c r="CA153" s="715">
        <v>11.07</v>
      </c>
      <c r="CB153" s="715">
        <v>176000000</v>
      </c>
      <c r="CC153" s="715">
        <v>176000000</v>
      </c>
      <c r="CD153" s="726">
        <f>표3[[#This Row],[종전추정가액]]*1.5219</f>
        <v>267854400</v>
      </c>
      <c r="CE153" s="506"/>
      <c r="CF153" s="507"/>
      <c r="CG153" s="507"/>
      <c r="CH153" s="508"/>
      <c r="CI153" s="508"/>
      <c r="CJ153" s="509"/>
      <c r="CK153" s="510"/>
      <c r="CL153" s="511"/>
      <c r="CM153" s="512"/>
      <c r="CN153" s="513"/>
      <c r="CO153" s="513"/>
      <c r="CP153" s="513"/>
      <c r="CQ153" s="513"/>
      <c r="CR153" s="513"/>
      <c r="CS153" s="514"/>
      <c r="CT153" s="515"/>
      <c r="CU153" s="515"/>
      <c r="CV153" s="515"/>
      <c r="CW153" s="515"/>
      <c r="CX153" s="515"/>
      <c r="CY153" s="515"/>
      <c r="CZ153" s="515"/>
      <c r="DA153" s="515"/>
      <c r="DB153" s="515"/>
      <c r="DC153" s="515"/>
      <c r="DD153" s="515"/>
      <c r="DE153" s="515"/>
      <c r="DF153" s="516"/>
    </row>
    <row r="154" spans="1:110" s="532" customFormat="1" ht="23.5" thickBot="1">
      <c r="A154" s="394"/>
      <c r="B154" s="395">
        <v>90</v>
      </c>
      <c r="C154" s="396">
        <v>28</v>
      </c>
      <c r="D154" s="397">
        <v>28</v>
      </c>
      <c r="E154" s="698" t="s">
        <v>453</v>
      </c>
      <c r="F154" s="398" t="s">
        <v>457</v>
      </c>
      <c r="G154" s="399"/>
      <c r="H154" s="400"/>
      <c r="I154" s="400"/>
      <c r="J154" s="400"/>
      <c r="K154" s="400"/>
      <c r="L154" s="400"/>
      <c r="M154" s="400"/>
      <c r="N154" s="400"/>
      <c r="O154" s="400"/>
      <c r="P154" s="401"/>
      <c r="Q154" s="402" t="s">
        <v>179</v>
      </c>
      <c r="R154" s="403">
        <v>0</v>
      </c>
      <c r="S154" s="404">
        <v>57.82</v>
      </c>
      <c r="T154" s="672">
        <f>표3[[#This Row],[편입면적]]/(SUM(표3[공부면적]))</f>
        <v>7.223888055972013E-3</v>
      </c>
      <c r="U154" s="662" t="s">
        <v>179</v>
      </c>
      <c r="V154" s="405"/>
      <c r="W154" s="406">
        <v>116.62</v>
      </c>
      <c r="X154" s="407">
        <v>30.29</v>
      </c>
      <c r="Y154" s="407">
        <v>146.91</v>
      </c>
      <c r="Z154" s="407" t="s">
        <v>179</v>
      </c>
      <c r="AA154" s="520"/>
      <c r="AB154" s="409"/>
      <c r="AC154" s="410"/>
      <c r="AD154" s="411"/>
      <c r="AE154" s="411"/>
      <c r="AF154" s="412"/>
      <c r="AG154" s="413" t="s">
        <v>176</v>
      </c>
      <c r="AH154" s="413"/>
      <c r="AI154" s="413" t="s">
        <v>183</v>
      </c>
      <c r="AJ154" s="414"/>
      <c r="AK154" s="415"/>
      <c r="AL154" s="415"/>
      <c r="AM154" s="412"/>
      <c r="AN154" s="416"/>
      <c r="AO154" s="417" t="s">
        <v>454</v>
      </c>
      <c r="AP154" s="587" t="s">
        <v>458</v>
      </c>
      <c r="AQ154" s="418"/>
      <c r="AR154" s="419">
        <v>45</v>
      </c>
      <c r="AS154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80대 이상</v>
      </c>
      <c r="AT154" s="420" t="s">
        <v>456</v>
      </c>
      <c r="AU154" s="421" t="s">
        <v>190</v>
      </c>
      <c r="AV154" s="421"/>
      <c r="AW154" s="421" t="str">
        <f>IF(COUNTIF('설명회 참석자 명부'!$W$4:$W$29,표3[[#This Row],[성  명]])&gt;0,"O","")</f>
        <v/>
      </c>
      <c r="AX154" s="421" t="str">
        <f>_xlfn.XLOOKUP(표3[[#This Row],[성  명]],'설명회 참석자 명부'!$W$4:$W$29,'설명회 참석자 명부'!$X$4:$X$29,"")</f>
        <v/>
      </c>
      <c r="AY154" s="421"/>
      <c r="AZ154" s="421"/>
      <c r="BA154" s="421"/>
      <c r="BB154" s="421" t="s">
        <v>174</v>
      </c>
      <c r="BC154" s="421"/>
      <c r="BD154" s="421"/>
      <c r="BE154" s="421"/>
      <c r="BF154" s="422"/>
      <c r="BG154" s="422"/>
      <c r="BH154" s="422"/>
      <c r="BI154" s="422"/>
      <c r="BJ154" s="422"/>
      <c r="BK154" s="422" t="str">
        <f>IFERROR(LEFT(표3[[#This Row],[주소]],FIND(" ",표3[[#This Row],[주소]])-1),"")</f>
        <v>서울특별시</v>
      </c>
      <c r="BL154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4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문정동28-28</v>
      </c>
      <c r="BN154" s="422"/>
      <c r="BO154" s="422"/>
      <c r="BP154" s="422"/>
      <c r="BQ154" s="422"/>
      <c r="BR154" s="423"/>
      <c r="BS154" s="714" t="s">
        <v>179</v>
      </c>
      <c r="BT154" s="715" t="s">
        <v>179</v>
      </c>
      <c r="BU154" s="715" t="s">
        <v>179</v>
      </c>
      <c r="BV154" s="715" t="s">
        <v>179</v>
      </c>
      <c r="BW154" s="715" t="s">
        <v>179</v>
      </c>
      <c r="BX154" s="715" t="s">
        <v>179</v>
      </c>
      <c r="BY154" s="715" t="s">
        <v>191</v>
      </c>
      <c r="BZ154" s="715">
        <v>77.88</v>
      </c>
      <c r="CA154" s="715">
        <v>27.47</v>
      </c>
      <c r="CB154" s="715">
        <v>520000000</v>
      </c>
      <c r="CC154" s="715">
        <v>520000000</v>
      </c>
      <c r="CD154" s="726">
        <f>표3[[#This Row],[종전추정가액]]*1.5219</f>
        <v>791388000</v>
      </c>
      <c r="CE154" s="424"/>
      <c r="CF154" s="425"/>
      <c r="CG154" s="425"/>
      <c r="CH154" s="426"/>
      <c r="CI154" s="426"/>
      <c r="CJ154" s="427"/>
      <c r="CK154" s="428"/>
      <c r="CL154" s="429"/>
      <c r="CM154" s="430"/>
      <c r="CN154" s="431"/>
      <c r="CO154" s="431"/>
      <c r="CP154" s="431"/>
      <c r="CQ154" s="431"/>
      <c r="CR154" s="431"/>
      <c r="CS154" s="432"/>
      <c r="CT154" s="433"/>
      <c r="CU154" s="433"/>
      <c r="CV154" s="433"/>
      <c r="CW154" s="433"/>
      <c r="CX154" s="433"/>
      <c r="CY154" s="433"/>
      <c r="CZ154" s="433"/>
      <c r="DA154" s="433"/>
      <c r="DB154" s="433"/>
      <c r="DC154" s="433"/>
      <c r="DD154" s="433"/>
      <c r="DE154" s="433"/>
      <c r="DF154" s="434"/>
    </row>
    <row r="155" spans="1:110" s="533" customFormat="1" ht="19.5" thickTop="1">
      <c r="A155" s="435"/>
      <c r="B155" s="436">
        <v>91</v>
      </c>
      <c r="C155" s="437">
        <v>28</v>
      </c>
      <c r="D155" s="438">
        <v>29</v>
      </c>
      <c r="E155" s="438"/>
      <c r="F155" s="667">
        <v>0</v>
      </c>
      <c r="G155" s="439"/>
      <c r="H155" s="440"/>
      <c r="I155" s="440"/>
      <c r="J155" s="440"/>
      <c r="K155" s="440"/>
      <c r="L155" s="440"/>
      <c r="M155" s="440"/>
      <c r="N155" s="440"/>
      <c r="O155" s="440"/>
      <c r="P155" s="441"/>
      <c r="Q155" s="442" t="s">
        <v>459</v>
      </c>
      <c r="R155" s="443">
        <v>467.5</v>
      </c>
      <c r="S155" s="443">
        <v>467.5</v>
      </c>
      <c r="T155" s="670">
        <f>표3[[#This Row],[편입면적]]/(SUM(표3[공부면적]))</f>
        <v>5.8408295852073959E-2</v>
      </c>
      <c r="U155" s="444" t="s">
        <v>174</v>
      </c>
      <c r="V155" s="445"/>
      <c r="W155" s="446"/>
      <c r="X155" s="447"/>
      <c r="Y155" s="447">
        <v>0</v>
      </c>
      <c r="Z155" s="447" t="s">
        <v>179</v>
      </c>
      <c r="AA155" s="517"/>
      <c r="AB155" s="449"/>
      <c r="AC155" s="450" t="s">
        <v>179</v>
      </c>
      <c r="AD155" s="451" t="s">
        <v>179</v>
      </c>
      <c r="AE155" s="451" t="str" cm="1">
        <f t="array" ref="AE15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/>
      </c>
      <c r="AF155" s="452"/>
      <c r="AG155" s="453" t="s">
        <v>179</v>
      </c>
      <c r="AH155" s="453"/>
      <c r="AI155" s="453" t="s">
        <v>179</v>
      </c>
      <c r="AJ155" s="453"/>
      <c r="AK155" s="454"/>
      <c r="AL155" s="454"/>
      <c r="AM155" s="452"/>
      <c r="AN155" s="455"/>
      <c r="AO155" s="456" t="s">
        <v>460</v>
      </c>
      <c r="AP155" s="457" t="s">
        <v>179</v>
      </c>
      <c r="AQ155" s="457"/>
      <c r="AR155" s="458"/>
      <c r="AS155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55" s="459"/>
      <c r="AU155" s="460"/>
      <c r="AV155" s="460"/>
      <c r="AW155" s="460" t="str">
        <f>IF(COUNTIF('설명회 참석자 명부'!$W$4:$W$29,표3[[#This Row],[성  명]])&gt;0,"O","")</f>
        <v/>
      </c>
      <c r="AX155" s="460" t="str">
        <f>_xlfn.XLOOKUP(표3[[#This Row],[성  명]],'설명회 참석자 명부'!$W$4:$W$29,'설명회 참석자 명부'!$X$4:$X$29,"")</f>
        <v/>
      </c>
      <c r="AY155" s="460"/>
      <c r="AZ155" s="460"/>
      <c r="BA155" s="460"/>
      <c r="BB155" s="460"/>
      <c r="BC155" s="460"/>
      <c r="BD155" s="460"/>
      <c r="BE155" s="460"/>
      <c r="BF155" s="461"/>
      <c r="BG155" s="461"/>
      <c r="BH155" s="461"/>
      <c r="BI155" s="461"/>
      <c r="BJ155" s="461"/>
      <c r="BK155" s="461" t="str">
        <f>IFERROR(LEFT(표3[[#This Row],[주소]],FIND(" ",표3[[#This Row],[주소]])-1),"")</f>
        <v/>
      </c>
      <c r="BL155" s="461" t="str">
        <f>IFERROR(MID(표3[[#This Row],[주소]], FIND(" ", 표3[[#This Row],[주소]])+1, FIND(" ", 표3[[#This Row],[주소]], FIND(" ", 표3[[#This Row],[주소]])+1) - FIND(" ", 표3[[#This Row],[주소]])-1),"")</f>
        <v/>
      </c>
      <c r="BM155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155" s="461"/>
      <c r="BO155" s="461"/>
      <c r="BP155" s="461"/>
      <c r="BQ155" s="461"/>
      <c r="BR155" s="462"/>
      <c r="BS155" s="722">
        <v>467.5</v>
      </c>
      <c r="BT155" s="723">
        <v>11170000</v>
      </c>
      <c r="BU155" s="723">
        <v>5221975000</v>
      </c>
      <c r="BV155" s="723" t="s">
        <v>179</v>
      </c>
      <c r="BW155" s="723" t="s">
        <v>179</v>
      </c>
      <c r="BX155" s="723" t="s">
        <v>179</v>
      </c>
      <c r="BY155" s="723" t="s">
        <v>179</v>
      </c>
      <c r="BZ155" s="723" t="s">
        <v>179</v>
      </c>
      <c r="CA155" s="723" t="s">
        <v>179</v>
      </c>
      <c r="CB155" s="723" t="s">
        <v>179</v>
      </c>
      <c r="CC155" s="723">
        <v>5221975000</v>
      </c>
      <c r="CD155" s="727">
        <f>표3[[#This Row],[종전추정가액]]*1.5219</f>
        <v>7947323752.5</v>
      </c>
      <c r="CE155" s="463"/>
      <c r="CF155" s="464"/>
      <c r="CG155" s="464"/>
      <c r="CH155" s="465"/>
      <c r="CI155" s="465"/>
      <c r="CJ155" s="466"/>
      <c r="CK155" s="467"/>
      <c r="CL155" s="468"/>
      <c r="CM155" s="469"/>
      <c r="CN155" s="470"/>
      <c r="CO155" s="470"/>
      <c r="CP155" s="470"/>
      <c r="CQ155" s="470"/>
      <c r="CR155" s="470"/>
      <c r="CS155" s="471"/>
      <c r="CT155" s="472"/>
      <c r="CU155" s="472"/>
      <c r="CV155" s="472"/>
      <c r="CW155" s="472"/>
      <c r="CX155" s="472"/>
      <c r="CY155" s="472"/>
      <c r="CZ155" s="472"/>
      <c r="DA155" s="472"/>
      <c r="DB155" s="472"/>
      <c r="DC155" s="472"/>
      <c r="DD155" s="472"/>
      <c r="DE155" s="472"/>
      <c r="DF155" s="473"/>
    </row>
    <row r="156" spans="1:110" s="532" customFormat="1" ht="35" thickBot="1">
      <c r="A156" s="394"/>
      <c r="B156" s="395">
        <v>92</v>
      </c>
      <c r="C156" s="396">
        <v>28</v>
      </c>
      <c r="D156" s="397">
        <v>31</v>
      </c>
      <c r="E156" s="397"/>
      <c r="F156" s="666">
        <v>0</v>
      </c>
      <c r="G156" s="399"/>
      <c r="H156" s="400"/>
      <c r="I156" s="400"/>
      <c r="J156" s="400"/>
      <c r="K156" s="400"/>
      <c r="L156" s="400"/>
      <c r="M156" s="400"/>
      <c r="N156" s="400"/>
      <c r="O156" s="400"/>
      <c r="P156" s="401"/>
      <c r="Q156" s="402" t="s">
        <v>173</v>
      </c>
      <c r="R156" s="658">
        <v>175.6</v>
      </c>
      <c r="S156" s="403">
        <v>175.6</v>
      </c>
      <c r="T156" s="672">
        <f>표3[[#This Row],[편입면적]]/(SUM(표3[공부면적]))</f>
        <v>2.1939030484757618E-2</v>
      </c>
      <c r="U156" s="662" t="s">
        <v>174</v>
      </c>
      <c r="V156" s="405"/>
      <c r="W156" s="406">
        <v>301.24</v>
      </c>
      <c r="X156" s="407">
        <v>101.76</v>
      </c>
      <c r="Y156" s="407">
        <v>403</v>
      </c>
      <c r="Z156" s="407">
        <v>403</v>
      </c>
      <c r="AA156" s="520"/>
      <c r="AB156" s="409"/>
      <c r="AC156" s="410" t="s">
        <v>461</v>
      </c>
      <c r="AD156" s="411">
        <v>36</v>
      </c>
      <c r="AE156" s="411" t="str" cm="1">
        <f t="array" ref="AE15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56" s="412"/>
      <c r="AG156" s="413" t="s">
        <v>176</v>
      </c>
      <c r="AH156" s="413"/>
      <c r="AI156" s="413" t="s">
        <v>330</v>
      </c>
      <c r="AJ156" s="414"/>
      <c r="AK156" s="415"/>
      <c r="AL156" s="415"/>
      <c r="AM156" s="412">
        <v>4</v>
      </c>
      <c r="AN156" s="416">
        <v>1</v>
      </c>
      <c r="AO156" s="417" t="s">
        <v>462</v>
      </c>
      <c r="AP156" s="587" t="s">
        <v>463</v>
      </c>
      <c r="AQ156" s="587" t="s">
        <v>464</v>
      </c>
      <c r="AR156" s="419"/>
      <c r="AS156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56" s="521" t="s">
        <v>465</v>
      </c>
      <c r="AU156" s="421" t="s">
        <v>190</v>
      </c>
      <c r="AV156" s="421"/>
      <c r="AW156" s="421" t="str">
        <f>IF(COUNTIF('설명회 참석자 명부'!$W$4:$W$29,표3[[#This Row],[성  명]])&gt;0,"O","")</f>
        <v/>
      </c>
      <c r="AX156" s="421" t="str">
        <f>_xlfn.XLOOKUP(표3[[#This Row],[성  명]],'설명회 참석자 명부'!$W$4:$W$29,'설명회 참석자 명부'!$X$4:$X$29,"")</f>
        <v/>
      </c>
      <c r="AY156" s="421"/>
      <c r="AZ156" s="421"/>
      <c r="BA156" s="421"/>
      <c r="BB156" s="421"/>
      <c r="BC156" s="421"/>
      <c r="BD156" s="421"/>
      <c r="BE156" s="421"/>
      <c r="BF156" s="422"/>
      <c r="BG156" s="422"/>
      <c r="BH156" s="422"/>
      <c r="BI156" s="422"/>
      <c r="BJ156" s="422"/>
      <c r="BK156" s="422" t="str">
        <f>IFERROR(LEFT(표3[[#This Row],[주소]],FIND(" ",표3[[#This Row],[주소]])-1),"")</f>
        <v>서울특별시</v>
      </c>
      <c r="BL156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6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156" s="422"/>
      <c r="BO156" s="422"/>
      <c r="BP156" s="422"/>
      <c r="BQ156" s="422"/>
      <c r="BR156" s="423"/>
      <c r="BS156" s="714">
        <v>175.6</v>
      </c>
      <c r="BT156" s="715">
        <v>12080000</v>
      </c>
      <c r="BU156" s="715">
        <v>2121248000</v>
      </c>
      <c r="BV156" s="715" t="s">
        <v>330</v>
      </c>
      <c r="BW156" s="715">
        <v>403</v>
      </c>
      <c r="BX156" s="715">
        <v>157976000</v>
      </c>
      <c r="BY156" s="715" t="s">
        <v>179</v>
      </c>
      <c r="BZ156" s="715" t="s">
        <v>179</v>
      </c>
      <c r="CA156" s="715" t="s">
        <v>179</v>
      </c>
      <c r="CB156" s="715" t="s">
        <v>179</v>
      </c>
      <c r="CC156" s="715">
        <v>2279224000</v>
      </c>
      <c r="CD156" s="726">
        <f>표3[[#This Row],[종전추정가액]]*1.5219</f>
        <v>3468751005.5999999</v>
      </c>
      <c r="CE156" s="424"/>
      <c r="CF156" s="425"/>
      <c r="CG156" s="425"/>
      <c r="CH156" s="426"/>
      <c r="CI156" s="426"/>
      <c r="CJ156" s="427"/>
      <c r="CK156" s="428"/>
      <c r="CL156" s="429"/>
      <c r="CM156" s="430"/>
      <c r="CN156" s="431"/>
      <c r="CO156" s="431"/>
      <c r="CP156" s="431"/>
      <c r="CQ156" s="431"/>
      <c r="CR156" s="431"/>
      <c r="CS156" s="432"/>
      <c r="CT156" s="433"/>
      <c r="CU156" s="433"/>
      <c r="CV156" s="433"/>
      <c r="CW156" s="433"/>
      <c r="CX156" s="433"/>
      <c r="CY156" s="433"/>
      <c r="CZ156" s="433"/>
      <c r="DA156" s="433"/>
      <c r="DB156" s="433"/>
      <c r="DC156" s="433"/>
      <c r="DD156" s="433"/>
      <c r="DE156" s="433"/>
      <c r="DF156" s="434"/>
    </row>
    <row r="157" spans="1:110" s="533" customFormat="1" ht="19.5" thickTop="1">
      <c r="A157" s="435"/>
      <c r="B157" s="436"/>
      <c r="C157" s="437">
        <v>28</v>
      </c>
      <c r="D157" s="438">
        <v>32</v>
      </c>
      <c r="E157" s="438" t="s">
        <v>466</v>
      </c>
      <c r="F157" s="667">
        <v>0</v>
      </c>
      <c r="G157" s="439"/>
      <c r="H157" s="440"/>
      <c r="I157" s="440"/>
      <c r="J157" s="440"/>
      <c r="K157" s="440"/>
      <c r="L157" s="440"/>
      <c r="M157" s="440"/>
      <c r="N157" s="440"/>
      <c r="O157" s="440"/>
      <c r="P157" s="441"/>
      <c r="Q157" s="442" t="s">
        <v>173</v>
      </c>
      <c r="R157" s="443">
        <v>169.4</v>
      </c>
      <c r="S157" s="443"/>
      <c r="T157" s="670">
        <f>표3[[#This Row],[편입면적]]/(SUM(표3[공부면적]))</f>
        <v>0</v>
      </c>
      <c r="U157" s="444" t="s">
        <v>174</v>
      </c>
      <c r="V157" s="445"/>
      <c r="W157" s="446"/>
      <c r="X157" s="447"/>
      <c r="Y157" s="447">
        <v>0</v>
      </c>
      <c r="Z157" s="447">
        <v>248.49</v>
      </c>
      <c r="AA157" s="517"/>
      <c r="AB157" s="449"/>
      <c r="AC157" s="450" t="s">
        <v>467</v>
      </c>
      <c r="AD157" s="451">
        <v>36</v>
      </c>
      <c r="AE157" s="451" t="str" cm="1">
        <f t="array" ref="AE157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57" s="452"/>
      <c r="AG157" s="453" t="s">
        <v>325</v>
      </c>
      <c r="AH157" s="453"/>
      <c r="AI157" s="453" t="s">
        <v>183</v>
      </c>
      <c r="AJ157" s="453"/>
      <c r="AK157" s="454"/>
      <c r="AL157" s="454"/>
      <c r="AM157" s="452">
        <v>2</v>
      </c>
      <c r="AN157" s="455">
        <v>1</v>
      </c>
      <c r="AO157" s="456"/>
      <c r="AP157" s="457" t="s">
        <v>179</v>
      </c>
      <c r="AQ157" s="457"/>
      <c r="AR157" s="458"/>
      <c r="AS157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57" s="459"/>
      <c r="AU157" s="460"/>
      <c r="AV157" s="460"/>
      <c r="AW157" s="460" t="str">
        <f>IF(COUNTIF('설명회 참석자 명부'!$W$4:$W$29,표3[[#This Row],[성  명]])&gt;0,"O","")</f>
        <v/>
      </c>
      <c r="AX157" s="460">
        <f>_xlfn.XLOOKUP(표3[[#This Row],[성  명]],'설명회 참석자 명부'!$W$4:$W$29,'설명회 참석자 명부'!$X$4:$X$29,"")</f>
        <v>0</v>
      </c>
      <c r="AY157" s="460"/>
      <c r="AZ157" s="460"/>
      <c r="BA157" s="460"/>
      <c r="BB157" s="460"/>
      <c r="BC157" s="460"/>
      <c r="BD157" s="460"/>
      <c r="BE157" s="460"/>
      <c r="BF157" s="461"/>
      <c r="BG157" s="461"/>
      <c r="BH157" s="461"/>
      <c r="BI157" s="461"/>
      <c r="BJ157" s="461"/>
      <c r="BK157" s="461" t="str">
        <f>IFERROR(LEFT(표3[[#This Row],[주소]],FIND(" ",표3[[#This Row],[주소]])-1),"")</f>
        <v/>
      </c>
      <c r="BL157" s="461" t="str">
        <f>IFERROR(MID(표3[[#This Row],[주소]], FIND(" ", 표3[[#This Row],[주소]])+1, FIND(" ", 표3[[#This Row],[주소]], FIND(" ", 표3[[#This Row],[주소]])+1) - FIND(" ", 표3[[#This Row],[주소]])-1),"")</f>
        <v/>
      </c>
      <c r="BM157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/>
      </c>
      <c r="BN157" s="461"/>
      <c r="BO157" s="461"/>
      <c r="BP157" s="461"/>
      <c r="BQ157" s="461"/>
      <c r="BR157" s="462"/>
      <c r="BS157" s="722"/>
      <c r="BT157" s="723"/>
      <c r="BU157" s="723"/>
      <c r="BV157" s="723"/>
      <c r="BW157" s="723"/>
      <c r="BX157" s="723"/>
      <c r="BY157" s="723"/>
      <c r="BZ157" s="723"/>
      <c r="CA157" s="723"/>
      <c r="CB157" s="723"/>
      <c r="CC157" s="723"/>
      <c r="CD157" s="727">
        <f>표3[[#This Row],[종전추정가액]]*1.5219</f>
        <v>0</v>
      </c>
      <c r="CE157" s="463"/>
      <c r="CF157" s="464"/>
      <c r="CG157" s="464"/>
      <c r="CH157" s="465"/>
      <c r="CI157" s="465"/>
      <c r="CJ157" s="466"/>
      <c r="CK157" s="467"/>
      <c r="CL157" s="468"/>
      <c r="CM157" s="469"/>
      <c r="CN157" s="470"/>
      <c r="CO157" s="470"/>
      <c r="CP157" s="470"/>
      <c r="CQ157" s="470"/>
      <c r="CR157" s="470"/>
      <c r="CS157" s="471"/>
      <c r="CT157" s="472"/>
      <c r="CU157" s="472"/>
      <c r="CV157" s="472"/>
      <c r="CW157" s="472"/>
      <c r="CX157" s="472"/>
      <c r="CY157" s="472"/>
      <c r="CZ157" s="472"/>
      <c r="DA157" s="472"/>
      <c r="DB157" s="472"/>
      <c r="DC157" s="472"/>
      <c r="DD157" s="472"/>
      <c r="DE157" s="472"/>
      <c r="DF157" s="473"/>
    </row>
    <row r="158" spans="1:110" s="532" customFormat="1" ht="19">
      <c r="A158" s="475"/>
      <c r="B158" s="476">
        <v>95</v>
      </c>
      <c r="C158" s="477">
        <v>28</v>
      </c>
      <c r="D158" s="478">
        <v>32</v>
      </c>
      <c r="E158" s="478" t="s">
        <v>468</v>
      </c>
      <c r="F158" s="479">
        <v>101</v>
      </c>
      <c r="G158" s="480"/>
      <c r="H158" s="481"/>
      <c r="I158" s="481"/>
      <c r="J158" s="481"/>
      <c r="K158" s="481" t="s">
        <v>174</v>
      </c>
      <c r="L158" s="481" t="s">
        <v>174</v>
      </c>
      <c r="M158" s="481" t="s">
        <v>174</v>
      </c>
      <c r="N158" s="481"/>
      <c r="O158" s="481"/>
      <c r="P158" s="482" t="s">
        <v>231</v>
      </c>
      <c r="Q158" s="483" t="s">
        <v>179</v>
      </c>
      <c r="R158" s="484">
        <v>0</v>
      </c>
      <c r="S158" s="485">
        <v>28.5</v>
      </c>
      <c r="T158" s="671">
        <f>표3[[#This Row],[편입면적]]/(SUM(표3[공부면적]))</f>
        <v>3.5607196401799095E-3</v>
      </c>
      <c r="U158" s="486" t="s">
        <v>179</v>
      </c>
      <c r="V158" s="487"/>
      <c r="W158" s="488">
        <v>41.79</v>
      </c>
      <c r="X158" s="489"/>
      <c r="Y158" s="489">
        <v>41.79</v>
      </c>
      <c r="Z158" s="489" t="s">
        <v>179</v>
      </c>
      <c r="AA158" s="518"/>
      <c r="AB158" s="491"/>
      <c r="AC158" s="492"/>
      <c r="AD158" s="493"/>
      <c r="AE158" s="493"/>
      <c r="AF158" s="494"/>
      <c r="AG158" s="495" t="s">
        <v>325</v>
      </c>
      <c r="AH158" s="495"/>
      <c r="AI158" s="495" t="s">
        <v>183</v>
      </c>
      <c r="AJ158" s="496"/>
      <c r="AK158" s="497"/>
      <c r="AL158" s="497"/>
      <c r="AM158" s="494"/>
      <c r="AN158" s="498"/>
      <c r="AO158" s="499" t="s">
        <v>469</v>
      </c>
      <c r="AP158" s="500">
        <v>1080317170</v>
      </c>
      <c r="AQ158" s="500"/>
      <c r="AR158" s="501">
        <v>62</v>
      </c>
      <c r="AS158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58" s="502" t="s">
        <v>470</v>
      </c>
      <c r="AU158" s="503" t="s">
        <v>190</v>
      </c>
      <c r="AV158" s="503"/>
      <c r="AW158" s="503" t="str">
        <f>IF(COUNTIF('설명회 참석자 명부'!$W$4:$W$29,표3[[#This Row],[성  명]])&gt;0,"O","")</f>
        <v/>
      </c>
      <c r="AX158" s="503" t="str">
        <f>_xlfn.XLOOKUP(표3[[#This Row],[성  명]],'설명회 참석자 명부'!$W$4:$W$29,'설명회 참석자 명부'!$X$4:$X$29,"")</f>
        <v/>
      </c>
      <c r="AY158" s="503"/>
      <c r="AZ158" s="503"/>
      <c r="BA158" s="503"/>
      <c r="BB158" s="503"/>
      <c r="BC158" s="503"/>
      <c r="BD158" s="503"/>
      <c r="BE158" s="503"/>
      <c r="BF158" s="504"/>
      <c r="BG158" s="504"/>
      <c r="BH158" s="504"/>
      <c r="BI158" s="504"/>
      <c r="BJ158" s="504"/>
      <c r="BK158" s="504" t="str">
        <f>IFERROR(LEFT(표3[[#This Row],[주소]],FIND(" ",표3[[#This Row],[주소]])-1),"")</f>
        <v>서울특별시</v>
      </c>
      <c r="BL158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8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158" s="504"/>
      <c r="BO158" s="504"/>
      <c r="BP158" s="504"/>
      <c r="BQ158" s="504"/>
      <c r="BR158" s="505"/>
      <c r="BS158" s="714" t="s">
        <v>179</v>
      </c>
      <c r="BT158" s="715" t="s">
        <v>179</v>
      </c>
      <c r="BU158" s="715" t="s">
        <v>179</v>
      </c>
      <c r="BV158" s="715" t="s">
        <v>179</v>
      </c>
      <c r="BW158" s="715" t="s">
        <v>179</v>
      </c>
      <c r="BX158" s="715" t="s">
        <v>179</v>
      </c>
      <c r="BY158" s="715" t="s">
        <v>191</v>
      </c>
      <c r="BZ158" s="715">
        <v>41.79</v>
      </c>
      <c r="CA158" s="715">
        <v>28.5</v>
      </c>
      <c r="CB158" s="715">
        <v>313000000</v>
      </c>
      <c r="CC158" s="715">
        <v>313000000</v>
      </c>
      <c r="CD158" s="726">
        <f>표3[[#This Row],[종전추정가액]]*1.5219</f>
        <v>476354700</v>
      </c>
      <c r="CE158" s="506"/>
      <c r="CF158" s="507"/>
      <c r="CG158" s="507"/>
      <c r="CH158" s="508"/>
      <c r="CI158" s="508"/>
      <c r="CJ158" s="509"/>
      <c r="CK158" s="510"/>
      <c r="CL158" s="511"/>
      <c r="CM158" s="512"/>
      <c r="CN158" s="513"/>
      <c r="CO158" s="513"/>
      <c r="CP158" s="513"/>
      <c r="CQ158" s="513"/>
      <c r="CR158" s="513"/>
      <c r="CS158" s="514"/>
      <c r="CT158" s="515"/>
      <c r="CU158" s="515"/>
      <c r="CV158" s="515"/>
      <c r="CW158" s="515"/>
      <c r="CX158" s="515"/>
      <c r="CY158" s="515"/>
      <c r="CZ158" s="515"/>
      <c r="DA158" s="515"/>
      <c r="DB158" s="515"/>
      <c r="DC158" s="515"/>
      <c r="DD158" s="515"/>
      <c r="DE158" s="515"/>
      <c r="DF158" s="516"/>
    </row>
    <row r="159" spans="1:110" s="532" customFormat="1" ht="19">
      <c r="A159" s="475"/>
      <c r="B159" s="476">
        <v>96</v>
      </c>
      <c r="C159" s="477">
        <v>28</v>
      </c>
      <c r="D159" s="478">
        <v>32</v>
      </c>
      <c r="E159" s="478" t="s">
        <v>468</v>
      </c>
      <c r="F159" s="479">
        <v>102</v>
      </c>
      <c r="G159" s="480"/>
      <c r="H159" s="481"/>
      <c r="I159" s="481"/>
      <c r="J159" s="481"/>
      <c r="K159" s="481" t="s">
        <v>174</v>
      </c>
      <c r="L159" s="481" t="s">
        <v>174</v>
      </c>
      <c r="M159" s="481" t="s">
        <v>174</v>
      </c>
      <c r="N159" s="481"/>
      <c r="O159" s="481"/>
      <c r="P159" s="482" t="s">
        <v>231</v>
      </c>
      <c r="Q159" s="483" t="s">
        <v>179</v>
      </c>
      <c r="R159" s="484">
        <v>0</v>
      </c>
      <c r="S159" s="485">
        <v>28</v>
      </c>
      <c r="T159" s="671">
        <f>표3[[#This Row],[편입면적]]/(SUM(표3[공부면적]))</f>
        <v>3.4982508745627183E-3</v>
      </c>
      <c r="U159" s="486" t="s">
        <v>179</v>
      </c>
      <c r="V159" s="487"/>
      <c r="W159" s="488">
        <v>41.04</v>
      </c>
      <c r="X159" s="489"/>
      <c r="Y159" s="489">
        <v>41.04</v>
      </c>
      <c r="Z159" s="489" t="s">
        <v>179</v>
      </c>
      <c r="AA159" s="518"/>
      <c r="AB159" s="491"/>
      <c r="AC159" s="492"/>
      <c r="AD159" s="493"/>
      <c r="AE159" s="493"/>
      <c r="AF159" s="494"/>
      <c r="AG159" s="495" t="s">
        <v>325</v>
      </c>
      <c r="AH159" s="495"/>
      <c r="AI159" s="495" t="s">
        <v>183</v>
      </c>
      <c r="AJ159" s="496"/>
      <c r="AK159" s="497"/>
      <c r="AL159" s="497"/>
      <c r="AM159" s="494"/>
      <c r="AN159" s="498"/>
      <c r="AO159" s="499" t="s">
        <v>471</v>
      </c>
      <c r="AP159" s="500">
        <v>1054941685</v>
      </c>
      <c r="AQ159" s="500"/>
      <c r="AR159" s="501">
        <v>54</v>
      </c>
      <c r="AS159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159" s="502" t="s">
        <v>472</v>
      </c>
      <c r="AU159" s="501" t="s">
        <v>190</v>
      </c>
      <c r="AV159" s="501"/>
      <c r="AW159" s="501" t="str">
        <f>IF(COUNTIF('설명회 참석자 명부'!$W$4:$W$29,표3[[#This Row],[성  명]])&gt;0,"O","")</f>
        <v/>
      </c>
      <c r="AX159" s="501" t="str">
        <f>_xlfn.XLOOKUP(표3[[#This Row],[성  명]],'설명회 참석자 명부'!$W$4:$W$29,'설명회 참석자 명부'!$X$4:$X$29,"")</f>
        <v/>
      </c>
      <c r="AY159" s="501"/>
      <c r="AZ159" s="501"/>
      <c r="BA159" s="501"/>
      <c r="BB159" s="501" t="s">
        <v>190</v>
      </c>
      <c r="BC159" s="501"/>
      <c r="BD159" s="501"/>
      <c r="BE159" s="501"/>
      <c r="BF159" s="504"/>
      <c r="BG159" s="504"/>
      <c r="BH159" s="504"/>
      <c r="BI159" s="504"/>
      <c r="BJ159" s="504"/>
      <c r="BK159" s="504" t="str">
        <f>IFERROR(LEFT(표3[[#This Row],[주소]],FIND(" ",표3[[#This Row],[주소]])-1),"")</f>
        <v>서울특별시</v>
      </c>
      <c r="BL159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59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159" s="504"/>
      <c r="BO159" s="504"/>
      <c r="BP159" s="504"/>
      <c r="BQ159" s="504"/>
      <c r="BR159" s="505"/>
      <c r="BS159" s="714" t="s">
        <v>179</v>
      </c>
      <c r="BT159" s="715" t="s">
        <v>179</v>
      </c>
      <c r="BU159" s="715" t="s">
        <v>179</v>
      </c>
      <c r="BV159" s="715" t="s">
        <v>179</v>
      </c>
      <c r="BW159" s="715" t="s">
        <v>179</v>
      </c>
      <c r="BX159" s="715" t="s">
        <v>179</v>
      </c>
      <c r="BY159" s="715" t="s">
        <v>191</v>
      </c>
      <c r="BZ159" s="715">
        <v>41.04</v>
      </c>
      <c r="CA159" s="715">
        <v>27.9</v>
      </c>
      <c r="CB159" s="715">
        <v>307000000</v>
      </c>
      <c r="CC159" s="715">
        <v>307000000</v>
      </c>
      <c r="CD159" s="726">
        <f>표3[[#This Row],[종전추정가액]]*1.5219</f>
        <v>467223300</v>
      </c>
      <c r="CE159" s="506"/>
      <c r="CF159" s="507"/>
      <c r="CG159" s="507"/>
      <c r="CH159" s="508"/>
      <c r="CI159" s="508"/>
      <c r="CJ159" s="509"/>
      <c r="CK159" s="510"/>
      <c r="CL159" s="511"/>
      <c r="CM159" s="512"/>
      <c r="CN159" s="513"/>
      <c r="CO159" s="513"/>
      <c r="CP159" s="513"/>
      <c r="CQ159" s="513"/>
      <c r="CR159" s="513"/>
      <c r="CS159" s="514"/>
      <c r="CT159" s="515"/>
      <c r="CU159" s="515"/>
      <c r="CV159" s="515"/>
      <c r="CW159" s="515"/>
      <c r="CX159" s="515"/>
      <c r="CY159" s="515"/>
      <c r="CZ159" s="515"/>
      <c r="DA159" s="515"/>
      <c r="DB159" s="515"/>
      <c r="DC159" s="515"/>
      <c r="DD159" s="515"/>
      <c r="DE159" s="515"/>
      <c r="DF159" s="516"/>
    </row>
    <row r="160" spans="1:110" s="532" customFormat="1" ht="19">
      <c r="A160" s="475"/>
      <c r="B160" s="476">
        <v>97</v>
      </c>
      <c r="C160" s="477">
        <v>28</v>
      </c>
      <c r="D160" s="478">
        <v>32</v>
      </c>
      <c r="E160" s="478" t="s">
        <v>468</v>
      </c>
      <c r="F160" s="479">
        <v>201</v>
      </c>
      <c r="G160" s="480"/>
      <c r="H160" s="481"/>
      <c r="I160" s="481"/>
      <c r="J160" s="481"/>
      <c r="K160" s="481" t="s">
        <v>174</v>
      </c>
      <c r="L160" s="481" t="s">
        <v>174</v>
      </c>
      <c r="M160" s="481"/>
      <c r="N160" s="481"/>
      <c r="O160" s="481"/>
      <c r="P160" s="482" t="s">
        <v>878</v>
      </c>
      <c r="Q160" s="483" t="s">
        <v>179</v>
      </c>
      <c r="R160" s="484">
        <v>0</v>
      </c>
      <c r="S160" s="485">
        <v>28.5</v>
      </c>
      <c r="T160" s="671">
        <f>표3[[#This Row],[편입면적]]/(SUM(표3[공부면적]))</f>
        <v>3.5607196401799095E-3</v>
      </c>
      <c r="U160" s="486" t="s">
        <v>179</v>
      </c>
      <c r="V160" s="487"/>
      <c r="W160" s="488">
        <v>41.79</v>
      </c>
      <c r="X160" s="489"/>
      <c r="Y160" s="489">
        <v>41.79</v>
      </c>
      <c r="Z160" s="489" t="s">
        <v>179</v>
      </c>
      <c r="AA160" s="518"/>
      <c r="AB160" s="491"/>
      <c r="AC160" s="492"/>
      <c r="AD160" s="493"/>
      <c r="AE160" s="493"/>
      <c r="AF160" s="494"/>
      <c r="AG160" s="495" t="s">
        <v>325</v>
      </c>
      <c r="AH160" s="495"/>
      <c r="AI160" s="495" t="s">
        <v>183</v>
      </c>
      <c r="AJ160" s="496"/>
      <c r="AK160" s="497"/>
      <c r="AL160" s="497"/>
      <c r="AM160" s="494"/>
      <c r="AN160" s="498"/>
      <c r="AO160" s="499" t="s">
        <v>473</v>
      </c>
      <c r="AP160" s="500">
        <v>1025425187</v>
      </c>
      <c r="AQ160" s="500"/>
      <c r="AR160" s="501">
        <v>90</v>
      </c>
      <c r="AS160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40대 미만</v>
      </c>
      <c r="AT160" s="502" t="s">
        <v>474</v>
      </c>
      <c r="AU160" s="503" t="s">
        <v>190</v>
      </c>
      <c r="AV160" s="503"/>
      <c r="AW160" s="503" t="str">
        <f>IF(COUNTIF('설명회 참석자 명부'!$W$4:$W$29,표3[[#This Row],[성  명]])&gt;0,"O","")</f>
        <v/>
      </c>
      <c r="AX160" s="503"/>
      <c r="AY160" s="503"/>
      <c r="AZ160" s="503"/>
      <c r="BA160" s="503" t="s">
        <v>190</v>
      </c>
      <c r="BB160" s="503" t="s">
        <v>190</v>
      </c>
      <c r="BC160" s="503"/>
      <c r="BD160" s="503"/>
      <c r="BE160" s="503"/>
      <c r="BF160" s="504"/>
      <c r="BG160" s="504"/>
      <c r="BH160" s="504"/>
      <c r="BI160" s="504"/>
      <c r="BJ160" s="504"/>
      <c r="BK160" s="504" t="str">
        <f>IFERROR(LEFT(표3[[#This Row],[주소]],FIND(" ",표3[[#This Row],[주소]])-1),"")</f>
        <v>서울특별시</v>
      </c>
      <c r="BL160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60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동남로6길</v>
      </c>
      <c r="BN160" s="504"/>
      <c r="BO160" s="504"/>
      <c r="BP160" s="504"/>
      <c r="BQ160" s="504"/>
      <c r="BR160" s="505"/>
      <c r="BS160" s="714" t="s">
        <v>179</v>
      </c>
      <c r="BT160" s="715" t="s">
        <v>179</v>
      </c>
      <c r="BU160" s="715" t="s">
        <v>179</v>
      </c>
      <c r="BV160" s="715" t="s">
        <v>179</v>
      </c>
      <c r="BW160" s="715" t="s">
        <v>179</v>
      </c>
      <c r="BX160" s="715" t="s">
        <v>179</v>
      </c>
      <c r="BY160" s="715" t="s">
        <v>191</v>
      </c>
      <c r="BZ160" s="715">
        <v>41.79</v>
      </c>
      <c r="CA160" s="715">
        <v>28.5</v>
      </c>
      <c r="CB160" s="715">
        <v>331000000</v>
      </c>
      <c r="CC160" s="715">
        <v>331000000</v>
      </c>
      <c r="CD160" s="726">
        <f>표3[[#This Row],[종전추정가액]]*1.5219</f>
        <v>503748900</v>
      </c>
      <c r="CE160" s="506"/>
      <c r="CF160" s="507"/>
      <c r="CG160" s="507"/>
      <c r="CH160" s="508"/>
      <c r="CI160" s="508"/>
      <c r="CJ160" s="509"/>
      <c r="CK160" s="510"/>
      <c r="CL160" s="511"/>
      <c r="CM160" s="512"/>
      <c r="CN160" s="513"/>
      <c r="CO160" s="513"/>
      <c r="CP160" s="513"/>
      <c r="CQ160" s="513"/>
      <c r="CR160" s="513"/>
      <c r="CS160" s="514"/>
      <c r="CT160" s="515"/>
      <c r="CU160" s="515"/>
      <c r="CV160" s="515"/>
      <c r="CW160" s="515"/>
      <c r="CX160" s="515"/>
      <c r="CY160" s="515"/>
      <c r="CZ160" s="515"/>
      <c r="DA160" s="515"/>
      <c r="DB160" s="515"/>
      <c r="DC160" s="515"/>
      <c r="DD160" s="515"/>
      <c r="DE160" s="515"/>
      <c r="DF160" s="516"/>
    </row>
    <row r="161" spans="1:110" s="532" customFormat="1" ht="19">
      <c r="A161" s="475"/>
      <c r="B161" s="476">
        <v>98</v>
      </c>
      <c r="C161" s="477">
        <v>28</v>
      </c>
      <c r="D161" s="478">
        <v>32</v>
      </c>
      <c r="E161" s="478" t="s">
        <v>468</v>
      </c>
      <c r="F161" s="479">
        <v>202</v>
      </c>
      <c r="G161" s="480"/>
      <c r="H161" s="481"/>
      <c r="I161" s="481"/>
      <c r="J161" s="481"/>
      <c r="K161" s="481"/>
      <c r="L161" s="481"/>
      <c r="M161" s="481"/>
      <c r="N161" s="481"/>
      <c r="O161" s="481"/>
      <c r="P161" s="482"/>
      <c r="Q161" s="483" t="s">
        <v>179</v>
      </c>
      <c r="R161" s="484">
        <v>0</v>
      </c>
      <c r="S161" s="485">
        <v>28</v>
      </c>
      <c r="T161" s="671">
        <f>표3[[#This Row],[편입면적]]/(SUM(표3[공부면적]))</f>
        <v>3.4982508745627183E-3</v>
      </c>
      <c r="U161" s="486" t="s">
        <v>179</v>
      </c>
      <c r="V161" s="487"/>
      <c r="W161" s="488">
        <v>41.04</v>
      </c>
      <c r="X161" s="489"/>
      <c r="Y161" s="489">
        <v>41.04</v>
      </c>
      <c r="Z161" s="489" t="s">
        <v>179</v>
      </c>
      <c r="AA161" s="518"/>
      <c r="AB161" s="491"/>
      <c r="AC161" s="492"/>
      <c r="AD161" s="493"/>
      <c r="AE161" s="493"/>
      <c r="AF161" s="494"/>
      <c r="AG161" s="495" t="s">
        <v>325</v>
      </c>
      <c r="AH161" s="495"/>
      <c r="AI161" s="495" t="s">
        <v>183</v>
      </c>
      <c r="AJ161" s="496"/>
      <c r="AK161" s="497"/>
      <c r="AL161" s="497"/>
      <c r="AM161" s="494"/>
      <c r="AN161" s="498"/>
      <c r="AO161" s="499" t="s">
        <v>475</v>
      </c>
      <c r="AP161" s="500" t="s">
        <v>179</v>
      </c>
      <c r="AQ161" s="500"/>
      <c r="AR161" s="501">
        <v>51</v>
      </c>
      <c r="AS161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161" s="502" t="s">
        <v>476</v>
      </c>
      <c r="AU161" s="503"/>
      <c r="AV161" s="503"/>
      <c r="AW161" s="503" t="str">
        <f>IF(COUNTIF('설명회 참석자 명부'!$W$4:$W$29,표3[[#This Row],[성  명]])&gt;0,"O","")</f>
        <v/>
      </c>
      <c r="AX161" s="503" t="str">
        <f>_xlfn.XLOOKUP(표3[[#This Row],[성  명]],'설명회 참석자 명부'!$W$4:$W$29,'설명회 참석자 명부'!$X$4:$X$29,"")</f>
        <v/>
      </c>
      <c r="AY161" s="503"/>
      <c r="AZ161" s="503"/>
      <c r="BA161" s="503"/>
      <c r="BB161" s="503"/>
      <c r="BC161" s="503"/>
      <c r="BD161" s="503"/>
      <c r="BE161" s="503"/>
      <c r="BF161" s="504"/>
      <c r="BG161" s="504"/>
      <c r="BH161" s="504"/>
      <c r="BI161" s="504"/>
      <c r="BJ161" s="504"/>
      <c r="BK161" s="504" t="str">
        <f>IFERROR(LEFT(표3[[#This Row],[주소]],FIND(" ",표3[[#This Row],[주소]])-1),"")</f>
        <v>서울특별시</v>
      </c>
      <c r="BL161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61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새말로15길</v>
      </c>
      <c r="BN161" s="504"/>
      <c r="BO161" s="504"/>
      <c r="BP161" s="504"/>
      <c r="BQ161" s="504"/>
      <c r="BR161" s="505"/>
      <c r="BS161" s="714" t="s">
        <v>179</v>
      </c>
      <c r="BT161" s="715" t="s">
        <v>179</v>
      </c>
      <c r="BU161" s="715" t="s">
        <v>179</v>
      </c>
      <c r="BV161" s="715" t="s">
        <v>179</v>
      </c>
      <c r="BW161" s="715" t="s">
        <v>179</v>
      </c>
      <c r="BX161" s="715" t="s">
        <v>179</v>
      </c>
      <c r="BY161" s="715" t="s">
        <v>191</v>
      </c>
      <c r="BZ161" s="715">
        <v>41.04</v>
      </c>
      <c r="CA161" s="715">
        <v>28</v>
      </c>
      <c r="CB161" s="715">
        <v>325000000</v>
      </c>
      <c r="CC161" s="715">
        <v>325000000</v>
      </c>
      <c r="CD161" s="726">
        <f>표3[[#This Row],[종전추정가액]]*1.5219</f>
        <v>494617500</v>
      </c>
      <c r="CE161" s="506"/>
      <c r="CF161" s="507"/>
      <c r="CG161" s="507"/>
      <c r="CH161" s="508"/>
      <c r="CI161" s="508"/>
      <c r="CJ161" s="509"/>
      <c r="CK161" s="510"/>
      <c r="CL161" s="511"/>
      <c r="CM161" s="512"/>
      <c r="CN161" s="513"/>
      <c r="CO161" s="513"/>
      <c r="CP161" s="513"/>
      <c r="CQ161" s="513"/>
      <c r="CR161" s="513"/>
      <c r="CS161" s="514"/>
      <c r="CT161" s="515"/>
      <c r="CU161" s="515"/>
      <c r="CV161" s="515"/>
      <c r="CW161" s="515"/>
      <c r="CX161" s="515"/>
      <c r="CY161" s="515"/>
      <c r="CZ161" s="515"/>
      <c r="DA161" s="515"/>
      <c r="DB161" s="515"/>
      <c r="DC161" s="515"/>
      <c r="DD161" s="515"/>
      <c r="DE161" s="515"/>
      <c r="DF161" s="516"/>
    </row>
    <row r="162" spans="1:110" s="532" customFormat="1" ht="19">
      <c r="A162" s="475"/>
      <c r="B162" s="476">
        <v>93</v>
      </c>
      <c r="C162" s="477">
        <v>28</v>
      </c>
      <c r="D162" s="478">
        <v>32</v>
      </c>
      <c r="E162" s="478" t="s">
        <v>468</v>
      </c>
      <c r="F162" s="479" t="s">
        <v>457</v>
      </c>
      <c r="G162" s="480"/>
      <c r="H162" s="481"/>
      <c r="I162" s="481"/>
      <c r="J162" s="481"/>
      <c r="K162" s="481"/>
      <c r="L162" s="481"/>
      <c r="M162" s="481"/>
      <c r="N162" s="481"/>
      <c r="O162" s="481"/>
      <c r="P162" s="482"/>
      <c r="Q162" s="483" t="s">
        <v>179</v>
      </c>
      <c r="R162" s="484">
        <v>0</v>
      </c>
      <c r="S162" s="485">
        <v>28.5</v>
      </c>
      <c r="T162" s="671">
        <f>표3[[#This Row],[편입면적]]/(SUM(표3[공부면적]))</f>
        <v>3.5607196401799095E-3</v>
      </c>
      <c r="U162" s="486" t="s">
        <v>179</v>
      </c>
      <c r="V162" s="487"/>
      <c r="W162" s="488">
        <v>41.79</v>
      </c>
      <c r="X162" s="489"/>
      <c r="Y162" s="489">
        <v>41.79</v>
      </c>
      <c r="Z162" s="489" t="s">
        <v>179</v>
      </c>
      <c r="AA162" s="518"/>
      <c r="AB162" s="491"/>
      <c r="AC162" s="492"/>
      <c r="AD162" s="493"/>
      <c r="AE162" s="493"/>
      <c r="AF162" s="494"/>
      <c r="AG162" s="495" t="s">
        <v>325</v>
      </c>
      <c r="AH162" s="495"/>
      <c r="AI162" s="495" t="s">
        <v>183</v>
      </c>
      <c r="AJ162" s="496"/>
      <c r="AK162" s="497"/>
      <c r="AL162" s="497"/>
      <c r="AM162" s="494"/>
      <c r="AN162" s="498"/>
      <c r="AO162" s="499" t="s">
        <v>477</v>
      </c>
      <c r="AP162" s="500" t="s">
        <v>179</v>
      </c>
      <c r="AQ162" s="500"/>
      <c r="AR162" s="501">
        <v>58</v>
      </c>
      <c r="AS162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62" s="502" t="s">
        <v>478</v>
      </c>
      <c r="AU162" s="503"/>
      <c r="AV162" s="503"/>
      <c r="AW162" s="503" t="str">
        <f>IF(COUNTIF('설명회 참석자 명부'!$W$4:$W$29,표3[[#This Row],[성  명]])&gt;0,"O","")</f>
        <v/>
      </c>
      <c r="AX162" s="503" t="str">
        <f>_xlfn.XLOOKUP(표3[[#This Row],[성  명]],'설명회 참석자 명부'!$W$4:$W$29,'설명회 참석자 명부'!$X$4:$X$29,"")</f>
        <v/>
      </c>
      <c r="AY162" s="503"/>
      <c r="AZ162" s="503"/>
      <c r="BA162" s="503"/>
      <c r="BB162" s="503"/>
      <c r="BC162" s="503"/>
      <c r="BD162" s="503"/>
      <c r="BE162" s="503"/>
      <c r="BF162" s="504"/>
      <c r="BG162" s="504"/>
      <c r="BH162" s="504"/>
      <c r="BI162" s="504"/>
      <c r="BJ162" s="504"/>
      <c r="BK162" s="504" t="str">
        <f>IFERROR(LEFT(표3[[#This Row],[주소]],FIND(" ",표3[[#This Row],[주소]])-1),"")</f>
        <v>서울특별시</v>
      </c>
      <c r="BL162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62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동남로8길</v>
      </c>
      <c r="BN162" s="504"/>
      <c r="BO162" s="504"/>
      <c r="BP162" s="504"/>
      <c r="BQ162" s="504"/>
      <c r="BR162" s="505"/>
      <c r="BS162" s="714" t="s">
        <v>179</v>
      </c>
      <c r="BT162" s="715" t="s">
        <v>179</v>
      </c>
      <c r="BU162" s="715" t="s">
        <v>179</v>
      </c>
      <c r="BV162" s="715" t="s">
        <v>179</v>
      </c>
      <c r="BW162" s="715" t="s">
        <v>179</v>
      </c>
      <c r="BX162" s="715" t="s">
        <v>179</v>
      </c>
      <c r="BY162" s="715" t="s">
        <v>191</v>
      </c>
      <c r="BZ162" s="715">
        <v>41.79</v>
      </c>
      <c r="CA162" s="715">
        <v>28.5</v>
      </c>
      <c r="CB162" s="715">
        <v>341000000</v>
      </c>
      <c r="CC162" s="715">
        <v>341000000</v>
      </c>
      <c r="CD162" s="726">
        <f>표3[[#This Row],[종전추정가액]]*1.5219</f>
        <v>518967900</v>
      </c>
      <c r="CE162" s="506"/>
      <c r="CF162" s="507"/>
      <c r="CG162" s="507"/>
      <c r="CH162" s="508"/>
      <c r="CI162" s="508"/>
      <c r="CJ162" s="509"/>
      <c r="CK162" s="510"/>
      <c r="CL162" s="511"/>
      <c r="CM162" s="512"/>
      <c r="CN162" s="513"/>
      <c r="CO162" s="513"/>
      <c r="CP162" s="513"/>
      <c r="CQ162" s="513"/>
      <c r="CR162" s="513"/>
      <c r="CS162" s="514"/>
      <c r="CT162" s="515"/>
      <c r="CU162" s="515"/>
      <c r="CV162" s="515"/>
      <c r="CW162" s="515"/>
      <c r="CX162" s="515"/>
      <c r="CY162" s="515"/>
      <c r="CZ162" s="515"/>
      <c r="DA162" s="515"/>
      <c r="DB162" s="515"/>
      <c r="DC162" s="515"/>
      <c r="DD162" s="515"/>
      <c r="DE162" s="515"/>
      <c r="DF162" s="516"/>
    </row>
    <row r="163" spans="1:110" s="532" customFormat="1" ht="19.5" thickBot="1">
      <c r="A163" s="394"/>
      <c r="B163" s="395">
        <v>94</v>
      </c>
      <c r="C163" s="396">
        <v>28</v>
      </c>
      <c r="D163" s="397">
        <v>32</v>
      </c>
      <c r="E163" s="397" t="s">
        <v>468</v>
      </c>
      <c r="F163" s="398" t="s">
        <v>479</v>
      </c>
      <c r="G163" s="399"/>
      <c r="H163" s="400"/>
      <c r="I163" s="400"/>
      <c r="J163" s="400"/>
      <c r="K163" s="400"/>
      <c r="L163" s="400"/>
      <c r="M163" s="400"/>
      <c r="N163" s="400"/>
      <c r="O163" s="400"/>
      <c r="P163" s="401"/>
      <c r="Q163" s="402" t="s">
        <v>179</v>
      </c>
      <c r="R163" s="403">
        <v>0</v>
      </c>
      <c r="S163" s="404">
        <v>27.9</v>
      </c>
      <c r="T163" s="672">
        <f>표3[[#This Row],[편입면적]]/(SUM(표3[공부면적]))</f>
        <v>3.48575712143928E-3</v>
      </c>
      <c r="U163" s="662" t="s">
        <v>179</v>
      </c>
      <c r="V163" s="405"/>
      <c r="W163" s="406">
        <v>41.04</v>
      </c>
      <c r="X163" s="407"/>
      <c r="Y163" s="407">
        <v>41.04</v>
      </c>
      <c r="Z163" s="407" t="s">
        <v>179</v>
      </c>
      <c r="AA163" s="520"/>
      <c r="AB163" s="409"/>
      <c r="AC163" s="410"/>
      <c r="AD163" s="411"/>
      <c r="AE163" s="411"/>
      <c r="AF163" s="412"/>
      <c r="AG163" s="413" t="s">
        <v>325</v>
      </c>
      <c r="AH163" s="413"/>
      <c r="AI163" s="413" t="s">
        <v>183</v>
      </c>
      <c r="AJ163" s="414"/>
      <c r="AK163" s="415"/>
      <c r="AL163" s="415"/>
      <c r="AM163" s="412"/>
      <c r="AN163" s="416"/>
      <c r="AO163" s="417" t="s">
        <v>480</v>
      </c>
      <c r="AP163" s="418" t="s">
        <v>179</v>
      </c>
      <c r="AQ163" s="418"/>
      <c r="AR163" s="419">
        <v>61</v>
      </c>
      <c r="AS163" s="419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60대</v>
      </c>
      <c r="AT163" s="420" t="s">
        <v>481</v>
      </c>
      <c r="AU163" s="421"/>
      <c r="AV163" s="421"/>
      <c r="AW163" s="421" t="str">
        <f>IF(COUNTIF('설명회 참석자 명부'!$W$4:$W$29,표3[[#This Row],[성  명]])&gt;0,"O","")</f>
        <v>O</v>
      </c>
      <c r="AX163" s="421" t="str">
        <f>_xlfn.XLOOKUP(표3[[#This Row],[성  명]],'설명회 참석자 명부'!$W$4:$W$29,'설명회 참석자 명부'!$X$4:$X$29,"")</f>
        <v>주소불명</v>
      </c>
      <c r="AY163" s="421"/>
      <c r="AZ163" s="421"/>
      <c r="BA163" s="421"/>
      <c r="BB163" s="421"/>
      <c r="BC163" s="421"/>
      <c r="BD163" s="421"/>
      <c r="BE163" s="421"/>
      <c r="BF163" s="422"/>
      <c r="BG163" s="422"/>
      <c r="BH163" s="422"/>
      <c r="BI163" s="422"/>
      <c r="BJ163" s="422"/>
      <c r="BK163" s="422" t="str">
        <f>IFERROR(LEFT(표3[[#This Row],[주소]],FIND(" ",표3[[#This Row],[주소]])-1),"")</f>
        <v>서울특별시</v>
      </c>
      <c r="BL163" s="422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63" s="422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송이로38길</v>
      </c>
      <c r="BN163" s="422"/>
      <c r="BO163" s="422"/>
      <c r="BP163" s="422"/>
      <c r="BQ163" s="422"/>
      <c r="BR163" s="423"/>
      <c r="BS163" s="714" t="s">
        <v>179</v>
      </c>
      <c r="BT163" s="715" t="s">
        <v>179</v>
      </c>
      <c r="BU163" s="715" t="s">
        <v>179</v>
      </c>
      <c r="BV163" s="715" t="s">
        <v>179</v>
      </c>
      <c r="BW163" s="715" t="s">
        <v>179</v>
      </c>
      <c r="BX163" s="715" t="s">
        <v>179</v>
      </c>
      <c r="BY163" s="715" t="s">
        <v>191</v>
      </c>
      <c r="BZ163" s="715">
        <v>41.04</v>
      </c>
      <c r="CA163" s="715">
        <v>28</v>
      </c>
      <c r="CB163" s="715">
        <v>335000000</v>
      </c>
      <c r="CC163" s="715">
        <v>335000000</v>
      </c>
      <c r="CD163" s="726">
        <f>표3[[#This Row],[종전추정가액]]*1.5219</f>
        <v>509836500</v>
      </c>
      <c r="CE163" s="424"/>
      <c r="CF163" s="425"/>
      <c r="CG163" s="425"/>
      <c r="CH163" s="426"/>
      <c r="CI163" s="426"/>
      <c r="CJ163" s="427"/>
      <c r="CK163" s="428"/>
      <c r="CL163" s="429"/>
      <c r="CM163" s="430"/>
      <c r="CN163" s="431"/>
      <c r="CO163" s="431"/>
      <c r="CP163" s="431"/>
      <c r="CQ163" s="431"/>
      <c r="CR163" s="431"/>
      <c r="CS163" s="432"/>
      <c r="CT163" s="433"/>
      <c r="CU163" s="433"/>
      <c r="CV163" s="433"/>
      <c r="CW163" s="433"/>
      <c r="CX163" s="433"/>
      <c r="CY163" s="433"/>
      <c r="CZ163" s="433"/>
      <c r="DA163" s="433"/>
      <c r="DB163" s="433"/>
      <c r="DC163" s="433"/>
      <c r="DD163" s="433"/>
      <c r="DE163" s="433"/>
      <c r="DF163" s="434"/>
    </row>
    <row r="164" spans="1:110" s="533" customFormat="1" ht="19.5" thickTop="1">
      <c r="A164" s="435"/>
      <c r="B164" s="436">
        <v>2</v>
      </c>
      <c r="C164" s="437">
        <v>28</v>
      </c>
      <c r="D164" s="438">
        <v>34</v>
      </c>
      <c r="E164" s="438"/>
      <c r="F164" s="667">
        <v>0</v>
      </c>
      <c r="G164" s="439"/>
      <c r="H164" s="440"/>
      <c r="I164" s="440"/>
      <c r="J164" s="440"/>
      <c r="K164" s="440"/>
      <c r="L164" s="440"/>
      <c r="M164" s="440"/>
      <c r="N164" s="440"/>
      <c r="O164" s="440"/>
      <c r="P164" s="441"/>
      <c r="Q164" s="442" t="s">
        <v>173</v>
      </c>
      <c r="R164" s="659">
        <v>399.5</v>
      </c>
      <c r="S164" s="443">
        <v>399.5</v>
      </c>
      <c r="T164" s="670">
        <f>표3[[#This Row],[편입면적]]/(SUM(표3[공부면적]))</f>
        <v>4.9912543728135923E-2</v>
      </c>
      <c r="U164" s="444" t="s">
        <v>174</v>
      </c>
      <c r="V164" s="445"/>
      <c r="W164" s="446">
        <v>157.5</v>
      </c>
      <c r="X164" s="447"/>
      <c r="Y164" s="447">
        <v>157.5</v>
      </c>
      <c r="Z164" s="447">
        <v>157.5</v>
      </c>
      <c r="AA164" s="517"/>
      <c r="AB164" s="449"/>
      <c r="AC164" s="450" t="s">
        <v>482</v>
      </c>
      <c r="AD164" s="451">
        <v>30</v>
      </c>
      <c r="AE164" s="451" t="str" cm="1">
        <f t="array" ref="AE164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64" s="452"/>
      <c r="AG164" s="453" t="s">
        <v>483</v>
      </c>
      <c r="AH164" s="453"/>
      <c r="AI164" s="453" t="s">
        <v>330</v>
      </c>
      <c r="AJ164" s="453"/>
      <c r="AK164" s="454"/>
      <c r="AL164" s="454"/>
      <c r="AM164" s="452">
        <v>1</v>
      </c>
      <c r="AN164" s="455">
        <v>0</v>
      </c>
      <c r="AO164" s="456" t="s">
        <v>185</v>
      </c>
      <c r="AP164" s="457" t="s">
        <v>179</v>
      </c>
      <c r="AQ164" s="457"/>
      <c r="AR164" s="458">
        <v>49</v>
      </c>
      <c r="AS164" s="458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70대</v>
      </c>
      <c r="AT164" s="459" t="s">
        <v>484</v>
      </c>
      <c r="AU164" s="460"/>
      <c r="AV164" s="460"/>
      <c r="AW164" s="460" t="str">
        <f>IF(COUNTIF('설명회 참석자 명부'!$W$4:$W$29,표3[[#This Row],[성  명]])&gt;0,"O","")</f>
        <v/>
      </c>
      <c r="AX164" s="460" t="str">
        <f>_xlfn.XLOOKUP(표3[[#This Row],[성  명]],'설명회 참석자 명부'!$W$4:$W$29,'설명회 참석자 명부'!$X$4:$X$29,"")</f>
        <v/>
      </c>
      <c r="AY164" s="460"/>
      <c r="AZ164" s="460"/>
      <c r="BA164" s="460"/>
      <c r="BB164" s="460"/>
      <c r="BC164" s="460"/>
      <c r="BD164" s="460"/>
      <c r="BE164" s="460"/>
      <c r="BF164" s="461"/>
      <c r="BG164" s="461"/>
      <c r="BH164" s="461"/>
      <c r="BI164" s="461"/>
      <c r="BJ164" s="461"/>
      <c r="BK164" s="461" t="str">
        <f>IFERROR(LEFT(표3[[#This Row],[주소]],FIND(" ",표3[[#This Row],[주소]])-1),"")</f>
        <v>서울</v>
      </c>
      <c r="BL164" s="461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64" s="461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164" s="461"/>
      <c r="BO164" s="461"/>
      <c r="BP164" s="461"/>
      <c r="BQ164" s="461"/>
      <c r="BR164" s="462"/>
      <c r="BS164" s="722">
        <v>399.5</v>
      </c>
      <c r="BT164" s="723">
        <v>11280000</v>
      </c>
      <c r="BU164" s="723">
        <v>4506360000</v>
      </c>
      <c r="BV164" s="723" t="s">
        <v>330</v>
      </c>
      <c r="BW164" s="723">
        <v>157.5</v>
      </c>
      <c r="BX164" s="723">
        <v>35437500</v>
      </c>
      <c r="BY164" s="723" t="s">
        <v>179</v>
      </c>
      <c r="BZ164" s="723" t="s">
        <v>179</v>
      </c>
      <c r="CA164" s="723" t="s">
        <v>179</v>
      </c>
      <c r="CB164" s="723" t="s">
        <v>179</v>
      </c>
      <c r="CC164" s="723">
        <v>4541797500</v>
      </c>
      <c r="CD164" s="727">
        <f>표3[[#This Row],[종전추정가액]]*1.5219</f>
        <v>6912161615.25</v>
      </c>
      <c r="CE164" s="463"/>
      <c r="CF164" s="464"/>
      <c r="CG164" s="464"/>
      <c r="CH164" s="465"/>
      <c r="CI164" s="465"/>
      <c r="CJ164" s="466"/>
      <c r="CK164" s="467"/>
      <c r="CL164" s="468"/>
      <c r="CM164" s="469"/>
      <c r="CN164" s="470"/>
      <c r="CO164" s="470"/>
      <c r="CP164" s="470"/>
      <c r="CQ164" s="470"/>
      <c r="CR164" s="470"/>
      <c r="CS164" s="471"/>
      <c r="CT164" s="472"/>
      <c r="CU164" s="472"/>
      <c r="CV164" s="472"/>
      <c r="CW164" s="472"/>
      <c r="CX164" s="472"/>
      <c r="CY164" s="472"/>
      <c r="CZ164" s="472"/>
      <c r="DA164" s="472"/>
      <c r="DB164" s="472"/>
      <c r="DC164" s="472"/>
      <c r="DD164" s="472"/>
      <c r="DE164" s="472"/>
      <c r="DF164" s="473"/>
    </row>
    <row r="165" spans="1:110" s="532" customFormat="1" ht="19">
      <c r="A165" s="475"/>
      <c r="B165" s="476">
        <v>99</v>
      </c>
      <c r="C165" s="477">
        <v>28</v>
      </c>
      <c r="D165" s="478">
        <v>35</v>
      </c>
      <c r="E165" s="478"/>
      <c r="F165" s="668">
        <v>0</v>
      </c>
      <c r="G165" s="480"/>
      <c r="H165" s="481"/>
      <c r="I165" s="481"/>
      <c r="J165" s="481"/>
      <c r="K165" s="481"/>
      <c r="L165" s="481"/>
      <c r="M165" s="481"/>
      <c r="N165" s="481"/>
      <c r="O165" s="481"/>
      <c r="P165" s="482"/>
      <c r="Q165" s="483" t="s">
        <v>173</v>
      </c>
      <c r="R165" s="660">
        <v>235.1</v>
      </c>
      <c r="S165" s="484">
        <v>235.1</v>
      </c>
      <c r="T165" s="671">
        <f>표3[[#This Row],[편입면적]]/(SUM(표3[공부면적]))</f>
        <v>2.9372813593203394E-2</v>
      </c>
      <c r="U165" s="486" t="s">
        <v>174</v>
      </c>
      <c r="V165" s="487"/>
      <c r="W165" s="488">
        <v>282.01</v>
      </c>
      <c r="X165" s="489">
        <v>96.12</v>
      </c>
      <c r="Y165" s="489">
        <v>378.13</v>
      </c>
      <c r="Z165" s="489">
        <v>378.13</v>
      </c>
      <c r="AA165" s="518"/>
      <c r="AB165" s="491"/>
      <c r="AC165" s="492" t="s">
        <v>362</v>
      </c>
      <c r="AD165" s="493">
        <v>31</v>
      </c>
      <c r="AE165" s="493" t="str" cm="1">
        <f t="array" ref="AE165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65" s="494"/>
      <c r="AG165" s="495" t="s">
        <v>176</v>
      </c>
      <c r="AH165" s="495"/>
      <c r="AI165" s="495" t="s">
        <v>326</v>
      </c>
      <c r="AJ165" s="496"/>
      <c r="AK165" s="497"/>
      <c r="AL165" s="497"/>
      <c r="AM165" s="494">
        <v>3</v>
      </c>
      <c r="AN165" s="498">
        <v>1</v>
      </c>
      <c r="AO165" s="499" t="s">
        <v>485</v>
      </c>
      <c r="AP165" s="500" t="s">
        <v>179</v>
      </c>
      <c r="AQ165" s="500"/>
      <c r="AR165" s="501"/>
      <c r="AS165" s="501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/>
      </c>
      <c r="AT165" s="502" t="s">
        <v>486</v>
      </c>
      <c r="AU165" s="503" t="s">
        <v>190</v>
      </c>
      <c r="AV165" s="503"/>
      <c r="AW165" s="503" t="str">
        <f>IF(COUNTIF('설명회 참석자 명부'!$W$4:$W$29,표3[[#This Row],[성  명]])&gt;0,"O","")</f>
        <v/>
      </c>
      <c r="AX165" s="503" t="str">
        <f>_xlfn.XLOOKUP(표3[[#This Row],[성  명]],'설명회 참석자 명부'!$W$4:$W$29,'설명회 참석자 명부'!$X$4:$X$29,"")</f>
        <v/>
      </c>
      <c r="AY165" s="503"/>
      <c r="AZ165" s="503"/>
      <c r="BA165" s="503"/>
      <c r="BB165" s="503"/>
      <c r="BC165" s="503"/>
      <c r="BD165" s="503"/>
      <c r="BE165" s="503"/>
      <c r="BF165" s="504"/>
      <c r="BG165" s="504"/>
      <c r="BH165" s="504"/>
      <c r="BI165" s="504"/>
      <c r="BJ165" s="504"/>
      <c r="BK165" s="504" t="str">
        <f>IFERROR(LEFT(표3[[#This Row],[주소]],FIND(" ",표3[[#This Row],[주소]])-1),"")</f>
        <v>서울특별시</v>
      </c>
      <c r="BL165" s="504" t="str">
        <f>IFERROR(MID(표3[[#This Row],[주소]], FIND(" ", 표3[[#This Row],[주소]])+1, FIND(" ", 표3[[#This Row],[주소]], FIND(" ", 표3[[#This Row],[주소]])+1) - FIND(" ", 표3[[#This Row],[주소]])-1),"")</f>
        <v>송파구</v>
      </c>
      <c r="BM165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문정동</v>
      </c>
      <c r="BN165" s="504"/>
      <c r="BO165" s="504"/>
      <c r="BP165" s="504"/>
      <c r="BQ165" s="504"/>
      <c r="BR165" s="505"/>
      <c r="BS165" s="714">
        <v>235.1</v>
      </c>
      <c r="BT165" s="715">
        <v>11390000</v>
      </c>
      <c r="BU165" s="715">
        <v>2677789000</v>
      </c>
      <c r="BV165" s="715" t="s">
        <v>326</v>
      </c>
      <c r="BW165" s="715">
        <v>378.13</v>
      </c>
      <c r="BX165" s="715">
        <v>229903040</v>
      </c>
      <c r="BY165" s="715" t="s">
        <v>179</v>
      </c>
      <c r="BZ165" s="715" t="s">
        <v>179</v>
      </c>
      <c r="CA165" s="715" t="s">
        <v>179</v>
      </c>
      <c r="CB165" s="715" t="s">
        <v>179</v>
      </c>
      <c r="CC165" s="715">
        <v>2907692040</v>
      </c>
      <c r="CD165" s="726">
        <f>표3[[#This Row],[종전추정가액]]*1.5219</f>
        <v>4425216515.6759996</v>
      </c>
      <c r="CE165" s="506"/>
      <c r="CF165" s="507"/>
      <c r="CG165" s="507"/>
      <c r="CH165" s="508"/>
      <c r="CI165" s="508"/>
      <c r="CJ165" s="509"/>
      <c r="CK165" s="510"/>
      <c r="CL165" s="511"/>
      <c r="CM165" s="512"/>
      <c r="CN165" s="513"/>
      <c r="CO165" s="513"/>
      <c r="CP165" s="513"/>
      <c r="CQ165" s="513"/>
      <c r="CR165" s="513"/>
      <c r="CS165" s="514"/>
      <c r="CT165" s="515"/>
      <c r="CU165" s="515"/>
      <c r="CV165" s="515"/>
      <c r="CW165" s="515"/>
      <c r="CX165" s="515"/>
      <c r="CY165" s="515"/>
      <c r="CZ165" s="515"/>
      <c r="DA165" s="515"/>
      <c r="DB165" s="515"/>
      <c r="DC165" s="515"/>
      <c r="DD165" s="515"/>
      <c r="DE165" s="515"/>
      <c r="DF165" s="516"/>
    </row>
    <row r="166" spans="1:110" s="532" customFormat="1" ht="19.5" thickBot="1">
      <c r="A166" s="475"/>
      <c r="B166" s="476">
        <v>100</v>
      </c>
      <c r="C166" s="477">
        <v>28</v>
      </c>
      <c r="D166" s="478">
        <v>36</v>
      </c>
      <c r="E166" s="478"/>
      <c r="F166" s="668">
        <v>0</v>
      </c>
      <c r="G166" s="480"/>
      <c r="H166" s="481"/>
      <c r="I166" s="481"/>
      <c r="J166" s="481"/>
      <c r="K166" s="481"/>
      <c r="L166" s="481"/>
      <c r="M166" s="481"/>
      <c r="N166" s="481"/>
      <c r="O166" s="481"/>
      <c r="P166" s="482"/>
      <c r="Q166" s="483" t="s">
        <v>173</v>
      </c>
      <c r="R166" s="660">
        <v>208.8</v>
      </c>
      <c r="S166" s="484">
        <v>208.8</v>
      </c>
      <c r="T166" s="673">
        <f>표3[[#This Row],[편입면적]]/(SUM(표3[공부면적]))</f>
        <v>2.6086956521739129E-2</v>
      </c>
      <c r="U166" s="486" t="s">
        <v>174</v>
      </c>
      <c r="V166" s="537"/>
      <c r="W166" s="488">
        <v>305.83999999999997</v>
      </c>
      <c r="X166" s="489">
        <v>110.5</v>
      </c>
      <c r="Y166" s="489">
        <v>416.34</v>
      </c>
      <c r="Z166" s="489">
        <v>416.34</v>
      </c>
      <c r="AA166" s="490"/>
      <c r="AB166" s="538"/>
      <c r="AC166" s="492" t="s">
        <v>487</v>
      </c>
      <c r="AD166" s="493">
        <v>29</v>
      </c>
      <c r="AE166" s="493" t="str" cm="1">
        <f t="array" ref="AE166">IF(표3[[#This Row],[사용승인일자]]="","",
  IFERROR(
    _xlfn.IFS(
      AND(ISNUMBER(SEARCH("공동",표3[[#This Row],[주용도]])), ISNUMBER(SEARCH("철",표3[[#This Row],[주구조]])), 표3[[#This Row],[건물연령]]&gt;=30), "O",
      AND(ISNUMBER(SEARCH("공동",표3[[#This Row],[주용도]])), COUNTIF(표3[[#This Row],[주구조]],"&lt;&gt;*철*"), 표3[[#This Row],[건물연령]]&gt;=20), "O",
      AND(COUNTIF(표3[[#This Row],[주용도]],"&lt;&gt;*공동*"), COUNTIF(표3[[#This Row],[주용도]],"&lt;&gt;*단독*"), ISNUMBER(SEARCH("철",표3[[#This Row],[주구조]])), 표3[[#This Row],[건물연령]]&gt;=30), "O",
      AND(COUNTIF(표3[[#This Row],[주용도]],"&lt;&gt;*공동*"), COUNTIF(표3[[#This Row],[주구조]],"&lt;&gt;*철*"), 표3[[#This Row],[건물연령]]&gt;=20), "O",
      AND(COUNTIF(표3[[#This Row],[주용도]],"&lt;&gt;*공동*"), ISNUMBER(SEARCH("주택",표3[[#This Row],[주용도]])), 표3[[#This Row],[건물연령]]&gt;=20), "O"
    ),
  "")
)</f>
        <v>O</v>
      </c>
      <c r="AF166" s="494"/>
      <c r="AG166" s="495" t="s">
        <v>176</v>
      </c>
      <c r="AH166" s="495"/>
      <c r="AI166" s="495" t="s">
        <v>326</v>
      </c>
      <c r="AJ166" s="496"/>
      <c r="AK166" s="497"/>
      <c r="AL166" s="497"/>
      <c r="AM166" s="494">
        <v>3</v>
      </c>
      <c r="AN166" s="498">
        <v>1</v>
      </c>
      <c r="AO166" s="525" t="s">
        <v>488</v>
      </c>
      <c r="AP166" s="500">
        <v>1052103668</v>
      </c>
      <c r="AQ166" s="500" t="s">
        <v>489</v>
      </c>
      <c r="AR166" s="526">
        <v>71</v>
      </c>
      <c r="AS166" s="526" t="str">
        <f ca="1">IF(
  OR(표3[[#This Row],[생년월일]]="", ISBLANK(표3[[#This Row],[생년월일]])),
  "",
  IFERROR(
    _xlfn.LET(
      _xlpm.y, VALUE(표3[[#This Row],[생년월일]]),
      _xlpm.yyyy, IF(_xlpm.y&lt;100, IF(_xlpm.y&gt;25, 1900+_xlpm.y, 2000+_xlpm.y), _xlpm.y),
      _xlpm.age, YEAR(TODAY())-_xlpm.yyyy,
      IF(
        _xlpm.age&lt;40,"40대 미만",
        IF(_xlpm.age&lt;50,"40대",
          IF(_xlpm.age&lt;60,"50대",
            IF(_xlpm.age&lt;70,"60대",
              IF(_xlpm.age&lt;80,"70대","80대 이상")
      ))))
    ),
  "")
)</f>
        <v>50대</v>
      </c>
      <c r="AT166" s="519" t="s">
        <v>490</v>
      </c>
      <c r="AU166" s="503"/>
      <c r="AV166" s="503"/>
      <c r="AW166" s="503" t="str">
        <f>IF(COUNTIF('설명회 참석자 명부'!$W$4:$W$29,표3[[#This Row],[성  명]])&gt;0,"O","")</f>
        <v/>
      </c>
      <c r="AX166" s="503" t="str">
        <f>_xlfn.XLOOKUP(표3[[#This Row],[성  명]],'설명회 참석자 명부'!$W$4:$W$29,'설명회 참석자 명부'!$X$4:$X$29,"")</f>
        <v/>
      </c>
      <c r="AY166" s="503"/>
      <c r="AZ166" s="503"/>
      <c r="BA166" s="503"/>
      <c r="BB166" s="503"/>
      <c r="BC166" s="503"/>
      <c r="BD166" s="503"/>
      <c r="BE166" s="503"/>
      <c r="BF166" s="504"/>
      <c r="BG166" s="504"/>
      <c r="BH166" s="504"/>
      <c r="BI166" s="504"/>
      <c r="BJ166" s="504"/>
      <c r="BK166" s="504" t="str">
        <f>IFERROR(LEFT(표3[[#This Row],[주소]],FIND(" ",표3[[#This Row],[주소]])-1),"")</f>
        <v>서울특별시</v>
      </c>
      <c r="BL166" s="504" t="str">
        <f>IFERROR(MID(표3[[#This Row],[주소]], FIND(" ", 표3[[#This Row],[주소]])+1, FIND(" ", 표3[[#This Row],[주소]], FIND(" ", 표3[[#This Row],[주소]])+1) - FIND(" ", 표3[[#This Row],[주소]])-1),"")</f>
        <v>강동구</v>
      </c>
      <c r="BM166" s="504" t="str">
        <f>IFERROR(MID(표3[[#This Row],[주소]], FIND(" ", 표3[[#This Row],[주소]], FIND(" ", 표3[[#This Row],[주소]])+1)+1, FIND(" ", 표3[[#This Row],[주소]], FIND(" ", 표3[[#This Row],[주소]], FIND(" ", 표3[[#This Row],[주소]])+1)+1) - FIND(" ", 표3[[#This Row],[주소]], FIND(" ", 표3[[#This Row],[주소]])+1)-1),"")</f>
        <v>올림픽로112길</v>
      </c>
      <c r="BN166" s="504"/>
      <c r="BO166" s="504"/>
      <c r="BP166" s="504"/>
      <c r="BQ166" s="504"/>
      <c r="BR166" s="505"/>
      <c r="BS166" s="724">
        <v>208.8</v>
      </c>
      <c r="BT166" s="725">
        <v>11170000</v>
      </c>
      <c r="BU166" s="725">
        <v>2332296000</v>
      </c>
      <c r="BV166" s="725" t="s">
        <v>326</v>
      </c>
      <c r="BW166" s="725">
        <v>416.34</v>
      </c>
      <c r="BX166" s="725">
        <v>279780480</v>
      </c>
      <c r="BY166" s="725" t="s">
        <v>179</v>
      </c>
      <c r="BZ166" s="725" t="s">
        <v>179</v>
      </c>
      <c r="CA166" s="725" t="s">
        <v>179</v>
      </c>
      <c r="CB166" s="725" t="s">
        <v>179</v>
      </c>
      <c r="CC166" s="725">
        <v>2612076480</v>
      </c>
      <c r="CD166" s="726">
        <f>표3[[#This Row],[종전추정가액]]*1.5219</f>
        <v>3975319194.9120002</v>
      </c>
      <c r="CE166" s="506"/>
      <c r="CF166" s="507"/>
      <c r="CG166" s="507"/>
      <c r="CH166" s="508"/>
      <c r="CI166" s="508"/>
      <c r="CJ166" s="509"/>
      <c r="CK166" s="510"/>
      <c r="CL166" s="511"/>
      <c r="CM166" s="512"/>
      <c r="CN166" s="513"/>
      <c r="CO166" s="513"/>
      <c r="CP166" s="513"/>
      <c r="CQ166" s="513"/>
      <c r="CR166" s="513"/>
      <c r="CS166" s="514"/>
      <c r="CT166" s="515"/>
      <c r="CU166" s="515"/>
      <c r="CV166" s="515"/>
      <c r="CW166" s="515"/>
      <c r="CX166" s="515"/>
      <c r="CY166" s="515"/>
      <c r="CZ166" s="515"/>
      <c r="DA166" s="515"/>
      <c r="DB166" s="515"/>
      <c r="DC166" s="515"/>
      <c r="DD166" s="515"/>
      <c r="DE166" s="515"/>
      <c r="DF166" s="516"/>
    </row>
    <row r="167" spans="1:110" s="532" customFormat="1" ht="18" thickTop="1" thickBot="1">
      <c r="A167" s="236"/>
      <c r="B167" s="864" t="s">
        <v>491</v>
      </c>
      <c r="C167" s="237"/>
      <c r="D167" s="237"/>
      <c r="E167" s="779" t="s">
        <v>436</v>
      </c>
      <c r="F167" s="780"/>
      <c r="G167" s="296"/>
      <c r="H167" s="297"/>
      <c r="I167" s="297"/>
      <c r="J167" s="297"/>
      <c r="K167" s="297"/>
      <c r="L167" s="297"/>
      <c r="M167" s="297"/>
      <c r="N167" s="297"/>
      <c r="O167" s="296"/>
      <c r="P167" s="297"/>
      <c r="Q167" s="298">
        <f>COUNTIF(표3[지목],"대")+3</f>
        <v>32</v>
      </c>
      <c r="R167" s="769"/>
      <c r="S167" s="769"/>
      <c r="T167" s="661"/>
      <c r="U167" s="768" t="s">
        <v>84</v>
      </c>
      <c r="V167" s="238"/>
      <c r="W167" s="280" t="s">
        <v>492</v>
      </c>
      <c r="X167" s="239" t="s">
        <v>493</v>
      </c>
      <c r="Y167" s="240" t="s">
        <v>494</v>
      </c>
      <c r="Z167" s="239" t="s">
        <v>495</v>
      </c>
      <c r="AA167" s="878" t="s">
        <v>496</v>
      </c>
      <c r="AB167" s="238"/>
      <c r="AC167" s="854" t="s">
        <v>497</v>
      </c>
      <c r="AD167" s="856"/>
      <c r="AE167" s="854" t="s">
        <v>498</v>
      </c>
      <c r="AF167" s="855"/>
      <c r="AG167" s="855"/>
      <c r="AH167" s="855"/>
      <c r="AI167" s="855"/>
      <c r="AJ167" s="856"/>
      <c r="AK167" s="781" t="s">
        <v>499</v>
      </c>
      <c r="AL167" s="784" t="s">
        <v>500</v>
      </c>
      <c r="AM167" s="787" t="s">
        <v>501</v>
      </c>
      <c r="AN167" s="789" t="s">
        <v>502</v>
      </c>
      <c r="AO167" s="241"/>
      <c r="AP167" s="241"/>
      <c r="AQ167" s="241"/>
      <c r="AR167" s="241"/>
      <c r="AS167" s="241"/>
      <c r="AT167" s="242"/>
      <c r="AU167" s="769" t="s">
        <v>109</v>
      </c>
      <c r="AV167" s="582"/>
      <c r="AW167" s="582"/>
      <c r="AX167" s="582"/>
      <c r="AY167" s="582"/>
      <c r="AZ167" s="582"/>
      <c r="BA167" s="582"/>
      <c r="BB167" s="582"/>
      <c r="BC167" s="582"/>
      <c r="BD167" s="582"/>
      <c r="BE167" s="582"/>
      <c r="BF167" s="243"/>
      <c r="BG167" s="243"/>
      <c r="BH167" s="243"/>
      <c r="BI167" s="243"/>
      <c r="BJ167" s="243"/>
      <c r="BK167" s="237"/>
      <c r="BL167" s="237"/>
      <c r="BM167" s="237"/>
      <c r="BN167" s="237"/>
      <c r="BO167" s="237"/>
      <c r="BP167" s="237"/>
      <c r="BQ167" s="237"/>
      <c r="BR167" s="237"/>
      <c r="BS167" s="700"/>
      <c r="BT167" s="700"/>
      <c r="BU167" s="700"/>
      <c r="BV167" s="700"/>
      <c r="BW167" s="700"/>
      <c r="BX167" s="700"/>
      <c r="BY167" s="700"/>
      <c r="BZ167" s="700"/>
      <c r="CA167" s="700"/>
      <c r="CB167" s="700"/>
      <c r="CC167" s="710"/>
      <c r="CD167" s="710"/>
      <c r="CE167" s="244"/>
      <c r="CF167" s="245"/>
      <c r="CG167" s="245"/>
      <c r="CH167" s="245"/>
      <c r="CI167" s="245"/>
      <c r="CJ167" s="245"/>
      <c r="CK167" s="244"/>
      <c r="CL167" s="243"/>
      <c r="CM167" s="243"/>
      <c r="CN167" s="243"/>
      <c r="CO167" s="243"/>
      <c r="CP167" s="243"/>
      <c r="CQ167" s="243"/>
      <c r="CR167" s="243"/>
      <c r="CS167" s="243"/>
      <c r="CT167" s="243"/>
      <c r="CU167" s="243"/>
      <c r="CV167" s="243"/>
      <c r="CW167" s="243"/>
      <c r="CX167" s="243"/>
      <c r="CY167" s="243"/>
      <c r="CZ167" s="243"/>
      <c r="DA167" s="243"/>
      <c r="DB167" s="243"/>
      <c r="DC167" s="243"/>
      <c r="DD167" s="243"/>
      <c r="DE167" s="243"/>
      <c r="DF167" s="246"/>
    </row>
    <row r="168" spans="1:110" ht="18" thickTop="1" thickBot="1">
      <c r="A168" s="247"/>
      <c r="B168" s="865"/>
      <c r="C168" s="248"/>
      <c r="D168" s="248"/>
      <c r="E168" s="766" t="s">
        <v>503</v>
      </c>
      <c r="F168" s="767"/>
      <c r="G168" s="299"/>
      <c r="H168" s="300"/>
      <c r="I168" s="300"/>
      <c r="J168" s="300"/>
      <c r="K168" s="300"/>
      <c r="L168" s="300"/>
      <c r="M168" s="300"/>
      <c r="N168" s="300"/>
      <c r="O168" s="299"/>
      <c r="P168" s="300"/>
      <c r="Q168" s="301">
        <f>COUNTIF(표3[지목],"도로")</f>
        <v>1</v>
      </c>
      <c r="R168" s="769"/>
      <c r="S168" s="769"/>
      <c r="T168" s="661"/>
      <c r="U168" s="769"/>
      <c r="V168" s="249"/>
      <c r="W168" s="282">
        <f>SUBTOTAL(109,표3[전유면적])</f>
        <v>11672.650000000003</v>
      </c>
      <c r="X168" s="234">
        <f>SUBTOTAL(109,표3[지하])</f>
        <v>2764.2600000000025</v>
      </c>
      <c r="Y168" s="235">
        <f>SUBTOTAL(109,표3[지상,지하 계])</f>
        <v>14437.110000000013</v>
      </c>
      <c r="Z168" s="234">
        <f>SUBTOTAL(109,표3[연면적])</f>
        <v>13636.25</v>
      </c>
      <c r="AA168" s="879"/>
      <c r="AB168" s="250"/>
      <c r="AC168" s="273" t="s">
        <v>504</v>
      </c>
      <c r="AD168" s="274">
        <f>SUM(AD169:AD172)</f>
        <v>29</v>
      </c>
      <c r="AE168" s="289" t="s">
        <v>505</v>
      </c>
      <c r="AF168" s="828" t="s">
        <v>506</v>
      </c>
      <c r="AG168" s="829"/>
      <c r="AH168" s="270"/>
      <c r="AI168" s="828" t="s">
        <v>507</v>
      </c>
      <c r="AJ168" s="851"/>
      <c r="AK168" s="782"/>
      <c r="AL168" s="785"/>
      <c r="AM168" s="788"/>
      <c r="AN168" s="790"/>
      <c r="AO168" s="249"/>
      <c r="AP168" s="233"/>
      <c r="AQ168" s="233"/>
      <c r="AR168" s="251"/>
      <c r="AS168" s="251"/>
      <c r="AT168" s="233"/>
      <c r="AU168" s="769"/>
      <c r="AV168" s="583"/>
      <c r="AW168" s="583"/>
      <c r="AX168" s="583"/>
      <c r="AY168" s="583"/>
      <c r="AZ168" s="583"/>
      <c r="BA168" s="583"/>
      <c r="BB168" s="583"/>
      <c r="BC168" s="583"/>
      <c r="BD168" s="583"/>
      <c r="BE168" s="583"/>
      <c r="BF168" s="252"/>
      <c r="BG168" s="252"/>
      <c r="BH168" s="252"/>
      <c r="BI168" s="252"/>
      <c r="BJ168" s="252"/>
      <c r="BK168" s="252"/>
      <c r="BL168" s="252"/>
      <c r="BM168" s="252"/>
      <c r="BN168" s="252"/>
      <c r="BO168" s="252"/>
      <c r="BP168" s="252"/>
      <c r="BQ168" s="252"/>
      <c r="BR168" s="252"/>
      <c r="BS168" s="252"/>
      <c r="BT168" s="252"/>
      <c r="BU168" s="252"/>
      <c r="BV168" s="252"/>
      <c r="BW168" s="252"/>
      <c r="BX168" s="252"/>
      <c r="BY168" s="252"/>
      <c r="BZ168" s="252"/>
      <c r="CA168" s="252"/>
      <c r="CB168" s="252"/>
      <c r="CC168" s="711"/>
      <c r="CD168" s="711"/>
      <c r="CE168" s="253"/>
      <c r="CF168" s="254"/>
      <c r="CG168" s="254"/>
      <c r="CH168" s="254"/>
      <c r="CI168" s="254"/>
      <c r="CJ168" s="254"/>
      <c r="CK168" s="253"/>
      <c r="CL168" s="252"/>
      <c r="CM168" s="252"/>
      <c r="CN168" s="252"/>
      <c r="CO168" s="252"/>
      <c r="CP168" s="252"/>
      <c r="CQ168" s="252"/>
      <c r="CR168" s="233"/>
      <c r="CS168" s="233"/>
      <c r="CT168" s="233"/>
      <c r="CU168" s="233"/>
      <c r="CV168" s="233"/>
      <c r="CW168" s="233"/>
      <c r="CX168" s="233"/>
      <c r="CY168" s="233"/>
      <c r="CZ168" s="233"/>
      <c r="DA168" s="233"/>
      <c r="DB168" s="233"/>
      <c r="DC168" s="233"/>
      <c r="DD168" s="233"/>
      <c r="DE168" s="233"/>
      <c r="DF168" s="255"/>
    </row>
    <row r="169" spans="1:110" ht="18" thickTop="1" thickBot="1">
      <c r="A169" s="247"/>
      <c r="B169" s="866"/>
      <c r="C169" s="248"/>
      <c r="D169" s="248"/>
      <c r="E169" s="766" t="s">
        <v>508</v>
      </c>
      <c r="F169" s="767"/>
      <c r="G169" s="299"/>
      <c r="H169" s="300"/>
      <c r="I169" s="300"/>
      <c r="J169" s="300"/>
      <c r="K169" s="300"/>
      <c r="L169" s="300"/>
      <c r="M169" s="300"/>
      <c r="N169" s="300"/>
      <c r="O169" s="299"/>
      <c r="P169" s="300"/>
      <c r="Q169" s="301">
        <f>COUNTIF(표3[지목],"답")</f>
        <v>0</v>
      </c>
      <c r="R169" s="769"/>
      <c r="S169" s="769"/>
      <c r="T169" s="661"/>
      <c r="U169" s="769"/>
      <c r="V169" s="249"/>
      <c r="W169" s="284" t="s">
        <v>509</v>
      </c>
      <c r="X169" s="230" t="s">
        <v>510</v>
      </c>
      <c r="Y169" s="231" t="s">
        <v>511</v>
      </c>
      <c r="Z169" s="230" t="s">
        <v>512</v>
      </c>
      <c r="AA169" s="880"/>
      <c r="AB169" s="250"/>
      <c r="AC169" s="275" t="s">
        <v>513</v>
      </c>
      <c r="AD169" s="276">
        <f>COUNTIF(표3[건물연령],"&lt;=10")</f>
        <v>2</v>
      </c>
      <c r="AE169" s="857" t="s">
        <v>514</v>
      </c>
      <c r="AF169" s="290" t="s">
        <v>515</v>
      </c>
      <c r="AG169" s="290" t="s">
        <v>516</v>
      </c>
      <c r="AH169" s="290"/>
      <c r="AI169" s="291">
        <f>COUNTIFS(표3[주용도],"*공동*",표3[주구조],"*콘크리트*",표3[건물연령],"&gt;=30")</f>
        <v>3</v>
      </c>
      <c r="AJ169" s="801">
        <f>COUNTIF(표3[노후판정],"o")</f>
        <v>19</v>
      </c>
      <c r="AK169" s="783"/>
      <c r="AL169" s="786"/>
      <c r="AM169" s="788"/>
      <c r="AN169" s="790"/>
      <c r="AO169" s="249"/>
      <c r="AP169" s="233"/>
      <c r="AQ169" s="233"/>
      <c r="AR169" s="251"/>
      <c r="AS169" s="251"/>
      <c r="AT169" s="233"/>
      <c r="AU169" s="769"/>
      <c r="AV169" s="583"/>
      <c r="AW169" s="583"/>
      <c r="AX169" s="583"/>
      <c r="AY169" s="583"/>
      <c r="AZ169" s="583"/>
      <c r="BA169" s="583"/>
      <c r="BB169" s="583"/>
      <c r="BC169" s="583"/>
      <c r="BD169" s="583"/>
      <c r="BE169" s="583"/>
      <c r="BF169" s="252"/>
      <c r="BG169" s="252"/>
      <c r="BH169" s="252"/>
      <c r="BI169" s="252"/>
      <c r="BJ169" s="252"/>
      <c r="BK169" s="252"/>
      <c r="BL169" s="252"/>
      <c r="BM169" s="252"/>
      <c r="BN169" s="252"/>
      <c r="BO169" s="252"/>
      <c r="BP169" s="252"/>
      <c r="BQ169" s="252"/>
      <c r="BR169" s="252"/>
      <c r="BS169" s="252"/>
      <c r="BT169" s="252"/>
      <c r="BU169" s="252"/>
      <c r="BV169" s="252"/>
      <c r="BW169" s="252"/>
      <c r="BX169" s="252"/>
      <c r="BY169" s="252"/>
      <c r="BZ169" s="252"/>
      <c r="CA169" s="252"/>
      <c r="CB169" s="252"/>
      <c r="CC169" s="711"/>
      <c r="CD169" s="711"/>
      <c r="CE169" s="253"/>
      <c r="CF169" s="254"/>
      <c r="CG169" s="254"/>
      <c r="CH169" s="254"/>
      <c r="CI169" s="254"/>
      <c r="CJ169" s="254"/>
      <c r="CK169" s="253"/>
      <c r="CL169" s="252"/>
      <c r="CM169" s="252"/>
      <c r="CN169" s="252"/>
      <c r="CO169" s="252"/>
      <c r="CP169" s="252"/>
      <c r="CQ169" s="252"/>
      <c r="CR169" s="233"/>
      <c r="CS169" s="233"/>
      <c r="CT169" s="233"/>
      <c r="CU169" s="233"/>
      <c r="CV169" s="233"/>
      <c r="CW169" s="233"/>
      <c r="CX169" s="233"/>
      <c r="CY169" s="233"/>
      <c r="CZ169" s="233"/>
      <c r="DA169" s="233"/>
      <c r="DB169" s="233"/>
      <c r="DC169" s="233"/>
      <c r="DD169" s="233"/>
      <c r="DE169" s="233"/>
      <c r="DF169" s="255"/>
    </row>
    <row r="170" spans="1:110" ht="18.5" thickTop="1" thickBot="1">
      <c r="A170" s="247"/>
      <c r="B170" s="860">
        <f>SUBTOTAL(104,표3[연번])</f>
        <v>100</v>
      </c>
      <c r="C170" s="248"/>
      <c r="D170" s="248"/>
      <c r="E170" s="766" t="s">
        <v>517</v>
      </c>
      <c r="F170" s="767"/>
      <c r="G170" s="299"/>
      <c r="H170" s="300"/>
      <c r="I170" s="300"/>
      <c r="J170" s="300"/>
      <c r="K170" s="300"/>
      <c r="L170" s="300"/>
      <c r="M170" s="300"/>
      <c r="N170" s="300"/>
      <c r="O170" s="299"/>
      <c r="P170" s="300"/>
      <c r="Q170" s="301">
        <f>COUNTIF(표3[지목],"전")</f>
        <v>0</v>
      </c>
      <c r="R170" s="881"/>
      <c r="S170" s="881"/>
      <c r="T170" s="663"/>
      <c r="U170" s="770">
        <f>COUNTIF(표3[과소
필지],"O")</f>
        <v>30</v>
      </c>
      <c r="V170" s="249"/>
      <c r="W170" s="282">
        <f>SUMIF(표3[노후판정],"O",표3[전유면적])</f>
        <v>4504.8</v>
      </c>
      <c r="X170" s="232">
        <f>SUMIF(표3[노후판정],"O",표3[지하])</f>
        <v>1280.3600000000001</v>
      </c>
      <c r="Y170" s="304">
        <f>SUM(W170:X170)</f>
        <v>5785.16</v>
      </c>
      <c r="Z170" s="305">
        <f>SUMIF(표3[노후판정],"O",표3[연면적])</f>
        <v>7410.11</v>
      </c>
      <c r="AA170" s="283">
        <f>COUNTIF(표3[지하층용도],"*주택*")</f>
        <v>0</v>
      </c>
      <c r="AB170" s="250"/>
      <c r="AC170" s="275" t="s">
        <v>518</v>
      </c>
      <c r="AD170" s="276">
        <f>COUNTIFS(표3[건물연령],"&gt;10",표3[건물연령],"&lt;=20")</f>
        <v>3</v>
      </c>
      <c r="AE170" s="858"/>
      <c r="AF170" s="229" t="s">
        <v>519</v>
      </c>
      <c r="AG170" s="229" t="s">
        <v>520</v>
      </c>
      <c r="AH170" s="229"/>
      <c r="AI170" s="292">
        <f>COUNTIFS(표3[주용도],"*공동*",표3[주구조],"&lt;&gt;*콘크리트*",표3[건물연령],"&gt;=20")</f>
        <v>1</v>
      </c>
      <c r="AJ170" s="802"/>
      <c r="AK170" s="867">
        <f>SUBTOTAL(109,표3[세대수])</f>
        <v>0</v>
      </c>
      <c r="AL170" s="792">
        <f>SUM(표3[가구수])</f>
        <v>0</v>
      </c>
      <c r="AM170" s="795">
        <f>SUBTOTAL(103,표3[지상2])</f>
        <v>29</v>
      </c>
      <c r="AN170" s="798">
        <f>COUNTIF(표3[지하3],1)</f>
        <v>18</v>
      </c>
      <c r="AO170" s="249"/>
      <c r="AP170" s="233"/>
      <c r="AQ170" s="233"/>
      <c r="AR170" s="251"/>
      <c r="AS170" s="251"/>
      <c r="AT170" s="233"/>
      <c r="AU170" s="791">
        <f>SUBTOTAL(103,표3[거주중])</f>
        <v>44</v>
      </c>
      <c r="AV170" s="584"/>
      <c r="AW170" s="584"/>
      <c r="AX170" s="584"/>
      <c r="AY170" s="584"/>
      <c r="AZ170" s="584"/>
      <c r="BA170" s="584"/>
      <c r="BB170" s="584"/>
      <c r="BC170" s="584"/>
      <c r="BD170" s="584"/>
      <c r="BE170" s="584"/>
      <c r="BF170" s="252"/>
      <c r="BG170" s="252"/>
      <c r="BH170" s="252"/>
      <c r="BI170" s="252"/>
      <c r="BJ170" s="252"/>
      <c r="BK170" s="252"/>
      <c r="BL170" s="252"/>
      <c r="BM170" s="252"/>
      <c r="BN170" s="252"/>
      <c r="BO170" s="252"/>
      <c r="BP170" s="252"/>
      <c r="BQ170" s="252"/>
      <c r="BR170" s="252"/>
      <c r="BS170" s="252"/>
      <c r="BT170" s="252"/>
      <c r="BU170" s="252"/>
      <c r="BV170" s="252"/>
      <c r="BW170" s="252"/>
      <c r="BX170" s="252"/>
      <c r="BY170" s="252"/>
      <c r="BZ170" s="252"/>
      <c r="CA170" s="252"/>
      <c r="CB170" s="252"/>
      <c r="CC170" s="711"/>
      <c r="CD170" s="711"/>
      <c r="CE170" s="253"/>
      <c r="CF170" s="254"/>
      <c r="CG170" s="254"/>
      <c r="CH170" s="254"/>
      <c r="CI170" s="254"/>
      <c r="CJ170" s="254"/>
      <c r="CK170" s="253"/>
      <c r="CL170" s="252"/>
      <c r="CM170" s="252"/>
      <c r="CN170" s="252"/>
      <c r="CO170" s="252"/>
      <c r="CP170" s="252"/>
      <c r="CQ170" s="252"/>
      <c r="CR170" s="233"/>
      <c r="CS170" s="233"/>
      <c r="CT170" s="233"/>
      <c r="CU170" s="233"/>
      <c r="CV170" s="233"/>
      <c r="CW170" s="233"/>
      <c r="CX170" s="233"/>
      <c r="CY170" s="233"/>
      <c r="CZ170" s="233"/>
      <c r="DA170" s="233"/>
      <c r="DB170" s="233"/>
      <c r="DC170" s="233"/>
      <c r="DD170" s="233"/>
      <c r="DE170" s="233"/>
      <c r="DF170" s="255"/>
    </row>
    <row r="171" spans="1:110" ht="18.5" thickTop="1" thickBot="1">
      <c r="A171" s="247"/>
      <c r="B171" s="861"/>
      <c r="C171" s="248"/>
      <c r="D171" s="248"/>
      <c r="E171" s="766" t="s">
        <v>521</v>
      </c>
      <c r="F171" s="767"/>
      <c r="G171" s="299"/>
      <c r="H171" s="300"/>
      <c r="I171" s="300"/>
      <c r="J171" s="300"/>
      <c r="K171" s="300"/>
      <c r="L171" s="300"/>
      <c r="M171" s="300"/>
      <c r="N171" s="300"/>
      <c r="O171" s="299"/>
      <c r="P171" s="300"/>
      <c r="Q171" s="301">
        <f>COUNTIF(표3[지목],"주차장")</f>
        <v>0</v>
      </c>
      <c r="R171" s="881"/>
      <c r="S171" s="881"/>
      <c r="T171" s="664"/>
      <c r="U171" s="771"/>
      <c r="V171" s="249"/>
      <c r="W171" s="285"/>
      <c r="X171" s="286"/>
      <c r="Y171" s="287"/>
      <c r="Z171" s="870" t="s">
        <v>522</v>
      </c>
      <c r="AA171" s="877" t="s">
        <v>523</v>
      </c>
      <c r="AB171" s="250"/>
      <c r="AC171" s="275" t="s">
        <v>524</v>
      </c>
      <c r="AD171" s="276">
        <f>COUNTIFS(표3[건물연령],"&gt;20",표3[건물연령],"&lt;=30")</f>
        <v>9</v>
      </c>
      <c r="AE171" s="857" t="s">
        <v>525</v>
      </c>
      <c r="AF171" s="290" t="s">
        <v>515</v>
      </c>
      <c r="AG171" s="290" t="s">
        <v>526</v>
      </c>
      <c r="AH171" s="290"/>
      <c r="AI171" s="291">
        <f>COUNTIFS(표3[주용도],"&lt;&gt;*공동*",표3[주용도],"&lt;&gt;*단독*",표3[주구조],"*콘크리트*",표3[건물연령],"&gt;=30")</f>
        <v>4</v>
      </c>
      <c r="AJ171" s="802"/>
      <c r="AK171" s="868"/>
      <c r="AL171" s="793"/>
      <c r="AM171" s="795"/>
      <c r="AN171" s="798"/>
      <c r="AO171" s="249"/>
      <c r="AP171" s="233"/>
      <c r="AQ171" s="233"/>
      <c r="AR171" s="251"/>
      <c r="AS171" s="251"/>
      <c r="AT171" s="233"/>
      <c r="AU171" s="791"/>
      <c r="AV171" s="584"/>
      <c r="AW171" s="584"/>
      <c r="AX171" s="584"/>
      <c r="AY171" s="584"/>
      <c r="AZ171" s="584"/>
      <c r="BA171" s="584"/>
      <c r="BB171" s="584"/>
      <c r="BC171" s="584"/>
      <c r="BD171" s="584"/>
      <c r="BE171" s="584"/>
      <c r="BF171" s="252"/>
      <c r="BG171" s="252"/>
      <c r="BH171" s="252"/>
      <c r="BI171" s="252"/>
      <c r="BJ171" s="252"/>
      <c r="BK171" s="252"/>
      <c r="BL171" s="252"/>
      <c r="BM171" s="252"/>
      <c r="BN171" s="252"/>
      <c r="BO171" s="252"/>
      <c r="BP171" s="252"/>
      <c r="BQ171" s="252"/>
      <c r="BR171" s="252"/>
      <c r="BS171" s="252"/>
      <c r="BT171" s="252"/>
      <c r="BU171" s="252"/>
      <c r="BV171" s="252"/>
      <c r="BW171" s="252"/>
      <c r="BX171" s="252"/>
      <c r="BY171" s="252"/>
      <c r="BZ171" s="252"/>
      <c r="CA171" s="252"/>
      <c r="CB171" s="252"/>
      <c r="CC171" s="711"/>
      <c r="CD171" s="711"/>
      <c r="CE171" s="253"/>
      <c r="CF171" s="254"/>
      <c r="CG171" s="254"/>
      <c r="CH171" s="254"/>
      <c r="CI171" s="254"/>
      <c r="CJ171" s="254"/>
      <c r="CK171" s="253"/>
      <c r="CL171" s="252"/>
      <c r="CM171" s="252"/>
      <c r="CN171" s="252"/>
      <c r="CO171" s="252"/>
      <c r="CP171" s="252"/>
      <c r="CQ171" s="252"/>
      <c r="CR171" s="233"/>
      <c r="CS171" s="233"/>
      <c r="CT171" s="233"/>
      <c r="CU171" s="233"/>
      <c r="CV171" s="233"/>
      <c r="CW171" s="233"/>
      <c r="CX171" s="233"/>
      <c r="CY171" s="233"/>
      <c r="CZ171" s="233"/>
      <c r="DA171" s="233"/>
      <c r="DB171" s="233"/>
      <c r="DC171" s="233"/>
      <c r="DD171" s="233"/>
      <c r="DE171" s="233"/>
      <c r="DF171" s="255"/>
    </row>
    <row r="172" spans="1:110" ht="18.5" thickTop="1" thickBot="1">
      <c r="A172" s="247"/>
      <c r="B172" s="861"/>
      <c r="C172" s="248"/>
      <c r="D172" s="248"/>
      <c r="E172" s="766" t="s">
        <v>527</v>
      </c>
      <c r="F172" s="767"/>
      <c r="G172" s="299"/>
      <c r="H172" s="300"/>
      <c r="I172" s="300"/>
      <c r="J172" s="300"/>
      <c r="K172" s="300"/>
      <c r="L172" s="300"/>
      <c r="M172" s="300"/>
      <c r="N172" s="300"/>
      <c r="O172" s="299"/>
      <c r="P172" s="300"/>
      <c r="Q172" s="301">
        <f>COUNTIF(표3[지목],"임야")</f>
        <v>0</v>
      </c>
      <c r="R172" s="881"/>
      <c r="S172" s="881"/>
      <c r="T172" s="663"/>
      <c r="U172" s="772">
        <f>U170/Q173</f>
        <v>0.90909090909090906</v>
      </c>
      <c r="V172" s="249"/>
      <c r="W172" s="285"/>
      <c r="X172" s="286"/>
      <c r="Y172" s="287"/>
      <c r="Z172" s="870"/>
      <c r="AA172" s="877"/>
      <c r="AB172" s="250"/>
      <c r="AC172" s="277" t="s">
        <v>528</v>
      </c>
      <c r="AD172" s="278">
        <f>COUNTIF(표3[건물연령],"&gt;30")</f>
        <v>15</v>
      </c>
      <c r="AE172" s="859"/>
      <c r="AF172" s="281" t="s">
        <v>519</v>
      </c>
      <c r="AG172" s="270" t="s">
        <v>529</v>
      </c>
      <c r="AH172" s="270"/>
      <c r="AI172" s="306">
        <f>COUNTIFS(표3[주용도],"&lt;&gt;*공동*",표3[주구조],"&lt;&gt;*콘크리트*",표3[건물연령],"&gt;20")</f>
        <v>3</v>
      </c>
      <c r="AJ172" s="802"/>
      <c r="AK172" s="868"/>
      <c r="AL172" s="793"/>
      <c r="AM172" s="795"/>
      <c r="AN172" s="798"/>
      <c r="AO172" s="249"/>
      <c r="AP172" s="233"/>
      <c r="AQ172" s="233"/>
      <c r="AR172" s="251"/>
      <c r="AS172" s="251"/>
      <c r="AT172" s="233"/>
      <c r="AU172" s="791"/>
      <c r="AV172" s="584"/>
      <c r="AW172" s="584"/>
      <c r="AX172" s="584"/>
      <c r="AY172" s="584"/>
      <c r="AZ172" s="584"/>
      <c r="BA172" s="584"/>
      <c r="BB172" s="584"/>
      <c r="BC172" s="584"/>
      <c r="BD172" s="584"/>
      <c r="BE172" s="584"/>
      <c r="BF172" s="252"/>
      <c r="BG172" s="252"/>
      <c r="BH172" s="252"/>
      <c r="BI172" s="252"/>
      <c r="BJ172" s="252"/>
      <c r="BK172" s="252"/>
      <c r="BL172" s="252"/>
      <c r="BM172" s="252"/>
      <c r="BN172" s="252"/>
      <c r="BO172" s="252"/>
      <c r="BP172" s="252"/>
      <c r="BQ172" s="252"/>
      <c r="BR172" s="252"/>
      <c r="BS172" s="252"/>
      <c r="BT172" s="252"/>
      <c r="BU172" s="252"/>
      <c r="BV172" s="252"/>
      <c r="BW172" s="252"/>
      <c r="BX172" s="252"/>
      <c r="BY172" s="252"/>
      <c r="BZ172" s="252"/>
      <c r="CA172" s="252"/>
      <c r="CB172" s="252"/>
      <c r="CC172" s="711"/>
      <c r="CD172" s="711"/>
      <c r="CE172" s="253"/>
      <c r="CF172" s="254"/>
      <c r="CG172" s="254"/>
      <c r="CH172" s="254"/>
      <c r="CI172" s="254"/>
      <c r="CJ172" s="254"/>
      <c r="CK172" s="253"/>
      <c r="CL172" s="252"/>
      <c r="CM172" s="252"/>
      <c r="CN172" s="252"/>
      <c r="CO172" s="252"/>
      <c r="CP172" s="252"/>
      <c r="CQ172" s="252"/>
      <c r="CR172" s="233"/>
      <c r="CS172" s="233"/>
      <c r="CT172" s="233"/>
      <c r="CU172" s="233"/>
      <c r="CV172" s="233"/>
      <c r="CW172" s="233"/>
      <c r="CX172" s="233"/>
      <c r="CY172" s="233"/>
      <c r="CZ172" s="233"/>
      <c r="DA172" s="233"/>
      <c r="DB172" s="233"/>
      <c r="DC172" s="233"/>
      <c r="DD172" s="233"/>
      <c r="DE172" s="233"/>
      <c r="DF172" s="255"/>
    </row>
    <row r="173" spans="1:110" ht="18.5" thickTop="1" thickBot="1">
      <c r="A173" s="247"/>
      <c r="B173" s="862"/>
      <c r="C173" s="248"/>
      <c r="D173" s="248"/>
      <c r="E173" s="775" t="s">
        <v>530</v>
      </c>
      <c r="F173" s="776"/>
      <c r="G173" s="307"/>
      <c r="H173" s="308"/>
      <c r="I173" s="308"/>
      <c r="J173" s="308"/>
      <c r="K173" s="308"/>
      <c r="L173" s="308"/>
      <c r="M173" s="308"/>
      <c r="N173" s="308"/>
      <c r="O173" s="307"/>
      <c r="P173" s="308"/>
      <c r="Q173" s="875">
        <f>SUM(Q167:Q172)</f>
        <v>33</v>
      </c>
      <c r="R173" s="881"/>
      <c r="S173" s="881"/>
      <c r="T173" s="665"/>
      <c r="U173" s="773"/>
      <c r="V173" s="249"/>
      <c r="W173" s="285"/>
      <c r="X173" s="286"/>
      <c r="Y173" s="287"/>
      <c r="Z173" s="873">
        <f>Z170/Z168</f>
        <v>0.54341259510495921</v>
      </c>
      <c r="AA173" s="873">
        <f>AA170/AM170</f>
        <v>0</v>
      </c>
      <c r="AB173" s="250"/>
      <c r="AC173" s="309"/>
      <c r="AD173" s="310"/>
      <c r="AE173" s="311"/>
      <c r="AF173" s="311"/>
      <c r="AG173" s="312" t="s">
        <v>531</v>
      </c>
      <c r="AH173" s="271"/>
      <c r="AI173" s="293">
        <f>COUNTIFS(표3[주용도],"&lt;&gt;*공동*",표3[주용도],"*주택*",표3[건물연령],"&gt;=20")</f>
        <v>10</v>
      </c>
      <c r="AJ173" s="771"/>
      <c r="AK173" s="868"/>
      <c r="AL173" s="793"/>
      <c r="AM173" s="796"/>
      <c r="AN173" s="799"/>
      <c r="AO173" s="249"/>
      <c r="AP173" s="233"/>
      <c r="AQ173" s="233"/>
      <c r="AR173" s="251"/>
      <c r="AS173" s="251"/>
      <c r="AT173" s="233"/>
      <c r="AU173" s="791"/>
      <c r="AV173" s="584"/>
      <c r="AW173" s="584"/>
      <c r="AX173" s="584"/>
      <c r="AY173" s="584"/>
      <c r="AZ173" s="584"/>
      <c r="BA173" s="584"/>
      <c r="BB173" s="584"/>
      <c r="BC173" s="584"/>
      <c r="BD173" s="584"/>
      <c r="BE173" s="584"/>
      <c r="BF173" s="252"/>
      <c r="BG173" s="252"/>
      <c r="BH173" s="252"/>
      <c r="BI173" s="252"/>
      <c r="BJ173" s="252"/>
      <c r="BK173" s="252"/>
      <c r="BL173" s="252"/>
      <c r="BM173" s="252"/>
      <c r="BN173" s="252"/>
      <c r="BO173" s="252"/>
      <c r="BP173" s="252"/>
      <c r="BQ173" s="252"/>
      <c r="BR173" s="252"/>
      <c r="BS173" s="252"/>
      <c r="BT173" s="252"/>
      <c r="BU173" s="252"/>
      <c r="BV173" s="252"/>
      <c r="BW173" s="252"/>
      <c r="BX173" s="252"/>
      <c r="BY173" s="252"/>
      <c r="BZ173" s="252"/>
      <c r="CA173" s="252"/>
      <c r="CB173" s="252"/>
      <c r="CC173" s="711"/>
      <c r="CD173" s="711"/>
      <c r="CE173" s="253"/>
      <c r="CF173" s="254"/>
      <c r="CG173" s="254"/>
      <c r="CH173" s="254"/>
      <c r="CI173" s="254"/>
      <c r="CJ173" s="254"/>
      <c r="CK173" s="253"/>
      <c r="CL173" s="252"/>
      <c r="CM173" s="252"/>
      <c r="CN173" s="252"/>
      <c r="CO173" s="252"/>
      <c r="CP173" s="252"/>
      <c r="CQ173" s="252"/>
      <c r="CR173" s="233"/>
      <c r="CS173" s="233"/>
      <c r="CT173" s="233"/>
      <c r="CU173" s="233"/>
      <c r="CV173" s="233"/>
      <c r="CW173" s="233"/>
      <c r="CX173" s="233"/>
      <c r="CY173" s="233"/>
      <c r="CZ173" s="233"/>
      <c r="DA173" s="233"/>
      <c r="DB173" s="233"/>
      <c r="DC173" s="233"/>
      <c r="DD173" s="233"/>
      <c r="DE173" s="233"/>
      <c r="DF173" s="255"/>
    </row>
    <row r="174" spans="1:110" ht="18.5" thickTop="1" thickBot="1">
      <c r="A174" s="256"/>
      <c r="B174" s="863"/>
      <c r="C174" s="257"/>
      <c r="D174" s="257"/>
      <c r="E174" s="777"/>
      <c r="F174" s="778"/>
      <c r="G174" s="302"/>
      <c r="H174" s="303"/>
      <c r="I174" s="303"/>
      <c r="J174" s="303"/>
      <c r="K174" s="303"/>
      <c r="L174" s="303"/>
      <c r="M174" s="303"/>
      <c r="N174" s="303"/>
      <c r="O174" s="302"/>
      <c r="P174" s="303"/>
      <c r="Q174" s="876"/>
      <c r="R174" s="881"/>
      <c r="S174" s="881"/>
      <c r="T174" s="664"/>
      <c r="U174" s="774"/>
      <c r="V174" s="258"/>
      <c r="W174" s="288"/>
      <c r="X174" s="259"/>
      <c r="Y174" s="260"/>
      <c r="Z174" s="874"/>
      <c r="AA174" s="874"/>
      <c r="AB174" s="261"/>
      <c r="AC174" s="262"/>
      <c r="AD174" s="263"/>
      <c r="AE174" s="263"/>
      <c r="AF174" s="257"/>
      <c r="AG174" s="279" t="s">
        <v>22</v>
      </c>
      <c r="AH174" s="272" t="s">
        <v>22</v>
      </c>
      <c r="AI174" s="852">
        <f>AJ169/AM170</f>
        <v>0.65517241379310343</v>
      </c>
      <c r="AJ174" s="853"/>
      <c r="AK174" s="869"/>
      <c r="AL174" s="794"/>
      <c r="AM174" s="797"/>
      <c r="AN174" s="800"/>
      <c r="AO174" s="258"/>
      <c r="AP174" s="264"/>
      <c r="AQ174" s="264"/>
      <c r="AR174" s="265"/>
      <c r="AS174" s="265"/>
      <c r="AT174" s="264"/>
      <c r="AU174" s="791"/>
      <c r="AV174" s="585"/>
      <c r="AW174" s="585"/>
      <c r="AX174" s="585"/>
      <c r="AY174" s="585"/>
      <c r="AZ174" s="585"/>
      <c r="BA174" s="585"/>
      <c r="BB174" s="585"/>
      <c r="BC174" s="585"/>
      <c r="BD174" s="585"/>
      <c r="BE174" s="585"/>
      <c r="BF174" s="266"/>
      <c r="BG174" s="266"/>
      <c r="BH174" s="266"/>
      <c r="BI174" s="266"/>
      <c r="BJ174" s="266"/>
      <c r="BK174" s="266"/>
      <c r="BL174" s="266"/>
      <c r="BM174" s="266"/>
      <c r="BN174" s="266"/>
      <c r="BO174" s="266"/>
      <c r="BP174" s="266"/>
      <c r="BQ174" s="266"/>
      <c r="BR174" s="266"/>
      <c r="BS174" s="266"/>
      <c r="BT174" s="266"/>
      <c r="BU174" s="266"/>
      <c r="BV174" s="266"/>
      <c r="BW174" s="266"/>
      <c r="BX174" s="266"/>
      <c r="BY174" s="266"/>
      <c r="BZ174" s="266"/>
      <c r="CA174" s="266"/>
      <c r="CB174" s="266"/>
      <c r="CC174" s="712"/>
      <c r="CD174" s="712"/>
      <c r="CE174" s="267"/>
      <c r="CF174" s="268"/>
      <c r="CG174" s="268"/>
      <c r="CH174" s="268"/>
      <c r="CI174" s="268"/>
      <c r="CJ174" s="268"/>
      <c r="CK174" s="267"/>
      <c r="CL174" s="266"/>
      <c r="CM174" s="266"/>
      <c r="CN174" s="266"/>
      <c r="CO174" s="266"/>
      <c r="CP174" s="266"/>
      <c r="CQ174" s="266"/>
      <c r="CR174" s="264"/>
      <c r="CS174" s="264"/>
      <c r="CT174" s="264"/>
      <c r="CU174" s="264"/>
      <c r="CV174" s="264"/>
      <c r="CW174" s="264"/>
      <c r="CX174" s="264"/>
      <c r="CY174" s="264"/>
      <c r="CZ174" s="264"/>
      <c r="DA174" s="264"/>
      <c r="DB174" s="264"/>
      <c r="DC174" s="264"/>
      <c r="DD174" s="264"/>
      <c r="DE174" s="264"/>
      <c r="DF174" s="269"/>
    </row>
    <row r="175" spans="1:110" ht="17.5" thickTop="1">
      <c r="A175" s="210"/>
      <c r="B175" s="225"/>
      <c r="CS175" s="211"/>
      <c r="CT175" s="212"/>
      <c r="CU175" s="212"/>
      <c r="CV175" s="212"/>
      <c r="CW175" s="212"/>
      <c r="CX175" s="212"/>
      <c r="CY175" s="212"/>
      <c r="CZ175" s="212"/>
      <c r="DA175" s="212"/>
      <c r="DB175" s="212"/>
      <c r="DC175" s="212"/>
      <c r="DD175" s="212"/>
      <c r="DE175" s="212"/>
      <c r="DF175" s="213"/>
    </row>
    <row r="176" spans="1:110">
      <c r="V176" s="174"/>
    </row>
    <row r="177" spans="23:41">
      <c r="W177" s="75">
        <f>11672.65/3.3025</f>
        <v>3534.4890234670702</v>
      </c>
      <c r="Z177" s="174"/>
      <c r="AO177" s="826" t="s">
        <v>532</v>
      </c>
    </row>
    <row r="178" spans="23:41">
      <c r="AO178" s="827"/>
    </row>
    <row r="179" spans="23:41">
      <c r="AO179" s="228">
        <f>COUNTIFS(표3[사용승인일자],"&lt;1981-12-31",표3[주용도],"*공동*",표3[주구조],"*콘크리트*")</f>
        <v>0</v>
      </c>
    </row>
    <row r="180" spans="23:41">
      <c r="AO180" s="228">
        <f>COUNTIFS(표3[사용승인일자],"&lt;1982-01-01",표3[주용도],"*공동*",표3[주구조],"*콘크리트*")</f>
        <v>0</v>
      </c>
    </row>
    <row r="181" spans="23:41">
      <c r="AO181" s="228">
        <f>COUNTIFS(표3[사용승인일자],"&lt;1983-01-01",표3[주용도],"*공동*",표3[주구조],"*콘크리트*")</f>
        <v>0</v>
      </c>
    </row>
    <row r="182" spans="23:41">
      <c r="AO182" s="228">
        <f>COUNTIFS(표3[사용승인일자],"&lt;1984-01-01",표3[주용도],"*공동*",표3[주구조],"*콘크리트*")</f>
        <v>0</v>
      </c>
    </row>
    <row r="183" spans="23:41">
      <c r="AO183" s="228">
        <f>COUNTIFS(표3[사용승인일자],"&lt;1985-01-01",표3[주용도],"*공동*",표3[주구조],"*콘크리트*")</f>
        <v>0</v>
      </c>
    </row>
    <row r="184" spans="23:41">
      <c r="AO184" s="228">
        <f>COUNTIFS(표3[사용승인일자],"&lt;1986-01-01",표3[주용도],"*공동*",표3[주구조],"*콘크리트*")</f>
        <v>0</v>
      </c>
    </row>
    <row r="185" spans="23:41">
      <c r="AO185" s="228">
        <f>COUNTIFS(표3[사용승인일자],"&lt;1987-01-01",표3[주용도],"*공동*",표3[주구조],"*콘크리트*")</f>
        <v>0</v>
      </c>
    </row>
    <row r="186" spans="23:41">
      <c r="AO186" s="228">
        <f>COUNTIFS(표3[사용승인일자],"&lt;1988-01-01",표3[주용도],"*공동*",표3[주구조],"*콘크리트*")</f>
        <v>0</v>
      </c>
    </row>
    <row r="187" spans="23:41">
      <c r="AO187" s="228">
        <f>COUNTIFS(표3[사용승인일자],"&lt;1989-01-01",표3[주용도],"*공동*",표3[주구조],"*콘크리트*")</f>
        <v>0</v>
      </c>
    </row>
    <row r="188" spans="23:41">
      <c r="AO188" s="228">
        <f>COUNTIFS(표3[사용승인일자],"&lt;1990-01-01",표3[주용도],"*공동*",표3[주구조],"*콘크리트*")</f>
        <v>0</v>
      </c>
    </row>
    <row r="189" spans="23:41">
      <c r="AO189" s="228">
        <f>COUNTIFS(표3[사용승인일자],"&lt;1985-01-01",표3[주용도],"*공동*",표3[주구조],"*콘크리트*")</f>
        <v>0</v>
      </c>
    </row>
    <row r="200" spans="19:19">
      <c r="S200" s="184">
        <v>5.7142857142857144</v>
      </c>
    </row>
  </sheetData>
  <dataConsolidate link="1"/>
  <mergeCells count="65">
    <mergeCell ref="AC2:AF2"/>
    <mergeCell ref="Z173:Z174"/>
    <mergeCell ref="AA173:AA174"/>
    <mergeCell ref="Q173:Q174"/>
    <mergeCell ref="AA171:AA172"/>
    <mergeCell ref="AA167:AA169"/>
    <mergeCell ref="R170:R174"/>
    <mergeCell ref="S170:S174"/>
    <mergeCell ref="R167:R169"/>
    <mergeCell ref="S167:S169"/>
    <mergeCell ref="AC167:AD167"/>
    <mergeCell ref="AO177:AO178"/>
    <mergeCell ref="AK3:AL3"/>
    <mergeCell ref="AF168:AG168"/>
    <mergeCell ref="A2:F3"/>
    <mergeCell ref="G2:P3"/>
    <mergeCell ref="Q2:V3"/>
    <mergeCell ref="W2:AB3"/>
    <mergeCell ref="AI168:AJ168"/>
    <mergeCell ref="AI174:AJ174"/>
    <mergeCell ref="AE167:AJ167"/>
    <mergeCell ref="AE169:AE170"/>
    <mergeCell ref="AE171:AE172"/>
    <mergeCell ref="B170:B174"/>
    <mergeCell ref="B167:B169"/>
    <mergeCell ref="AK170:AK174"/>
    <mergeCell ref="Z171:Z172"/>
    <mergeCell ref="AJ169:AJ173"/>
    <mergeCell ref="CE1:CK1"/>
    <mergeCell ref="CM2:CN2"/>
    <mergeCell ref="CP2:DF2"/>
    <mergeCell ref="AC3:AE3"/>
    <mergeCell ref="AM3:AN3"/>
    <mergeCell ref="BF3:BJ3"/>
    <mergeCell ref="BK3:BR3"/>
    <mergeCell ref="CF3:CG3"/>
    <mergeCell ref="CM3:CN3"/>
    <mergeCell ref="CT3:CZ3"/>
    <mergeCell ref="DA3:DC3"/>
    <mergeCell ref="DD3:DF3"/>
    <mergeCell ref="AG3:AH3"/>
    <mergeCell ref="AI3:AJ3"/>
    <mergeCell ref="A1:AU1"/>
    <mergeCell ref="AN167:AN169"/>
    <mergeCell ref="AU170:AU174"/>
    <mergeCell ref="AU167:AU169"/>
    <mergeCell ref="AL170:AL174"/>
    <mergeCell ref="AM170:AM174"/>
    <mergeCell ref="AN170:AN174"/>
    <mergeCell ref="BS3:BU3"/>
    <mergeCell ref="BV3:BX3"/>
    <mergeCell ref="BY3:CB3"/>
    <mergeCell ref="E171:F171"/>
    <mergeCell ref="E172:F172"/>
    <mergeCell ref="U167:U169"/>
    <mergeCell ref="U170:U171"/>
    <mergeCell ref="U172:U174"/>
    <mergeCell ref="E173:F174"/>
    <mergeCell ref="E167:F167"/>
    <mergeCell ref="E168:F168"/>
    <mergeCell ref="E169:F169"/>
    <mergeCell ref="E170:F170"/>
    <mergeCell ref="AK167:AK169"/>
    <mergeCell ref="AL167:AL169"/>
    <mergeCell ref="AM167:AM169"/>
  </mergeCells>
  <phoneticPr fontId="1" type="noConversion"/>
  <conditionalFormatting sqref="A1:A1048576">
    <cfRule type="cellIs" dxfId="142" priority="8" operator="equal">
      <formula>"v"</formula>
    </cfRule>
  </conditionalFormatting>
  <conditionalFormatting sqref="J5:M166">
    <cfRule type="containsText" dxfId="141" priority="1" operator="containsText" text="X">
      <formula>NOT(ISERROR(SEARCH("X",J5)))</formula>
    </cfRule>
    <cfRule type="containsText" dxfId="140" priority="2" operator="containsText" text="O">
      <formula>NOT(ISERROR(SEARCH("O",J5)))</formula>
    </cfRule>
  </conditionalFormatting>
  <conditionalFormatting sqref="AO190:AO1048576 AO4:AO5 AO7:AO176">
    <cfRule type="duplicateValues" dxfId="139" priority="6"/>
  </conditionalFormatting>
  <conditionalFormatting sqref="AO190:AO1048576 AO5 AO7:AO78 AO80:AO176">
    <cfRule type="duplicateValues" dxfId="138" priority="14"/>
  </conditionalFormatting>
  <conditionalFormatting sqref="AT4:AT54 AT56:AT107 AT166:AT1048576 AT109:AT164">
    <cfRule type="duplicateValues" dxfId="137" priority="5"/>
  </conditionalFormatting>
  <printOptions horizontalCentered="1" verticalCentered="1"/>
  <pageMargins left="0" right="0" top="0" bottom="0" header="0" footer="0"/>
  <pageSetup paperSize="8" scale="16" fitToHeight="3" orientation="landscape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BE29-2DCB-412E-9017-2FE0D6890FD1}">
  <sheetPr codeName="Sheet1"/>
  <dimension ref="A1:X833"/>
  <sheetViews>
    <sheetView zoomScale="115" zoomScaleNormal="115" workbookViewId="0">
      <pane xSplit="7" ySplit="4" topLeftCell="H5" activePane="bottomRight" state="frozen"/>
      <selection pane="topRight" activeCell="B5" sqref="B5"/>
      <selection pane="bottomLeft" activeCell="B5" sqref="B5"/>
      <selection pane="bottomRight" activeCell="B5" sqref="B5"/>
    </sheetView>
  </sheetViews>
  <sheetFormatPr defaultColWidth="8.75" defaultRowHeight="17"/>
  <cols>
    <col min="1" max="1" width="5.83203125" style="67" customWidth="1"/>
    <col min="2" max="2" width="6.33203125" style="68" customWidth="1"/>
    <col min="3" max="4" width="6.33203125" style="69" customWidth="1"/>
    <col min="5" max="5" width="7.58203125" style="70" customWidth="1"/>
    <col min="6" max="6" width="10" style="71" bestFit="1" customWidth="1"/>
    <col min="7" max="7" width="6.08203125" style="72" bestFit="1" customWidth="1"/>
    <col min="8" max="8" width="6.33203125" style="74" bestFit="1" customWidth="1"/>
    <col min="9" max="9" width="9.5" style="74" bestFit="1" customWidth="1"/>
    <col min="10" max="10" width="10" style="184" bestFit="1" customWidth="1"/>
    <col min="11" max="11" width="9" style="72" bestFit="1" customWidth="1"/>
    <col min="12" max="12" width="13" style="74" customWidth="1"/>
    <col min="13" max="13" width="7.33203125" style="75" bestFit="1" customWidth="1"/>
    <col min="14" max="14" width="12.33203125" style="76" customWidth="1"/>
    <col min="15" max="15" width="8.5" style="72" bestFit="1" customWidth="1"/>
    <col min="16" max="16" width="7.58203125" style="72" bestFit="1" customWidth="1"/>
    <col min="17" max="17" width="12.08203125" style="77" customWidth="1"/>
    <col min="18" max="18" width="13.08203125" style="141" bestFit="1" customWidth="1"/>
    <col min="19" max="19" width="13.08203125" style="77" customWidth="1"/>
    <col min="20" max="20" width="6.58203125" style="69" customWidth="1"/>
    <col min="21" max="21" width="14.58203125" style="72" customWidth="1"/>
    <col min="22" max="22" width="17.58203125" style="72" customWidth="1"/>
    <col min="23" max="23" width="9.5" style="72" customWidth="1"/>
    <col min="24" max="24" width="9" style="72" customWidth="1"/>
  </cols>
  <sheetData>
    <row r="1" spans="1:24" ht="26" thickBot="1">
      <c r="A1" s="2" t="s">
        <v>533</v>
      </c>
      <c r="B1" s="2"/>
      <c r="C1" s="3"/>
      <c r="D1" s="3"/>
      <c r="E1" s="3"/>
      <c r="F1" s="9"/>
      <c r="G1" s="2"/>
      <c r="H1" s="1"/>
      <c r="I1" s="1"/>
      <c r="J1" s="180"/>
      <c r="K1" s="1"/>
      <c r="L1"/>
      <c r="M1"/>
      <c r="N1"/>
      <c r="O1"/>
      <c r="P1"/>
      <c r="Q1"/>
      <c r="R1" s="133"/>
      <c r="S1"/>
      <c r="T1"/>
      <c r="U1" s="121"/>
      <c r="V1" s="121"/>
      <c r="W1" s="121"/>
      <c r="X1" s="121"/>
    </row>
    <row r="2" spans="1:24" ht="17.25" customHeight="1" thickTop="1">
      <c r="A2" s="925" t="s">
        <v>39</v>
      </c>
      <c r="B2" s="926"/>
      <c r="C2" s="926"/>
      <c r="D2" s="926"/>
      <c r="E2" s="926"/>
      <c r="F2" s="926"/>
      <c r="G2" s="927"/>
      <c r="H2" s="931" t="s">
        <v>534</v>
      </c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3"/>
    </row>
    <row r="3" spans="1:24" ht="17.25" customHeight="1">
      <c r="A3" s="830"/>
      <c r="B3" s="831"/>
      <c r="C3" s="831"/>
      <c r="D3" s="831"/>
      <c r="E3" s="831"/>
      <c r="F3" s="831"/>
      <c r="G3" s="832"/>
      <c r="H3" s="928" t="s">
        <v>535</v>
      </c>
      <c r="I3" s="929"/>
      <c r="J3" s="929"/>
      <c r="K3" s="930"/>
      <c r="L3" s="122"/>
      <c r="M3" s="928" t="s">
        <v>536</v>
      </c>
      <c r="N3" s="929"/>
      <c r="O3" s="929"/>
      <c r="P3" s="930"/>
      <c r="Q3" s="934" t="s">
        <v>22</v>
      </c>
      <c r="R3" s="935"/>
      <c r="S3" s="936"/>
      <c r="T3" s="26" t="s">
        <v>49</v>
      </c>
      <c r="U3" s="26" t="s">
        <v>50</v>
      </c>
      <c r="V3" s="26" t="s">
        <v>51</v>
      </c>
      <c r="W3" s="937" t="s">
        <v>537</v>
      </c>
      <c r="X3" s="938"/>
    </row>
    <row r="4" spans="1:24" ht="17.5" thickBot="1">
      <c r="A4" s="110" t="s">
        <v>538</v>
      </c>
      <c r="B4" s="43" t="s">
        <v>539</v>
      </c>
      <c r="C4" s="20" t="s">
        <v>66</v>
      </c>
      <c r="D4" s="21" t="s">
        <v>67</v>
      </c>
      <c r="E4" s="21" t="s">
        <v>68</v>
      </c>
      <c r="F4" s="21" t="s">
        <v>540</v>
      </c>
      <c r="G4" s="44" t="s">
        <v>69</v>
      </c>
      <c r="H4" s="113" t="s">
        <v>80</v>
      </c>
      <c r="I4" s="148" t="s">
        <v>541</v>
      </c>
      <c r="J4" s="181" t="s">
        <v>82</v>
      </c>
      <c r="K4" s="10" t="s">
        <v>85</v>
      </c>
      <c r="L4" s="114" t="s">
        <v>542</v>
      </c>
      <c r="M4" s="115" t="s">
        <v>543</v>
      </c>
      <c r="N4" s="115" t="s">
        <v>87</v>
      </c>
      <c r="O4" s="115" t="s">
        <v>544</v>
      </c>
      <c r="P4" s="126" t="s">
        <v>89</v>
      </c>
      <c r="Q4" s="116" t="s">
        <v>92</v>
      </c>
      <c r="R4" s="140" t="s">
        <v>545</v>
      </c>
      <c r="S4" s="129" t="s">
        <v>94</v>
      </c>
      <c r="T4" s="127" t="s">
        <v>95</v>
      </c>
      <c r="U4" s="128" t="s">
        <v>96</v>
      </c>
      <c r="V4" s="127" t="s">
        <v>98</v>
      </c>
      <c r="W4" s="144" t="s">
        <v>101</v>
      </c>
      <c r="X4" s="144" t="s">
        <v>102</v>
      </c>
    </row>
    <row r="5" spans="1:24" ht="17.5" customHeight="1" thickTop="1">
      <c r="A5" s="111"/>
      <c r="B5" s="149"/>
      <c r="C5" s="22"/>
      <c r="D5" s="22"/>
      <c r="E5" s="22"/>
      <c r="F5" s="22"/>
      <c r="G5" s="45"/>
      <c r="H5" s="49"/>
      <c r="I5" s="125"/>
      <c r="J5" s="182"/>
      <c r="K5" s="136"/>
      <c r="L5" s="5"/>
      <c r="M5" s="27"/>
      <c r="N5" s="27"/>
      <c r="O5" s="28"/>
      <c r="P5" s="34"/>
      <c r="Q5" s="34"/>
      <c r="R5" s="123"/>
      <c r="S5" s="123"/>
      <c r="T5" s="35"/>
      <c r="U5" s="143"/>
      <c r="V5" s="143"/>
      <c r="W5" s="35"/>
      <c r="X5" s="35"/>
    </row>
    <row r="6" spans="1:24">
      <c r="A6" s="112"/>
      <c r="B6" s="149"/>
      <c r="C6" s="23"/>
      <c r="D6" s="23"/>
      <c r="E6" s="23"/>
      <c r="F6" s="23"/>
      <c r="G6" s="46"/>
      <c r="H6" s="50"/>
      <c r="I6" s="117"/>
      <c r="J6" s="183"/>
      <c r="K6" s="137"/>
      <c r="L6" s="7"/>
      <c r="M6" s="29"/>
      <c r="N6" s="29"/>
      <c r="O6" s="29"/>
      <c r="P6" s="29"/>
      <c r="Q6" s="124"/>
      <c r="R6" s="123"/>
      <c r="S6" s="123"/>
      <c r="T6" s="32"/>
      <c r="U6" s="135"/>
      <c r="V6" s="135"/>
      <c r="W6" s="35"/>
      <c r="X6" s="32"/>
    </row>
    <row r="7" spans="1:24">
      <c r="A7" s="112"/>
      <c r="B7" s="149"/>
      <c r="C7" s="23"/>
      <c r="D7" s="23"/>
      <c r="E7" s="23"/>
      <c r="F7" s="23"/>
      <c r="G7" s="46"/>
      <c r="H7" s="50"/>
      <c r="I7" s="117"/>
      <c r="J7" s="183"/>
      <c r="K7" s="137"/>
      <c r="L7" s="7"/>
      <c r="M7" s="29"/>
      <c r="N7" s="29"/>
      <c r="O7" s="29"/>
      <c r="P7" s="29"/>
      <c r="Q7" s="124"/>
      <c r="R7" s="123"/>
      <c r="S7" s="123"/>
      <c r="T7" s="32"/>
      <c r="U7" s="135"/>
      <c r="V7" s="135"/>
      <c r="W7" s="35"/>
      <c r="X7" s="32"/>
    </row>
    <row r="8" spans="1:24">
      <c r="A8" s="112"/>
      <c r="B8" s="149"/>
      <c r="C8" s="23"/>
      <c r="D8" s="23"/>
      <c r="E8" s="23"/>
      <c r="F8" s="23"/>
      <c r="G8" s="46"/>
      <c r="H8" s="50"/>
      <c r="I8" s="117"/>
      <c r="J8" s="183"/>
      <c r="K8" s="137"/>
      <c r="L8" s="7"/>
      <c r="M8" s="29"/>
      <c r="N8" s="29"/>
      <c r="O8" s="29"/>
      <c r="P8" s="29"/>
      <c r="Q8" s="124"/>
      <c r="R8" s="123"/>
      <c r="S8" s="134"/>
      <c r="T8" s="32"/>
      <c r="U8" s="135"/>
      <c r="V8" s="135"/>
      <c r="W8" s="35"/>
      <c r="X8" s="32"/>
    </row>
    <row r="9" spans="1:24">
      <c r="A9" s="112"/>
      <c r="B9" s="149"/>
      <c r="C9" s="23"/>
      <c r="D9" s="23"/>
      <c r="E9" s="23"/>
      <c r="F9" s="23"/>
      <c r="G9" s="46"/>
      <c r="H9" s="50"/>
      <c r="I9" s="117"/>
      <c r="J9" s="183"/>
      <c r="K9" s="137"/>
      <c r="L9" s="7"/>
      <c r="M9" s="29"/>
      <c r="N9" s="29"/>
      <c r="O9" s="29"/>
      <c r="P9" s="29"/>
      <c r="Q9" s="124"/>
      <c r="R9" s="123"/>
      <c r="S9" s="123"/>
      <c r="T9" s="32"/>
      <c r="U9" s="135"/>
      <c r="V9" s="135"/>
      <c r="W9" s="35"/>
      <c r="X9" s="32"/>
    </row>
    <row r="10" spans="1:24">
      <c r="A10" s="112"/>
      <c r="B10" s="149"/>
      <c r="C10" s="23"/>
      <c r="D10" s="23"/>
      <c r="E10" s="23"/>
      <c r="F10" s="23"/>
      <c r="G10" s="46"/>
      <c r="H10" s="50"/>
      <c r="I10" s="117"/>
      <c r="J10" s="183"/>
      <c r="K10" s="137"/>
      <c r="L10" s="7"/>
      <c r="M10" s="29"/>
      <c r="N10" s="29"/>
      <c r="O10" s="29"/>
      <c r="P10" s="29"/>
      <c r="Q10" s="124"/>
      <c r="R10" s="123"/>
      <c r="S10" s="123"/>
      <c r="T10" s="32"/>
      <c r="U10" s="135"/>
      <c r="V10" s="135"/>
      <c r="W10" s="35"/>
      <c r="X10" s="32"/>
    </row>
    <row r="11" spans="1:24">
      <c r="A11" s="112"/>
      <c r="B11" s="149"/>
      <c r="C11" s="23"/>
      <c r="D11" s="23"/>
      <c r="E11" s="23"/>
      <c r="F11" s="23"/>
      <c r="G11" s="46"/>
      <c r="H11" s="50"/>
      <c r="I11" s="117"/>
      <c r="J11" s="183"/>
      <c r="K11" s="137"/>
      <c r="L11" s="7"/>
      <c r="M11" s="29"/>
      <c r="N11" s="29"/>
      <c r="O11" s="29"/>
      <c r="P11" s="29"/>
      <c r="Q11" s="124"/>
      <c r="R11" s="123"/>
      <c r="S11" s="123"/>
      <c r="T11" s="32"/>
      <c r="U11" s="135"/>
      <c r="V11" s="135"/>
      <c r="W11" s="35"/>
      <c r="X11" s="32"/>
    </row>
    <row r="12" spans="1:24">
      <c r="A12" s="112"/>
      <c r="B12" s="149"/>
      <c r="C12" s="23"/>
      <c r="D12" s="23"/>
      <c r="E12" s="23"/>
      <c r="F12" s="23"/>
      <c r="G12" s="46"/>
      <c r="H12" s="50"/>
      <c r="I12" s="117"/>
      <c r="J12" s="183"/>
      <c r="K12" s="137"/>
      <c r="L12" s="7"/>
      <c r="M12" s="29"/>
      <c r="N12" s="29"/>
      <c r="O12" s="29"/>
      <c r="P12" s="29"/>
      <c r="Q12" s="124"/>
      <c r="R12" s="123"/>
      <c r="S12" s="123"/>
      <c r="T12" s="32"/>
      <c r="U12" s="135"/>
      <c r="V12" s="135"/>
      <c r="W12" s="35"/>
      <c r="X12" s="32"/>
    </row>
    <row r="13" spans="1:24">
      <c r="A13" s="112"/>
      <c r="B13" s="149"/>
      <c r="C13" s="23"/>
      <c r="D13" s="23"/>
      <c r="E13" s="23"/>
      <c r="F13" s="23"/>
      <c r="G13" s="46"/>
      <c r="H13" s="50"/>
      <c r="I13" s="117"/>
      <c r="J13" s="183"/>
      <c r="K13" s="137"/>
      <c r="L13" s="7"/>
      <c r="M13" s="29"/>
      <c r="N13" s="29"/>
      <c r="O13" s="29"/>
      <c r="P13" s="29"/>
      <c r="Q13" s="124"/>
      <c r="R13" s="123"/>
      <c r="S13" s="123"/>
      <c r="T13" s="32"/>
      <c r="U13" s="135"/>
      <c r="V13" s="135"/>
      <c r="W13" s="35"/>
      <c r="X13" s="32"/>
    </row>
    <row r="14" spans="1:24">
      <c r="A14" s="112"/>
      <c r="B14" s="149"/>
      <c r="C14" s="23"/>
      <c r="D14" s="23"/>
      <c r="E14" s="23"/>
      <c r="F14" s="23"/>
      <c r="G14" s="46"/>
      <c r="H14" s="50"/>
      <c r="I14" s="117"/>
      <c r="J14" s="183"/>
      <c r="K14" s="137"/>
      <c r="L14" s="7"/>
      <c r="M14" s="29"/>
      <c r="N14" s="29"/>
      <c r="O14" s="29"/>
      <c r="P14" s="29"/>
      <c r="Q14" s="124"/>
      <c r="R14" s="123"/>
      <c r="S14" s="123"/>
      <c r="T14" s="32"/>
      <c r="U14" s="135"/>
      <c r="V14" s="135"/>
      <c r="W14" s="35"/>
      <c r="X14" s="32"/>
    </row>
    <row r="15" spans="1:24">
      <c r="A15" s="112"/>
      <c r="B15" s="149"/>
      <c r="C15" s="23"/>
      <c r="D15" s="23"/>
      <c r="E15" s="23"/>
      <c r="F15" s="23"/>
      <c r="G15" s="46"/>
      <c r="H15" s="50"/>
      <c r="I15" s="117"/>
      <c r="J15" s="183"/>
      <c r="K15" s="137"/>
      <c r="L15" s="7"/>
      <c r="M15" s="29"/>
      <c r="N15" s="29"/>
      <c r="O15" s="29"/>
      <c r="P15" s="29"/>
      <c r="Q15" s="124"/>
      <c r="R15" s="123"/>
      <c r="S15" s="123"/>
      <c r="T15" s="32"/>
      <c r="U15" s="135"/>
      <c r="V15" s="135"/>
      <c r="W15" s="35"/>
      <c r="X15" s="32"/>
    </row>
    <row r="16" spans="1:24">
      <c r="A16" s="112"/>
      <c r="B16" s="149"/>
      <c r="C16" s="23"/>
      <c r="D16" s="23"/>
      <c r="E16" s="23"/>
      <c r="F16" s="23"/>
      <c r="G16" s="46"/>
      <c r="H16" s="50"/>
      <c r="I16" s="117"/>
      <c r="J16" s="183"/>
      <c r="K16" s="137"/>
      <c r="L16" s="7"/>
      <c r="M16" s="29"/>
      <c r="N16" s="29"/>
      <c r="O16" s="29"/>
      <c r="P16" s="29"/>
      <c r="Q16" s="124"/>
      <c r="R16" s="123"/>
      <c r="S16" s="123"/>
      <c r="T16" s="32"/>
      <c r="U16" s="135"/>
      <c r="V16" s="135"/>
      <c r="W16" s="35"/>
      <c r="X16" s="32"/>
    </row>
    <row r="17" spans="1:24" ht="17.25" customHeight="1">
      <c r="A17" s="112"/>
      <c r="B17" s="149"/>
      <c r="C17" s="23"/>
      <c r="D17" s="23"/>
      <c r="E17" s="23"/>
      <c r="F17" s="23"/>
      <c r="G17" s="46"/>
      <c r="H17" s="50"/>
      <c r="I17" s="117"/>
      <c r="J17" s="183"/>
      <c r="K17" s="137"/>
      <c r="L17" s="7"/>
      <c r="M17" s="29"/>
      <c r="N17" s="29"/>
      <c r="O17" s="29"/>
      <c r="P17" s="29"/>
      <c r="Q17" s="124"/>
      <c r="R17" s="123"/>
      <c r="S17" s="123"/>
      <c r="T17" s="32"/>
      <c r="U17" s="135"/>
      <c r="V17" s="135"/>
      <c r="W17" s="35"/>
      <c r="X17" s="32"/>
    </row>
    <row r="18" spans="1:24" ht="17.25" customHeight="1">
      <c r="A18" s="112"/>
      <c r="B18" s="149"/>
      <c r="C18" s="23"/>
      <c r="D18" s="23"/>
      <c r="E18" s="23"/>
      <c r="F18" s="23"/>
      <c r="G18" s="46"/>
      <c r="H18" s="50"/>
      <c r="I18" s="117"/>
      <c r="J18" s="183"/>
      <c r="K18" s="137"/>
      <c r="L18" s="7"/>
      <c r="M18" s="29"/>
      <c r="N18" s="29"/>
      <c r="O18" s="29"/>
      <c r="P18" s="29"/>
      <c r="Q18" s="124"/>
      <c r="R18" s="123"/>
      <c r="S18" s="123"/>
      <c r="T18" s="32"/>
      <c r="U18" s="135"/>
      <c r="V18" s="135"/>
      <c r="W18" s="35"/>
      <c r="X18" s="32"/>
    </row>
    <row r="19" spans="1:24" ht="17.25" customHeight="1">
      <c r="A19" s="112"/>
      <c r="B19" s="149"/>
      <c r="C19" s="23"/>
      <c r="D19" s="23"/>
      <c r="E19" s="23"/>
      <c r="F19" s="23"/>
      <c r="G19" s="46"/>
      <c r="H19" s="50"/>
      <c r="I19" s="117"/>
      <c r="J19" s="183"/>
      <c r="K19" s="137"/>
      <c r="L19" s="7"/>
      <c r="M19" s="29"/>
      <c r="N19" s="29"/>
      <c r="O19" s="29"/>
      <c r="P19" s="29"/>
      <c r="Q19" s="124"/>
      <c r="R19" s="123"/>
      <c r="S19" s="123"/>
      <c r="T19" s="32"/>
      <c r="U19" s="135"/>
      <c r="V19" s="135"/>
      <c r="W19" s="35"/>
      <c r="X19" s="32"/>
    </row>
    <row r="20" spans="1:24">
      <c r="A20" s="112"/>
      <c r="B20" s="149"/>
      <c r="C20" s="23"/>
      <c r="D20" s="23"/>
      <c r="E20" s="23"/>
      <c r="F20" s="23"/>
      <c r="G20" s="46"/>
      <c r="H20" s="50"/>
      <c r="I20" s="117"/>
      <c r="J20" s="183"/>
      <c r="K20" s="137"/>
      <c r="L20" s="7"/>
      <c r="M20" s="29"/>
      <c r="N20" s="29"/>
      <c r="O20" s="29"/>
      <c r="P20" s="29"/>
      <c r="Q20" s="124"/>
      <c r="R20" s="123"/>
      <c r="S20" s="123"/>
      <c r="T20" s="32"/>
      <c r="U20" s="135"/>
      <c r="V20" s="135"/>
      <c r="W20" s="35"/>
      <c r="X20" s="32"/>
    </row>
    <row r="21" spans="1:24">
      <c r="A21" s="112"/>
      <c r="B21" s="149"/>
      <c r="C21" s="23"/>
      <c r="D21" s="23"/>
      <c r="E21" s="23"/>
      <c r="F21" s="23"/>
      <c r="G21" s="46"/>
      <c r="H21" s="50"/>
      <c r="I21" s="117"/>
      <c r="J21" s="183"/>
      <c r="K21" s="137"/>
      <c r="L21" s="7"/>
      <c r="M21" s="29"/>
      <c r="N21" s="29"/>
      <c r="O21" s="29"/>
      <c r="P21" s="29"/>
      <c r="Q21" s="124"/>
      <c r="R21" s="123"/>
      <c r="S21" s="123"/>
      <c r="T21" s="32"/>
      <c r="U21" s="135"/>
      <c r="V21" s="135"/>
      <c r="W21" s="35"/>
      <c r="X21" s="32"/>
    </row>
    <row r="22" spans="1:24">
      <c r="A22" s="112"/>
      <c r="B22" s="149"/>
      <c r="C22" s="23"/>
      <c r="D22" s="23"/>
      <c r="E22" s="23"/>
      <c r="F22" s="23"/>
      <c r="G22" s="46"/>
      <c r="H22" s="50"/>
      <c r="I22" s="117"/>
      <c r="J22" s="183"/>
      <c r="K22" s="137"/>
      <c r="L22" s="7"/>
      <c r="M22" s="29"/>
      <c r="N22" s="29"/>
      <c r="O22" s="29"/>
      <c r="P22" s="29"/>
      <c r="Q22" s="124"/>
      <c r="R22" s="123"/>
      <c r="S22" s="123"/>
      <c r="T22" s="32"/>
      <c r="U22" s="135"/>
      <c r="V22" s="135"/>
      <c r="W22" s="35"/>
      <c r="X22" s="32"/>
    </row>
    <row r="23" spans="1:24">
      <c r="A23" s="112"/>
      <c r="B23" s="149"/>
      <c r="C23" s="23"/>
      <c r="D23" s="23"/>
      <c r="E23" s="23"/>
      <c r="F23" s="23"/>
      <c r="G23" s="46"/>
      <c r="H23" s="50"/>
      <c r="I23" s="117"/>
      <c r="J23" s="183"/>
      <c r="K23" s="137"/>
      <c r="L23" s="7"/>
      <c r="M23" s="29"/>
      <c r="N23" s="29"/>
      <c r="O23" s="29"/>
      <c r="P23" s="29"/>
      <c r="Q23" s="124"/>
      <c r="R23" s="123"/>
      <c r="S23" s="123"/>
      <c r="T23" s="32"/>
      <c r="U23" s="135"/>
      <c r="V23" s="135"/>
      <c r="W23" s="35"/>
      <c r="X23" s="32"/>
    </row>
    <row r="24" spans="1:24">
      <c r="A24" s="112"/>
      <c r="B24" s="149"/>
      <c r="C24" s="23"/>
      <c r="D24" s="23"/>
      <c r="E24" s="23"/>
      <c r="F24" s="23"/>
      <c r="G24" s="46"/>
      <c r="H24" s="50"/>
      <c r="I24" s="117"/>
      <c r="J24" s="183"/>
      <c r="K24" s="137"/>
      <c r="L24" s="7"/>
      <c r="M24" s="29"/>
      <c r="N24" s="29"/>
      <c r="O24" s="29"/>
      <c r="P24" s="29"/>
      <c r="Q24" s="124"/>
      <c r="R24" s="123"/>
      <c r="S24" s="123"/>
      <c r="T24" s="32"/>
      <c r="U24" s="135"/>
      <c r="V24" s="135"/>
      <c r="W24" s="35"/>
      <c r="X24" s="32"/>
    </row>
    <row r="25" spans="1:24">
      <c r="A25" s="112"/>
      <c r="B25" s="149"/>
      <c r="C25" s="23"/>
      <c r="D25" s="23"/>
      <c r="E25" s="23"/>
      <c r="F25" s="23"/>
      <c r="G25" s="46"/>
      <c r="H25" s="50"/>
      <c r="I25" s="117"/>
      <c r="J25" s="183"/>
      <c r="K25" s="137"/>
      <c r="L25" s="7"/>
      <c r="M25" s="29"/>
      <c r="N25" s="29"/>
      <c r="O25" s="29"/>
      <c r="P25" s="29"/>
      <c r="Q25" s="124"/>
      <c r="R25" s="123"/>
      <c r="S25" s="123"/>
      <c r="T25" s="32"/>
      <c r="U25" s="135"/>
      <c r="V25" s="135"/>
      <c r="W25" s="35"/>
      <c r="X25" s="32"/>
    </row>
    <row r="26" spans="1:24">
      <c r="A26" s="112"/>
      <c r="B26" s="149"/>
      <c r="C26" s="24"/>
      <c r="D26" s="23"/>
      <c r="E26" s="24"/>
      <c r="F26" s="24"/>
      <c r="G26" s="47"/>
      <c r="H26" s="51"/>
      <c r="I26" s="118"/>
      <c r="J26" s="183"/>
      <c r="K26" s="138"/>
      <c r="L26" s="13"/>
      <c r="M26" s="33"/>
      <c r="N26" s="33"/>
      <c r="O26" s="33"/>
      <c r="P26" s="29"/>
      <c r="Q26" s="124"/>
      <c r="R26" s="123"/>
      <c r="S26" s="123"/>
      <c r="T26" s="32"/>
      <c r="U26" s="135"/>
      <c r="V26" s="135"/>
      <c r="W26" s="35"/>
      <c r="X26" s="145"/>
    </row>
    <row r="27" spans="1:24">
      <c r="A27" s="112"/>
      <c r="B27" s="149"/>
      <c r="C27" s="25"/>
      <c r="D27" s="23"/>
      <c r="E27" s="25"/>
      <c r="F27" s="25"/>
      <c r="G27" s="48"/>
      <c r="H27" s="52"/>
      <c r="I27" s="119"/>
      <c r="J27" s="183"/>
      <c r="K27" s="139"/>
      <c r="L27" s="11"/>
      <c r="M27" s="34"/>
      <c r="N27" s="34"/>
      <c r="O27" s="34"/>
      <c r="P27" s="29"/>
      <c r="Q27" s="124"/>
      <c r="R27" s="123"/>
      <c r="S27" s="123"/>
      <c r="T27" s="32"/>
      <c r="U27" s="135"/>
      <c r="V27" s="135"/>
      <c r="W27" s="35"/>
      <c r="X27" s="35"/>
    </row>
    <row r="28" spans="1:24">
      <c r="A28" s="112"/>
      <c r="B28" s="149"/>
      <c r="C28" s="23"/>
      <c r="D28" s="23"/>
      <c r="E28" s="23"/>
      <c r="F28" s="23"/>
      <c r="G28" s="46"/>
      <c r="H28" s="53"/>
      <c r="I28" s="120"/>
      <c r="J28" s="183"/>
      <c r="K28" s="137"/>
      <c r="L28" s="7"/>
      <c r="M28" s="29"/>
      <c r="N28" s="29"/>
      <c r="O28" s="29"/>
      <c r="P28" s="29"/>
      <c r="Q28" s="124"/>
      <c r="R28" s="123"/>
      <c r="S28" s="123"/>
      <c r="T28" s="32"/>
      <c r="U28" s="135"/>
      <c r="V28" s="135"/>
      <c r="W28" s="35"/>
      <c r="X28" s="32"/>
    </row>
    <row r="29" spans="1:24">
      <c r="A29" s="112"/>
      <c r="B29" s="149"/>
      <c r="C29" s="23"/>
      <c r="D29" s="23"/>
      <c r="E29" s="23"/>
      <c r="F29" s="23"/>
      <c r="G29" s="46"/>
      <c r="H29" s="53"/>
      <c r="I29" s="120"/>
      <c r="J29" s="183"/>
      <c r="K29" s="137"/>
      <c r="L29" s="7"/>
      <c r="M29" s="29"/>
      <c r="N29" s="29"/>
      <c r="O29" s="29"/>
      <c r="P29" s="29"/>
      <c r="Q29" s="124"/>
      <c r="R29" s="123"/>
      <c r="S29" s="123"/>
      <c r="T29" s="32"/>
      <c r="U29" s="135"/>
      <c r="V29" s="135"/>
      <c r="W29" s="35"/>
      <c r="X29" s="32"/>
    </row>
    <row r="30" spans="1:24">
      <c r="A30" s="112"/>
      <c r="B30" s="149"/>
      <c r="C30" s="23"/>
      <c r="D30" s="23"/>
      <c r="E30" s="23"/>
      <c r="F30" s="23"/>
      <c r="G30" s="46"/>
      <c r="H30" s="53"/>
      <c r="I30" s="120"/>
      <c r="J30" s="183"/>
      <c r="K30" s="137"/>
      <c r="L30" s="7"/>
      <c r="M30" s="29"/>
      <c r="N30" s="29"/>
      <c r="O30" s="29"/>
      <c r="P30" s="29"/>
      <c r="Q30" s="124"/>
      <c r="R30" s="123"/>
      <c r="S30" s="123"/>
      <c r="T30" s="32"/>
      <c r="U30" s="135"/>
      <c r="V30" s="135"/>
      <c r="W30" s="35"/>
      <c r="X30" s="32"/>
    </row>
    <row r="31" spans="1:24">
      <c r="A31" s="112"/>
      <c r="B31" s="149"/>
      <c r="C31" s="23"/>
      <c r="D31" s="23"/>
      <c r="E31" s="23"/>
      <c r="F31" s="23"/>
      <c r="G31" s="46"/>
      <c r="H31" s="53"/>
      <c r="I31" s="120"/>
      <c r="J31" s="183"/>
      <c r="K31" s="137"/>
      <c r="L31" s="7"/>
      <c r="M31" s="29"/>
      <c r="N31" s="29"/>
      <c r="O31" s="29"/>
      <c r="P31" s="29"/>
      <c r="Q31" s="124"/>
      <c r="R31" s="123"/>
      <c r="S31" s="123"/>
      <c r="T31" s="32"/>
      <c r="U31" s="135"/>
      <c r="V31" s="135"/>
      <c r="W31" s="35"/>
      <c r="X31" s="32"/>
    </row>
    <row r="32" spans="1:24">
      <c r="A32" s="112"/>
      <c r="B32" s="149"/>
      <c r="C32" s="23"/>
      <c r="D32" s="23"/>
      <c r="E32" s="23"/>
      <c r="F32" s="23"/>
      <c r="G32" s="46"/>
      <c r="H32" s="53"/>
      <c r="I32" s="120"/>
      <c r="J32" s="183"/>
      <c r="K32" s="137"/>
      <c r="L32" s="7"/>
      <c r="M32" s="29"/>
      <c r="N32" s="29"/>
      <c r="O32" s="29"/>
      <c r="P32" s="29"/>
      <c r="Q32" s="124"/>
      <c r="R32" s="123"/>
      <c r="S32" s="123"/>
      <c r="T32" s="32"/>
      <c r="U32" s="135"/>
      <c r="V32" s="135"/>
      <c r="W32" s="35"/>
      <c r="X32" s="32"/>
    </row>
    <row r="33" spans="1:24">
      <c r="A33" s="112"/>
      <c r="B33" s="149"/>
      <c r="C33" s="23"/>
      <c r="D33" s="23"/>
      <c r="E33" s="23"/>
      <c r="F33" s="23"/>
      <c r="G33" s="46"/>
      <c r="H33" s="53"/>
      <c r="I33" s="120"/>
      <c r="J33" s="183"/>
      <c r="K33" s="137"/>
      <c r="L33" s="7"/>
      <c r="M33" s="29"/>
      <c r="N33" s="29"/>
      <c r="O33" s="29"/>
      <c r="P33" s="29"/>
      <c r="Q33" s="124"/>
      <c r="R33" s="123"/>
      <c r="S33" s="123"/>
      <c r="T33" s="32"/>
      <c r="U33" s="135"/>
      <c r="V33" s="135"/>
      <c r="W33" s="35"/>
      <c r="X33" s="32"/>
    </row>
    <row r="34" spans="1:24">
      <c r="A34" s="112"/>
      <c r="B34" s="149"/>
      <c r="C34" s="23"/>
      <c r="D34" s="23"/>
      <c r="E34" s="23"/>
      <c r="F34" s="23"/>
      <c r="G34" s="46"/>
      <c r="H34" s="53"/>
      <c r="I34" s="120"/>
      <c r="J34" s="183"/>
      <c r="K34" s="137"/>
      <c r="L34" s="7"/>
      <c r="M34" s="29"/>
      <c r="N34" s="29"/>
      <c r="O34" s="29"/>
      <c r="P34" s="29"/>
      <c r="Q34" s="124"/>
      <c r="R34" s="123"/>
      <c r="S34" s="123"/>
      <c r="T34" s="32"/>
      <c r="U34" s="135"/>
      <c r="V34" s="135"/>
      <c r="W34" s="35"/>
      <c r="X34" s="32"/>
    </row>
    <row r="35" spans="1:24">
      <c r="A35" s="112"/>
      <c r="B35" s="149"/>
      <c r="C35" s="23"/>
      <c r="D35" s="23"/>
      <c r="E35" s="23"/>
      <c r="F35" s="23"/>
      <c r="G35" s="46"/>
      <c r="H35" s="53"/>
      <c r="I35" s="120"/>
      <c r="J35" s="183"/>
      <c r="K35" s="137"/>
      <c r="L35" s="7"/>
      <c r="M35" s="29"/>
      <c r="N35" s="29"/>
      <c r="O35" s="29"/>
      <c r="P35" s="29"/>
      <c r="Q35" s="124"/>
      <c r="R35" s="123"/>
      <c r="S35" s="123"/>
      <c r="T35" s="32"/>
      <c r="U35" s="135"/>
      <c r="V35" s="135"/>
      <c r="W35" s="35"/>
      <c r="X35" s="32"/>
    </row>
    <row r="36" spans="1:24">
      <c r="A36" s="112"/>
      <c r="B36" s="149"/>
      <c r="C36" s="23"/>
      <c r="D36" s="23"/>
      <c r="E36" s="23"/>
      <c r="F36" s="23"/>
      <c r="G36" s="46"/>
      <c r="H36" s="53"/>
      <c r="I36" s="120"/>
      <c r="J36" s="183"/>
      <c r="K36" s="137"/>
      <c r="L36" s="7"/>
      <c r="M36" s="29"/>
      <c r="N36" s="29"/>
      <c r="O36" s="29"/>
      <c r="P36" s="29"/>
      <c r="Q36" s="124"/>
      <c r="R36" s="123"/>
      <c r="S36" s="123"/>
      <c r="T36" s="32"/>
      <c r="U36" s="135"/>
      <c r="V36" s="135"/>
      <c r="W36" s="35"/>
      <c r="X36" s="32"/>
    </row>
    <row r="37" spans="1:24">
      <c r="A37" s="112"/>
      <c r="B37" s="149"/>
      <c r="C37" s="23"/>
      <c r="D37" s="23"/>
      <c r="E37" s="23"/>
      <c r="F37" s="23"/>
      <c r="G37" s="46"/>
      <c r="H37" s="53"/>
      <c r="I37" s="120"/>
      <c r="J37" s="183"/>
      <c r="K37" s="137"/>
      <c r="L37" s="7"/>
      <c r="M37" s="29"/>
      <c r="N37" s="29"/>
      <c r="O37" s="29"/>
      <c r="P37" s="29"/>
      <c r="Q37" s="124"/>
      <c r="R37" s="123"/>
      <c r="S37" s="123"/>
      <c r="T37" s="32"/>
      <c r="U37" s="135"/>
      <c r="V37" s="135"/>
      <c r="W37" s="35"/>
      <c r="X37" s="32"/>
    </row>
    <row r="38" spans="1:24">
      <c r="A38" s="112"/>
      <c r="B38" s="149"/>
      <c r="C38" s="23"/>
      <c r="D38" s="23"/>
      <c r="E38" s="23"/>
      <c r="F38" s="23"/>
      <c r="G38" s="46"/>
      <c r="H38" s="53"/>
      <c r="I38" s="120"/>
      <c r="J38" s="183"/>
      <c r="K38" s="137"/>
      <c r="L38" s="7"/>
      <c r="M38" s="29"/>
      <c r="N38" s="29"/>
      <c r="O38" s="29"/>
      <c r="P38" s="29"/>
      <c r="Q38" s="124"/>
      <c r="R38" s="123"/>
      <c r="S38" s="123"/>
      <c r="T38" s="32"/>
      <c r="U38" s="135"/>
      <c r="V38" s="135"/>
      <c r="W38" s="35"/>
      <c r="X38" s="32"/>
    </row>
    <row r="39" spans="1:24">
      <c r="A39" s="112"/>
      <c r="B39" s="149"/>
      <c r="C39" s="23"/>
      <c r="D39" s="23"/>
      <c r="E39" s="23"/>
      <c r="F39" s="23"/>
      <c r="G39" s="46"/>
      <c r="H39" s="53"/>
      <c r="I39" s="120"/>
      <c r="J39" s="183"/>
      <c r="K39" s="137"/>
      <c r="L39" s="7"/>
      <c r="M39" s="29"/>
      <c r="N39" s="29"/>
      <c r="O39" s="29"/>
      <c r="P39" s="29"/>
      <c r="Q39" s="124"/>
      <c r="R39" s="123"/>
      <c r="S39" s="123"/>
      <c r="T39" s="32"/>
      <c r="U39" s="135"/>
      <c r="V39" s="135"/>
      <c r="W39" s="35"/>
      <c r="X39" s="32"/>
    </row>
    <row r="40" spans="1:24">
      <c r="A40" s="112"/>
      <c r="B40" s="149"/>
      <c r="C40" s="23"/>
      <c r="D40" s="23"/>
      <c r="E40" s="23"/>
      <c r="F40" s="23"/>
      <c r="G40" s="46"/>
      <c r="H40" s="53"/>
      <c r="I40" s="120"/>
      <c r="J40" s="183"/>
      <c r="K40" s="137"/>
      <c r="L40" s="7"/>
      <c r="M40" s="29"/>
      <c r="N40" s="29"/>
      <c r="O40" s="29"/>
      <c r="P40" s="29"/>
      <c r="Q40" s="124"/>
      <c r="R40" s="123"/>
      <c r="S40" s="123"/>
      <c r="T40" s="32"/>
      <c r="U40" s="135"/>
      <c r="V40" s="135"/>
      <c r="W40" s="35"/>
      <c r="X40" s="32"/>
    </row>
    <row r="41" spans="1:24">
      <c r="A41" s="112"/>
      <c r="B41" s="149"/>
      <c r="C41" s="23"/>
      <c r="D41" s="23"/>
      <c r="E41" s="23"/>
      <c r="F41" s="23"/>
      <c r="G41" s="46"/>
      <c r="H41" s="53"/>
      <c r="I41" s="120"/>
      <c r="J41" s="183"/>
      <c r="K41" s="137"/>
      <c r="L41" s="7"/>
      <c r="M41" s="29"/>
      <c r="N41" s="29"/>
      <c r="O41" s="29"/>
      <c r="P41" s="29"/>
      <c r="Q41" s="124"/>
      <c r="R41" s="123"/>
      <c r="S41" s="123"/>
      <c r="T41" s="32"/>
      <c r="U41" s="135"/>
      <c r="V41" s="135"/>
      <c r="W41" s="35"/>
      <c r="X41" s="32"/>
    </row>
    <row r="42" spans="1:24">
      <c r="A42" s="112"/>
      <c r="B42" s="149"/>
      <c r="C42" s="23"/>
      <c r="D42" s="23"/>
      <c r="E42" s="23"/>
      <c r="F42" s="23"/>
      <c r="G42" s="46"/>
      <c r="H42" s="53"/>
      <c r="I42" s="120"/>
      <c r="J42" s="183"/>
      <c r="K42" s="137"/>
      <c r="L42" s="7"/>
      <c r="M42" s="29"/>
      <c r="N42" s="29"/>
      <c r="O42" s="29"/>
      <c r="P42" s="29"/>
      <c r="Q42" s="124"/>
      <c r="R42" s="123"/>
      <c r="S42" s="123"/>
      <c r="T42" s="32"/>
      <c r="U42" s="135"/>
      <c r="V42" s="135"/>
      <c r="W42" s="35"/>
      <c r="X42" s="32"/>
    </row>
    <row r="43" spans="1:24">
      <c r="A43" s="112"/>
      <c r="B43" s="149"/>
      <c r="C43" s="23"/>
      <c r="D43" s="23"/>
      <c r="E43" s="23"/>
      <c r="F43" s="23"/>
      <c r="G43" s="46"/>
      <c r="H43" s="53"/>
      <c r="I43" s="117"/>
      <c r="J43" s="183"/>
      <c r="K43" s="137"/>
      <c r="L43" s="7"/>
      <c r="M43" s="29"/>
      <c r="N43" s="29"/>
      <c r="O43" s="29"/>
      <c r="P43" s="29"/>
      <c r="Q43" s="124"/>
      <c r="R43" s="123"/>
      <c r="S43" s="123"/>
      <c r="T43" s="32"/>
      <c r="U43" s="135"/>
      <c r="V43" s="135"/>
      <c r="W43" s="35"/>
      <c r="X43" s="32"/>
    </row>
    <row r="44" spans="1:24">
      <c r="A44" s="112"/>
      <c r="B44" s="149"/>
      <c r="C44" s="23"/>
      <c r="D44" s="23"/>
      <c r="E44" s="23"/>
      <c r="F44" s="23"/>
      <c r="G44" s="46"/>
      <c r="H44" s="53"/>
      <c r="I44" s="120"/>
      <c r="J44" s="183"/>
      <c r="K44" s="137"/>
      <c r="L44" s="7"/>
      <c r="M44" s="29"/>
      <c r="N44" s="29"/>
      <c r="O44" s="29"/>
      <c r="P44" s="29"/>
      <c r="Q44" s="124"/>
      <c r="R44" s="123"/>
      <c r="S44" s="123"/>
      <c r="T44" s="32"/>
      <c r="U44" s="135"/>
      <c r="V44" s="135"/>
      <c r="W44" s="35"/>
      <c r="X44" s="32"/>
    </row>
    <row r="45" spans="1:24">
      <c r="A45" s="112"/>
      <c r="B45" s="149"/>
      <c r="C45" s="23"/>
      <c r="D45" s="23"/>
      <c r="E45" s="23"/>
      <c r="F45" s="23"/>
      <c r="G45" s="46"/>
      <c r="H45" s="53"/>
      <c r="I45" s="120"/>
      <c r="J45" s="183"/>
      <c r="K45" s="137"/>
      <c r="L45" s="7"/>
      <c r="M45" s="29"/>
      <c r="N45" s="29"/>
      <c r="O45" s="29"/>
      <c r="P45" s="29"/>
      <c r="Q45" s="124"/>
      <c r="R45" s="123"/>
      <c r="S45" s="123"/>
      <c r="T45" s="32"/>
      <c r="U45" s="135"/>
      <c r="V45" s="135"/>
      <c r="W45" s="35"/>
      <c r="X45" s="32"/>
    </row>
    <row r="46" spans="1:24" ht="17.25" customHeight="1">
      <c r="A46" s="112"/>
      <c r="B46" s="149"/>
      <c r="C46" s="23"/>
      <c r="D46" s="23"/>
      <c r="E46" s="23"/>
      <c r="F46" s="23"/>
      <c r="G46" s="46"/>
      <c r="H46" s="53"/>
      <c r="I46" s="120"/>
      <c r="J46" s="183"/>
      <c r="K46" s="137"/>
      <c r="L46" s="7"/>
      <c r="M46" s="29"/>
      <c r="N46" s="29"/>
      <c r="O46" s="29"/>
      <c r="P46" s="29"/>
      <c r="Q46" s="124"/>
      <c r="R46" s="123"/>
      <c r="S46" s="123"/>
      <c r="T46" s="32"/>
      <c r="U46" s="135"/>
      <c r="V46" s="135"/>
      <c r="W46" s="35"/>
      <c r="X46" s="32"/>
    </row>
    <row r="47" spans="1:24">
      <c r="A47" s="112"/>
      <c r="B47" s="149"/>
      <c r="C47" s="23"/>
      <c r="D47" s="23"/>
      <c r="E47" s="23"/>
      <c r="F47" s="23"/>
      <c r="G47" s="46"/>
      <c r="H47" s="53"/>
      <c r="I47" s="120"/>
      <c r="J47" s="183"/>
      <c r="K47" s="137"/>
      <c r="L47" s="7"/>
      <c r="M47" s="29"/>
      <c r="N47" s="29"/>
      <c r="O47" s="29"/>
      <c r="P47" s="29"/>
      <c r="Q47" s="124"/>
      <c r="R47" s="123"/>
      <c r="S47" s="123"/>
      <c r="T47" s="32"/>
      <c r="U47" s="135"/>
      <c r="V47" s="135"/>
      <c r="W47" s="35"/>
      <c r="X47" s="32"/>
    </row>
    <row r="48" spans="1:24">
      <c r="A48" s="112"/>
      <c r="B48" s="149"/>
      <c r="C48" s="23"/>
      <c r="D48" s="23"/>
      <c r="E48" s="23"/>
      <c r="F48" s="23"/>
      <c r="G48" s="46"/>
      <c r="H48" s="53"/>
      <c r="I48" s="120"/>
      <c r="J48" s="183"/>
      <c r="K48" s="137"/>
      <c r="L48" s="7"/>
      <c r="M48" s="29"/>
      <c r="N48" s="29"/>
      <c r="O48" s="29"/>
      <c r="P48" s="29"/>
      <c r="Q48" s="124"/>
      <c r="R48" s="123"/>
      <c r="S48" s="123"/>
      <c r="T48" s="32"/>
      <c r="U48" s="135"/>
      <c r="V48" s="135"/>
      <c r="W48" s="35"/>
      <c r="X48" s="32"/>
    </row>
    <row r="49" spans="1:24">
      <c r="A49" s="112"/>
      <c r="B49" s="149"/>
      <c r="C49" s="23"/>
      <c r="D49" s="23"/>
      <c r="E49" s="23"/>
      <c r="F49" s="23"/>
      <c r="G49" s="46"/>
      <c r="H49" s="53"/>
      <c r="I49" s="120"/>
      <c r="J49" s="183"/>
      <c r="K49" s="137"/>
      <c r="L49" s="7"/>
      <c r="M49" s="29"/>
      <c r="N49" s="29"/>
      <c r="O49" s="29"/>
      <c r="P49" s="29"/>
      <c r="Q49" s="124"/>
      <c r="R49" s="123"/>
      <c r="S49" s="123"/>
      <c r="T49" s="32"/>
      <c r="U49" s="135"/>
      <c r="V49" s="135"/>
      <c r="W49" s="35"/>
      <c r="X49" s="32"/>
    </row>
    <row r="50" spans="1:24">
      <c r="A50" s="112"/>
      <c r="B50" s="149"/>
      <c r="C50" s="23"/>
      <c r="D50" s="23"/>
      <c r="E50" s="23"/>
      <c r="F50" s="23"/>
      <c r="G50" s="46"/>
      <c r="H50" s="53"/>
      <c r="I50" s="120"/>
      <c r="J50" s="183"/>
      <c r="K50" s="137"/>
      <c r="L50" s="7"/>
      <c r="M50" s="29"/>
      <c r="N50" s="29"/>
      <c r="O50" s="29"/>
      <c r="P50" s="29"/>
      <c r="Q50" s="124"/>
      <c r="R50" s="123"/>
      <c r="S50" s="123"/>
      <c r="T50" s="32"/>
      <c r="U50" s="135"/>
      <c r="V50" s="135"/>
      <c r="W50" s="35"/>
      <c r="X50" s="32"/>
    </row>
    <row r="51" spans="1:24">
      <c r="A51" s="112"/>
      <c r="B51" s="149"/>
      <c r="C51" s="23"/>
      <c r="D51" s="23"/>
      <c r="E51" s="23"/>
      <c r="F51" s="23"/>
      <c r="G51" s="46"/>
      <c r="H51" s="53"/>
      <c r="I51" s="120"/>
      <c r="J51" s="183"/>
      <c r="K51" s="137"/>
      <c r="L51" s="7"/>
      <c r="M51" s="29"/>
      <c r="N51" s="29"/>
      <c r="O51" s="29"/>
      <c r="P51" s="29"/>
      <c r="Q51" s="124"/>
      <c r="R51" s="123"/>
      <c r="S51" s="123"/>
      <c r="T51" s="32"/>
      <c r="U51" s="135"/>
      <c r="V51" s="135"/>
      <c r="W51" s="35"/>
      <c r="X51" s="32"/>
    </row>
    <row r="52" spans="1:24">
      <c r="A52" s="112"/>
      <c r="B52" s="149"/>
      <c r="C52" s="23"/>
      <c r="D52" s="23"/>
      <c r="E52" s="23"/>
      <c r="F52" s="23"/>
      <c r="G52" s="46"/>
      <c r="H52" s="53"/>
      <c r="I52" s="120"/>
      <c r="J52" s="183"/>
      <c r="K52" s="137"/>
      <c r="L52" s="7"/>
      <c r="M52" s="29"/>
      <c r="N52" s="29"/>
      <c r="O52" s="29"/>
      <c r="P52" s="29"/>
      <c r="Q52" s="124"/>
      <c r="R52" s="123"/>
      <c r="S52" s="123"/>
      <c r="T52" s="32"/>
      <c r="U52" s="135"/>
      <c r="V52" s="135"/>
      <c r="W52" s="35"/>
      <c r="X52" s="32"/>
    </row>
    <row r="53" spans="1:24">
      <c r="A53" s="112"/>
      <c r="B53" s="149"/>
      <c r="C53" s="23"/>
      <c r="D53" s="23"/>
      <c r="E53" s="23"/>
      <c r="F53" s="23"/>
      <c r="G53" s="46"/>
      <c r="H53" s="53"/>
      <c r="I53" s="120"/>
      <c r="J53" s="183"/>
      <c r="K53" s="137"/>
      <c r="L53" s="7"/>
      <c r="M53" s="29"/>
      <c r="N53" s="29"/>
      <c r="O53" s="29"/>
      <c r="P53" s="29"/>
      <c r="Q53" s="124"/>
      <c r="R53" s="123"/>
      <c r="S53" s="123"/>
      <c r="T53" s="32"/>
      <c r="U53" s="135"/>
      <c r="V53" s="135"/>
      <c r="W53" s="35"/>
      <c r="X53" s="32"/>
    </row>
    <row r="54" spans="1:24">
      <c r="A54" s="112"/>
      <c r="B54" s="149"/>
      <c r="C54" s="23"/>
      <c r="D54" s="23"/>
      <c r="E54" s="23"/>
      <c r="F54" s="23"/>
      <c r="G54" s="46"/>
      <c r="H54" s="53"/>
      <c r="I54" s="120"/>
      <c r="J54" s="183"/>
      <c r="K54" s="137"/>
      <c r="L54" s="7"/>
      <c r="M54" s="29"/>
      <c r="N54" s="29"/>
      <c r="O54" s="29"/>
      <c r="P54" s="29"/>
      <c r="Q54" s="124"/>
      <c r="R54" s="123"/>
      <c r="S54" s="123"/>
      <c r="T54" s="32"/>
      <c r="U54" s="135"/>
      <c r="V54" s="135"/>
      <c r="W54" s="35"/>
      <c r="X54" s="32"/>
    </row>
    <row r="55" spans="1:24">
      <c r="A55" s="112"/>
      <c r="B55" s="149"/>
      <c r="C55" s="23"/>
      <c r="D55" s="23"/>
      <c r="E55" s="23"/>
      <c r="F55" s="23"/>
      <c r="G55" s="46"/>
      <c r="H55" s="53"/>
      <c r="I55" s="120"/>
      <c r="J55" s="183"/>
      <c r="K55" s="137"/>
      <c r="L55" s="7"/>
      <c r="M55" s="29"/>
      <c r="N55" s="29"/>
      <c r="O55" s="29"/>
      <c r="P55" s="29"/>
      <c r="Q55" s="124"/>
      <c r="R55" s="123"/>
      <c r="S55" s="123"/>
      <c r="T55" s="32"/>
      <c r="U55" s="135"/>
      <c r="V55" s="135"/>
      <c r="W55" s="35"/>
      <c r="X55" s="32"/>
    </row>
    <row r="56" spans="1:24" ht="17.25" customHeight="1">
      <c r="A56" s="112"/>
      <c r="B56" s="149"/>
      <c r="C56" s="23"/>
      <c r="D56" s="23"/>
      <c r="E56" s="23"/>
      <c r="F56" s="23"/>
      <c r="G56" s="46"/>
      <c r="H56" s="53"/>
      <c r="I56" s="120"/>
      <c r="J56" s="183"/>
      <c r="K56" s="137"/>
      <c r="L56" s="7"/>
      <c r="M56" s="29"/>
      <c r="N56" s="29"/>
      <c r="O56" s="29"/>
      <c r="P56" s="29"/>
      <c r="Q56" s="124"/>
      <c r="R56" s="123"/>
      <c r="S56" s="123"/>
      <c r="T56" s="32"/>
      <c r="U56" s="135"/>
      <c r="V56" s="135"/>
      <c r="W56" s="35"/>
      <c r="X56" s="32"/>
    </row>
    <row r="57" spans="1:24">
      <c r="A57" s="112"/>
      <c r="B57" s="149"/>
      <c r="C57" s="23"/>
      <c r="D57" s="23"/>
      <c r="E57" s="23"/>
      <c r="F57" s="23"/>
      <c r="G57" s="46"/>
      <c r="H57" s="53"/>
      <c r="I57" s="120"/>
      <c r="J57" s="183"/>
      <c r="K57" s="137"/>
      <c r="L57" s="7"/>
      <c r="M57" s="29"/>
      <c r="N57" s="29"/>
      <c r="O57" s="29"/>
      <c r="P57" s="29"/>
      <c r="Q57" s="124"/>
      <c r="R57" s="123"/>
      <c r="S57" s="123"/>
      <c r="T57" s="32"/>
      <c r="U57" s="135"/>
      <c r="V57" s="135"/>
      <c r="W57" s="35"/>
      <c r="X57" s="32"/>
    </row>
    <row r="58" spans="1:24">
      <c r="A58" s="112"/>
      <c r="B58" s="149"/>
      <c r="C58" s="23"/>
      <c r="D58" s="23"/>
      <c r="E58" s="23"/>
      <c r="F58" s="23"/>
      <c r="G58" s="46"/>
      <c r="H58" s="53"/>
      <c r="I58" s="120"/>
      <c r="J58" s="183"/>
      <c r="K58" s="137"/>
      <c r="L58" s="7"/>
      <c r="M58" s="29"/>
      <c r="N58" s="29"/>
      <c r="O58" s="29"/>
      <c r="P58" s="29"/>
      <c r="Q58" s="124"/>
      <c r="R58" s="123"/>
      <c r="S58" s="123"/>
      <c r="T58" s="32"/>
      <c r="U58" s="135"/>
      <c r="V58" s="135"/>
      <c r="W58" s="35"/>
      <c r="X58" s="32"/>
    </row>
    <row r="59" spans="1:24">
      <c r="A59" s="112"/>
      <c r="B59" s="149"/>
      <c r="C59" s="23"/>
      <c r="D59" s="23"/>
      <c r="E59" s="23"/>
      <c r="F59" s="23"/>
      <c r="G59" s="46"/>
      <c r="H59" s="53"/>
      <c r="I59" s="120"/>
      <c r="J59" s="183"/>
      <c r="K59" s="137"/>
      <c r="L59" s="7"/>
      <c r="M59" s="29"/>
      <c r="N59" s="29"/>
      <c r="O59" s="29"/>
      <c r="P59" s="29"/>
      <c r="Q59" s="124"/>
      <c r="R59" s="123"/>
      <c r="S59" s="123"/>
      <c r="T59" s="32"/>
      <c r="U59" s="135"/>
      <c r="V59" s="135"/>
      <c r="W59" s="35"/>
      <c r="X59" s="32"/>
    </row>
    <row r="60" spans="1:24">
      <c r="A60" s="112"/>
      <c r="B60" s="149"/>
      <c r="C60" s="23"/>
      <c r="D60" s="23"/>
      <c r="E60" s="23"/>
      <c r="F60" s="23"/>
      <c r="G60" s="46"/>
      <c r="H60" s="53"/>
      <c r="I60" s="120"/>
      <c r="J60" s="183"/>
      <c r="K60" s="137"/>
      <c r="L60" s="7"/>
      <c r="M60" s="29"/>
      <c r="N60" s="29"/>
      <c r="O60" s="29"/>
      <c r="P60" s="29"/>
      <c r="Q60" s="124"/>
      <c r="R60" s="123"/>
      <c r="S60" s="123"/>
      <c r="T60" s="32"/>
      <c r="U60" s="135"/>
      <c r="V60" s="135"/>
      <c r="W60" s="35"/>
      <c r="X60" s="32"/>
    </row>
    <row r="61" spans="1:24">
      <c r="A61" s="112"/>
      <c r="B61" s="149"/>
      <c r="C61" s="23"/>
      <c r="D61" s="23"/>
      <c r="E61" s="23"/>
      <c r="F61" s="23"/>
      <c r="G61" s="46"/>
      <c r="H61" s="53"/>
      <c r="I61" s="120"/>
      <c r="J61" s="183"/>
      <c r="K61" s="137"/>
      <c r="L61" s="7"/>
      <c r="M61" s="29"/>
      <c r="N61" s="29"/>
      <c r="O61" s="29"/>
      <c r="P61" s="29"/>
      <c r="Q61" s="124"/>
      <c r="R61" s="123"/>
      <c r="S61" s="123"/>
      <c r="T61" s="32"/>
      <c r="U61" s="135"/>
      <c r="V61" s="135"/>
      <c r="W61" s="35"/>
      <c r="X61" s="32"/>
    </row>
    <row r="62" spans="1:24">
      <c r="A62" s="112"/>
      <c r="B62" s="149"/>
      <c r="C62" s="23"/>
      <c r="D62" s="23"/>
      <c r="E62" s="23"/>
      <c r="F62" s="23"/>
      <c r="G62" s="46"/>
      <c r="H62" s="53"/>
      <c r="I62" s="120"/>
      <c r="J62" s="183"/>
      <c r="K62" s="137"/>
      <c r="L62" s="7"/>
      <c r="M62" s="29"/>
      <c r="N62" s="29"/>
      <c r="O62" s="29"/>
      <c r="P62" s="29"/>
      <c r="Q62" s="124"/>
      <c r="R62" s="123"/>
      <c r="S62" s="123"/>
      <c r="T62" s="32"/>
      <c r="U62" s="135"/>
      <c r="V62" s="135"/>
      <c r="W62" s="35"/>
      <c r="X62" s="32"/>
    </row>
    <row r="63" spans="1:24">
      <c r="A63" s="112"/>
      <c r="B63" s="149"/>
      <c r="C63" s="23"/>
      <c r="D63" s="23"/>
      <c r="E63" s="23"/>
      <c r="F63" s="23"/>
      <c r="G63" s="46"/>
      <c r="H63" s="53"/>
      <c r="I63" s="120"/>
      <c r="J63" s="183"/>
      <c r="K63" s="137"/>
      <c r="L63" s="7"/>
      <c r="M63" s="29"/>
      <c r="N63" s="29"/>
      <c r="O63" s="29"/>
      <c r="P63" s="29"/>
      <c r="Q63" s="124"/>
      <c r="R63" s="123"/>
      <c r="S63" s="123"/>
      <c r="T63" s="32"/>
      <c r="U63" s="135"/>
      <c r="V63" s="135"/>
      <c r="W63" s="35"/>
      <c r="X63" s="32"/>
    </row>
    <row r="64" spans="1:24">
      <c r="A64" s="112"/>
      <c r="B64" s="149"/>
      <c r="C64" s="23"/>
      <c r="D64" s="23"/>
      <c r="E64" s="23"/>
      <c r="F64" s="23"/>
      <c r="G64" s="46"/>
      <c r="H64" s="53"/>
      <c r="I64" s="120"/>
      <c r="J64" s="183"/>
      <c r="K64" s="137"/>
      <c r="L64" s="7"/>
      <c r="M64" s="29"/>
      <c r="N64" s="29"/>
      <c r="O64" s="29"/>
      <c r="P64" s="29"/>
      <c r="Q64" s="124"/>
      <c r="R64" s="123"/>
      <c r="S64" s="123"/>
      <c r="T64" s="32"/>
      <c r="U64" s="135"/>
      <c r="V64" s="135"/>
      <c r="W64" s="35"/>
      <c r="X64" s="32"/>
    </row>
    <row r="65" spans="1:24">
      <c r="A65" s="112"/>
      <c r="B65" s="149"/>
      <c r="C65" s="23"/>
      <c r="D65" s="23"/>
      <c r="E65" s="23"/>
      <c r="F65" s="23"/>
      <c r="G65" s="46"/>
      <c r="H65" s="53"/>
      <c r="I65" s="120"/>
      <c r="J65" s="183"/>
      <c r="K65" s="137"/>
      <c r="L65" s="7"/>
      <c r="M65" s="29"/>
      <c r="N65" s="29"/>
      <c r="O65" s="29"/>
      <c r="P65" s="29"/>
      <c r="Q65" s="124"/>
      <c r="R65" s="123"/>
      <c r="S65" s="123"/>
      <c r="T65" s="32"/>
      <c r="U65" s="135"/>
      <c r="V65" s="135"/>
      <c r="W65" s="35"/>
      <c r="X65" s="32"/>
    </row>
    <row r="66" spans="1:24">
      <c r="A66" s="112"/>
      <c r="B66" s="149"/>
      <c r="C66" s="23"/>
      <c r="D66" s="23"/>
      <c r="E66" s="23"/>
      <c r="F66" s="23"/>
      <c r="G66" s="46"/>
      <c r="H66" s="53"/>
      <c r="I66" s="120"/>
      <c r="J66" s="183"/>
      <c r="K66" s="137"/>
      <c r="L66" s="7"/>
      <c r="M66" s="29"/>
      <c r="N66" s="29"/>
      <c r="O66" s="29"/>
      <c r="P66" s="29"/>
      <c r="Q66" s="124"/>
      <c r="R66" s="123"/>
      <c r="S66" s="123"/>
      <c r="T66" s="32"/>
      <c r="U66" s="135"/>
      <c r="V66" s="135"/>
      <c r="W66" s="35"/>
      <c r="X66" s="32"/>
    </row>
    <row r="67" spans="1:24" ht="17.25" customHeight="1">
      <c r="A67" s="112"/>
      <c r="B67" s="149"/>
      <c r="C67" s="23"/>
      <c r="D67" s="23"/>
      <c r="E67" s="23"/>
      <c r="F67" s="23"/>
      <c r="G67" s="46"/>
      <c r="H67" s="53"/>
      <c r="I67" s="120"/>
      <c r="J67" s="183"/>
      <c r="K67" s="137"/>
      <c r="L67" s="7"/>
      <c r="M67" s="29"/>
      <c r="N67" s="29"/>
      <c r="O67" s="29"/>
      <c r="P67" s="29"/>
      <c r="Q67" s="124"/>
      <c r="R67" s="123"/>
      <c r="S67" s="123"/>
      <c r="T67" s="32"/>
      <c r="U67" s="135"/>
      <c r="V67" s="135"/>
      <c r="W67" s="35"/>
      <c r="X67" s="32"/>
    </row>
    <row r="68" spans="1:24">
      <c r="A68" s="112"/>
      <c r="B68" s="149"/>
      <c r="C68" s="23"/>
      <c r="D68" s="23"/>
      <c r="E68" s="23"/>
      <c r="F68" s="23"/>
      <c r="G68" s="46"/>
      <c r="H68" s="53"/>
      <c r="I68" s="120"/>
      <c r="J68" s="183"/>
      <c r="K68" s="137"/>
      <c r="L68" s="7"/>
      <c r="M68" s="29"/>
      <c r="N68" s="29"/>
      <c r="O68" s="29"/>
      <c r="P68" s="29"/>
      <c r="Q68" s="124"/>
      <c r="R68" s="123"/>
      <c r="S68" s="123"/>
      <c r="T68" s="32"/>
      <c r="U68" s="135"/>
      <c r="V68" s="135"/>
      <c r="W68" s="35"/>
      <c r="X68" s="32"/>
    </row>
    <row r="69" spans="1:24">
      <c r="A69" s="112"/>
      <c r="B69" s="149"/>
      <c r="C69" s="23"/>
      <c r="D69" s="23"/>
      <c r="E69" s="23"/>
      <c r="F69" s="23"/>
      <c r="G69" s="46"/>
      <c r="H69" s="53"/>
      <c r="I69" s="120"/>
      <c r="J69" s="183"/>
      <c r="K69" s="137"/>
      <c r="L69" s="7"/>
      <c r="M69" s="29"/>
      <c r="N69" s="29"/>
      <c r="O69" s="29"/>
      <c r="P69" s="29"/>
      <c r="Q69" s="124"/>
      <c r="R69" s="123"/>
      <c r="S69" s="123"/>
      <c r="T69" s="32"/>
      <c r="U69" s="135"/>
      <c r="V69" s="135"/>
      <c r="W69" s="35"/>
      <c r="X69" s="32"/>
    </row>
    <row r="70" spans="1:24">
      <c r="A70" s="112"/>
      <c r="B70" s="149"/>
      <c r="C70" s="23"/>
      <c r="D70" s="23"/>
      <c r="E70" s="23"/>
      <c r="F70" s="23"/>
      <c r="G70" s="46"/>
      <c r="H70" s="53"/>
      <c r="I70" s="120"/>
      <c r="J70" s="183"/>
      <c r="K70" s="137"/>
      <c r="L70" s="7"/>
      <c r="M70" s="29"/>
      <c r="N70" s="29"/>
      <c r="O70" s="29"/>
      <c r="P70" s="29"/>
      <c r="Q70" s="124"/>
      <c r="R70" s="123"/>
      <c r="S70" s="123"/>
      <c r="T70" s="32"/>
      <c r="U70" s="135"/>
      <c r="V70" s="135"/>
      <c r="W70" s="35"/>
      <c r="X70" s="32"/>
    </row>
    <row r="71" spans="1:24">
      <c r="A71" s="112"/>
      <c r="B71" s="149"/>
      <c r="C71" s="23"/>
      <c r="D71" s="23"/>
      <c r="E71" s="23"/>
      <c r="F71" s="23"/>
      <c r="G71" s="46"/>
      <c r="H71" s="53"/>
      <c r="I71" s="120"/>
      <c r="J71" s="183"/>
      <c r="K71" s="137"/>
      <c r="L71" s="7"/>
      <c r="M71" s="29"/>
      <c r="N71" s="29"/>
      <c r="O71" s="29"/>
      <c r="P71" s="29"/>
      <c r="Q71" s="124"/>
      <c r="R71" s="123"/>
      <c r="S71" s="123"/>
      <c r="T71" s="32"/>
      <c r="U71" s="135"/>
      <c r="V71" s="135"/>
      <c r="W71" s="35"/>
      <c r="X71" s="32"/>
    </row>
    <row r="72" spans="1:24">
      <c r="A72" s="112"/>
      <c r="B72" s="149"/>
      <c r="C72" s="23"/>
      <c r="D72" s="23"/>
      <c r="E72" s="23"/>
      <c r="F72" s="23"/>
      <c r="G72" s="46"/>
      <c r="H72" s="53"/>
      <c r="I72" s="120"/>
      <c r="J72" s="183"/>
      <c r="K72" s="137"/>
      <c r="L72" s="7"/>
      <c r="M72" s="29"/>
      <c r="N72" s="29"/>
      <c r="O72" s="29"/>
      <c r="P72" s="29"/>
      <c r="Q72" s="124"/>
      <c r="R72" s="123"/>
      <c r="S72" s="123"/>
      <c r="T72" s="32"/>
      <c r="U72" s="135"/>
      <c r="V72" s="135"/>
      <c r="W72" s="35"/>
      <c r="X72" s="32"/>
    </row>
    <row r="73" spans="1:24">
      <c r="A73" s="112"/>
      <c r="B73" s="149"/>
      <c r="C73" s="23"/>
      <c r="D73" s="23"/>
      <c r="E73" s="23"/>
      <c r="F73" s="23"/>
      <c r="G73" s="46"/>
      <c r="H73" s="53"/>
      <c r="I73" s="120"/>
      <c r="J73" s="183"/>
      <c r="K73" s="137"/>
      <c r="L73" s="7"/>
      <c r="M73" s="29"/>
      <c r="N73" s="29"/>
      <c r="O73" s="29"/>
      <c r="P73" s="29"/>
      <c r="Q73" s="124"/>
      <c r="R73" s="123"/>
      <c r="S73" s="123"/>
      <c r="T73" s="32"/>
      <c r="U73" s="135"/>
      <c r="V73" s="135"/>
      <c r="W73" s="35"/>
      <c r="X73" s="32"/>
    </row>
    <row r="74" spans="1:24">
      <c r="A74" s="112"/>
      <c r="B74" s="149"/>
      <c r="C74" s="23"/>
      <c r="D74" s="23"/>
      <c r="E74" s="23"/>
      <c r="F74" s="23"/>
      <c r="G74" s="46"/>
      <c r="H74" s="53"/>
      <c r="I74" s="120"/>
      <c r="J74" s="183"/>
      <c r="K74" s="137"/>
      <c r="L74" s="7"/>
      <c r="M74" s="29"/>
      <c r="N74" s="29"/>
      <c r="O74" s="29"/>
      <c r="P74" s="29"/>
      <c r="Q74" s="124"/>
      <c r="R74" s="123"/>
      <c r="S74" s="123"/>
      <c r="T74" s="32"/>
      <c r="U74" s="135"/>
      <c r="V74" s="135"/>
      <c r="W74" s="35"/>
      <c r="X74" s="32"/>
    </row>
    <row r="75" spans="1:24">
      <c r="A75" s="112"/>
      <c r="B75" s="149"/>
      <c r="C75" s="23"/>
      <c r="D75" s="23"/>
      <c r="E75" s="23"/>
      <c r="F75" s="23"/>
      <c r="G75" s="46"/>
      <c r="H75" s="53"/>
      <c r="I75" s="120"/>
      <c r="J75" s="183"/>
      <c r="K75" s="137"/>
      <c r="L75" s="7"/>
      <c r="M75" s="29"/>
      <c r="N75" s="29"/>
      <c r="O75" s="29"/>
      <c r="P75" s="29"/>
      <c r="Q75" s="124"/>
      <c r="R75" s="123"/>
      <c r="S75" s="123"/>
      <c r="T75" s="32"/>
      <c r="U75" s="135"/>
      <c r="V75" s="135"/>
      <c r="W75" s="35"/>
      <c r="X75" s="32"/>
    </row>
    <row r="76" spans="1:24">
      <c r="A76" s="112"/>
      <c r="B76" s="149"/>
      <c r="C76" s="23"/>
      <c r="D76" s="23"/>
      <c r="E76" s="23"/>
      <c r="F76" s="23"/>
      <c r="G76" s="46"/>
      <c r="H76" s="53"/>
      <c r="I76" s="120"/>
      <c r="J76" s="183"/>
      <c r="K76" s="137"/>
      <c r="L76" s="7"/>
      <c r="M76" s="29"/>
      <c r="N76" s="29"/>
      <c r="O76" s="29"/>
      <c r="P76" s="29"/>
      <c r="Q76" s="124"/>
      <c r="R76" s="123"/>
      <c r="S76" s="123"/>
      <c r="T76" s="32"/>
      <c r="U76" s="135"/>
      <c r="V76" s="135"/>
      <c r="W76" s="35"/>
      <c r="X76" s="32"/>
    </row>
    <row r="77" spans="1:24">
      <c r="A77" s="112"/>
      <c r="B77" s="149"/>
      <c r="C77" s="23"/>
      <c r="D77" s="23"/>
      <c r="E77" s="23"/>
      <c r="F77" s="23"/>
      <c r="G77" s="46"/>
      <c r="H77" s="53"/>
      <c r="I77" s="120"/>
      <c r="J77" s="183"/>
      <c r="K77" s="137"/>
      <c r="L77" s="7"/>
      <c r="M77" s="29"/>
      <c r="N77" s="29"/>
      <c r="O77" s="29"/>
      <c r="P77" s="29"/>
      <c r="Q77" s="124"/>
      <c r="R77" s="123"/>
      <c r="S77" s="123"/>
      <c r="T77" s="32"/>
      <c r="U77" s="135"/>
      <c r="V77" s="135"/>
      <c r="W77" s="35"/>
      <c r="X77" s="32"/>
    </row>
    <row r="78" spans="1:24">
      <c r="A78" s="112"/>
      <c r="B78" s="149"/>
      <c r="C78" s="23"/>
      <c r="D78" s="23"/>
      <c r="E78" s="23"/>
      <c r="F78" s="23"/>
      <c r="G78" s="46"/>
      <c r="H78" s="53"/>
      <c r="I78" s="120"/>
      <c r="J78" s="183"/>
      <c r="K78" s="137"/>
      <c r="L78" s="7"/>
      <c r="M78" s="29"/>
      <c r="N78" s="29"/>
      <c r="O78" s="29"/>
      <c r="P78" s="29"/>
      <c r="Q78" s="124"/>
      <c r="R78" s="123"/>
      <c r="S78" s="123"/>
      <c r="T78" s="32"/>
      <c r="U78" s="135"/>
      <c r="V78" s="135"/>
      <c r="W78" s="35"/>
      <c r="X78" s="32"/>
    </row>
    <row r="79" spans="1:24">
      <c r="A79" s="112"/>
      <c r="B79" s="149"/>
      <c r="C79" s="23"/>
      <c r="D79" s="23"/>
      <c r="E79" s="23"/>
      <c r="F79" s="23"/>
      <c r="G79" s="46"/>
      <c r="H79" s="53"/>
      <c r="I79" s="120"/>
      <c r="J79" s="183"/>
      <c r="K79" s="137"/>
      <c r="L79" s="7"/>
      <c r="M79" s="29"/>
      <c r="N79" s="29"/>
      <c r="O79" s="29"/>
      <c r="P79" s="29"/>
      <c r="Q79" s="124"/>
      <c r="R79" s="123"/>
      <c r="S79" s="123"/>
      <c r="T79" s="32"/>
      <c r="U79" s="135"/>
      <c r="V79" s="135"/>
      <c r="W79" s="35"/>
      <c r="X79" s="32"/>
    </row>
    <row r="80" spans="1:24">
      <c r="A80" s="112"/>
      <c r="B80" s="149"/>
      <c r="C80" s="23"/>
      <c r="D80" s="23"/>
      <c r="E80" s="23"/>
      <c r="F80" s="23"/>
      <c r="G80" s="46"/>
      <c r="H80" s="53"/>
      <c r="I80" s="120"/>
      <c r="J80" s="183"/>
      <c r="K80" s="137"/>
      <c r="L80" s="7"/>
      <c r="M80" s="29"/>
      <c r="N80" s="29"/>
      <c r="O80" s="29"/>
      <c r="P80" s="29"/>
      <c r="Q80" s="124"/>
      <c r="R80" s="123"/>
      <c r="S80" s="123"/>
      <c r="T80" s="32"/>
      <c r="U80" s="135"/>
      <c r="V80" s="135"/>
      <c r="W80" s="35"/>
      <c r="X80" s="32"/>
    </row>
    <row r="81" spans="1:24">
      <c r="A81" s="112"/>
      <c r="B81" s="149"/>
      <c r="C81" s="23"/>
      <c r="D81" s="23"/>
      <c r="E81" s="23"/>
      <c r="F81" s="23"/>
      <c r="G81" s="46"/>
      <c r="H81" s="53"/>
      <c r="I81" s="120"/>
      <c r="J81" s="183"/>
      <c r="K81" s="137"/>
      <c r="L81" s="7"/>
      <c r="M81" s="29"/>
      <c r="N81" s="29"/>
      <c r="O81" s="29"/>
      <c r="P81" s="29"/>
      <c r="Q81" s="124"/>
      <c r="R81" s="123"/>
      <c r="S81" s="123"/>
      <c r="T81" s="32"/>
      <c r="U81" s="135"/>
      <c r="V81" s="135"/>
      <c r="W81" s="35"/>
      <c r="X81" s="32"/>
    </row>
    <row r="82" spans="1:24">
      <c r="A82" s="112"/>
      <c r="B82" s="149"/>
      <c r="C82" s="23"/>
      <c r="D82" s="23"/>
      <c r="E82" s="23"/>
      <c r="F82" s="23"/>
      <c r="G82" s="46"/>
      <c r="H82" s="53"/>
      <c r="I82" s="120"/>
      <c r="J82" s="183"/>
      <c r="K82" s="137"/>
      <c r="L82" s="7"/>
      <c r="M82" s="29"/>
      <c r="N82" s="29"/>
      <c r="O82" s="29"/>
      <c r="P82" s="29"/>
      <c r="Q82" s="124"/>
      <c r="R82" s="123"/>
      <c r="S82" s="123"/>
      <c r="T82" s="32"/>
      <c r="U82" s="135"/>
      <c r="V82" s="135"/>
      <c r="W82" s="35"/>
      <c r="X82" s="32"/>
    </row>
    <row r="83" spans="1:24">
      <c r="A83" s="112"/>
      <c r="B83" s="149"/>
      <c r="C83" s="23"/>
      <c r="D83" s="23"/>
      <c r="E83" s="23"/>
      <c r="F83" s="23"/>
      <c r="G83" s="46"/>
      <c r="H83" s="53"/>
      <c r="I83" s="120"/>
      <c r="J83" s="183"/>
      <c r="K83" s="137"/>
      <c r="L83" s="7"/>
      <c r="M83" s="29"/>
      <c r="N83" s="29"/>
      <c r="O83" s="29"/>
      <c r="P83" s="29"/>
      <c r="Q83" s="124"/>
      <c r="R83" s="123"/>
      <c r="S83" s="123"/>
      <c r="T83" s="32"/>
      <c r="U83" s="135"/>
      <c r="V83" s="135"/>
      <c r="W83" s="35"/>
      <c r="X83" s="32"/>
    </row>
    <row r="84" spans="1:24">
      <c r="A84" s="112"/>
      <c r="B84" s="149"/>
      <c r="C84" s="23"/>
      <c r="D84" s="23"/>
      <c r="E84" s="23"/>
      <c r="F84" s="23"/>
      <c r="G84" s="46"/>
      <c r="H84" s="53"/>
      <c r="I84" s="120"/>
      <c r="J84" s="183"/>
      <c r="K84" s="137"/>
      <c r="L84" s="7"/>
      <c r="M84" s="29"/>
      <c r="N84" s="29"/>
      <c r="O84" s="29"/>
      <c r="P84" s="29"/>
      <c r="Q84" s="124"/>
      <c r="R84" s="123"/>
      <c r="S84" s="123"/>
      <c r="T84" s="32"/>
      <c r="U84" s="135"/>
      <c r="V84" s="135"/>
      <c r="W84" s="35"/>
      <c r="X84" s="32"/>
    </row>
    <row r="85" spans="1:24">
      <c r="A85" s="112"/>
      <c r="B85" s="149"/>
      <c r="C85" s="23"/>
      <c r="D85" s="23"/>
      <c r="E85" s="23"/>
      <c r="F85" s="23"/>
      <c r="G85" s="46"/>
      <c r="H85" s="53"/>
      <c r="I85" s="120"/>
      <c r="J85" s="183"/>
      <c r="K85" s="137"/>
      <c r="L85" s="7"/>
      <c r="M85" s="29"/>
      <c r="N85" s="29"/>
      <c r="O85" s="29"/>
      <c r="P85" s="30"/>
      <c r="Q85" s="31"/>
      <c r="R85" s="134"/>
      <c r="S85" s="134"/>
      <c r="T85" s="32"/>
      <c r="U85" s="135"/>
      <c r="V85" s="135"/>
      <c r="W85" s="35"/>
      <c r="X85" s="32"/>
    </row>
    <row r="86" spans="1:24">
      <c r="A86" s="112"/>
      <c r="B86" s="149"/>
      <c r="C86" s="23"/>
      <c r="D86" s="23"/>
      <c r="E86" s="23"/>
      <c r="F86" s="23"/>
      <c r="G86" s="46"/>
      <c r="H86" s="53"/>
      <c r="I86" s="120"/>
      <c r="J86" s="183"/>
      <c r="K86" s="137"/>
      <c r="L86" s="7"/>
      <c r="M86" s="29"/>
      <c r="N86" s="29"/>
      <c r="O86" s="29"/>
      <c r="P86" s="30"/>
      <c r="Q86" s="31"/>
      <c r="R86" s="134"/>
      <c r="S86" s="134"/>
      <c r="T86" s="32"/>
      <c r="U86" s="135"/>
      <c r="V86" s="135"/>
      <c r="W86" s="35"/>
      <c r="X86" s="32"/>
    </row>
    <row r="87" spans="1:24">
      <c r="A87" s="112"/>
      <c r="B87" s="149"/>
      <c r="C87" s="23"/>
      <c r="D87" s="23"/>
      <c r="E87" s="23"/>
      <c r="F87" s="23"/>
      <c r="G87" s="46"/>
      <c r="H87" s="53"/>
      <c r="I87" s="120"/>
      <c r="J87" s="183"/>
      <c r="K87" s="137"/>
      <c r="L87" s="7"/>
      <c r="M87" s="29"/>
      <c r="N87" s="29"/>
      <c r="O87" s="29"/>
      <c r="P87" s="30"/>
      <c r="Q87" s="31"/>
      <c r="R87" s="134"/>
      <c r="S87" s="134"/>
      <c r="T87" s="32"/>
      <c r="U87" s="135"/>
      <c r="V87" s="135"/>
      <c r="W87" s="35"/>
      <c r="X87" s="32"/>
    </row>
    <row r="88" spans="1:24">
      <c r="A88" s="112"/>
      <c r="B88" s="149"/>
      <c r="C88" s="23"/>
      <c r="D88" s="23"/>
      <c r="E88" s="23"/>
      <c r="F88" s="23"/>
      <c r="G88" s="46"/>
      <c r="H88" s="53"/>
      <c r="I88" s="120"/>
      <c r="J88" s="183"/>
      <c r="K88" s="137"/>
      <c r="L88" s="7"/>
      <c r="M88" s="29"/>
      <c r="N88" s="29"/>
      <c r="O88" s="29"/>
      <c r="P88" s="30"/>
      <c r="Q88" s="31"/>
      <c r="R88" s="134"/>
      <c r="S88" s="134"/>
      <c r="T88" s="32"/>
      <c r="U88" s="135"/>
      <c r="V88" s="135"/>
      <c r="W88" s="35"/>
      <c r="X88" s="32"/>
    </row>
    <row r="89" spans="1:24">
      <c r="A89" s="112"/>
      <c r="B89" s="149"/>
      <c r="C89" s="23"/>
      <c r="D89" s="23"/>
      <c r="E89" s="23"/>
      <c r="F89" s="23"/>
      <c r="G89" s="46"/>
      <c r="H89" s="53"/>
      <c r="I89" s="120"/>
      <c r="J89" s="183"/>
      <c r="K89" s="137"/>
      <c r="L89" s="7"/>
      <c r="M89" s="29"/>
      <c r="N89" s="29"/>
      <c r="O89" s="29"/>
      <c r="P89" s="30"/>
      <c r="Q89" s="31"/>
      <c r="R89" s="134"/>
      <c r="S89" s="134"/>
      <c r="T89" s="32"/>
      <c r="U89" s="135"/>
      <c r="V89" s="135"/>
      <c r="W89" s="35"/>
      <c r="X89" s="32"/>
    </row>
    <row r="90" spans="1:24">
      <c r="A90" s="112"/>
      <c r="B90" s="149"/>
      <c r="C90" s="23"/>
      <c r="D90" s="23"/>
      <c r="E90" s="23"/>
      <c r="F90" s="23"/>
      <c r="G90" s="46"/>
      <c r="H90" s="53"/>
      <c r="I90" s="120"/>
      <c r="J90" s="183"/>
      <c r="K90" s="137"/>
      <c r="L90" s="7"/>
      <c r="M90" s="29"/>
      <c r="N90" s="29"/>
      <c r="O90" s="29"/>
      <c r="P90" s="30"/>
      <c r="Q90" s="31"/>
      <c r="R90" s="134"/>
      <c r="S90" s="134"/>
      <c r="T90" s="32"/>
      <c r="U90" s="135"/>
      <c r="V90" s="135"/>
      <c r="W90" s="35"/>
      <c r="X90" s="32"/>
    </row>
    <row r="91" spans="1:24" ht="17.25" customHeight="1">
      <c r="A91" s="112"/>
      <c r="B91" s="149"/>
      <c r="C91" s="23"/>
      <c r="D91" s="23"/>
      <c r="E91" s="23"/>
      <c r="F91" s="23"/>
      <c r="G91" s="46"/>
      <c r="H91" s="53"/>
      <c r="I91" s="120"/>
      <c r="J91" s="183"/>
      <c r="K91" s="137"/>
      <c r="L91" s="7"/>
      <c r="M91" s="29"/>
      <c r="N91" s="29"/>
      <c r="O91" s="29"/>
      <c r="P91" s="30"/>
      <c r="Q91" s="31"/>
      <c r="R91" s="134"/>
      <c r="S91" s="134"/>
      <c r="T91" s="32"/>
      <c r="U91" s="135"/>
      <c r="V91" s="135"/>
      <c r="W91" s="35"/>
      <c r="X91" s="32"/>
    </row>
    <row r="92" spans="1:24" ht="17.25" customHeight="1">
      <c r="A92" s="112"/>
      <c r="B92" s="149"/>
      <c r="C92" s="23"/>
      <c r="D92" s="23"/>
      <c r="E92" s="23"/>
      <c r="F92" s="23"/>
      <c r="G92" s="46"/>
      <c r="H92" s="53"/>
      <c r="I92" s="120"/>
      <c r="J92" s="183"/>
      <c r="K92" s="137"/>
      <c r="L92" s="7"/>
      <c r="M92" s="29"/>
      <c r="N92" s="29"/>
      <c r="O92" s="29"/>
      <c r="P92" s="30"/>
      <c r="Q92" s="31"/>
      <c r="R92" s="134"/>
      <c r="S92" s="134"/>
      <c r="T92" s="32"/>
      <c r="U92" s="135"/>
      <c r="V92" s="135"/>
      <c r="W92" s="35"/>
      <c r="X92" s="32"/>
    </row>
    <row r="93" spans="1:24" ht="17.25" customHeight="1">
      <c r="A93" s="112"/>
      <c r="B93" s="149"/>
      <c r="C93" s="23"/>
      <c r="D93" s="23"/>
      <c r="E93" s="23"/>
      <c r="F93" s="23"/>
      <c r="G93" s="46"/>
      <c r="H93" s="53"/>
      <c r="I93" s="120"/>
      <c r="J93" s="183"/>
      <c r="K93" s="137"/>
      <c r="L93" s="7"/>
      <c r="M93" s="29"/>
      <c r="N93" s="29"/>
      <c r="O93" s="29"/>
      <c r="P93" s="30"/>
      <c r="Q93" s="31"/>
      <c r="R93" s="134"/>
      <c r="S93" s="134"/>
      <c r="T93" s="32"/>
      <c r="U93" s="135"/>
      <c r="V93" s="135"/>
      <c r="W93" s="35"/>
      <c r="X93" s="32"/>
    </row>
    <row r="94" spans="1:24" ht="17.25" customHeight="1"/>
    <row r="95" spans="1:24" ht="17.25" customHeight="1"/>
    <row r="96" spans="1:24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33" ht="17.25" customHeight="1"/>
  </sheetData>
  <mergeCells count="6">
    <mergeCell ref="A2:G3"/>
    <mergeCell ref="M3:P3"/>
    <mergeCell ref="H2:X2"/>
    <mergeCell ref="H3:K3"/>
    <mergeCell ref="Q3:S3"/>
    <mergeCell ref="W3:X3"/>
  </mergeCells>
  <phoneticPr fontId="1" type="noConversion"/>
  <conditionalFormatting sqref="B1:B1048576">
    <cfRule type="duplicateValues" dxfId="136" priority="1"/>
  </conditionalFormatting>
  <dataValidations disablePrompts="1" count="1">
    <dataValidation type="list" showInputMessage="1" showErrorMessage="1" sqref="T507" xr:uid="{779D4DB2-A147-4F5D-9718-BF408F84F388}">
      <formula1>"철근콘크리트,조적조,철골조,목조,기타"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D7DA-D34B-425C-A571-818681094212}">
  <sheetPr codeName="Sheet3"/>
  <dimension ref="A1:AD93"/>
  <sheetViews>
    <sheetView workbookViewId="0">
      <pane xSplit="7" ySplit="4" topLeftCell="H5" activePane="bottomRight" state="frozen"/>
      <selection pane="topRight" activeCell="B5" sqref="B5"/>
      <selection pane="bottomLeft" activeCell="B5" sqref="B5"/>
      <selection pane="bottomRight" activeCell="B5" sqref="B5"/>
    </sheetView>
  </sheetViews>
  <sheetFormatPr defaultColWidth="8.75" defaultRowHeight="17.5"/>
  <cols>
    <col min="1" max="1" width="5.83203125" style="67" customWidth="1"/>
    <col min="2" max="2" width="6.33203125" style="68" customWidth="1"/>
    <col min="3" max="4" width="6.33203125" style="69" customWidth="1"/>
    <col min="5" max="5" width="7.58203125" style="70" customWidth="1"/>
    <col min="6" max="6" width="10" style="71" bestFit="1" customWidth="1"/>
    <col min="7" max="7" width="6.08203125" style="72" bestFit="1" customWidth="1"/>
    <col min="8" max="8" width="9.5" style="72" customWidth="1"/>
    <col min="9" max="9" width="43.58203125" style="74" customWidth="1"/>
    <col min="10" max="10" width="5.83203125" style="78" customWidth="1"/>
    <col min="11" max="11" width="27.58203125" style="74" customWidth="1"/>
    <col min="12" max="12" width="13.58203125" style="72" customWidth="1"/>
    <col min="13" max="13" width="7.08203125" style="188" customWidth="1"/>
    <col min="14" max="14" width="10.5" style="79" customWidth="1"/>
    <col min="15" max="30" width="10" style="79" customWidth="1"/>
  </cols>
  <sheetData>
    <row r="1" spans="1:30" ht="21.5" thickBot="1">
      <c r="A1" s="2" t="s">
        <v>533</v>
      </c>
      <c r="B1" s="2"/>
      <c r="C1" s="3"/>
      <c r="D1" s="3"/>
      <c r="E1" s="3"/>
      <c r="F1" s="9"/>
      <c r="G1" s="2"/>
      <c r="H1" s="121"/>
      <c r="I1"/>
      <c r="J1"/>
      <c r="K1"/>
      <c r="L1" s="121"/>
      <c r="M1" s="186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ht="17.25" customHeight="1" thickTop="1" thickBot="1">
      <c r="A2" s="925" t="s">
        <v>39</v>
      </c>
      <c r="B2" s="926"/>
      <c r="C2" s="926"/>
      <c r="D2" s="926"/>
      <c r="E2" s="926"/>
      <c r="F2" s="926"/>
      <c r="G2" s="927"/>
      <c r="H2" s="939" t="s">
        <v>43</v>
      </c>
      <c r="I2" s="940"/>
      <c r="J2" s="940"/>
      <c r="K2" s="940"/>
      <c r="L2" s="940"/>
      <c r="M2" s="940"/>
      <c r="N2" s="940"/>
      <c r="O2" s="940"/>
      <c r="P2" s="940"/>
      <c r="Q2" s="940"/>
      <c r="R2" s="940"/>
      <c r="S2" s="940"/>
      <c r="T2" s="940"/>
      <c r="U2" s="940"/>
      <c r="V2" s="940"/>
      <c r="W2" s="940"/>
      <c r="X2" s="940"/>
      <c r="Y2" s="940"/>
      <c r="Z2" s="940"/>
      <c r="AA2" s="940"/>
      <c r="AB2" s="940"/>
      <c r="AC2" s="940"/>
      <c r="AD2" s="941"/>
    </row>
    <row r="3" spans="1:30" ht="17.25" customHeight="1">
      <c r="A3" s="830"/>
      <c r="B3" s="831"/>
      <c r="C3" s="831"/>
      <c r="D3" s="831"/>
      <c r="E3" s="831"/>
      <c r="F3" s="831"/>
      <c r="G3" s="832"/>
      <c r="H3" s="942" t="s">
        <v>54</v>
      </c>
      <c r="I3" s="943"/>
      <c r="J3" s="943"/>
      <c r="K3" s="943"/>
      <c r="L3" s="83" t="s">
        <v>55</v>
      </c>
      <c r="M3" s="944" t="s">
        <v>546</v>
      </c>
      <c r="N3" s="945"/>
      <c r="O3" s="945"/>
      <c r="P3" s="946"/>
      <c r="Q3" s="944" t="s">
        <v>56</v>
      </c>
      <c r="R3" s="945"/>
      <c r="S3" s="945"/>
      <c r="T3" s="945"/>
      <c r="U3" s="946"/>
      <c r="V3" s="944" t="s">
        <v>57</v>
      </c>
      <c r="W3" s="945"/>
      <c r="X3" s="945"/>
      <c r="Y3" s="945"/>
      <c r="Z3" s="945"/>
      <c r="AA3" s="945"/>
      <c r="AB3" s="945"/>
      <c r="AC3" s="945"/>
      <c r="AD3" s="947"/>
    </row>
    <row r="4" spans="1:30" ht="19.5" thickBot="1">
      <c r="A4" s="110" t="s">
        <v>538</v>
      </c>
      <c r="B4" s="43" t="s">
        <v>539</v>
      </c>
      <c r="C4" s="20" t="s">
        <v>66</v>
      </c>
      <c r="D4" s="21" t="s">
        <v>67</v>
      </c>
      <c r="E4" s="21" t="s">
        <v>68</v>
      </c>
      <c r="F4" s="21" t="s">
        <v>540</v>
      </c>
      <c r="G4" s="44" t="s">
        <v>69</v>
      </c>
      <c r="H4" s="84" t="s">
        <v>547</v>
      </c>
      <c r="I4" s="85" t="s">
        <v>104</v>
      </c>
      <c r="J4" s="85" t="s">
        <v>106</v>
      </c>
      <c r="K4" s="85" t="s">
        <v>548</v>
      </c>
      <c r="L4" s="86" t="s">
        <v>549</v>
      </c>
      <c r="M4" s="85" t="s">
        <v>550</v>
      </c>
      <c r="N4" s="87" t="s">
        <v>551</v>
      </c>
      <c r="O4" s="86" t="s">
        <v>552</v>
      </c>
      <c r="P4" s="88" t="s">
        <v>553</v>
      </c>
      <c r="Q4" s="88" t="s">
        <v>120</v>
      </c>
      <c r="R4" s="88" t="s">
        <v>121</v>
      </c>
      <c r="S4" s="88" t="s">
        <v>122</v>
      </c>
      <c r="T4" s="88" t="s">
        <v>123</v>
      </c>
      <c r="U4" s="88" t="s">
        <v>124</v>
      </c>
      <c r="V4" s="88" t="s">
        <v>554</v>
      </c>
      <c r="W4" s="88" t="s">
        <v>125</v>
      </c>
      <c r="X4" s="88" t="s">
        <v>126</v>
      </c>
      <c r="Y4" s="88" t="s">
        <v>127</v>
      </c>
      <c r="Z4" s="88" t="s">
        <v>128</v>
      </c>
      <c r="AA4" s="88" t="s">
        <v>129</v>
      </c>
      <c r="AB4" s="88" t="s">
        <v>130</v>
      </c>
      <c r="AC4" s="88" t="s">
        <v>131</v>
      </c>
      <c r="AD4" s="89" t="s">
        <v>132</v>
      </c>
    </row>
    <row r="5" spans="1:30" thickTop="1">
      <c r="A5" s="111"/>
      <c r="B5" s="149"/>
      <c r="C5" s="22"/>
      <c r="D5" s="22"/>
      <c r="E5" s="22"/>
      <c r="F5" s="22"/>
      <c r="G5" s="45"/>
      <c r="H5" s="90"/>
      <c r="I5" s="91"/>
      <c r="J5" s="91"/>
      <c r="K5" s="92"/>
      <c r="L5" s="91"/>
      <c r="M5" s="185"/>
      <c r="N5" s="94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5"/>
    </row>
    <row r="6" spans="1:30" ht="17">
      <c r="A6" s="112"/>
      <c r="B6" s="149"/>
      <c r="C6" s="23"/>
      <c r="D6" s="23"/>
      <c r="E6" s="23"/>
      <c r="F6" s="23"/>
      <c r="G6" s="46"/>
      <c r="H6" s="107"/>
      <c r="I6" s="96"/>
      <c r="J6" s="96"/>
      <c r="K6" s="97"/>
      <c r="L6" s="96"/>
      <c r="M6" s="187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9"/>
    </row>
    <row r="7" spans="1:30" ht="17">
      <c r="A7" s="112"/>
      <c r="B7" s="149"/>
      <c r="C7" s="23"/>
      <c r="D7" s="23"/>
      <c r="E7" s="23"/>
      <c r="F7" s="23"/>
      <c r="G7" s="46"/>
      <c r="H7" s="107"/>
      <c r="I7" s="96"/>
      <c r="J7" s="96"/>
      <c r="K7" s="97"/>
      <c r="L7" s="96"/>
      <c r="M7" s="187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9"/>
    </row>
    <row r="8" spans="1:30" ht="17">
      <c r="A8" s="112"/>
      <c r="B8" s="149"/>
      <c r="C8" s="23"/>
      <c r="D8" s="23"/>
      <c r="E8" s="23"/>
      <c r="F8" s="23"/>
      <c r="G8" s="46"/>
      <c r="H8" s="107"/>
      <c r="I8" s="96"/>
      <c r="J8" s="96"/>
      <c r="K8" s="97"/>
      <c r="L8" s="96"/>
      <c r="M8" s="187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9"/>
    </row>
    <row r="9" spans="1:30" ht="17">
      <c r="A9" s="112"/>
      <c r="B9" s="149"/>
      <c r="C9" s="23"/>
      <c r="D9" s="23"/>
      <c r="E9" s="23"/>
      <c r="F9" s="23"/>
      <c r="G9" s="46"/>
      <c r="H9" s="107"/>
      <c r="I9" s="96"/>
      <c r="J9" s="96"/>
      <c r="K9" s="97"/>
      <c r="L9" s="96"/>
      <c r="M9" s="187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9"/>
    </row>
    <row r="10" spans="1:30" ht="17">
      <c r="A10" s="112"/>
      <c r="B10" s="149"/>
      <c r="C10" s="23"/>
      <c r="D10" s="23"/>
      <c r="E10" s="23"/>
      <c r="F10" s="23"/>
      <c r="G10" s="46"/>
      <c r="H10" s="107"/>
      <c r="I10" s="96"/>
      <c r="J10" s="96"/>
      <c r="K10" s="97"/>
      <c r="L10" s="132"/>
      <c r="M10" s="187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9"/>
    </row>
    <row r="11" spans="1:30" ht="17">
      <c r="A11" s="112"/>
      <c r="B11" s="149"/>
      <c r="C11" s="23"/>
      <c r="D11" s="23"/>
      <c r="E11" s="23"/>
      <c r="F11" s="23"/>
      <c r="G11" s="46"/>
      <c r="H11" s="107"/>
      <c r="I11" s="96"/>
      <c r="J11" s="96"/>
      <c r="K11" s="97"/>
      <c r="L11" s="96"/>
      <c r="M11" s="187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9"/>
    </row>
    <row r="12" spans="1:30" ht="17">
      <c r="A12" s="112"/>
      <c r="B12" s="149"/>
      <c r="C12" s="23"/>
      <c r="D12" s="23"/>
      <c r="E12" s="23"/>
      <c r="F12" s="23"/>
      <c r="G12" s="46"/>
      <c r="H12" s="107"/>
      <c r="I12" s="96"/>
      <c r="J12" s="96"/>
      <c r="K12" s="97"/>
      <c r="L12" s="96"/>
      <c r="M12" s="187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9"/>
    </row>
    <row r="13" spans="1:30" ht="17">
      <c r="A13" s="112"/>
      <c r="B13" s="149"/>
      <c r="C13" s="23"/>
      <c r="D13" s="23"/>
      <c r="E13" s="23"/>
      <c r="F13" s="23"/>
      <c r="G13" s="46"/>
      <c r="H13" s="107"/>
      <c r="I13" s="96"/>
      <c r="J13" s="96"/>
      <c r="K13" s="97"/>
      <c r="L13" s="96"/>
      <c r="M13" s="187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9"/>
    </row>
    <row r="14" spans="1:30" ht="17">
      <c r="A14" s="112"/>
      <c r="B14" s="149"/>
      <c r="C14" s="23"/>
      <c r="D14" s="23"/>
      <c r="E14" s="23"/>
      <c r="F14" s="23"/>
      <c r="G14" s="46"/>
      <c r="H14" s="107"/>
      <c r="I14" s="96"/>
      <c r="J14" s="96"/>
      <c r="K14" s="97"/>
      <c r="L14" s="96"/>
      <c r="M14" s="187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9"/>
    </row>
    <row r="15" spans="1:30" ht="17">
      <c r="A15" s="112"/>
      <c r="B15" s="149"/>
      <c r="C15" s="23"/>
      <c r="D15" s="23"/>
      <c r="E15" s="23"/>
      <c r="F15" s="23"/>
      <c r="G15" s="46"/>
      <c r="H15" s="107"/>
      <c r="I15" s="96"/>
      <c r="J15" s="96"/>
      <c r="K15" s="97"/>
      <c r="L15" s="96"/>
      <c r="M15" s="187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9"/>
    </row>
    <row r="16" spans="1:30" ht="17">
      <c r="A16" s="112"/>
      <c r="B16" s="149"/>
      <c r="C16" s="23"/>
      <c r="D16" s="23"/>
      <c r="E16" s="23"/>
      <c r="F16" s="23"/>
      <c r="G16" s="46"/>
      <c r="H16" s="107"/>
      <c r="I16" s="96"/>
      <c r="J16" s="96"/>
      <c r="K16" s="97"/>
      <c r="L16" s="96"/>
      <c r="M16" s="187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9"/>
    </row>
    <row r="17" spans="1:30" ht="17">
      <c r="A17" s="112"/>
      <c r="B17" s="149"/>
      <c r="C17" s="23"/>
      <c r="D17" s="23"/>
      <c r="E17" s="23"/>
      <c r="F17" s="23"/>
      <c r="G17" s="46"/>
      <c r="H17" s="107"/>
      <c r="I17" s="96"/>
      <c r="J17" s="96"/>
      <c r="K17" s="97"/>
      <c r="L17" s="96"/>
      <c r="M17" s="187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9"/>
    </row>
    <row r="18" spans="1:30" ht="17">
      <c r="A18" s="112"/>
      <c r="B18" s="149"/>
      <c r="C18" s="23"/>
      <c r="D18" s="23"/>
      <c r="E18" s="23"/>
      <c r="F18" s="23"/>
      <c r="G18" s="46"/>
      <c r="H18" s="107"/>
      <c r="I18" s="96"/>
      <c r="J18" s="96"/>
      <c r="K18" s="97"/>
      <c r="L18" s="96"/>
      <c r="M18" s="187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9"/>
    </row>
    <row r="19" spans="1:30" ht="17">
      <c r="A19" s="112"/>
      <c r="B19" s="149"/>
      <c r="C19" s="23"/>
      <c r="D19" s="23"/>
      <c r="E19" s="23"/>
      <c r="F19" s="23"/>
      <c r="G19" s="46"/>
      <c r="H19" s="107"/>
      <c r="I19" s="96"/>
      <c r="J19" s="96"/>
      <c r="K19" s="97"/>
      <c r="L19" s="96"/>
      <c r="M19" s="187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9"/>
    </row>
    <row r="20" spans="1:30" ht="17">
      <c r="A20" s="112"/>
      <c r="B20" s="149"/>
      <c r="C20" s="23"/>
      <c r="D20" s="23"/>
      <c r="E20" s="23"/>
      <c r="F20" s="23"/>
      <c r="G20" s="46"/>
      <c r="H20" s="107"/>
      <c r="I20" s="96"/>
      <c r="J20" s="96"/>
      <c r="K20" s="97"/>
      <c r="L20" s="96"/>
      <c r="M20" s="187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9"/>
    </row>
    <row r="21" spans="1:30" ht="17">
      <c r="A21" s="112"/>
      <c r="B21" s="149"/>
      <c r="C21" s="23"/>
      <c r="D21" s="23"/>
      <c r="E21" s="23"/>
      <c r="F21" s="23"/>
      <c r="G21" s="46"/>
      <c r="H21" s="107"/>
      <c r="I21" s="96"/>
      <c r="J21" s="96"/>
      <c r="K21" s="97"/>
      <c r="L21" s="96"/>
      <c r="M21" s="187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9"/>
    </row>
    <row r="22" spans="1:30" ht="17">
      <c r="A22" s="112"/>
      <c r="B22" s="149"/>
      <c r="C22" s="23"/>
      <c r="D22" s="23"/>
      <c r="E22" s="23"/>
      <c r="F22" s="23"/>
      <c r="G22" s="46"/>
      <c r="H22" s="107"/>
      <c r="I22" s="96"/>
      <c r="J22" s="96"/>
      <c r="K22" s="97"/>
      <c r="L22" s="96"/>
      <c r="M22" s="187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9"/>
    </row>
    <row r="23" spans="1:30" ht="17">
      <c r="A23" s="112"/>
      <c r="B23" s="149"/>
      <c r="C23" s="23"/>
      <c r="D23" s="23"/>
      <c r="E23" s="23"/>
      <c r="F23" s="23"/>
      <c r="G23" s="46"/>
      <c r="H23" s="107"/>
      <c r="I23" s="96"/>
      <c r="J23" s="96"/>
      <c r="K23" s="97"/>
      <c r="L23" s="96"/>
      <c r="M23" s="187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9"/>
    </row>
    <row r="24" spans="1:30" ht="17">
      <c r="A24" s="112"/>
      <c r="B24" s="149"/>
      <c r="C24" s="23"/>
      <c r="D24" s="23"/>
      <c r="E24" s="23"/>
      <c r="F24" s="23"/>
      <c r="G24" s="46"/>
      <c r="H24" s="107"/>
      <c r="I24" s="96"/>
      <c r="J24" s="96"/>
      <c r="K24" s="97"/>
      <c r="L24" s="96"/>
      <c r="M24" s="187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9"/>
    </row>
    <row r="25" spans="1:30" ht="17">
      <c r="A25" s="112"/>
      <c r="B25" s="149"/>
      <c r="C25" s="23"/>
      <c r="D25" s="23"/>
      <c r="E25" s="23"/>
      <c r="F25" s="23"/>
      <c r="G25" s="46"/>
      <c r="H25" s="107"/>
      <c r="I25" s="96"/>
      <c r="J25" s="96"/>
      <c r="K25" s="97"/>
      <c r="L25" s="96"/>
      <c r="M25" s="187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9"/>
    </row>
    <row r="26" spans="1:30" ht="17">
      <c r="A26" s="112"/>
      <c r="B26" s="149"/>
      <c r="C26" s="24"/>
      <c r="D26" s="23"/>
      <c r="E26" s="24"/>
      <c r="F26" s="24"/>
      <c r="G26" s="47"/>
      <c r="H26" s="130"/>
      <c r="I26" s="100"/>
      <c r="J26" s="100"/>
      <c r="K26" s="101"/>
      <c r="L26" s="100"/>
      <c r="M26" s="187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3"/>
    </row>
    <row r="27" spans="1:30" ht="17">
      <c r="A27" s="112"/>
      <c r="B27" s="149"/>
      <c r="C27" s="25"/>
      <c r="D27" s="23"/>
      <c r="E27" s="25"/>
      <c r="F27" s="25"/>
      <c r="G27" s="48"/>
      <c r="H27" s="131"/>
      <c r="I27" s="104"/>
      <c r="J27" s="104"/>
      <c r="K27" s="105"/>
      <c r="L27" s="104"/>
      <c r="M27" s="187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106"/>
    </row>
    <row r="28" spans="1:30" ht="17">
      <c r="A28" s="112"/>
      <c r="B28" s="149"/>
      <c r="C28" s="23"/>
      <c r="D28" s="23"/>
      <c r="E28" s="23"/>
      <c r="F28" s="23"/>
      <c r="G28" s="46"/>
      <c r="H28" s="107"/>
      <c r="I28" s="96"/>
      <c r="J28" s="96"/>
      <c r="K28" s="97"/>
      <c r="L28" s="96"/>
      <c r="M28" s="187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9"/>
    </row>
    <row r="29" spans="1:30" ht="17">
      <c r="A29" s="112"/>
      <c r="B29" s="149"/>
      <c r="C29" s="23"/>
      <c r="D29" s="23"/>
      <c r="E29" s="23"/>
      <c r="F29" s="23"/>
      <c r="G29" s="46"/>
      <c r="H29" s="107"/>
      <c r="I29" s="96"/>
      <c r="J29" s="96"/>
      <c r="K29" s="97"/>
      <c r="L29" s="96"/>
      <c r="M29" s="187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9"/>
    </row>
    <row r="30" spans="1:30" ht="17">
      <c r="A30" s="112"/>
      <c r="B30" s="149"/>
      <c r="C30" s="23"/>
      <c r="D30" s="23"/>
      <c r="E30" s="23"/>
      <c r="F30" s="23"/>
      <c r="G30" s="46"/>
      <c r="H30" s="107"/>
      <c r="I30" s="96"/>
      <c r="J30" s="96"/>
      <c r="K30" s="97"/>
      <c r="L30" s="96"/>
      <c r="M30" s="187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9"/>
    </row>
    <row r="31" spans="1:30" ht="17">
      <c r="A31" s="112"/>
      <c r="B31" s="149"/>
      <c r="C31" s="23"/>
      <c r="D31" s="23"/>
      <c r="E31" s="23"/>
      <c r="F31" s="23"/>
      <c r="G31" s="46"/>
      <c r="H31" s="107"/>
      <c r="I31" s="96"/>
      <c r="J31" s="96"/>
      <c r="K31" s="97"/>
      <c r="L31" s="96"/>
      <c r="M31" s="187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9"/>
    </row>
    <row r="32" spans="1:30" ht="17">
      <c r="A32" s="112"/>
      <c r="B32" s="149"/>
      <c r="C32" s="23"/>
      <c r="D32" s="23"/>
      <c r="E32" s="23"/>
      <c r="F32" s="23"/>
      <c r="G32" s="46"/>
      <c r="H32" s="107"/>
      <c r="I32" s="96"/>
      <c r="J32" s="96"/>
      <c r="K32" s="97"/>
      <c r="L32" s="96"/>
      <c r="M32" s="187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9"/>
    </row>
    <row r="33" spans="1:30" ht="17">
      <c r="A33" s="112"/>
      <c r="B33" s="149"/>
      <c r="C33" s="23"/>
      <c r="D33" s="23"/>
      <c r="E33" s="23"/>
      <c r="F33" s="23"/>
      <c r="G33" s="46"/>
      <c r="H33" s="107"/>
      <c r="I33" s="96"/>
      <c r="J33" s="96"/>
      <c r="K33" s="97"/>
      <c r="L33" s="96"/>
      <c r="M33" s="187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9"/>
    </row>
    <row r="34" spans="1:30" ht="17">
      <c r="A34" s="112"/>
      <c r="B34" s="149"/>
      <c r="C34" s="23"/>
      <c r="D34" s="23"/>
      <c r="E34" s="23"/>
      <c r="F34" s="23"/>
      <c r="G34" s="46"/>
      <c r="H34" s="107"/>
      <c r="I34" s="96"/>
      <c r="J34" s="96"/>
      <c r="K34" s="97"/>
      <c r="L34" s="96"/>
      <c r="M34" s="187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9"/>
    </row>
    <row r="35" spans="1:30" ht="17">
      <c r="A35" s="112"/>
      <c r="B35" s="149"/>
      <c r="C35" s="23"/>
      <c r="D35" s="23"/>
      <c r="E35" s="23"/>
      <c r="F35" s="23"/>
      <c r="G35" s="46"/>
      <c r="H35" s="107"/>
      <c r="I35" s="96"/>
      <c r="J35" s="96"/>
      <c r="K35" s="97"/>
      <c r="L35" s="96"/>
      <c r="M35" s="187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9"/>
    </row>
    <row r="36" spans="1:30" ht="17">
      <c r="A36" s="112"/>
      <c r="B36" s="149"/>
      <c r="C36" s="23"/>
      <c r="D36" s="23"/>
      <c r="E36" s="23"/>
      <c r="F36" s="23"/>
      <c r="G36" s="46"/>
      <c r="H36" s="107"/>
      <c r="I36" s="96"/>
      <c r="J36" s="96"/>
      <c r="K36" s="97"/>
      <c r="L36" s="96"/>
      <c r="M36" s="187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9"/>
    </row>
    <row r="37" spans="1:30" ht="17">
      <c r="A37" s="112"/>
      <c r="B37" s="149"/>
      <c r="C37" s="23"/>
      <c r="D37" s="23"/>
      <c r="E37" s="23"/>
      <c r="F37" s="23"/>
      <c r="G37" s="46"/>
      <c r="H37" s="107"/>
      <c r="I37" s="96"/>
      <c r="J37" s="96"/>
      <c r="K37" s="97"/>
      <c r="L37" s="96"/>
      <c r="M37" s="187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9"/>
    </row>
    <row r="38" spans="1:30" ht="17">
      <c r="A38" s="112"/>
      <c r="B38" s="149"/>
      <c r="C38" s="23"/>
      <c r="D38" s="23"/>
      <c r="E38" s="23"/>
      <c r="F38" s="23"/>
      <c r="G38" s="46"/>
      <c r="H38" s="107"/>
      <c r="I38" s="96"/>
      <c r="J38" s="96"/>
      <c r="K38" s="97"/>
      <c r="L38" s="96"/>
      <c r="M38" s="187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9"/>
    </row>
    <row r="39" spans="1:30" ht="17">
      <c r="A39" s="112"/>
      <c r="B39" s="149"/>
      <c r="C39" s="23"/>
      <c r="D39" s="23"/>
      <c r="E39" s="23"/>
      <c r="F39" s="23"/>
      <c r="G39" s="46"/>
      <c r="H39" s="107"/>
      <c r="I39" s="96"/>
      <c r="J39" s="96"/>
      <c r="K39" s="97"/>
      <c r="L39" s="96"/>
      <c r="M39" s="187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9"/>
    </row>
    <row r="40" spans="1:30" ht="17">
      <c r="A40" s="112"/>
      <c r="B40" s="149"/>
      <c r="C40" s="23"/>
      <c r="D40" s="23"/>
      <c r="E40" s="23"/>
      <c r="F40" s="23"/>
      <c r="G40" s="46"/>
      <c r="H40" s="107"/>
      <c r="I40" s="96"/>
      <c r="J40" s="96"/>
      <c r="K40" s="97"/>
      <c r="L40" s="96"/>
      <c r="M40" s="187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9"/>
    </row>
    <row r="41" spans="1:30" ht="17">
      <c r="A41" s="112"/>
      <c r="B41" s="149"/>
      <c r="C41" s="23"/>
      <c r="D41" s="23"/>
      <c r="E41" s="23"/>
      <c r="F41" s="23"/>
      <c r="G41" s="46"/>
      <c r="H41" s="107"/>
      <c r="I41" s="96"/>
      <c r="J41" s="96"/>
      <c r="K41" s="142"/>
      <c r="L41" s="96"/>
      <c r="M41" s="187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9"/>
    </row>
    <row r="42" spans="1:30" ht="17">
      <c r="A42" s="112"/>
      <c r="B42" s="149"/>
      <c r="C42" s="23"/>
      <c r="D42" s="23"/>
      <c r="E42" s="23"/>
      <c r="F42" s="23"/>
      <c r="G42" s="46"/>
      <c r="H42" s="107"/>
      <c r="I42" s="96"/>
      <c r="J42" s="96"/>
      <c r="K42" s="97"/>
      <c r="L42" s="96"/>
      <c r="M42" s="187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9"/>
    </row>
    <row r="43" spans="1:30" ht="17">
      <c r="A43" s="112"/>
      <c r="B43" s="149"/>
      <c r="C43" s="23"/>
      <c r="D43" s="23"/>
      <c r="E43" s="23"/>
      <c r="F43" s="23"/>
      <c r="G43" s="46"/>
      <c r="H43" s="107"/>
      <c r="I43" s="96"/>
      <c r="J43" s="96"/>
      <c r="K43" s="97"/>
      <c r="L43" s="96"/>
      <c r="M43" s="187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9"/>
    </row>
    <row r="44" spans="1:30" ht="17">
      <c r="A44" s="112"/>
      <c r="B44" s="149"/>
      <c r="C44" s="23"/>
      <c r="D44" s="23"/>
      <c r="E44" s="23"/>
      <c r="F44" s="23"/>
      <c r="G44" s="46"/>
      <c r="H44" s="107"/>
      <c r="I44" s="96"/>
      <c r="J44" s="96"/>
      <c r="K44" s="97"/>
      <c r="L44" s="96"/>
      <c r="M44" s="187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9"/>
    </row>
    <row r="45" spans="1:30" ht="17">
      <c r="A45" s="112"/>
      <c r="B45" s="149"/>
      <c r="C45" s="23"/>
      <c r="D45" s="23"/>
      <c r="E45" s="23"/>
      <c r="F45" s="23"/>
      <c r="G45" s="46"/>
      <c r="H45" s="107"/>
      <c r="I45" s="96"/>
      <c r="J45" s="96"/>
      <c r="K45" s="97"/>
      <c r="L45" s="96"/>
      <c r="M45" s="187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9"/>
    </row>
    <row r="46" spans="1:30" ht="17">
      <c r="A46" s="112"/>
      <c r="B46" s="149"/>
      <c r="C46" s="23"/>
      <c r="D46" s="23"/>
      <c r="E46" s="23"/>
      <c r="F46" s="23"/>
      <c r="G46" s="46"/>
      <c r="H46" s="107"/>
      <c r="I46" s="96"/>
      <c r="J46" s="96"/>
      <c r="K46" s="97"/>
      <c r="L46" s="96"/>
      <c r="M46" s="187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9"/>
    </row>
    <row r="47" spans="1:30" ht="17">
      <c r="A47" s="112"/>
      <c r="B47" s="149"/>
      <c r="C47" s="23"/>
      <c r="D47" s="23"/>
      <c r="E47" s="23"/>
      <c r="F47" s="23"/>
      <c r="G47" s="46"/>
      <c r="H47" s="107"/>
      <c r="I47" s="96"/>
      <c r="J47" s="96"/>
      <c r="K47" s="97"/>
      <c r="L47" s="96"/>
      <c r="M47" s="187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9"/>
    </row>
    <row r="48" spans="1:30" ht="17">
      <c r="A48" s="112"/>
      <c r="B48" s="149"/>
      <c r="C48" s="23"/>
      <c r="D48" s="23"/>
      <c r="E48" s="23"/>
      <c r="F48" s="23"/>
      <c r="G48" s="46"/>
      <c r="H48" s="107"/>
      <c r="I48" s="96"/>
      <c r="J48" s="96"/>
      <c r="K48" s="97"/>
      <c r="L48" s="96"/>
      <c r="M48" s="187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9"/>
    </row>
    <row r="49" spans="1:30" ht="17">
      <c r="A49" s="112"/>
      <c r="B49" s="149"/>
      <c r="C49" s="23"/>
      <c r="D49" s="23"/>
      <c r="E49" s="23"/>
      <c r="F49" s="23"/>
      <c r="G49" s="46"/>
      <c r="H49" s="107"/>
      <c r="I49" s="96"/>
      <c r="J49" s="96"/>
      <c r="K49" s="97"/>
      <c r="L49" s="96"/>
      <c r="M49" s="187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9"/>
    </row>
    <row r="50" spans="1:30" ht="17">
      <c r="A50" s="112"/>
      <c r="B50" s="149"/>
      <c r="C50" s="23"/>
      <c r="D50" s="23"/>
      <c r="E50" s="23"/>
      <c r="F50" s="23"/>
      <c r="G50" s="46"/>
      <c r="H50" s="107"/>
      <c r="I50" s="96"/>
      <c r="J50" s="96"/>
      <c r="K50" s="97"/>
      <c r="L50" s="96"/>
      <c r="M50" s="187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9"/>
    </row>
    <row r="51" spans="1:30" ht="17">
      <c r="A51" s="112"/>
      <c r="B51" s="149"/>
      <c r="C51" s="23"/>
      <c r="D51" s="23"/>
      <c r="E51" s="23"/>
      <c r="F51" s="23"/>
      <c r="G51" s="46"/>
      <c r="H51" s="107"/>
      <c r="I51" s="96"/>
      <c r="J51" s="96"/>
      <c r="K51" s="97"/>
      <c r="L51" s="96"/>
      <c r="M51" s="187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9"/>
    </row>
    <row r="52" spans="1:30" ht="17">
      <c r="A52" s="112"/>
      <c r="B52" s="149"/>
      <c r="C52" s="23"/>
      <c r="D52" s="23"/>
      <c r="E52" s="23"/>
      <c r="F52" s="23"/>
      <c r="G52" s="46"/>
      <c r="H52" s="107"/>
      <c r="I52" s="96"/>
      <c r="J52" s="96"/>
      <c r="K52" s="97"/>
      <c r="L52" s="96"/>
      <c r="M52" s="187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9"/>
    </row>
    <row r="53" spans="1:30" ht="17">
      <c r="A53" s="112"/>
      <c r="B53" s="149"/>
      <c r="C53" s="23"/>
      <c r="D53" s="23"/>
      <c r="E53" s="23"/>
      <c r="F53" s="23"/>
      <c r="G53" s="46"/>
      <c r="H53" s="107"/>
      <c r="I53" s="96"/>
      <c r="J53" s="96"/>
      <c r="K53" s="97"/>
      <c r="L53" s="96"/>
      <c r="M53" s="187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9"/>
    </row>
    <row r="54" spans="1:30" ht="17">
      <c r="A54" s="112"/>
      <c r="B54" s="149"/>
      <c r="C54" s="23"/>
      <c r="D54" s="23"/>
      <c r="E54" s="23"/>
      <c r="F54" s="23"/>
      <c r="G54" s="46"/>
      <c r="H54" s="107"/>
      <c r="I54" s="96"/>
      <c r="J54" s="96"/>
      <c r="K54" s="97"/>
      <c r="L54" s="96"/>
      <c r="M54" s="187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9"/>
    </row>
    <row r="55" spans="1:30" ht="17">
      <c r="A55" s="112"/>
      <c r="B55" s="149"/>
      <c r="C55" s="23"/>
      <c r="D55" s="23"/>
      <c r="E55" s="23"/>
      <c r="F55" s="23"/>
      <c r="G55" s="46"/>
      <c r="H55" s="107"/>
      <c r="I55" s="96"/>
      <c r="J55" s="96"/>
      <c r="K55" s="97"/>
      <c r="L55" s="96"/>
      <c r="M55" s="187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9"/>
    </row>
    <row r="56" spans="1:30" ht="17">
      <c r="A56" s="112"/>
      <c r="B56" s="149"/>
      <c r="C56" s="23"/>
      <c r="D56" s="23"/>
      <c r="E56" s="23"/>
      <c r="F56" s="23"/>
      <c r="G56" s="46"/>
      <c r="H56" s="107"/>
      <c r="I56" s="96"/>
      <c r="J56" s="96"/>
      <c r="K56" s="97"/>
      <c r="L56" s="96"/>
      <c r="M56" s="187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9"/>
    </row>
    <row r="57" spans="1:30" ht="17">
      <c r="A57" s="112"/>
      <c r="B57" s="149"/>
      <c r="C57" s="23"/>
      <c r="D57" s="23"/>
      <c r="E57" s="23"/>
      <c r="F57" s="23"/>
      <c r="G57" s="46"/>
      <c r="H57" s="107"/>
      <c r="I57" s="96"/>
      <c r="J57" s="96"/>
      <c r="K57" s="97"/>
      <c r="L57" s="96"/>
      <c r="M57" s="187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9"/>
    </row>
    <row r="58" spans="1:30" ht="17">
      <c r="A58" s="112"/>
      <c r="B58" s="149"/>
      <c r="C58" s="23"/>
      <c r="D58" s="23"/>
      <c r="E58" s="23"/>
      <c r="F58" s="23"/>
      <c r="G58" s="46"/>
      <c r="H58" s="107"/>
      <c r="I58" s="96"/>
      <c r="J58" s="96"/>
      <c r="K58" s="97"/>
      <c r="L58" s="96"/>
      <c r="M58" s="187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9"/>
    </row>
    <row r="59" spans="1:30" ht="17">
      <c r="A59" s="112"/>
      <c r="B59" s="149"/>
      <c r="C59" s="23"/>
      <c r="D59" s="23"/>
      <c r="E59" s="23"/>
      <c r="F59" s="23"/>
      <c r="G59" s="46"/>
      <c r="H59" s="107"/>
      <c r="I59" s="96"/>
      <c r="J59" s="96"/>
      <c r="K59" s="97"/>
      <c r="L59" s="96"/>
      <c r="M59" s="187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9"/>
    </row>
    <row r="60" spans="1:30" ht="17">
      <c r="A60" s="112"/>
      <c r="B60" s="149"/>
      <c r="C60" s="23"/>
      <c r="D60" s="23"/>
      <c r="E60" s="23"/>
      <c r="F60" s="23"/>
      <c r="G60" s="46"/>
      <c r="H60" s="107"/>
      <c r="I60" s="96"/>
      <c r="J60" s="96"/>
      <c r="K60" s="97"/>
      <c r="L60" s="96"/>
      <c r="M60" s="187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9"/>
    </row>
    <row r="61" spans="1:30" ht="17">
      <c r="A61" s="112"/>
      <c r="B61" s="149"/>
      <c r="C61" s="23"/>
      <c r="D61" s="23"/>
      <c r="E61" s="23"/>
      <c r="F61" s="23"/>
      <c r="G61" s="46"/>
      <c r="H61" s="107"/>
      <c r="I61" s="96"/>
      <c r="J61" s="96"/>
      <c r="K61" s="97"/>
      <c r="L61" s="96"/>
      <c r="M61" s="187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9"/>
    </row>
    <row r="62" spans="1:30" ht="17">
      <c r="A62" s="112"/>
      <c r="B62" s="149"/>
      <c r="C62" s="23"/>
      <c r="D62" s="23"/>
      <c r="E62" s="23"/>
      <c r="F62" s="23"/>
      <c r="G62" s="46"/>
      <c r="H62" s="107"/>
      <c r="I62" s="96"/>
      <c r="J62" s="96"/>
      <c r="K62" s="97"/>
      <c r="L62" s="96"/>
      <c r="M62" s="187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9"/>
    </row>
    <row r="63" spans="1:30" ht="17">
      <c r="A63" s="112"/>
      <c r="B63" s="149"/>
      <c r="C63" s="23"/>
      <c r="D63" s="23"/>
      <c r="E63" s="23"/>
      <c r="F63" s="23"/>
      <c r="G63" s="46"/>
      <c r="H63" s="107"/>
      <c r="I63" s="96"/>
      <c r="J63" s="96"/>
      <c r="K63" s="97"/>
      <c r="L63" s="96"/>
      <c r="M63" s="187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9"/>
    </row>
    <row r="64" spans="1:30" ht="17">
      <c r="A64" s="112"/>
      <c r="B64" s="149"/>
      <c r="C64" s="23"/>
      <c r="D64" s="23"/>
      <c r="E64" s="23"/>
      <c r="F64" s="23"/>
      <c r="G64" s="46"/>
      <c r="H64" s="107"/>
      <c r="I64" s="96"/>
      <c r="J64" s="96"/>
      <c r="K64" s="97"/>
      <c r="L64" s="96"/>
      <c r="M64" s="187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9"/>
    </row>
    <row r="65" spans="1:30" ht="17">
      <c r="A65" s="112"/>
      <c r="B65" s="149"/>
      <c r="C65" s="23"/>
      <c r="D65" s="23"/>
      <c r="E65" s="23"/>
      <c r="F65" s="23"/>
      <c r="G65" s="46"/>
      <c r="H65" s="107"/>
      <c r="I65" s="96"/>
      <c r="J65" s="96"/>
      <c r="K65" s="97"/>
      <c r="L65" s="96"/>
      <c r="M65" s="187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9"/>
    </row>
    <row r="66" spans="1:30" ht="17">
      <c r="A66" s="112"/>
      <c r="B66" s="149"/>
      <c r="C66" s="23"/>
      <c r="D66" s="23"/>
      <c r="E66" s="23"/>
      <c r="F66" s="23"/>
      <c r="G66" s="46"/>
      <c r="H66" s="107"/>
      <c r="I66" s="96"/>
      <c r="J66" s="96"/>
      <c r="K66" s="97"/>
      <c r="L66" s="96"/>
      <c r="M66" s="187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9"/>
    </row>
    <row r="67" spans="1:30" ht="17">
      <c r="A67" s="112"/>
      <c r="B67" s="149"/>
      <c r="C67" s="23"/>
      <c r="D67" s="23"/>
      <c r="E67" s="23"/>
      <c r="F67" s="23"/>
      <c r="G67" s="46"/>
      <c r="H67" s="107"/>
      <c r="I67" s="96"/>
      <c r="J67" s="96"/>
      <c r="K67" s="97"/>
      <c r="L67" s="96"/>
      <c r="M67" s="187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9"/>
    </row>
    <row r="68" spans="1:30" ht="17">
      <c r="A68" s="112"/>
      <c r="B68" s="149"/>
      <c r="C68" s="23"/>
      <c r="D68" s="23"/>
      <c r="E68" s="23"/>
      <c r="F68" s="23"/>
      <c r="G68" s="46"/>
      <c r="H68" s="107"/>
      <c r="I68" s="96"/>
      <c r="J68" s="96"/>
      <c r="K68" s="97"/>
      <c r="L68" s="96"/>
      <c r="M68" s="187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9"/>
    </row>
    <row r="69" spans="1:30" ht="17">
      <c r="A69" s="112"/>
      <c r="B69" s="149"/>
      <c r="C69" s="23"/>
      <c r="D69" s="23"/>
      <c r="E69" s="23"/>
      <c r="F69" s="23"/>
      <c r="G69" s="46"/>
      <c r="H69" s="107"/>
      <c r="I69" s="96"/>
      <c r="J69" s="96"/>
      <c r="K69" s="97"/>
      <c r="L69" s="96"/>
      <c r="M69" s="187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9"/>
    </row>
    <row r="70" spans="1:30" ht="17">
      <c r="A70" s="112"/>
      <c r="B70" s="149"/>
      <c r="C70" s="23"/>
      <c r="D70" s="23"/>
      <c r="E70" s="23"/>
      <c r="F70" s="23"/>
      <c r="G70" s="46"/>
      <c r="H70" s="107"/>
      <c r="I70" s="96"/>
      <c r="J70" s="96"/>
      <c r="K70" s="97"/>
      <c r="L70" s="96"/>
      <c r="M70" s="187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9"/>
    </row>
    <row r="71" spans="1:30" ht="17">
      <c r="A71" s="112"/>
      <c r="B71" s="149"/>
      <c r="C71" s="23"/>
      <c r="D71" s="23"/>
      <c r="E71" s="23"/>
      <c r="F71" s="23"/>
      <c r="G71" s="46"/>
      <c r="H71" s="107"/>
      <c r="I71" s="96"/>
      <c r="J71" s="96"/>
      <c r="K71" s="97"/>
      <c r="L71" s="96"/>
      <c r="M71" s="187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9"/>
    </row>
    <row r="72" spans="1:30" ht="17">
      <c r="A72" s="112"/>
      <c r="B72" s="149"/>
      <c r="C72" s="23"/>
      <c r="D72" s="23"/>
      <c r="E72" s="23"/>
      <c r="F72" s="23"/>
      <c r="G72" s="46"/>
      <c r="H72" s="107"/>
      <c r="I72" s="96"/>
      <c r="J72" s="96"/>
      <c r="K72" s="97"/>
      <c r="L72" s="96"/>
      <c r="M72" s="187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9"/>
    </row>
    <row r="73" spans="1:30" ht="17">
      <c r="A73" s="112"/>
      <c r="B73" s="149"/>
      <c r="C73" s="23"/>
      <c r="D73" s="23"/>
      <c r="E73" s="23"/>
      <c r="F73" s="23"/>
      <c r="G73" s="46"/>
      <c r="H73" s="107"/>
      <c r="I73" s="96"/>
      <c r="J73" s="96"/>
      <c r="K73" s="97"/>
      <c r="L73" s="96"/>
      <c r="M73" s="187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9"/>
    </row>
    <row r="74" spans="1:30" ht="17">
      <c r="A74" s="112"/>
      <c r="B74" s="149"/>
      <c r="C74" s="23"/>
      <c r="D74" s="23"/>
      <c r="E74" s="23"/>
      <c r="F74" s="23"/>
      <c r="G74" s="46"/>
      <c r="H74" s="107"/>
      <c r="I74" s="96"/>
      <c r="J74" s="96"/>
      <c r="K74" s="97"/>
      <c r="L74" s="96"/>
      <c r="M74" s="187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9"/>
    </row>
    <row r="75" spans="1:30" ht="17">
      <c r="A75" s="112"/>
      <c r="B75" s="149"/>
      <c r="C75" s="23"/>
      <c r="D75" s="23"/>
      <c r="E75" s="23"/>
      <c r="F75" s="23"/>
      <c r="G75" s="46"/>
      <c r="H75" s="107"/>
      <c r="I75" s="96"/>
      <c r="J75" s="96"/>
      <c r="K75" s="97"/>
      <c r="L75" s="96"/>
      <c r="M75" s="187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9"/>
    </row>
    <row r="76" spans="1:30" ht="17">
      <c r="A76" s="112"/>
      <c r="B76" s="149"/>
      <c r="C76" s="23"/>
      <c r="D76" s="23"/>
      <c r="E76" s="23"/>
      <c r="F76" s="23"/>
      <c r="G76" s="46"/>
      <c r="H76" s="107"/>
      <c r="I76" s="96"/>
      <c r="J76" s="96"/>
      <c r="K76" s="97"/>
      <c r="L76" s="96"/>
      <c r="M76" s="187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9"/>
    </row>
    <row r="77" spans="1:30" ht="17">
      <c r="A77" s="112"/>
      <c r="B77" s="149"/>
      <c r="C77" s="23"/>
      <c r="D77" s="23"/>
      <c r="E77" s="23"/>
      <c r="F77" s="23"/>
      <c r="G77" s="46"/>
      <c r="H77" s="107"/>
      <c r="I77" s="96"/>
      <c r="J77" s="96"/>
      <c r="K77" s="97"/>
      <c r="L77" s="96"/>
      <c r="M77" s="187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9"/>
    </row>
    <row r="78" spans="1:30" ht="17">
      <c r="A78" s="112"/>
      <c r="B78" s="149"/>
      <c r="C78" s="23"/>
      <c r="D78" s="23"/>
      <c r="E78" s="23"/>
      <c r="F78" s="23"/>
      <c r="G78" s="46"/>
      <c r="H78" s="107"/>
      <c r="I78" s="96"/>
      <c r="J78" s="96"/>
      <c r="K78" s="97"/>
      <c r="L78" s="96"/>
      <c r="M78" s="187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9"/>
    </row>
    <row r="79" spans="1:30" ht="17">
      <c r="A79" s="112"/>
      <c r="B79" s="149"/>
      <c r="C79" s="23"/>
      <c r="D79" s="23"/>
      <c r="E79" s="23"/>
      <c r="F79" s="23"/>
      <c r="G79" s="46"/>
      <c r="H79" s="107"/>
      <c r="I79" s="96"/>
      <c r="J79" s="96"/>
      <c r="K79" s="97"/>
      <c r="L79" s="96"/>
      <c r="M79" s="187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9"/>
    </row>
    <row r="80" spans="1:30" ht="17">
      <c r="A80" s="112"/>
      <c r="B80" s="149"/>
      <c r="C80" s="23"/>
      <c r="D80" s="23"/>
      <c r="E80" s="23"/>
      <c r="F80" s="23"/>
      <c r="G80" s="46"/>
      <c r="H80" s="107"/>
      <c r="I80" s="96"/>
      <c r="J80" s="96"/>
      <c r="K80" s="97"/>
      <c r="L80" s="96"/>
      <c r="M80" s="187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9"/>
    </row>
    <row r="81" spans="1:30" ht="17">
      <c r="A81" s="112"/>
      <c r="B81" s="149"/>
      <c r="C81" s="23"/>
      <c r="D81" s="23"/>
      <c r="E81" s="23"/>
      <c r="F81" s="23"/>
      <c r="G81" s="46"/>
      <c r="H81" s="107"/>
      <c r="I81" s="96"/>
      <c r="J81" s="96"/>
      <c r="K81" s="97"/>
      <c r="L81" s="96"/>
      <c r="M81" s="187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9"/>
    </row>
    <row r="82" spans="1:30" ht="17">
      <c r="A82" s="112"/>
      <c r="B82" s="149"/>
      <c r="C82" s="23"/>
      <c r="D82" s="23"/>
      <c r="E82" s="23"/>
      <c r="F82" s="23"/>
      <c r="G82" s="46"/>
      <c r="H82" s="107"/>
      <c r="I82" s="96"/>
      <c r="J82" s="96"/>
      <c r="K82" s="97"/>
      <c r="L82" s="96"/>
      <c r="M82" s="187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9"/>
    </row>
    <row r="83" spans="1:30" ht="17">
      <c r="A83" s="112"/>
      <c r="B83" s="149"/>
      <c r="C83" s="23"/>
      <c r="D83" s="23"/>
      <c r="E83" s="23"/>
      <c r="F83" s="23"/>
      <c r="G83" s="46"/>
      <c r="H83" s="107"/>
      <c r="I83" s="96"/>
      <c r="J83" s="96"/>
      <c r="K83" s="97"/>
      <c r="L83" s="96"/>
      <c r="M83" s="187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9"/>
    </row>
    <row r="84" spans="1:30" ht="17">
      <c r="A84" s="112"/>
      <c r="B84" s="149"/>
      <c r="C84" s="23"/>
      <c r="D84" s="23"/>
      <c r="E84" s="23"/>
      <c r="F84" s="23"/>
      <c r="G84" s="46"/>
      <c r="H84" s="107"/>
      <c r="I84" s="96"/>
      <c r="J84" s="96"/>
      <c r="K84" s="97"/>
      <c r="L84" s="96"/>
      <c r="M84" s="187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9"/>
    </row>
    <row r="85" spans="1:30" ht="17">
      <c r="A85" s="112"/>
      <c r="B85" s="149"/>
      <c r="C85" s="23"/>
      <c r="D85" s="23"/>
      <c r="E85" s="23"/>
      <c r="F85" s="23"/>
      <c r="G85" s="46"/>
      <c r="H85" s="107"/>
      <c r="I85" s="96"/>
      <c r="J85" s="96"/>
      <c r="K85" s="97"/>
      <c r="L85" s="96"/>
      <c r="M85" s="187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9"/>
    </row>
    <row r="86" spans="1:30" ht="17">
      <c r="A86" s="112"/>
      <c r="B86" s="149"/>
      <c r="C86" s="23"/>
      <c r="D86" s="23"/>
      <c r="E86" s="23"/>
      <c r="F86" s="23"/>
      <c r="G86" s="46"/>
      <c r="H86" s="107"/>
      <c r="I86" s="96"/>
      <c r="J86" s="96"/>
      <c r="K86" s="97"/>
      <c r="L86" s="96"/>
      <c r="M86" s="187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9"/>
    </row>
    <row r="87" spans="1:30" ht="17">
      <c r="A87" s="112"/>
      <c r="B87" s="149"/>
      <c r="C87" s="23"/>
      <c r="D87" s="23"/>
      <c r="E87" s="23"/>
      <c r="F87" s="23"/>
      <c r="G87" s="46"/>
      <c r="H87" s="107"/>
      <c r="I87" s="96"/>
      <c r="J87" s="96"/>
      <c r="K87" s="97"/>
      <c r="L87" s="96"/>
      <c r="M87" s="187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9"/>
    </row>
    <row r="88" spans="1:30" ht="17">
      <c r="A88" s="112"/>
      <c r="B88" s="149"/>
      <c r="C88" s="23"/>
      <c r="D88" s="23"/>
      <c r="E88" s="23"/>
      <c r="F88" s="23"/>
      <c r="G88" s="46"/>
      <c r="H88" s="107"/>
      <c r="I88" s="96"/>
      <c r="J88" s="96"/>
      <c r="K88" s="97"/>
      <c r="L88" s="96"/>
      <c r="M88" s="187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9"/>
    </row>
    <row r="89" spans="1:30" ht="17">
      <c r="A89" s="112"/>
      <c r="B89" s="149"/>
      <c r="C89" s="23"/>
      <c r="D89" s="23"/>
      <c r="E89" s="23"/>
      <c r="F89" s="23"/>
      <c r="G89" s="46"/>
      <c r="H89" s="107"/>
      <c r="I89" s="96"/>
      <c r="J89" s="96"/>
      <c r="K89" s="97"/>
      <c r="L89" s="96"/>
      <c r="M89" s="187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9"/>
    </row>
    <row r="90" spans="1:30" ht="17">
      <c r="A90" s="112"/>
      <c r="B90" s="149"/>
      <c r="C90" s="23"/>
      <c r="D90" s="23"/>
      <c r="E90" s="23"/>
      <c r="F90" s="23"/>
      <c r="G90" s="46"/>
      <c r="H90" s="107"/>
      <c r="I90" s="96"/>
      <c r="J90" s="96"/>
      <c r="K90" s="97"/>
      <c r="L90" s="96"/>
      <c r="M90" s="187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9"/>
    </row>
    <row r="91" spans="1:30" ht="17">
      <c r="A91" s="112"/>
      <c r="B91" s="149"/>
      <c r="C91" s="23"/>
      <c r="D91" s="23"/>
      <c r="E91" s="23"/>
      <c r="F91" s="23"/>
      <c r="G91" s="46"/>
      <c r="H91" s="107"/>
      <c r="I91" s="96"/>
      <c r="J91" s="96"/>
      <c r="K91" s="97"/>
      <c r="L91" s="96"/>
      <c r="M91" s="187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9"/>
    </row>
    <row r="92" spans="1:30" ht="17">
      <c r="A92" s="112"/>
      <c r="B92" s="149"/>
      <c r="C92" s="23"/>
      <c r="D92" s="23"/>
      <c r="E92" s="23"/>
      <c r="F92" s="23"/>
      <c r="G92" s="46"/>
      <c r="H92" s="107"/>
      <c r="I92" s="96"/>
      <c r="J92" s="96"/>
      <c r="K92" s="97"/>
      <c r="L92" s="96"/>
      <c r="M92" s="187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9"/>
    </row>
    <row r="93" spans="1:30" ht="17">
      <c r="A93" s="112"/>
      <c r="B93" s="149"/>
      <c r="C93" s="23"/>
      <c r="D93" s="23"/>
      <c r="E93" s="23"/>
      <c r="F93" s="23"/>
      <c r="G93" s="46"/>
      <c r="H93" s="107"/>
      <c r="I93" s="96"/>
      <c r="J93" s="96"/>
      <c r="K93" s="97"/>
      <c r="L93" s="96"/>
      <c r="M93" s="187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9"/>
    </row>
  </sheetData>
  <mergeCells count="6">
    <mergeCell ref="A2:G3"/>
    <mergeCell ref="H2:AD2"/>
    <mergeCell ref="H3:K3"/>
    <mergeCell ref="M3:P3"/>
    <mergeCell ref="Q3:U3"/>
    <mergeCell ref="V3:AD3"/>
  </mergeCells>
  <phoneticPr fontId="1" type="noConversion"/>
  <conditionalFormatting sqref="B1:B1048576">
    <cfRule type="duplicateValues" dxfId="135" priority="2"/>
  </conditionalFormatting>
  <conditionalFormatting sqref="H5:H1048576">
    <cfRule type="duplicateValues" dxfId="13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209B-1468-4185-8536-39AFE2C6FBA7}">
  <sheetPr codeName="Sheet4"/>
  <dimension ref="A1:T93"/>
  <sheetViews>
    <sheetView zoomScaleNormal="100" workbookViewId="0">
      <pane xSplit="7" ySplit="4" topLeftCell="H65" activePane="bottomRight" state="frozen"/>
      <selection pane="topRight" activeCell="B5" sqref="B5"/>
      <selection pane="bottomLeft" activeCell="B5" sqref="B5"/>
      <selection pane="bottomRight" activeCell="B5" sqref="B5"/>
    </sheetView>
  </sheetViews>
  <sheetFormatPr defaultColWidth="8.75" defaultRowHeight="17"/>
  <cols>
    <col min="1" max="1" width="5.83203125" style="67" customWidth="1"/>
    <col min="2" max="2" width="6.33203125" style="68" customWidth="1"/>
    <col min="3" max="4" width="6.33203125" style="69" customWidth="1"/>
    <col min="5" max="5" width="7.58203125" style="70" customWidth="1"/>
    <col min="6" max="6" width="10" style="71" bestFit="1" customWidth="1"/>
    <col min="7" max="7" width="6.08203125" style="72" bestFit="1" customWidth="1"/>
    <col min="8" max="8" width="8" style="73" customWidth="1"/>
    <col min="9" max="9" width="8" style="72" customWidth="1"/>
    <col min="10" max="10" width="6.08203125" style="72" customWidth="1"/>
    <col min="11" max="11" width="11.33203125" style="72" customWidth="1"/>
    <col min="12" max="12" width="9.5" style="72" customWidth="1"/>
    <col min="13" max="13" width="8" style="72" customWidth="1"/>
    <col min="14" max="14" width="6.33203125" style="72" customWidth="1"/>
    <col min="15" max="15" width="13.08203125" style="72" customWidth="1"/>
    <col min="16" max="16" width="8" style="72" customWidth="1"/>
    <col min="17" max="17" width="8" style="73" customWidth="1"/>
    <col min="18" max="18" width="36.5" style="72" customWidth="1"/>
  </cols>
  <sheetData>
    <row r="1" spans="1:20" ht="26" thickBot="1">
      <c r="A1" s="2" t="s">
        <v>533</v>
      </c>
      <c r="B1" s="2"/>
      <c r="C1" s="3"/>
      <c r="D1" s="3"/>
      <c r="E1" s="3"/>
      <c r="F1" s="9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7.25" customHeight="1" thickTop="1">
      <c r="A2" s="925" t="s">
        <v>39</v>
      </c>
      <c r="B2" s="926"/>
      <c r="C2" s="926"/>
      <c r="D2" s="926"/>
      <c r="E2" s="926"/>
      <c r="F2" s="926"/>
      <c r="G2" s="927"/>
      <c r="H2" s="948" t="s">
        <v>40</v>
      </c>
      <c r="I2" s="949"/>
      <c r="J2" s="949"/>
      <c r="K2" s="949"/>
      <c r="L2" s="949"/>
      <c r="M2" s="949"/>
      <c r="N2" s="949"/>
      <c r="O2" s="949"/>
      <c r="P2" s="949"/>
      <c r="Q2" s="949"/>
      <c r="R2" s="950"/>
    </row>
    <row r="3" spans="1:20" ht="17.25" customHeight="1">
      <c r="A3" s="830"/>
      <c r="B3" s="831"/>
      <c r="C3" s="831"/>
      <c r="D3" s="831"/>
      <c r="E3" s="831"/>
      <c r="F3" s="831"/>
      <c r="G3" s="832"/>
      <c r="H3" s="836"/>
      <c r="I3" s="837"/>
      <c r="J3" s="837"/>
      <c r="K3" s="837"/>
      <c r="L3" s="837"/>
      <c r="M3" s="837"/>
      <c r="N3" s="837"/>
      <c r="O3" s="837"/>
      <c r="P3" s="837"/>
      <c r="Q3" s="837"/>
      <c r="R3" s="838"/>
    </row>
    <row r="4" spans="1:20" ht="24.5" thickBot="1">
      <c r="A4" s="110" t="s">
        <v>538</v>
      </c>
      <c r="B4" s="43" t="s">
        <v>539</v>
      </c>
      <c r="C4" s="20" t="s">
        <v>66</v>
      </c>
      <c r="D4" s="21" t="s">
        <v>67</v>
      </c>
      <c r="E4" s="21" t="s">
        <v>68</v>
      </c>
      <c r="F4" s="21" t="s">
        <v>540</v>
      </c>
      <c r="G4" s="44" t="s">
        <v>69</v>
      </c>
      <c r="H4" s="207" t="s">
        <v>70</v>
      </c>
      <c r="I4" s="208" t="s">
        <v>71</v>
      </c>
      <c r="J4" s="208" t="s">
        <v>72</v>
      </c>
      <c r="K4" s="208" t="s">
        <v>73</v>
      </c>
      <c r="L4" s="189" t="s">
        <v>555</v>
      </c>
      <c r="M4" s="208" t="s">
        <v>75</v>
      </c>
      <c r="N4" s="208" t="s">
        <v>76</v>
      </c>
      <c r="O4" s="189" t="s">
        <v>556</v>
      </c>
      <c r="P4" s="208" t="s">
        <v>77</v>
      </c>
      <c r="Q4" s="209" t="s">
        <v>78</v>
      </c>
      <c r="R4" s="206" t="s">
        <v>79</v>
      </c>
    </row>
    <row r="5" spans="1:20" ht="23.5" thickTop="1">
      <c r="A5" s="111"/>
      <c r="B5" s="149"/>
      <c r="C5" s="22"/>
      <c r="D5" s="22"/>
      <c r="E5" s="22"/>
      <c r="F5" s="22"/>
      <c r="G5" s="45"/>
      <c r="H5" s="194"/>
      <c r="I5" s="195"/>
      <c r="J5" s="195"/>
      <c r="K5" s="190"/>
      <c r="L5" s="190"/>
      <c r="M5" s="190"/>
      <c r="N5" s="190"/>
      <c r="O5" s="190"/>
      <c r="P5" s="195"/>
      <c r="Q5" s="195"/>
      <c r="R5" s="202"/>
    </row>
    <row r="6" spans="1:20" ht="23">
      <c r="A6" s="112"/>
      <c r="B6" s="149"/>
      <c r="C6" s="23"/>
      <c r="D6" s="23"/>
      <c r="E6" s="23"/>
      <c r="F6" s="23"/>
      <c r="G6" s="46"/>
      <c r="H6" s="196"/>
      <c r="I6" s="197"/>
      <c r="J6" s="197"/>
      <c r="K6" s="191"/>
      <c r="L6" s="191"/>
      <c r="M6" s="191"/>
      <c r="N6" s="191"/>
      <c r="O6" s="191"/>
      <c r="P6" s="197"/>
      <c r="Q6" s="197"/>
      <c r="R6" s="203"/>
    </row>
    <row r="7" spans="1:20" ht="23">
      <c r="A7" s="112"/>
      <c r="B7" s="149"/>
      <c r="C7" s="23"/>
      <c r="D7" s="23"/>
      <c r="E7" s="23"/>
      <c r="F7" s="23"/>
      <c r="G7" s="46"/>
      <c r="H7" s="196"/>
      <c r="I7" s="197"/>
      <c r="J7" s="197"/>
      <c r="K7" s="191"/>
      <c r="L7" s="191"/>
      <c r="M7" s="191"/>
      <c r="N7" s="191"/>
      <c r="O7" s="191"/>
      <c r="P7" s="197"/>
      <c r="Q7" s="197"/>
      <c r="R7" s="203"/>
    </row>
    <row r="8" spans="1:20" ht="23">
      <c r="A8" s="112"/>
      <c r="B8" s="149"/>
      <c r="C8" s="23"/>
      <c r="D8" s="23"/>
      <c r="E8" s="23"/>
      <c r="F8" s="23"/>
      <c r="G8" s="46"/>
      <c r="H8" s="196"/>
      <c r="I8" s="197"/>
      <c r="J8" s="197"/>
      <c r="K8" s="191"/>
      <c r="L8" s="191"/>
      <c r="M8" s="191"/>
      <c r="N8" s="191"/>
      <c r="O8" s="191"/>
      <c r="P8" s="197"/>
      <c r="Q8" s="197"/>
      <c r="R8" s="203"/>
    </row>
    <row r="9" spans="1:20" ht="23">
      <c r="A9" s="112"/>
      <c r="B9" s="149"/>
      <c r="C9" s="23"/>
      <c r="D9" s="23"/>
      <c r="E9" s="23"/>
      <c r="F9" s="23"/>
      <c r="G9" s="46"/>
      <c r="H9" s="196"/>
      <c r="I9" s="197"/>
      <c r="J9" s="197"/>
      <c r="K9" s="191"/>
      <c r="L9" s="191"/>
      <c r="M9" s="191"/>
      <c r="N9" s="191"/>
      <c r="O9" s="191"/>
      <c r="P9" s="197"/>
      <c r="Q9" s="197"/>
      <c r="R9" s="203"/>
    </row>
    <row r="10" spans="1:20" ht="23">
      <c r="A10" s="112"/>
      <c r="B10" s="149"/>
      <c r="C10" s="23"/>
      <c r="D10" s="23"/>
      <c r="E10" s="23"/>
      <c r="F10" s="23"/>
      <c r="G10" s="46"/>
      <c r="H10" s="196"/>
      <c r="I10" s="197"/>
      <c r="J10" s="197"/>
      <c r="K10" s="191"/>
      <c r="L10" s="191"/>
      <c r="M10" s="191"/>
      <c r="N10" s="191"/>
      <c r="O10" s="191"/>
      <c r="P10" s="197"/>
      <c r="Q10" s="197"/>
      <c r="R10" s="203"/>
    </row>
    <row r="11" spans="1:20" ht="23">
      <c r="A11" s="112"/>
      <c r="B11" s="149"/>
      <c r="C11" s="23"/>
      <c r="D11" s="23"/>
      <c r="E11" s="23"/>
      <c r="F11" s="23"/>
      <c r="G11" s="46"/>
      <c r="H11" s="196"/>
      <c r="I11" s="197"/>
      <c r="J11" s="197"/>
      <c r="K11" s="191"/>
      <c r="L11" s="191"/>
      <c r="M11" s="191"/>
      <c r="N11" s="191"/>
      <c r="O11" s="191"/>
      <c r="P11" s="197"/>
      <c r="Q11" s="197"/>
      <c r="R11" s="203"/>
    </row>
    <row r="12" spans="1:20" ht="23">
      <c r="A12" s="112"/>
      <c r="B12" s="149"/>
      <c r="C12" s="23"/>
      <c r="D12" s="23"/>
      <c r="E12" s="23"/>
      <c r="F12" s="23"/>
      <c r="G12" s="46"/>
      <c r="H12" s="196"/>
      <c r="I12" s="197"/>
      <c r="J12" s="197"/>
      <c r="K12" s="191"/>
      <c r="L12" s="191"/>
      <c r="M12" s="191"/>
      <c r="N12" s="191"/>
      <c r="O12" s="191"/>
      <c r="P12" s="197"/>
      <c r="Q12" s="197"/>
      <c r="R12" s="203"/>
    </row>
    <row r="13" spans="1:20" ht="23">
      <c r="A13" s="112"/>
      <c r="B13" s="149"/>
      <c r="C13" s="23"/>
      <c r="D13" s="23"/>
      <c r="E13" s="23"/>
      <c r="F13" s="23"/>
      <c r="G13" s="46"/>
      <c r="H13" s="196"/>
      <c r="I13" s="197"/>
      <c r="J13" s="197"/>
      <c r="K13" s="191"/>
      <c r="L13" s="191"/>
      <c r="M13" s="191"/>
      <c r="N13" s="191"/>
      <c r="O13" s="191"/>
      <c r="P13" s="197"/>
      <c r="Q13" s="197"/>
      <c r="R13" s="203"/>
    </row>
    <row r="14" spans="1:20" ht="23">
      <c r="A14" s="112"/>
      <c r="B14" s="149"/>
      <c r="C14" s="23"/>
      <c r="D14" s="23"/>
      <c r="E14" s="23"/>
      <c r="F14" s="23"/>
      <c r="G14" s="46"/>
      <c r="H14" s="196"/>
      <c r="I14" s="197"/>
      <c r="J14" s="197"/>
      <c r="K14" s="191"/>
      <c r="L14" s="191"/>
      <c r="M14" s="191"/>
      <c r="N14" s="191"/>
      <c r="O14" s="191"/>
      <c r="P14" s="197"/>
      <c r="Q14" s="197"/>
      <c r="R14" s="203"/>
    </row>
    <row r="15" spans="1:20" ht="23">
      <c r="A15" s="112"/>
      <c r="B15" s="149"/>
      <c r="C15" s="23"/>
      <c r="D15" s="23"/>
      <c r="E15" s="23"/>
      <c r="F15" s="23"/>
      <c r="G15" s="46"/>
      <c r="H15" s="196"/>
      <c r="I15" s="197"/>
      <c r="J15" s="197"/>
      <c r="K15" s="191"/>
      <c r="L15" s="191"/>
      <c r="M15" s="191"/>
      <c r="N15" s="191"/>
      <c r="O15" s="191"/>
      <c r="P15" s="197"/>
      <c r="Q15" s="197"/>
      <c r="R15" s="203"/>
    </row>
    <row r="16" spans="1:20" ht="23">
      <c r="A16" s="112"/>
      <c r="B16" s="149"/>
      <c r="C16" s="23"/>
      <c r="D16" s="23"/>
      <c r="E16" s="23"/>
      <c r="F16" s="23"/>
      <c r="G16" s="46"/>
      <c r="H16" s="196"/>
      <c r="I16" s="197"/>
      <c r="J16" s="197"/>
      <c r="K16" s="191"/>
      <c r="L16" s="191"/>
      <c r="M16" s="191"/>
      <c r="N16" s="191"/>
      <c r="O16" s="191"/>
      <c r="P16" s="197"/>
      <c r="Q16" s="197"/>
      <c r="R16" s="203"/>
    </row>
    <row r="17" spans="1:18" ht="23">
      <c r="A17" s="112"/>
      <c r="B17" s="149"/>
      <c r="C17" s="23"/>
      <c r="D17" s="23"/>
      <c r="E17" s="23"/>
      <c r="F17" s="23"/>
      <c r="G17" s="46"/>
      <c r="H17" s="196"/>
      <c r="I17" s="197"/>
      <c r="J17" s="197"/>
      <c r="K17" s="191"/>
      <c r="L17" s="191"/>
      <c r="M17" s="191"/>
      <c r="N17" s="191"/>
      <c r="O17" s="191"/>
      <c r="P17" s="197"/>
      <c r="Q17" s="197"/>
      <c r="R17" s="203"/>
    </row>
    <row r="18" spans="1:18" ht="23">
      <c r="A18" s="112"/>
      <c r="B18" s="149"/>
      <c r="C18" s="23"/>
      <c r="D18" s="23"/>
      <c r="E18" s="23"/>
      <c r="F18" s="23"/>
      <c r="G18" s="46"/>
      <c r="H18" s="196"/>
      <c r="I18" s="197"/>
      <c r="J18" s="197"/>
      <c r="K18" s="191"/>
      <c r="L18" s="191"/>
      <c r="M18" s="191"/>
      <c r="N18" s="191"/>
      <c r="O18" s="191"/>
      <c r="P18" s="197"/>
      <c r="Q18" s="197"/>
      <c r="R18" s="203"/>
    </row>
    <row r="19" spans="1:18" ht="23">
      <c r="A19" s="112"/>
      <c r="B19" s="149"/>
      <c r="C19" s="23"/>
      <c r="D19" s="23"/>
      <c r="E19" s="23"/>
      <c r="F19" s="23"/>
      <c r="G19" s="46"/>
      <c r="H19" s="196"/>
      <c r="I19" s="197"/>
      <c r="J19" s="197"/>
      <c r="K19" s="191"/>
      <c r="L19" s="191"/>
      <c r="M19" s="191"/>
      <c r="N19" s="191"/>
      <c r="O19" s="191"/>
      <c r="P19" s="197"/>
      <c r="Q19" s="197"/>
      <c r="R19" s="203"/>
    </row>
    <row r="20" spans="1:18" ht="23">
      <c r="A20" s="112"/>
      <c r="B20" s="149"/>
      <c r="C20" s="23"/>
      <c r="D20" s="23"/>
      <c r="E20" s="23"/>
      <c r="F20" s="23"/>
      <c r="G20" s="46"/>
      <c r="H20" s="196"/>
      <c r="I20" s="197"/>
      <c r="J20" s="197"/>
      <c r="K20" s="191"/>
      <c r="L20" s="191"/>
      <c r="M20" s="191"/>
      <c r="N20" s="191"/>
      <c r="O20" s="191"/>
      <c r="P20" s="197"/>
      <c r="Q20" s="197"/>
      <c r="R20" s="203"/>
    </row>
    <row r="21" spans="1:18" ht="23">
      <c r="A21" s="112"/>
      <c r="B21" s="149"/>
      <c r="C21" s="23"/>
      <c r="D21" s="23"/>
      <c r="E21" s="23"/>
      <c r="F21" s="23"/>
      <c r="G21" s="46"/>
      <c r="H21" s="196"/>
      <c r="I21" s="197"/>
      <c r="J21" s="197"/>
      <c r="K21" s="191"/>
      <c r="L21" s="191"/>
      <c r="M21" s="191"/>
      <c r="N21" s="191"/>
      <c r="O21" s="191"/>
      <c r="P21" s="197"/>
      <c r="Q21" s="197"/>
      <c r="R21" s="203"/>
    </row>
    <row r="22" spans="1:18" ht="23">
      <c r="A22" s="112"/>
      <c r="B22" s="149"/>
      <c r="C22" s="23"/>
      <c r="D22" s="23"/>
      <c r="E22" s="23"/>
      <c r="F22" s="23"/>
      <c r="G22" s="46"/>
      <c r="H22" s="196"/>
      <c r="I22" s="197"/>
      <c r="J22" s="197"/>
      <c r="K22" s="191"/>
      <c r="L22" s="191"/>
      <c r="M22" s="191"/>
      <c r="N22" s="191"/>
      <c r="O22" s="191"/>
      <c r="P22" s="197"/>
      <c r="Q22" s="197"/>
      <c r="R22" s="203"/>
    </row>
    <row r="23" spans="1:18" ht="23">
      <c r="A23" s="112"/>
      <c r="B23" s="149"/>
      <c r="C23" s="23"/>
      <c r="D23" s="23"/>
      <c r="E23" s="23"/>
      <c r="F23" s="23"/>
      <c r="G23" s="46"/>
      <c r="H23" s="196"/>
      <c r="I23" s="197"/>
      <c r="J23" s="197"/>
      <c r="K23" s="191"/>
      <c r="L23" s="191"/>
      <c r="M23" s="191"/>
      <c r="N23" s="191"/>
      <c r="O23" s="191"/>
      <c r="P23" s="197"/>
      <c r="Q23" s="197"/>
      <c r="R23" s="203"/>
    </row>
    <row r="24" spans="1:18" ht="23">
      <c r="A24" s="112"/>
      <c r="B24" s="149"/>
      <c r="C24" s="23"/>
      <c r="D24" s="23"/>
      <c r="E24" s="23"/>
      <c r="F24" s="23"/>
      <c r="G24" s="46"/>
      <c r="H24" s="196"/>
      <c r="I24" s="197"/>
      <c r="J24" s="197"/>
      <c r="K24" s="191"/>
      <c r="L24" s="191"/>
      <c r="M24" s="191"/>
      <c r="N24" s="191"/>
      <c r="O24" s="191"/>
      <c r="P24" s="197"/>
      <c r="Q24" s="197"/>
      <c r="R24" s="203"/>
    </row>
    <row r="25" spans="1:18" ht="23">
      <c r="A25" s="112"/>
      <c r="B25" s="149"/>
      <c r="C25" s="23"/>
      <c r="D25" s="23"/>
      <c r="E25" s="23"/>
      <c r="F25" s="23"/>
      <c r="G25" s="46"/>
      <c r="H25" s="196"/>
      <c r="I25" s="197"/>
      <c r="J25" s="197"/>
      <c r="K25" s="191"/>
      <c r="L25" s="191"/>
      <c r="M25" s="191"/>
      <c r="N25" s="191"/>
      <c r="O25" s="191"/>
      <c r="P25" s="197"/>
      <c r="Q25" s="197"/>
      <c r="R25" s="203"/>
    </row>
    <row r="26" spans="1:18" ht="23">
      <c r="A26" s="112"/>
      <c r="B26" s="149"/>
      <c r="C26" s="24"/>
      <c r="D26" s="23"/>
      <c r="E26" s="24"/>
      <c r="F26" s="24"/>
      <c r="G26" s="47"/>
      <c r="H26" s="198"/>
      <c r="I26" s="199"/>
      <c r="J26" s="199"/>
      <c r="K26" s="192"/>
      <c r="L26" s="192"/>
      <c r="M26" s="192"/>
      <c r="N26" s="192"/>
      <c r="O26" s="192"/>
      <c r="P26" s="199"/>
      <c r="Q26" s="199"/>
      <c r="R26" s="204"/>
    </row>
    <row r="27" spans="1:18" ht="23">
      <c r="A27" s="112"/>
      <c r="B27" s="149"/>
      <c r="C27" s="25"/>
      <c r="D27" s="23"/>
      <c r="E27" s="25"/>
      <c r="F27" s="25"/>
      <c r="G27" s="48"/>
      <c r="H27" s="200"/>
      <c r="I27" s="201"/>
      <c r="J27" s="201"/>
      <c r="K27" s="193"/>
      <c r="L27" s="193"/>
      <c r="M27" s="193"/>
      <c r="N27" s="193"/>
      <c r="O27" s="193"/>
      <c r="P27" s="201"/>
      <c r="Q27" s="201"/>
      <c r="R27" s="205"/>
    </row>
    <row r="28" spans="1:18" ht="23">
      <c r="A28" s="112"/>
      <c r="B28" s="149"/>
      <c r="C28" s="23"/>
      <c r="D28" s="23"/>
      <c r="E28" s="23"/>
      <c r="F28" s="23"/>
      <c r="G28" s="46"/>
      <c r="H28" s="196"/>
      <c r="I28" s="197"/>
      <c r="J28" s="197"/>
      <c r="K28" s="191"/>
      <c r="L28" s="191"/>
      <c r="M28" s="191"/>
      <c r="N28" s="191"/>
      <c r="O28" s="191"/>
      <c r="P28" s="197"/>
      <c r="Q28" s="197"/>
      <c r="R28" s="203"/>
    </row>
    <row r="29" spans="1:18" ht="23">
      <c r="A29" s="112"/>
      <c r="B29" s="149"/>
      <c r="C29" s="23"/>
      <c r="D29" s="23"/>
      <c r="E29" s="23"/>
      <c r="F29" s="23"/>
      <c r="G29" s="46"/>
      <c r="H29" s="196"/>
      <c r="I29" s="197"/>
      <c r="J29" s="197"/>
      <c r="K29" s="191"/>
      <c r="L29" s="191"/>
      <c r="M29" s="191"/>
      <c r="N29" s="191"/>
      <c r="O29" s="191"/>
      <c r="P29" s="197"/>
      <c r="Q29" s="197"/>
      <c r="R29" s="203"/>
    </row>
    <row r="30" spans="1:18" ht="23">
      <c r="A30" s="112"/>
      <c r="B30" s="149"/>
      <c r="C30" s="23"/>
      <c r="D30" s="23"/>
      <c r="E30" s="23"/>
      <c r="F30" s="23"/>
      <c r="G30" s="46"/>
      <c r="H30" s="196"/>
      <c r="I30" s="197"/>
      <c r="J30" s="197"/>
      <c r="K30" s="191"/>
      <c r="L30" s="191"/>
      <c r="M30" s="191"/>
      <c r="N30" s="191"/>
      <c r="O30" s="191"/>
      <c r="P30" s="197"/>
      <c r="Q30" s="197"/>
      <c r="R30" s="203"/>
    </row>
    <row r="31" spans="1:18" ht="23">
      <c r="A31" s="112"/>
      <c r="B31" s="149"/>
      <c r="C31" s="23"/>
      <c r="D31" s="23"/>
      <c r="E31" s="23"/>
      <c r="F31" s="23"/>
      <c r="G31" s="46"/>
      <c r="H31" s="196"/>
      <c r="I31" s="197"/>
      <c r="J31" s="197"/>
      <c r="K31" s="191"/>
      <c r="L31" s="191"/>
      <c r="M31" s="191"/>
      <c r="N31" s="191"/>
      <c r="O31" s="191"/>
      <c r="P31" s="197"/>
      <c r="Q31" s="197"/>
      <c r="R31" s="203"/>
    </row>
    <row r="32" spans="1:18" ht="23">
      <c r="A32" s="112"/>
      <c r="B32" s="149"/>
      <c r="C32" s="23"/>
      <c r="D32" s="23"/>
      <c r="E32" s="23"/>
      <c r="F32" s="23"/>
      <c r="G32" s="46"/>
      <c r="H32" s="196"/>
      <c r="I32" s="197"/>
      <c r="J32" s="197"/>
      <c r="K32" s="191"/>
      <c r="L32" s="191"/>
      <c r="M32" s="191"/>
      <c r="N32" s="191"/>
      <c r="O32" s="191"/>
      <c r="P32" s="197"/>
      <c r="Q32" s="197"/>
      <c r="R32" s="203"/>
    </row>
    <row r="33" spans="1:18" ht="23">
      <c r="A33" s="112"/>
      <c r="B33" s="149"/>
      <c r="C33" s="23"/>
      <c r="D33" s="23"/>
      <c r="E33" s="23"/>
      <c r="F33" s="23"/>
      <c r="G33" s="46"/>
      <c r="H33" s="196"/>
      <c r="I33" s="197"/>
      <c r="J33" s="197"/>
      <c r="K33" s="191"/>
      <c r="L33" s="191"/>
      <c r="M33" s="191"/>
      <c r="N33" s="191"/>
      <c r="O33" s="191"/>
      <c r="P33" s="197"/>
      <c r="Q33" s="197"/>
      <c r="R33" s="203"/>
    </row>
    <row r="34" spans="1:18" ht="23">
      <c r="A34" s="112"/>
      <c r="B34" s="149"/>
      <c r="C34" s="23"/>
      <c r="D34" s="23"/>
      <c r="E34" s="23"/>
      <c r="F34" s="23"/>
      <c r="G34" s="46"/>
      <c r="H34" s="196"/>
      <c r="I34" s="197"/>
      <c r="J34" s="197"/>
      <c r="K34" s="191"/>
      <c r="L34" s="191"/>
      <c r="M34" s="191"/>
      <c r="N34" s="191"/>
      <c r="O34" s="191"/>
      <c r="P34" s="197"/>
      <c r="Q34" s="197"/>
      <c r="R34" s="203"/>
    </row>
    <row r="35" spans="1:18" ht="23">
      <c r="A35" s="112"/>
      <c r="B35" s="149"/>
      <c r="C35" s="23"/>
      <c r="D35" s="23"/>
      <c r="E35" s="23"/>
      <c r="F35" s="23"/>
      <c r="G35" s="46"/>
      <c r="H35" s="196"/>
      <c r="I35" s="197"/>
      <c r="J35" s="197"/>
      <c r="K35" s="191"/>
      <c r="L35" s="191"/>
      <c r="M35" s="191"/>
      <c r="N35" s="191"/>
      <c r="O35" s="191"/>
      <c r="P35" s="197"/>
      <c r="Q35" s="197"/>
      <c r="R35" s="203"/>
    </row>
    <row r="36" spans="1:18" ht="23">
      <c r="A36" s="112"/>
      <c r="B36" s="149"/>
      <c r="C36" s="23"/>
      <c r="D36" s="23"/>
      <c r="E36" s="23"/>
      <c r="F36" s="23"/>
      <c r="G36" s="46"/>
      <c r="H36" s="196"/>
      <c r="I36" s="197"/>
      <c r="J36" s="197"/>
      <c r="K36" s="191"/>
      <c r="L36" s="191"/>
      <c r="M36" s="191"/>
      <c r="N36" s="191"/>
      <c r="O36" s="191"/>
      <c r="P36" s="197"/>
      <c r="Q36" s="197"/>
      <c r="R36" s="203"/>
    </row>
    <row r="37" spans="1:18" ht="23">
      <c r="A37" s="112"/>
      <c r="B37" s="149"/>
      <c r="C37" s="23"/>
      <c r="D37" s="23"/>
      <c r="E37" s="23"/>
      <c r="F37" s="23"/>
      <c r="G37" s="46"/>
      <c r="H37" s="196"/>
      <c r="I37" s="197"/>
      <c r="J37" s="197"/>
      <c r="K37" s="191"/>
      <c r="L37" s="191"/>
      <c r="M37" s="191"/>
      <c r="N37" s="191"/>
      <c r="O37" s="191"/>
      <c r="P37" s="197"/>
      <c r="Q37" s="197"/>
      <c r="R37" s="203"/>
    </row>
    <row r="38" spans="1:18" ht="23">
      <c r="A38" s="112"/>
      <c r="B38" s="149"/>
      <c r="C38" s="23"/>
      <c r="D38" s="23"/>
      <c r="E38" s="23"/>
      <c r="F38" s="23"/>
      <c r="G38" s="46"/>
      <c r="H38" s="196"/>
      <c r="I38" s="197"/>
      <c r="J38" s="197"/>
      <c r="K38" s="191"/>
      <c r="L38" s="191"/>
      <c r="M38" s="191"/>
      <c r="N38" s="191"/>
      <c r="O38" s="191"/>
      <c r="P38" s="197"/>
      <c r="Q38" s="197"/>
      <c r="R38" s="203"/>
    </row>
    <row r="39" spans="1:18" ht="23">
      <c r="A39" s="112"/>
      <c r="B39" s="149"/>
      <c r="C39" s="23"/>
      <c r="D39" s="23"/>
      <c r="E39" s="23"/>
      <c r="F39" s="23"/>
      <c r="G39" s="46"/>
      <c r="H39" s="196"/>
      <c r="I39" s="197"/>
      <c r="J39" s="197"/>
      <c r="K39" s="191"/>
      <c r="L39" s="191"/>
      <c r="M39" s="191"/>
      <c r="N39" s="191"/>
      <c r="O39" s="191"/>
      <c r="P39" s="197"/>
      <c r="Q39" s="197"/>
      <c r="R39" s="203"/>
    </row>
    <row r="40" spans="1:18" ht="23">
      <c r="A40" s="112"/>
      <c r="B40" s="149"/>
      <c r="C40" s="23"/>
      <c r="D40" s="23"/>
      <c r="E40" s="23"/>
      <c r="F40" s="23"/>
      <c r="G40" s="46"/>
      <c r="H40" s="196"/>
      <c r="I40" s="197"/>
      <c r="J40" s="197"/>
      <c r="K40" s="191"/>
      <c r="L40" s="191"/>
      <c r="M40" s="191"/>
      <c r="N40" s="191"/>
      <c r="O40" s="191"/>
      <c r="P40" s="197"/>
      <c r="Q40" s="197"/>
      <c r="R40" s="203"/>
    </row>
    <row r="41" spans="1:18" ht="23">
      <c r="A41" s="112"/>
      <c r="B41" s="149"/>
      <c r="C41" s="23"/>
      <c r="D41" s="23"/>
      <c r="E41" s="23"/>
      <c r="F41" s="23"/>
      <c r="G41" s="46"/>
      <c r="H41" s="196"/>
      <c r="I41" s="197"/>
      <c r="J41" s="197"/>
      <c r="K41" s="191"/>
      <c r="L41" s="191"/>
      <c r="M41" s="191"/>
      <c r="N41" s="191"/>
      <c r="O41" s="191"/>
      <c r="P41" s="197"/>
      <c r="Q41" s="197"/>
      <c r="R41" s="203"/>
    </row>
    <row r="42" spans="1:18" ht="23">
      <c r="A42" s="112"/>
      <c r="B42" s="149"/>
      <c r="C42" s="23"/>
      <c r="D42" s="23"/>
      <c r="E42" s="23"/>
      <c r="F42" s="23"/>
      <c r="G42" s="46"/>
      <c r="H42" s="196"/>
      <c r="I42" s="197"/>
      <c r="J42" s="197"/>
      <c r="K42" s="191"/>
      <c r="L42" s="191"/>
      <c r="M42" s="191"/>
      <c r="N42" s="191"/>
      <c r="O42" s="191"/>
      <c r="P42" s="197"/>
      <c r="Q42" s="197"/>
      <c r="R42" s="203"/>
    </row>
    <row r="43" spans="1:18" ht="23">
      <c r="A43" s="112"/>
      <c r="B43" s="149"/>
      <c r="C43" s="23"/>
      <c r="D43" s="23"/>
      <c r="E43" s="23"/>
      <c r="F43" s="23"/>
      <c r="G43" s="46"/>
      <c r="H43" s="196"/>
      <c r="I43" s="197"/>
      <c r="J43" s="197"/>
      <c r="K43" s="191"/>
      <c r="L43" s="191"/>
      <c r="M43" s="191"/>
      <c r="N43" s="191"/>
      <c r="O43" s="191"/>
      <c r="P43" s="197"/>
      <c r="Q43" s="197"/>
      <c r="R43" s="203"/>
    </row>
    <row r="44" spans="1:18" ht="23">
      <c r="A44" s="112"/>
      <c r="B44" s="149"/>
      <c r="C44" s="23"/>
      <c r="D44" s="23"/>
      <c r="E44" s="23"/>
      <c r="F44" s="23"/>
      <c r="G44" s="46"/>
      <c r="H44" s="196"/>
      <c r="I44" s="197"/>
      <c r="J44" s="197"/>
      <c r="K44" s="191"/>
      <c r="L44" s="191"/>
      <c r="M44" s="191"/>
      <c r="N44" s="191"/>
      <c r="O44" s="191"/>
      <c r="P44" s="197"/>
      <c r="Q44" s="197"/>
      <c r="R44" s="203"/>
    </row>
    <row r="45" spans="1:18" ht="23">
      <c r="A45" s="112"/>
      <c r="B45" s="149"/>
      <c r="C45" s="23"/>
      <c r="D45" s="23"/>
      <c r="E45" s="23"/>
      <c r="F45" s="23"/>
      <c r="G45" s="46"/>
      <c r="H45" s="196"/>
      <c r="I45" s="197"/>
      <c r="J45" s="197"/>
      <c r="K45" s="191"/>
      <c r="L45" s="191"/>
      <c r="M45" s="191"/>
      <c r="N45" s="191"/>
      <c r="O45" s="191"/>
      <c r="P45" s="197"/>
      <c r="Q45" s="197"/>
      <c r="R45" s="203"/>
    </row>
    <row r="46" spans="1:18" ht="23">
      <c r="A46" s="112"/>
      <c r="B46" s="149"/>
      <c r="C46" s="23"/>
      <c r="D46" s="23"/>
      <c r="E46" s="23"/>
      <c r="F46" s="23"/>
      <c r="G46" s="46"/>
      <c r="H46" s="196"/>
      <c r="I46" s="197"/>
      <c r="J46" s="197"/>
      <c r="K46" s="191"/>
      <c r="L46" s="191"/>
      <c r="M46" s="191"/>
      <c r="N46" s="191"/>
      <c r="O46" s="191"/>
      <c r="P46" s="197"/>
      <c r="Q46" s="197"/>
      <c r="R46" s="203"/>
    </row>
    <row r="47" spans="1:18" ht="23">
      <c r="A47" s="112"/>
      <c r="B47" s="149"/>
      <c r="C47" s="23"/>
      <c r="D47" s="23"/>
      <c r="E47" s="23"/>
      <c r="F47" s="23"/>
      <c r="G47" s="46"/>
      <c r="H47" s="196"/>
      <c r="I47" s="197"/>
      <c r="J47" s="197"/>
      <c r="K47" s="191"/>
      <c r="L47" s="191"/>
      <c r="M47" s="191"/>
      <c r="N47" s="191"/>
      <c r="O47" s="191"/>
      <c r="P47" s="197"/>
      <c r="Q47" s="197"/>
      <c r="R47" s="203"/>
    </row>
    <row r="48" spans="1:18" ht="23">
      <c r="A48" s="112"/>
      <c r="B48" s="149"/>
      <c r="C48" s="23"/>
      <c r="D48" s="23"/>
      <c r="E48" s="23"/>
      <c r="F48" s="23"/>
      <c r="G48" s="46"/>
      <c r="H48" s="196"/>
      <c r="I48" s="197"/>
      <c r="J48" s="197"/>
      <c r="K48" s="191"/>
      <c r="L48" s="191"/>
      <c r="M48" s="191"/>
      <c r="N48" s="191"/>
      <c r="O48" s="191"/>
      <c r="P48" s="197"/>
      <c r="Q48" s="197"/>
      <c r="R48" s="203"/>
    </row>
    <row r="49" spans="1:18" ht="23">
      <c r="A49" s="112"/>
      <c r="B49" s="149"/>
      <c r="C49" s="23"/>
      <c r="D49" s="23"/>
      <c r="E49" s="23"/>
      <c r="F49" s="23"/>
      <c r="G49" s="46"/>
      <c r="H49" s="196"/>
      <c r="I49" s="197"/>
      <c r="J49" s="197"/>
      <c r="K49" s="191"/>
      <c r="L49" s="191"/>
      <c r="M49" s="191"/>
      <c r="N49" s="191"/>
      <c r="O49" s="191"/>
      <c r="P49" s="197"/>
      <c r="Q49" s="197"/>
      <c r="R49" s="203"/>
    </row>
    <row r="50" spans="1:18" ht="23">
      <c r="A50" s="112"/>
      <c r="B50" s="149"/>
      <c r="C50" s="23"/>
      <c r="D50" s="23"/>
      <c r="E50" s="23"/>
      <c r="F50" s="23"/>
      <c r="G50" s="46"/>
      <c r="H50" s="196"/>
      <c r="I50" s="197"/>
      <c r="J50" s="197"/>
      <c r="K50" s="191"/>
      <c r="L50" s="191"/>
      <c r="M50" s="191"/>
      <c r="N50" s="191"/>
      <c r="O50" s="191"/>
      <c r="P50" s="197"/>
      <c r="Q50" s="197"/>
      <c r="R50" s="203"/>
    </row>
    <row r="51" spans="1:18" ht="23">
      <c r="A51" s="112"/>
      <c r="B51" s="149"/>
      <c r="C51" s="23"/>
      <c r="D51" s="23"/>
      <c r="E51" s="23"/>
      <c r="F51" s="23"/>
      <c r="G51" s="46"/>
      <c r="H51" s="196"/>
      <c r="I51" s="197"/>
      <c r="J51" s="197"/>
      <c r="K51" s="191"/>
      <c r="L51" s="191"/>
      <c r="M51" s="191"/>
      <c r="N51" s="191"/>
      <c r="O51" s="191"/>
      <c r="P51" s="197"/>
      <c r="Q51" s="197"/>
      <c r="R51" s="203"/>
    </row>
    <row r="52" spans="1:18" ht="23">
      <c r="A52" s="112"/>
      <c r="B52" s="149"/>
      <c r="C52" s="23"/>
      <c r="D52" s="23"/>
      <c r="E52" s="23"/>
      <c r="F52" s="23"/>
      <c r="G52" s="46"/>
      <c r="H52" s="196"/>
      <c r="I52" s="197"/>
      <c r="J52" s="197"/>
      <c r="K52" s="191"/>
      <c r="L52" s="191"/>
      <c r="M52" s="191"/>
      <c r="N52" s="191"/>
      <c r="O52" s="191"/>
      <c r="P52" s="197"/>
      <c r="Q52" s="197"/>
      <c r="R52" s="203"/>
    </row>
    <row r="53" spans="1:18" ht="23">
      <c r="A53" s="112"/>
      <c r="B53" s="149"/>
      <c r="C53" s="23"/>
      <c r="D53" s="23"/>
      <c r="E53" s="23"/>
      <c r="F53" s="23"/>
      <c r="G53" s="46"/>
      <c r="H53" s="196"/>
      <c r="I53" s="197"/>
      <c r="J53" s="197"/>
      <c r="K53" s="191"/>
      <c r="L53" s="191"/>
      <c r="M53" s="191"/>
      <c r="N53" s="191"/>
      <c r="O53" s="191"/>
      <c r="P53" s="197"/>
      <c r="Q53" s="197"/>
      <c r="R53" s="203"/>
    </row>
    <row r="54" spans="1:18" ht="23">
      <c r="A54" s="112"/>
      <c r="B54" s="149"/>
      <c r="C54" s="23"/>
      <c r="D54" s="23"/>
      <c r="E54" s="23"/>
      <c r="F54" s="23"/>
      <c r="G54" s="46"/>
      <c r="H54" s="196"/>
      <c r="I54" s="197"/>
      <c r="J54" s="197"/>
      <c r="K54" s="191"/>
      <c r="L54" s="191"/>
      <c r="M54" s="191"/>
      <c r="N54" s="191"/>
      <c r="O54" s="191"/>
      <c r="P54" s="197"/>
      <c r="Q54" s="197"/>
      <c r="R54" s="203"/>
    </row>
    <row r="55" spans="1:18" ht="23">
      <c r="A55" s="112"/>
      <c r="B55" s="149"/>
      <c r="C55" s="23"/>
      <c r="D55" s="23"/>
      <c r="E55" s="23"/>
      <c r="F55" s="23"/>
      <c r="G55" s="46"/>
      <c r="H55" s="196"/>
      <c r="I55" s="197"/>
      <c r="J55" s="197"/>
      <c r="K55" s="191"/>
      <c r="L55" s="191"/>
      <c r="M55" s="191"/>
      <c r="N55" s="191"/>
      <c r="O55" s="191"/>
      <c r="P55" s="197"/>
      <c r="Q55" s="197"/>
      <c r="R55" s="203"/>
    </row>
    <row r="56" spans="1:18" ht="23">
      <c r="A56" s="112"/>
      <c r="B56" s="149"/>
      <c r="C56" s="23"/>
      <c r="D56" s="23"/>
      <c r="E56" s="23"/>
      <c r="F56" s="23"/>
      <c r="G56" s="46"/>
      <c r="H56" s="196"/>
      <c r="I56" s="197"/>
      <c r="J56" s="197"/>
      <c r="K56" s="191"/>
      <c r="L56" s="191"/>
      <c r="M56" s="191"/>
      <c r="N56" s="191"/>
      <c r="O56" s="191"/>
      <c r="P56" s="197"/>
      <c r="Q56" s="197"/>
      <c r="R56" s="203"/>
    </row>
    <row r="57" spans="1:18" ht="23">
      <c r="A57" s="112"/>
      <c r="B57" s="149"/>
      <c r="C57" s="23"/>
      <c r="D57" s="23"/>
      <c r="E57" s="23"/>
      <c r="F57" s="23"/>
      <c r="G57" s="46"/>
      <c r="H57" s="196"/>
      <c r="I57" s="197"/>
      <c r="J57" s="197"/>
      <c r="K57" s="191"/>
      <c r="L57" s="191"/>
      <c r="M57" s="191"/>
      <c r="N57" s="191"/>
      <c r="O57" s="191"/>
      <c r="P57" s="197"/>
      <c r="Q57" s="197"/>
      <c r="R57" s="203"/>
    </row>
    <row r="58" spans="1:18" ht="23">
      <c r="A58" s="112"/>
      <c r="B58" s="149"/>
      <c r="C58" s="23"/>
      <c r="D58" s="23"/>
      <c r="E58" s="23"/>
      <c r="F58" s="23"/>
      <c r="G58" s="46"/>
      <c r="H58" s="196"/>
      <c r="I58" s="197"/>
      <c r="J58" s="197"/>
      <c r="K58" s="191"/>
      <c r="L58" s="191"/>
      <c r="M58" s="191"/>
      <c r="N58" s="191"/>
      <c r="O58" s="191"/>
      <c r="P58" s="197"/>
      <c r="Q58" s="197"/>
      <c r="R58" s="203"/>
    </row>
    <row r="59" spans="1:18" ht="23">
      <c r="A59" s="112"/>
      <c r="B59" s="149"/>
      <c r="C59" s="23"/>
      <c r="D59" s="23"/>
      <c r="E59" s="23"/>
      <c r="F59" s="23"/>
      <c r="G59" s="46"/>
      <c r="H59" s="196"/>
      <c r="I59" s="197"/>
      <c r="J59" s="197"/>
      <c r="K59" s="191"/>
      <c r="L59" s="191"/>
      <c r="M59" s="191"/>
      <c r="N59" s="191"/>
      <c r="O59" s="191"/>
      <c r="P59" s="197"/>
      <c r="Q59" s="197"/>
      <c r="R59" s="203"/>
    </row>
    <row r="60" spans="1:18" ht="23">
      <c r="A60" s="112"/>
      <c r="B60" s="149"/>
      <c r="C60" s="23"/>
      <c r="D60" s="23"/>
      <c r="E60" s="23"/>
      <c r="F60" s="23"/>
      <c r="G60" s="46"/>
      <c r="H60" s="196"/>
      <c r="I60" s="197"/>
      <c r="J60" s="197"/>
      <c r="K60" s="191"/>
      <c r="L60" s="191"/>
      <c r="M60" s="191"/>
      <c r="N60" s="191"/>
      <c r="O60" s="191"/>
      <c r="P60" s="197"/>
      <c r="Q60" s="197"/>
      <c r="R60" s="203"/>
    </row>
    <row r="61" spans="1:18" ht="23">
      <c r="A61" s="112"/>
      <c r="B61" s="149"/>
      <c r="C61" s="23"/>
      <c r="D61" s="23"/>
      <c r="E61" s="23"/>
      <c r="F61" s="23"/>
      <c r="G61" s="46"/>
      <c r="H61" s="196"/>
      <c r="I61" s="197"/>
      <c r="J61" s="197"/>
      <c r="K61" s="191"/>
      <c r="L61" s="191"/>
      <c r="M61" s="191"/>
      <c r="N61" s="191"/>
      <c r="O61" s="191"/>
      <c r="P61" s="197"/>
      <c r="Q61" s="197"/>
      <c r="R61" s="203"/>
    </row>
    <row r="62" spans="1:18" ht="23">
      <c r="A62" s="112"/>
      <c r="B62" s="149"/>
      <c r="C62" s="23"/>
      <c r="D62" s="23"/>
      <c r="E62" s="23"/>
      <c r="F62" s="23"/>
      <c r="G62" s="46"/>
      <c r="H62" s="196"/>
      <c r="I62" s="197"/>
      <c r="J62" s="197"/>
      <c r="K62" s="191"/>
      <c r="L62" s="191"/>
      <c r="M62" s="191"/>
      <c r="N62" s="191"/>
      <c r="O62" s="191"/>
      <c r="P62" s="197"/>
      <c r="Q62" s="197"/>
      <c r="R62" s="203"/>
    </row>
    <row r="63" spans="1:18" ht="23">
      <c r="A63" s="112"/>
      <c r="B63" s="149"/>
      <c r="C63" s="23"/>
      <c r="D63" s="23"/>
      <c r="E63" s="23"/>
      <c r="F63" s="23"/>
      <c r="G63" s="46"/>
      <c r="H63" s="196"/>
      <c r="I63" s="197"/>
      <c r="J63" s="197"/>
      <c r="K63" s="191"/>
      <c r="L63" s="191"/>
      <c r="M63" s="191"/>
      <c r="N63" s="191"/>
      <c r="O63" s="191"/>
      <c r="P63" s="197"/>
      <c r="Q63" s="197"/>
      <c r="R63" s="203"/>
    </row>
    <row r="64" spans="1:18" ht="23">
      <c r="A64" s="112"/>
      <c r="B64" s="149"/>
      <c r="C64" s="23"/>
      <c r="D64" s="23"/>
      <c r="E64" s="23"/>
      <c r="F64" s="23"/>
      <c r="G64" s="46"/>
      <c r="H64" s="196"/>
      <c r="I64" s="197"/>
      <c r="J64" s="197"/>
      <c r="K64" s="191"/>
      <c r="L64" s="191"/>
      <c r="M64" s="191"/>
      <c r="N64" s="191"/>
      <c r="O64" s="191"/>
      <c r="P64" s="197"/>
      <c r="Q64" s="197"/>
      <c r="R64" s="203"/>
    </row>
    <row r="65" spans="1:18" ht="23">
      <c r="A65" s="112"/>
      <c r="B65" s="149"/>
      <c r="C65" s="23"/>
      <c r="D65" s="23"/>
      <c r="E65" s="23"/>
      <c r="F65" s="23"/>
      <c r="G65" s="46"/>
      <c r="H65" s="196"/>
      <c r="I65" s="197"/>
      <c r="J65" s="197"/>
      <c r="K65" s="191"/>
      <c r="L65" s="191"/>
      <c r="M65" s="191"/>
      <c r="N65" s="191"/>
      <c r="O65" s="191"/>
      <c r="P65" s="197"/>
      <c r="Q65" s="197"/>
      <c r="R65" s="203"/>
    </row>
    <row r="66" spans="1:18" ht="23">
      <c r="A66" s="112"/>
      <c r="B66" s="149"/>
      <c r="C66" s="23"/>
      <c r="D66" s="23"/>
      <c r="E66" s="23"/>
      <c r="F66" s="23"/>
      <c r="G66" s="46"/>
      <c r="H66" s="196"/>
      <c r="I66" s="197"/>
      <c r="J66" s="197"/>
      <c r="K66" s="191"/>
      <c r="L66" s="191"/>
      <c r="M66" s="191"/>
      <c r="N66" s="191"/>
      <c r="O66" s="191"/>
      <c r="P66" s="197"/>
      <c r="Q66" s="197"/>
      <c r="R66" s="203"/>
    </row>
    <row r="67" spans="1:18" ht="23">
      <c r="A67" s="112"/>
      <c r="B67" s="149"/>
      <c r="C67" s="23"/>
      <c r="D67" s="23"/>
      <c r="E67" s="23"/>
      <c r="F67" s="23"/>
      <c r="G67" s="46"/>
      <c r="H67" s="196"/>
      <c r="I67" s="197"/>
      <c r="J67" s="197"/>
      <c r="K67" s="191"/>
      <c r="L67" s="191"/>
      <c r="M67" s="191"/>
      <c r="N67" s="191"/>
      <c r="O67" s="191"/>
      <c r="P67" s="197"/>
      <c r="Q67" s="197"/>
      <c r="R67" s="203"/>
    </row>
    <row r="68" spans="1:18" ht="23">
      <c r="A68" s="112"/>
      <c r="B68" s="149"/>
      <c r="C68" s="23"/>
      <c r="D68" s="23"/>
      <c r="E68" s="23"/>
      <c r="F68" s="23"/>
      <c r="G68" s="46"/>
      <c r="H68" s="196"/>
      <c r="I68" s="197"/>
      <c r="J68" s="197"/>
      <c r="K68" s="191"/>
      <c r="L68" s="191"/>
      <c r="M68" s="191"/>
      <c r="N68" s="191"/>
      <c r="O68" s="191"/>
      <c r="P68" s="197"/>
      <c r="Q68" s="197"/>
      <c r="R68" s="203"/>
    </row>
    <row r="69" spans="1:18" ht="23">
      <c r="A69" s="112"/>
      <c r="B69" s="149"/>
      <c r="C69" s="23"/>
      <c r="D69" s="23"/>
      <c r="E69" s="23"/>
      <c r="F69" s="23"/>
      <c r="G69" s="46"/>
      <c r="H69" s="196"/>
      <c r="I69" s="197"/>
      <c r="J69" s="197"/>
      <c r="K69" s="191"/>
      <c r="L69" s="191"/>
      <c r="M69" s="191"/>
      <c r="N69" s="191"/>
      <c r="O69" s="191"/>
      <c r="P69" s="197"/>
      <c r="Q69" s="197"/>
      <c r="R69" s="203"/>
    </row>
    <row r="70" spans="1:18" ht="23">
      <c r="A70" s="112"/>
      <c r="B70" s="149"/>
      <c r="C70" s="23"/>
      <c r="D70" s="23"/>
      <c r="E70" s="23"/>
      <c r="F70" s="23"/>
      <c r="G70" s="46"/>
      <c r="H70" s="196"/>
      <c r="I70" s="197"/>
      <c r="J70" s="197"/>
      <c r="K70" s="191"/>
      <c r="L70" s="191"/>
      <c r="M70" s="191"/>
      <c r="N70" s="191"/>
      <c r="O70" s="191"/>
      <c r="P70" s="197"/>
      <c r="Q70" s="197"/>
      <c r="R70" s="203"/>
    </row>
    <row r="71" spans="1:18" ht="23">
      <c r="A71" s="112"/>
      <c r="B71" s="149"/>
      <c r="C71" s="23"/>
      <c r="D71" s="23"/>
      <c r="E71" s="23"/>
      <c r="F71" s="23"/>
      <c r="G71" s="46"/>
      <c r="H71" s="196"/>
      <c r="I71" s="197"/>
      <c r="J71" s="197"/>
      <c r="K71" s="191"/>
      <c r="L71" s="191"/>
      <c r="M71" s="191"/>
      <c r="N71" s="191"/>
      <c r="O71" s="191"/>
      <c r="P71" s="197"/>
      <c r="Q71" s="197"/>
      <c r="R71" s="203"/>
    </row>
    <row r="72" spans="1:18" ht="23">
      <c r="A72" s="112"/>
      <c r="B72" s="149"/>
      <c r="C72" s="23"/>
      <c r="D72" s="23"/>
      <c r="E72" s="23"/>
      <c r="F72" s="23"/>
      <c r="G72" s="46"/>
      <c r="H72" s="196"/>
      <c r="I72" s="197"/>
      <c r="J72" s="197"/>
      <c r="K72" s="191"/>
      <c r="L72" s="191"/>
      <c r="M72" s="191"/>
      <c r="N72" s="191"/>
      <c r="O72" s="191"/>
      <c r="P72" s="197"/>
      <c r="Q72" s="197"/>
      <c r="R72" s="203"/>
    </row>
    <row r="73" spans="1:18" ht="23">
      <c r="A73" s="112"/>
      <c r="B73" s="149"/>
      <c r="C73" s="23"/>
      <c r="D73" s="23"/>
      <c r="E73" s="23"/>
      <c r="F73" s="23"/>
      <c r="G73" s="46"/>
      <c r="H73" s="196"/>
      <c r="I73" s="197"/>
      <c r="J73" s="197"/>
      <c r="K73" s="191"/>
      <c r="L73" s="191"/>
      <c r="M73" s="191"/>
      <c r="N73" s="191"/>
      <c r="O73" s="191"/>
      <c r="P73" s="197"/>
      <c r="Q73" s="197"/>
      <c r="R73" s="203"/>
    </row>
    <row r="74" spans="1:18" ht="23">
      <c r="A74" s="112"/>
      <c r="B74" s="149"/>
      <c r="C74" s="23"/>
      <c r="D74" s="23"/>
      <c r="E74" s="23"/>
      <c r="F74" s="23"/>
      <c r="G74" s="46"/>
      <c r="H74" s="196"/>
      <c r="I74" s="197"/>
      <c r="J74" s="197"/>
      <c r="K74" s="191"/>
      <c r="L74" s="191"/>
      <c r="M74" s="191"/>
      <c r="N74" s="191"/>
      <c r="O74" s="191"/>
      <c r="P74" s="197"/>
      <c r="Q74" s="197"/>
      <c r="R74" s="203"/>
    </row>
    <row r="75" spans="1:18" ht="23">
      <c r="A75" s="112"/>
      <c r="B75" s="149"/>
      <c r="C75" s="23"/>
      <c r="D75" s="23"/>
      <c r="E75" s="23"/>
      <c r="F75" s="23"/>
      <c r="G75" s="46"/>
      <c r="H75" s="196"/>
      <c r="I75" s="197"/>
      <c r="J75" s="197"/>
      <c r="K75" s="191"/>
      <c r="L75" s="191"/>
      <c r="M75" s="191"/>
      <c r="N75" s="191"/>
      <c r="O75" s="191"/>
      <c r="P75" s="197"/>
      <c r="Q75" s="197"/>
      <c r="R75" s="203"/>
    </row>
    <row r="76" spans="1:18" ht="23">
      <c r="A76" s="112"/>
      <c r="B76" s="149"/>
      <c r="C76" s="23"/>
      <c r="D76" s="23"/>
      <c r="E76" s="23"/>
      <c r="F76" s="23"/>
      <c r="G76" s="46"/>
      <c r="H76" s="196"/>
      <c r="I76" s="197"/>
      <c r="J76" s="197"/>
      <c r="K76" s="191"/>
      <c r="L76" s="191"/>
      <c r="M76" s="191"/>
      <c r="N76" s="191"/>
      <c r="O76" s="191"/>
      <c r="P76" s="197"/>
      <c r="Q76" s="197"/>
      <c r="R76" s="203"/>
    </row>
    <row r="77" spans="1:18" ht="23">
      <c r="A77" s="112"/>
      <c r="B77" s="149"/>
      <c r="C77" s="23"/>
      <c r="D77" s="23"/>
      <c r="E77" s="23"/>
      <c r="F77" s="23"/>
      <c r="G77" s="46"/>
      <c r="H77" s="196"/>
      <c r="I77" s="197"/>
      <c r="J77" s="197"/>
      <c r="K77" s="191"/>
      <c r="L77" s="191"/>
      <c r="M77" s="191"/>
      <c r="N77" s="191"/>
      <c r="O77" s="191"/>
      <c r="P77" s="197"/>
      <c r="Q77" s="197"/>
      <c r="R77" s="203"/>
    </row>
    <row r="78" spans="1:18" ht="23">
      <c r="A78" s="112"/>
      <c r="B78" s="149"/>
      <c r="C78" s="23"/>
      <c r="D78" s="23"/>
      <c r="E78" s="23"/>
      <c r="F78" s="23"/>
      <c r="G78" s="46"/>
      <c r="H78" s="196"/>
      <c r="I78" s="197"/>
      <c r="J78" s="197"/>
      <c r="K78" s="191"/>
      <c r="L78" s="191"/>
      <c r="M78" s="191"/>
      <c r="N78" s="191"/>
      <c r="O78" s="191"/>
      <c r="P78" s="197"/>
      <c r="Q78" s="197"/>
      <c r="R78" s="203"/>
    </row>
    <row r="79" spans="1:18" ht="23">
      <c r="A79" s="112"/>
      <c r="B79" s="149"/>
      <c r="C79" s="23"/>
      <c r="D79" s="23"/>
      <c r="E79" s="23"/>
      <c r="F79" s="23"/>
      <c r="G79" s="46"/>
      <c r="H79" s="196"/>
      <c r="I79" s="197"/>
      <c r="J79" s="197"/>
      <c r="K79" s="191"/>
      <c r="L79" s="191"/>
      <c r="M79" s="191"/>
      <c r="N79" s="191"/>
      <c r="O79" s="191"/>
      <c r="P79" s="197"/>
      <c r="Q79" s="197"/>
      <c r="R79" s="203"/>
    </row>
    <row r="80" spans="1:18" ht="23">
      <c r="A80" s="112"/>
      <c r="B80" s="149"/>
      <c r="C80" s="23"/>
      <c r="D80" s="23"/>
      <c r="E80" s="23"/>
      <c r="F80" s="23"/>
      <c r="G80" s="46"/>
      <c r="H80" s="196"/>
      <c r="I80" s="197"/>
      <c r="J80" s="197"/>
      <c r="K80" s="191"/>
      <c r="L80" s="191"/>
      <c r="M80" s="191"/>
      <c r="N80" s="191"/>
      <c r="O80" s="191"/>
      <c r="P80" s="197"/>
      <c r="Q80" s="197"/>
      <c r="R80" s="203"/>
    </row>
    <row r="81" spans="1:18" ht="23">
      <c r="A81" s="112"/>
      <c r="B81" s="149"/>
      <c r="C81" s="23"/>
      <c r="D81" s="23"/>
      <c r="E81" s="23"/>
      <c r="F81" s="23"/>
      <c r="G81" s="46"/>
      <c r="H81" s="196"/>
      <c r="I81" s="197"/>
      <c r="J81" s="197"/>
      <c r="K81" s="191"/>
      <c r="L81" s="191"/>
      <c r="M81" s="191"/>
      <c r="N81" s="191"/>
      <c r="O81" s="191"/>
      <c r="P81" s="197"/>
      <c r="Q81" s="197"/>
      <c r="R81" s="203"/>
    </row>
    <row r="82" spans="1:18" ht="23">
      <c r="A82" s="112"/>
      <c r="B82" s="149"/>
      <c r="C82" s="23"/>
      <c r="D82" s="23"/>
      <c r="E82" s="23"/>
      <c r="F82" s="23"/>
      <c r="G82" s="46"/>
      <c r="H82" s="196"/>
      <c r="I82" s="197"/>
      <c r="J82" s="197"/>
      <c r="K82" s="191"/>
      <c r="L82" s="191"/>
      <c r="M82" s="191"/>
      <c r="N82" s="191"/>
      <c r="O82" s="191"/>
      <c r="P82" s="197"/>
      <c r="Q82" s="197"/>
      <c r="R82" s="203"/>
    </row>
    <row r="83" spans="1:18" ht="23">
      <c r="A83" s="112"/>
      <c r="B83" s="149"/>
      <c r="C83" s="23"/>
      <c r="D83" s="23"/>
      <c r="E83" s="23"/>
      <c r="F83" s="23"/>
      <c r="G83" s="46"/>
      <c r="H83" s="196"/>
      <c r="I83" s="197"/>
      <c r="J83" s="197"/>
      <c r="K83" s="191"/>
      <c r="L83" s="191"/>
      <c r="M83" s="191"/>
      <c r="N83" s="191"/>
      <c r="O83" s="191"/>
      <c r="P83" s="197"/>
      <c r="Q83" s="197"/>
      <c r="R83" s="203"/>
    </row>
    <row r="84" spans="1:18" ht="23">
      <c r="A84" s="112"/>
      <c r="B84" s="149"/>
      <c r="C84" s="23"/>
      <c r="D84" s="23"/>
      <c r="E84" s="23"/>
      <c r="F84" s="23"/>
      <c r="G84" s="46"/>
      <c r="H84" s="196"/>
      <c r="I84" s="197"/>
      <c r="J84" s="197"/>
      <c r="K84" s="191"/>
      <c r="L84" s="191"/>
      <c r="M84" s="191"/>
      <c r="N84" s="191"/>
      <c r="O84" s="191"/>
      <c r="P84" s="197"/>
      <c r="Q84" s="197"/>
      <c r="R84" s="203"/>
    </row>
    <row r="85" spans="1:18" ht="23">
      <c r="A85" s="112"/>
      <c r="B85" s="149"/>
      <c r="C85" s="23"/>
      <c r="D85" s="23"/>
      <c r="E85" s="23"/>
      <c r="F85" s="23"/>
      <c r="G85" s="46"/>
      <c r="H85" s="196"/>
      <c r="I85" s="197"/>
      <c r="J85" s="197"/>
      <c r="K85" s="191"/>
      <c r="L85" s="191"/>
      <c r="M85" s="191"/>
      <c r="N85" s="191"/>
      <c r="O85" s="191"/>
      <c r="P85" s="197"/>
      <c r="Q85" s="197"/>
      <c r="R85" s="203"/>
    </row>
    <row r="86" spans="1:18" ht="23">
      <c r="A86" s="112"/>
      <c r="B86" s="149"/>
      <c r="C86" s="23"/>
      <c r="D86" s="23"/>
      <c r="E86" s="23"/>
      <c r="F86" s="23"/>
      <c r="G86" s="46"/>
      <c r="H86" s="196"/>
      <c r="I86" s="197"/>
      <c r="J86" s="197"/>
      <c r="K86" s="191"/>
      <c r="L86" s="191"/>
      <c r="M86" s="191"/>
      <c r="N86" s="191"/>
      <c r="O86" s="191"/>
      <c r="P86" s="197"/>
      <c r="Q86" s="197"/>
      <c r="R86" s="203"/>
    </row>
    <row r="87" spans="1:18" ht="23">
      <c r="A87" s="112"/>
      <c r="B87" s="149"/>
      <c r="C87" s="23"/>
      <c r="D87" s="23"/>
      <c r="E87" s="23"/>
      <c r="F87" s="23"/>
      <c r="G87" s="46"/>
      <c r="H87" s="196"/>
      <c r="I87" s="197"/>
      <c r="J87" s="197"/>
      <c r="K87" s="191"/>
      <c r="L87" s="191"/>
      <c r="M87" s="191"/>
      <c r="N87" s="191"/>
      <c r="O87" s="191"/>
      <c r="P87" s="197"/>
      <c r="Q87" s="197"/>
      <c r="R87" s="203"/>
    </row>
    <row r="88" spans="1:18" ht="23">
      <c r="A88" s="112"/>
      <c r="B88" s="149"/>
      <c r="C88" s="23"/>
      <c r="D88" s="23"/>
      <c r="E88" s="23"/>
      <c r="F88" s="23"/>
      <c r="G88" s="46"/>
      <c r="H88" s="196"/>
      <c r="I88" s="197"/>
      <c r="J88" s="197"/>
      <c r="K88" s="191"/>
      <c r="L88" s="191"/>
      <c r="M88" s="191"/>
      <c r="N88" s="191"/>
      <c r="O88" s="191"/>
      <c r="P88" s="197"/>
      <c r="Q88" s="197"/>
      <c r="R88" s="203"/>
    </row>
    <row r="89" spans="1:18" ht="23">
      <c r="A89" s="112"/>
      <c r="B89" s="149"/>
      <c r="C89" s="23"/>
      <c r="D89" s="23"/>
      <c r="E89" s="23"/>
      <c r="F89" s="23"/>
      <c r="G89" s="46"/>
      <c r="H89" s="196"/>
      <c r="I89" s="197"/>
      <c r="J89" s="197"/>
      <c r="K89" s="191"/>
      <c r="L89" s="191"/>
      <c r="M89" s="191"/>
      <c r="N89" s="191"/>
      <c r="O89" s="191"/>
      <c r="P89" s="197"/>
      <c r="Q89" s="197"/>
      <c r="R89" s="203"/>
    </row>
    <row r="90" spans="1:18" ht="23">
      <c r="A90" s="112"/>
      <c r="B90" s="149"/>
      <c r="C90" s="23"/>
      <c r="D90" s="23"/>
      <c r="E90" s="23"/>
      <c r="F90" s="23"/>
      <c r="G90" s="46"/>
      <c r="H90" s="196"/>
      <c r="I90" s="197"/>
      <c r="J90" s="197"/>
      <c r="K90" s="191"/>
      <c r="L90" s="191"/>
      <c r="M90" s="191"/>
      <c r="N90" s="191"/>
      <c r="O90" s="191"/>
      <c r="P90" s="197"/>
      <c r="Q90" s="197"/>
      <c r="R90" s="203"/>
    </row>
    <row r="91" spans="1:18" ht="23">
      <c r="A91" s="112"/>
      <c r="B91" s="149"/>
      <c r="C91" s="23"/>
      <c r="D91" s="23"/>
      <c r="E91" s="23"/>
      <c r="F91" s="23"/>
      <c r="G91" s="46"/>
      <c r="H91" s="196"/>
      <c r="I91" s="197"/>
      <c r="J91" s="197"/>
      <c r="K91" s="191"/>
      <c r="L91" s="191"/>
      <c r="M91" s="191"/>
      <c r="N91" s="191"/>
      <c r="O91" s="191"/>
      <c r="P91" s="197"/>
      <c r="Q91" s="197"/>
      <c r="R91" s="203"/>
    </row>
    <row r="92" spans="1:18" ht="23">
      <c r="A92" s="112"/>
      <c r="B92" s="149"/>
      <c r="C92" s="23"/>
      <c r="D92" s="23"/>
      <c r="E92" s="23"/>
      <c r="F92" s="23"/>
      <c r="G92" s="46"/>
      <c r="H92" s="196"/>
      <c r="I92" s="197"/>
      <c r="J92" s="197"/>
      <c r="K92" s="191"/>
      <c r="L92" s="191"/>
      <c r="M92" s="191"/>
      <c r="N92" s="191"/>
      <c r="O92" s="191"/>
      <c r="P92" s="197"/>
      <c r="Q92" s="197"/>
      <c r="R92" s="203"/>
    </row>
    <row r="93" spans="1:18" ht="23">
      <c r="A93" s="112"/>
      <c r="B93" s="149"/>
      <c r="C93" s="23"/>
      <c r="D93" s="23"/>
      <c r="E93" s="23"/>
      <c r="F93" s="23"/>
      <c r="G93" s="46"/>
      <c r="H93" s="196"/>
      <c r="I93" s="197"/>
      <c r="J93" s="197"/>
      <c r="K93" s="191"/>
      <c r="L93" s="191"/>
      <c r="M93" s="191"/>
      <c r="N93" s="191"/>
      <c r="O93" s="191"/>
      <c r="P93" s="197"/>
      <c r="Q93" s="197"/>
      <c r="R93" s="203"/>
    </row>
  </sheetData>
  <mergeCells count="2">
    <mergeCell ref="A2:G3"/>
    <mergeCell ref="H2:R3"/>
  </mergeCells>
  <phoneticPr fontId="1" type="noConversion"/>
  <conditionalFormatting sqref="B1:B1048576">
    <cfRule type="duplicateValues" dxfId="133" priority="3"/>
  </conditionalFormatting>
  <conditionalFormatting sqref="K5:O93">
    <cfRule type="containsText" dxfId="132" priority="1" operator="containsText" text="X">
      <formula>NOT(ISERROR(SEARCH("X",K5)))</formula>
    </cfRule>
    <cfRule type="containsText" dxfId="131" priority="2" operator="containsText" text="O">
      <formula>NOT(ISERROR(SEARCH("O",K5)))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3B1B-0F3D-4D27-9CE9-823576BF7E08}">
  <sheetPr codeName="Sheet6"/>
  <dimension ref="A1:AI93"/>
  <sheetViews>
    <sheetView zoomScale="115" zoomScaleNormal="115" workbookViewId="0">
      <pane xSplit="7" ySplit="4" topLeftCell="M60" activePane="bottomRight" state="frozen"/>
      <selection pane="topRight" activeCell="B5" sqref="B5"/>
      <selection pane="bottomLeft" activeCell="B5" sqref="B5"/>
      <selection pane="bottomRight" activeCell="B5" sqref="B5"/>
    </sheetView>
  </sheetViews>
  <sheetFormatPr defaultColWidth="8.75" defaultRowHeight="17"/>
  <cols>
    <col min="1" max="1" width="5.83203125" style="67" customWidth="1"/>
    <col min="2" max="2" width="6.33203125" style="68" customWidth="1"/>
    <col min="3" max="4" width="6.33203125" style="69" customWidth="1"/>
    <col min="5" max="5" width="7.58203125" style="70" customWidth="1"/>
    <col min="6" max="6" width="10" style="71" bestFit="1" customWidth="1"/>
    <col min="7" max="7" width="6.08203125" style="72" bestFit="1" customWidth="1"/>
    <col min="8" max="8" width="13.58203125" style="150" customWidth="1"/>
    <col min="9" max="10" width="5.83203125" style="174" customWidth="1"/>
    <col min="11" max="13" width="6.58203125" style="174" customWidth="1"/>
    <col min="14" max="14" width="13.58203125" style="150" customWidth="1"/>
    <col min="15" max="15" width="10" style="79" customWidth="1"/>
    <col min="16" max="16" width="11.58203125" style="79" bestFit="1" customWidth="1"/>
    <col min="17" max="17" width="9.25" style="79" bestFit="1" customWidth="1"/>
    <col min="18" max="18" width="10" style="79" bestFit="1" customWidth="1"/>
    <col min="19" max="20" width="9.5" style="79" bestFit="1" customWidth="1"/>
    <col min="21" max="21" width="21" style="74" customWidth="1"/>
    <col min="22" max="22" width="15" style="80" customWidth="1"/>
    <col min="23" max="34" width="7.33203125" style="81" customWidth="1"/>
    <col min="35" max="35" width="7.33203125" style="82" customWidth="1"/>
  </cols>
  <sheetData>
    <row r="1" spans="1:35" ht="22" thickTop="1" thickBot="1">
      <c r="A1" s="2" t="s">
        <v>533</v>
      </c>
      <c r="B1" s="2"/>
      <c r="C1" s="3"/>
      <c r="D1" s="3"/>
      <c r="E1" s="3"/>
      <c r="F1" s="9"/>
      <c r="G1" s="2"/>
      <c r="H1" s="803" t="s">
        <v>38</v>
      </c>
      <c r="I1" s="804"/>
      <c r="J1" s="804"/>
      <c r="K1" s="804"/>
      <c r="L1" s="804"/>
      <c r="M1" s="804"/>
      <c r="N1" s="805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ht="17.25" customHeight="1" thickTop="1" thickBot="1">
      <c r="A2" s="925" t="s">
        <v>39</v>
      </c>
      <c r="B2" s="926"/>
      <c r="C2" s="926"/>
      <c r="D2" s="926"/>
      <c r="E2" s="926"/>
      <c r="F2" s="926"/>
      <c r="G2" s="927"/>
      <c r="H2" s="151" t="s">
        <v>44</v>
      </c>
      <c r="I2" s="167"/>
      <c r="J2" s="168"/>
      <c r="K2" s="175"/>
      <c r="L2" s="175"/>
      <c r="M2" s="169"/>
      <c r="N2" s="152"/>
      <c r="O2" s="108" t="s">
        <v>45</v>
      </c>
      <c r="P2" s="953" t="s">
        <v>46</v>
      </c>
      <c r="Q2" s="953"/>
      <c r="R2" s="109" t="s">
        <v>47</v>
      </c>
      <c r="S2" s="954" t="s">
        <v>48</v>
      </c>
      <c r="T2" s="954"/>
      <c r="U2" s="954"/>
      <c r="V2" s="954"/>
      <c r="W2" s="954"/>
      <c r="X2" s="954"/>
      <c r="Y2" s="954"/>
      <c r="Z2" s="954"/>
      <c r="AA2" s="954"/>
      <c r="AB2" s="954"/>
      <c r="AC2" s="954"/>
      <c r="AD2" s="954"/>
      <c r="AE2" s="954"/>
      <c r="AF2" s="954"/>
      <c r="AG2" s="954"/>
      <c r="AH2" s="954"/>
      <c r="AI2" s="955"/>
    </row>
    <row r="3" spans="1:35" ht="17.25" customHeight="1" thickBot="1">
      <c r="A3" s="830"/>
      <c r="B3" s="831"/>
      <c r="C3" s="831"/>
      <c r="D3" s="831"/>
      <c r="E3" s="831"/>
      <c r="F3" s="831"/>
      <c r="G3" s="832"/>
      <c r="H3" s="153">
        <v>31110000</v>
      </c>
      <c r="I3" s="951"/>
      <c r="J3" s="952"/>
      <c r="K3" s="176"/>
      <c r="L3" s="176"/>
      <c r="M3" s="170"/>
      <c r="N3" s="154"/>
      <c r="O3" s="65">
        <v>1.7</v>
      </c>
      <c r="P3" s="956">
        <v>1.8</v>
      </c>
      <c r="Q3" s="956"/>
      <c r="R3" s="66">
        <v>1.3</v>
      </c>
      <c r="S3" s="15"/>
      <c r="T3" s="15"/>
      <c r="U3" s="15"/>
      <c r="V3" s="62" t="s">
        <v>60</v>
      </c>
      <c r="W3" s="957" t="s">
        <v>61</v>
      </c>
      <c r="X3" s="958"/>
      <c r="Y3" s="958"/>
      <c r="Z3" s="958"/>
      <c r="AA3" s="958"/>
      <c r="AB3" s="958"/>
      <c r="AC3" s="959"/>
      <c r="AD3" s="957" t="s">
        <v>62</v>
      </c>
      <c r="AE3" s="958"/>
      <c r="AF3" s="959"/>
      <c r="AG3" s="957" t="s">
        <v>63</v>
      </c>
      <c r="AH3" s="958"/>
      <c r="AI3" s="960"/>
    </row>
    <row r="4" spans="1:35" ht="24.5" thickBot="1">
      <c r="A4" s="110" t="s">
        <v>538</v>
      </c>
      <c r="B4" s="43" t="s">
        <v>539</v>
      </c>
      <c r="C4" s="20" t="s">
        <v>66</v>
      </c>
      <c r="D4" s="21" t="s">
        <v>67</v>
      </c>
      <c r="E4" s="21" t="s">
        <v>68</v>
      </c>
      <c r="F4" s="21" t="s">
        <v>540</v>
      </c>
      <c r="G4" s="44" t="s">
        <v>69</v>
      </c>
      <c r="H4" s="155" t="s">
        <v>145</v>
      </c>
      <c r="I4" s="171" t="s">
        <v>146</v>
      </c>
      <c r="J4" s="172" t="s">
        <v>147</v>
      </c>
      <c r="K4" s="177" t="s">
        <v>148</v>
      </c>
      <c r="L4" s="177" t="s">
        <v>149</v>
      </c>
      <c r="M4" s="173" t="s">
        <v>150</v>
      </c>
      <c r="N4" s="156" t="s">
        <v>151</v>
      </c>
      <c r="O4" s="63" t="s">
        <v>152</v>
      </c>
      <c r="P4" s="64" t="s">
        <v>153</v>
      </c>
      <c r="Q4" s="62" t="s">
        <v>154</v>
      </c>
      <c r="R4" s="62" t="s">
        <v>155</v>
      </c>
      <c r="S4" s="4" t="s">
        <v>156</v>
      </c>
      <c r="T4" s="4" t="s">
        <v>157</v>
      </c>
      <c r="U4" s="4" t="s">
        <v>158</v>
      </c>
      <c r="V4" s="4" t="s">
        <v>159</v>
      </c>
      <c r="W4" s="4" t="s">
        <v>160</v>
      </c>
      <c r="X4" s="4" t="s">
        <v>161</v>
      </c>
      <c r="Y4" s="4" t="s">
        <v>162</v>
      </c>
      <c r="Z4" s="4" t="s">
        <v>163</v>
      </c>
      <c r="AA4" s="4" t="s">
        <v>164</v>
      </c>
      <c r="AB4" s="4" t="s">
        <v>165</v>
      </c>
      <c r="AC4" s="4" t="s">
        <v>105</v>
      </c>
      <c r="AD4" s="4" t="s">
        <v>167</v>
      </c>
      <c r="AE4" s="4" t="s">
        <v>168</v>
      </c>
      <c r="AF4" s="4" t="s">
        <v>169</v>
      </c>
      <c r="AG4" s="4" t="s">
        <v>170</v>
      </c>
      <c r="AH4" s="4" t="s">
        <v>171</v>
      </c>
      <c r="AI4" s="54" t="s">
        <v>172</v>
      </c>
    </row>
    <row r="5" spans="1:35" ht="17.5" thickTop="1">
      <c r="A5" s="111"/>
      <c r="B5" s="149"/>
      <c r="C5" s="22"/>
      <c r="D5" s="22"/>
      <c r="E5" s="22"/>
      <c r="F5" s="22"/>
      <c r="G5" s="45"/>
      <c r="H5" s="157"/>
      <c r="I5" s="163"/>
      <c r="J5" s="164"/>
      <c r="K5" s="178"/>
      <c r="L5" s="178"/>
      <c r="M5" s="161"/>
      <c r="N5" s="158"/>
      <c r="O5" s="55"/>
      <c r="P5" s="6"/>
      <c r="Q5" s="16"/>
      <c r="R5" s="16"/>
      <c r="S5" s="16"/>
      <c r="T5" s="16"/>
      <c r="U5" s="16"/>
      <c r="V5" s="36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56"/>
    </row>
    <row r="6" spans="1:35">
      <c r="A6" s="112"/>
      <c r="B6" s="149"/>
      <c r="C6" s="23"/>
      <c r="D6" s="23"/>
      <c r="E6" s="23"/>
      <c r="F6" s="23"/>
      <c r="G6" s="46"/>
      <c r="H6" s="157"/>
      <c r="I6" s="163"/>
      <c r="J6" s="164"/>
      <c r="K6" s="178"/>
      <c r="L6" s="178"/>
      <c r="M6" s="161"/>
      <c r="N6" s="158"/>
      <c r="O6" s="57"/>
      <c r="P6" s="8"/>
      <c r="Q6" s="17"/>
      <c r="R6" s="17"/>
      <c r="S6" s="17"/>
      <c r="T6" s="17"/>
      <c r="U6" s="17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58"/>
    </row>
    <row r="7" spans="1:35">
      <c r="A7" s="112"/>
      <c r="B7" s="149"/>
      <c r="C7" s="23"/>
      <c r="D7" s="23"/>
      <c r="E7" s="23"/>
      <c r="F7" s="23"/>
      <c r="G7" s="46"/>
      <c r="H7" s="157"/>
      <c r="I7" s="163"/>
      <c r="J7" s="164"/>
      <c r="K7" s="178"/>
      <c r="L7" s="178"/>
      <c r="M7" s="161"/>
      <c r="N7" s="158"/>
      <c r="O7" s="57"/>
      <c r="P7" s="8"/>
      <c r="Q7" s="17"/>
      <c r="R7" s="17"/>
      <c r="S7" s="17"/>
      <c r="T7" s="17"/>
      <c r="U7" s="17"/>
      <c r="V7" s="38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58"/>
    </row>
    <row r="8" spans="1:35">
      <c r="A8" s="112"/>
      <c r="B8" s="149"/>
      <c r="C8" s="23"/>
      <c r="D8" s="23"/>
      <c r="E8" s="23"/>
      <c r="F8" s="23"/>
      <c r="G8" s="46"/>
      <c r="H8" s="157"/>
      <c r="I8" s="163"/>
      <c r="J8" s="164"/>
      <c r="K8" s="178"/>
      <c r="L8" s="178"/>
      <c r="M8" s="161"/>
      <c r="N8" s="158"/>
      <c r="O8" s="57"/>
      <c r="P8" s="8"/>
      <c r="Q8" s="17"/>
      <c r="R8" s="17"/>
      <c r="S8" s="17"/>
      <c r="T8" s="17"/>
      <c r="U8" s="17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58"/>
    </row>
    <row r="9" spans="1:35">
      <c r="A9" s="112"/>
      <c r="B9" s="149"/>
      <c r="C9" s="23"/>
      <c r="D9" s="23"/>
      <c r="E9" s="23"/>
      <c r="F9" s="23"/>
      <c r="G9" s="46"/>
      <c r="H9" s="157"/>
      <c r="I9" s="163"/>
      <c r="J9" s="164"/>
      <c r="K9" s="178"/>
      <c r="L9" s="178"/>
      <c r="M9" s="161"/>
      <c r="N9" s="158"/>
      <c r="O9" s="57"/>
      <c r="P9" s="8"/>
      <c r="Q9" s="17"/>
      <c r="R9" s="17"/>
      <c r="S9" s="17"/>
      <c r="T9" s="17"/>
      <c r="U9" s="17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58"/>
    </row>
    <row r="10" spans="1:35">
      <c r="A10" s="112"/>
      <c r="B10" s="149"/>
      <c r="C10" s="23"/>
      <c r="D10" s="23"/>
      <c r="E10" s="23"/>
      <c r="F10" s="23"/>
      <c r="G10" s="46"/>
      <c r="H10" s="157"/>
      <c r="I10" s="163"/>
      <c r="J10" s="164"/>
      <c r="K10" s="178"/>
      <c r="L10" s="178"/>
      <c r="M10" s="161"/>
      <c r="N10" s="158"/>
      <c r="O10" s="57"/>
      <c r="P10" s="8"/>
      <c r="Q10" s="17"/>
      <c r="R10" s="17"/>
      <c r="S10" s="17"/>
      <c r="T10" s="17"/>
      <c r="U10" s="17"/>
      <c r="V10" s="40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58"/>
    </row>
    <row r="11" spans="1:35">
      <c r="A11" s="112"/>
      <c r="B11" s="149"/>
      <c r="C11" s="23"/>
      <c r="D11" s="23"/>
      <c r="E11" s="23"/>
      <c r="F11" s="23"/>
      <c r="G11" s="46"/>
      <c r="H11" s="157"/>
      <c r="I11" s="163"/>
      <c r="J11" s="164"/>
      <c r="K11" s="178"/>
      <c r="L11" s="178"/>
      <c r="M11" s="161"/>
      <c r="N11" s="158"/>
      <c r="O11" s="57"/>
      <c r="P11" s="8"/>
      <c r="Q11" s="17"/>
      <c r="R11" s="17"/>
      <c r="S11" s="17"/>
      <c r="T11" s="17"/>
      <c r="U11" s="17"/>
      <c r="V11" s="40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58"/>
    </row>
    <row r="12" spans="1:35">
      <c r="A12" s="112"/>
      <c r="B12" s="149"/>
      <c r="C12" s="23"/>
      <c r="D12" s="23"/>
      <c r="E12" s="23"/>
      <c r="F12" s="23"/>
      <c r="G12" s="46"/>
      <c r="H12" s="157"/>
      <c r="I12" s="163"/>
      <c r="J12" s="164"/>
      <c r="K12" s="178"/>
      <c r="L12" s="178"/>
      <c r="M12" s="161"/>
      <c r="N12" s="158"/>
      <c r="O12" s="57"/>
      <c r="P12" s="8"/>
      <c r="Q12" s="17"/>
      <c r="R12" s="17"/>
      <c r="S12" s="17"/>
      <c r="T12" s="17"/>
      <c r="U12" s="17"/>
      <c r="V12" s="40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58"/>
    </row>
    <row r="13" spans="1:35">
      <c r="A13" s="112"/>
      <c r="B13" s="149"/>
      <c r="C13" s="23"/>
      <c r="D13" s="23"/>
      <c r="E13" s="23"/>
      <c r="F13" s="23"/>
      <c r="G13" s="46"/>
      <c r="H13" s="157"/>
      <c r="I13" s="163"/>
      <c r="J13" s="164"/>
      <c r="K13" s="178"/>
      <c r="L13" s="178"/>
      <c r="M13" s="161"/>
      <c r="N13" s="158"/>
      <c r="O13" s="57"/>
      <c r="P13" s="8"/>
      <c r="Q13" s="17"/>
      <c r="R13" s="17"/>
      <c r="S13" s="17"/>
      <c r="T13" s="17"/>
      <c r="U13" s="17"/>
      <c r="V13" s="40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58"/>
    </row>
    <row r="14" spans="1:35">
      <c r="A14" s="112"/>
      <c r="B14" s="149"/>
      <c r="C14" s="23"/>
      <c r="D14" s="23"/>
      <c r="E14" s="23"/>
      <c r="F14" s="23"/>
      <c r="G14" s="46"/>
      <c r="H14" s="157"/>
      <c r="I14" s="163"/>
      <c r="J14" s="164"/>
      <c r="K14" s="178"/>
      <c r="L14" s="178"/>
      <c r="M14" s="161"/>
      <c r="N14" s="158"/>
      <c r="O14" s="57"/>
      <c r="P14" s="8"/>
      <c r="Q14" s="17"/>
      <c r="R14" s="17"/>
      <c r="S14" s="17"/>
      <c r="T14" s="17"/>
      <c r="U14" s="17"/>
      <c r="V14" s="40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58"/>
    </row>
    <row r="15" spans="1:35">
      <c r="A15" s="112"/>
      <c r="B15" s="149"/>
      <c r="C15" s="23"/>
      <c r="D15" s="23"/>
      <c r="E15" s="23"/>
      <c r="F15" s="23"/>
      <c r="G15" s="46"/>
      <c r="H15" s="157"/>
      <c r="I15" s="163"/>
      <c r="J15" s="164"/>
      <c r="K15" s="178"/>
      <c r="L15" s="178"/>
      <c r="M15" s="161"/>
      <c r="N15" s="158"/>
      <c r="O15" s="57"/>
      <c r="P15" s="8"/>
      <c r="Q15" s="17"/>
      <c r="R15" s="17"/>
      <c r="S15" s="17"/>
      <c r="T15" s="17"/>
      <c r="U15" s="17"/>
      <c r="V15" s="40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58"/>
    </row>
    <row r="16" spans="1:35">
      <c r="A16" s="112"/>
      <c r="B16" s="149"/>
      <c r="C16" s="23"/>
      <c r="D16" s="23"/>
      <c r="E16" s="23"/>
      <c r="F16" s="23"/>
      <c r="G16" s="46"/>
      <c r="H16" s="157"/>
      <c r="I16" s="163"/>
      <c r="J16" s="164"/>
      <c r="K16" s="178"/>
      <c r="L16" s="178"/>
      <c r="M16" s="161"/>
      <c r="N16" s="158"/>
      <c r="O16" s="57"/>
      <c r="P16" s="8"/>
      <c r="Q16" s="17"/>
      <c r="R16" s="17"/>
      <c r="S16" s="17"/>
      <c r="T16" s="17"/>
      <c r="U16" s="17"/>
      <c r="V16" s="40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58"/>
    </row>
    <row r="17" spans="1:35">
      <c r="A17" s="112"/>
      <c r="B17" s="149"/>
      <c r="C17" s="23"/>
      <c r="D17" s="23"/>
      <c r="E17" s="23"/>
      <c r="F17" s="23"/>
      <c r="G17" s="46"/>
      <c r="H17" s="157"/>
      <c r="I17" s="163"/>
      <c r="J17" s="164"/>
      <c r="K17" s="178"/>
      <c r="L17" s="178"/>
      <c r="M17" s="161"/>
      <c r="N17" s="158"/>
      <c r="O17" s="57"/>
      <c r="P17" s="8"/>
      <c r="Q17" s="17"/>
      <c r="R17" s="17"/>
      <c r="S17" s="17"/>
      <c r="T17" s="17"/>
      <c r="U17" s="17"/>
      <c r="V17" s="40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58"/>
    </row>
    <row r="18" spans="1:35">
      <c r="A18" s="112"/>
      <c r="B18" s="149"/>
      <c r="C18" s="23"/>
      <c r="D18" s="23"/>
      <c r="E18" s="23"/>
      <c r="F18" s="23"/>
      <c r="G18" s="46"/>
      <c r="H18" s="157"/>
      <c r="I18" s="163"/>
      <c r="J18" s="164"/>
      <c r="K18" s="178"/>
      <c r="L18" s="178"/>
      <c r="M18" s="161"/>
      <c r="N18" s="158"/>
      <c r="O18" s="57"/>
      <c r="P18" s="8"/>
      <c r="Q18" s="17"/>
      <c r="R18" s="17"/>
      <c r="S18" s="17"/>
      <c r="T18" s="17"/>
      <c r="U18" s="17"/>
      <c r="V18" s="40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58"/>
    </row>
    <row r="19" spans="1:35">
      <c r="A19" s="112"/>
      <c r="B19" s="149"/>
      <c r="C19" s="23"/>
      <c r="D19" s="23"/>
      <c r="E19" s="23"/>
      <c r="F19" s="23"/>
      <c r="G19" s="46"/>
      <c r="H19" s="157"/>
      <c r="I19" s="163"/>
      <c r="J19" s="164"/>
      <c r="K19" s="178"/>
      <c r="L19" s="178"/>
      <c r="M19" s="161"/>
      <c r="N19" s="158"/>
      <c r="O19" s="57"/>
      <c r="P19" s="8"/>
      <c r="Q19" s="17"/>
      <c r="R19" s="17"/>
      <c r="S19" s="17"/>
      <c r="T19" s="17"/>
      <c r="U19" s="17"/>
      <c r="V19" s="40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58"/>
    </row>
    <row r="20" spans="1:35">
      <c r="A20" s="112"/>
      <c r="B20" s="149"/>
      <c r="C20" s="23"/>
      <c r="D20" s="23"/>
      <c r="E20" s="23"/>
      <c r="F20" s="23"/>
      <c r="G20" s="46"/>
      <c r="H20" s="157"/>
      <c r="I20" s="163"/>
      <c r="J20" s="164"/>
      <c r="K20" s="178"/>
      <c r="L20" s="178"/>
      <c r="M20" s="161"/>
      <c r="N20" s="158"/>
      <c r="O20" s="57"/>
      <c r="P20" s="8"/>
      <c r="Q20" s="17"/>
      <c r="R20" s="17"/>
      <c r="S20" s="17"/>
      <c r="T20" s="17"/>
      <c r="U20" s="17"/>
      <c r="V20" s="40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58"/>
    </row>
    <row r="21" spans="1:35">
      <c r="A21" s="112"/>
      <c r="B21" s="149"/>
      <c r="C21" s="23"/>
      <c r="D21" s="23"/>
      <c r="E21" s="23"/>
      <c r="F21" s="23"/>
      <c r="G21" s="46"/>
      <c r="H21" s="157"/>
      <c r="I21" s="163"/>
      <c r="J21" s="164"/>
      <c r="K21" s="178"/>
      <c r="L21" s="178"/>
      <c r="M21" s="161"/>
      <c r="N21" s="158"/>
      <c r="O21" s="57"/>
      <c r="P21" s="8"/>
      <c r="Q21" s="17"/>
      <c r="R21" s="17"/>
      <c r="S21" s="17"/>
      <c r="T21" s="17"/>
      <c r="U21" s="17"/>
      <c r="V21" s="40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58"/>
    </row>
    <row r="22" spans="1:35">
      <c r="A22" s="112"/>
      <c r="B22" s="149"/>
      <c r="C22" s="23"/>
      <c r="D22" s="23"/>
      <c r="E22" s="23"/>
      <c r="F22" s="23"/>
      <c r="G22" s="46"/>
      <c r="H22" s="157"/>
      <c r="I22" s="163"/>
      <c r="J22" s="164"/>
      <c r="K22" s="178"/>
      <c r="L22" s="178"/>
      <c r="M22" s="161"/>
      <c r="N22" s="158"/>
      <c r="O22" s="57"/>
      <c r="P22" s="8"/>
      <c r="Q22" s="17"/>
      <c r="R22" s="17"/>
      <c r="S22" s="17"/>
      <c r="T22" s="17"/>
      <c r="U22" s="17"/>
      <c r="V22" s="40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58"/>
    </row>
    <row r="23" spans="1:35">
      <c r="A23" s="112"/>
      <c r="B23" s="149"/>
      <c r="C23" s="23"/>
      <c r="D23" s="23"/>
      <c r="E23" s="23"/>
      <c r="F23" s="23"/>
      <c r="G23" s="46"/>
      <c r="H23" s="157"/>
      <c r="I23" s="163"/>
      <c r="J23" s="164"/>
      <c r="K23" s="178"/>
      <c r="L23" s="178"/>
      <c r="M23" s="161"/>
      <c r="N23" s="158"/>
      <c r="O23" s="57"/>
      <c r="P23" s="8"/>
      <c r="Q23" s="17"/>
      <c r="R23" s="17"/>
      <c r="S23" s="17"/>
      <c r="T23" s="17"/>
      <c r="U23" s="17"/>
      <c r="V23" s="38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58"/>
    </row>
    <row r="24" spans="1:35">
      <c r="A24" s="112"/>
      <c r="B24" s="149"/>
      <c r="C24" s="23"/>
      <c r="D24" s="23"/>
      <c r="E24" s="23"/>
      <c r="F24" s="23"/>
      <c r="G24" s="46"/>
      <c r="H24" s="157"/>
      <c r="I24" s="163"/>
      <c r="J24" s="164"/>
      <c r="K24" s="178"/>
      <c r="L24" s="178"/>
      <c r="M24" s="161"/>
      <c r="N24" s="158"/>
      <c r="O24" s="57"/>
      <c r="P24" s="8"/>
      <c r="Q24" s="17"/>
      <c r="R24" s="17"/>
      <c r="S24" s="17"/>
      <c r="T24" s="17"/>
      <c r="U24" s="17"/>
      <c r="V24" s="38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58"/>
    </row>
    <row r="25" spans="1:35">
      <c r="A25" s="112"/>
      <c r="B25" s="149"/>
      <c r="C25" s="23"/>
      <c r="D25" s="23"/>
      <c r="E25" s="23"/>
      <c r="F25" s="23"/>
      <c r="G25" s="46"/>
      <c r="H25" s="157"/>
      <c r="I25" s="163"/>
      <c r="J25" s="164"/>
      <c r="K25" s="178"/>
      <c r="L25" s="178"/>
      <c r="M25" s="161"/>
      <c r="N25" s="158"/>
      <c r="O25" s="57"/>
      <c r="P25" s="8"/>
      <c r="Q25" s="17"/>
      <c r="R25" s="17"/>
      <c r="S25" s="17"/>
      <c r="T25" s="17"/>
      <c r="U25" s="17"/>
      <c r="V25" s="41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59"/>
    </row>
    <row r="26" spans="1:35">
      <c r="A26" s="112"/>
      <c r="B26" s="149"/>
      <c r="C26" s="24"/>
      <c r="D26" s="23"/>
      <c r="E26" s="24"/>
      <c r="F26" s="24"/>
      <c r="G26" s="47"/>
      <c r="H26" s="157"/>
      <c r="I26" s="163"/>
      <c r="J26" s="164"/>
      <c r="K26" s="178"/>
      <c r="L26" s="178"/>
      <c r="M26" s="161"/>
      <c r="N26" s="158"/>
      <c r="O26" s="60"/>
      <c r="P26" s="14"/>
      <c r="Q26" s="18"/>
      <c r="R26" s="18"/>
      <c r="S26" s="18"/>
      <c r="T26" s="18"/>
      <c r="U26" s="18"/>
      <c r="V26" s="41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59"/>
    </row>
    <row r="27" spans="1:35">
      <c r="A27" s="112"/>
      <c r="B27" s="149"/>
      <c r="C27" s="25"/>
      <c r="D27" s="23"/>
      <c r="E27" s="25"/>
      <c r="F27" s="25"/>
      <c r="G27" s="48"/>
      <c r="H27" s="157"/>
      <c r="I27" s="163"/>
      <c r="J27" s="164"/>
      <c r="K27" s="178"/>
      <c r="L27" s="178"/>
      <c r="M27" s="161"/>
      <c r="N27" s="158"/>
      <c r="O27" s="61"/>
      <c r="P27" s="12"/>
      <c r="Q27" s="19"/>
      <c r="R27" s="19"/>
      <c r="S27" s="19"/>
      <c r="T27" s="19"/>
      <c r="U27" s="19"/>
      <c r="V27" s="41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59"/>
    </row>
    <row r="28" spans="1:35">
      <c r="A28" s="112"/>
      <c r="B28" s="149"/>
      <c r="C28" s="23"/>
      <c r="D28" s="23"/>
      <c r="E28" s="23"/>
      <c r="F28" s="23"/>
      <c r="G28" s="46"/>
      <c r="H28" s="157"/>
      <c r="I28" s="163"/>
      <c r="J28" s="164"/>
      <c r="K28" s="178"/>
      <c r="L28" s="178"/>
      <c r="M28" s="161"/>
      <c r="N28" s="158"/>
      <c r="O28" s="57"/>
      <c r="P28" s="8"/>
      <c r="Q28" s="17"/>
      <c r="R28" s="17"/>
      <c r="S28" s="17"/>
      <c r="T28" s="17"/>
      <c r="U28" s="17"/>
      <c r="V28" s="41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59"/>
    </row>
    <row r="29" spans="1:35">
      <c r="A29" s="112"/>
      <c r="B29" s="149"/>
      <c r="C29" s="23"/>
      <c r="D29" s="23"/>
      <c r="E29" s="23"/>
      <c r="F29" s="23"/>
      <c r="G29" s="46"/>
      <c r="H29" s="157"/>
      <c r="I29" s="163"/>
      <c r="J29" s="164"/>
      <c r="K29" s="178"/>
      <c r="L29" s="178"/>
      <c r="M29" s="161"/>
      <c r="N29" s="158"/>
      <c r="O29" s="57"/>
      <c r="P29" s="8"/>
      <c r="Q29" s="17"/>
      <c r="R29" s="17"/>
      <c r="S29" s="17"/>
      <c r="T29" s="17"/>
      <c r="U29" s="17"/>
      <c r="V29" s="41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59"/>
    </row>
    <row r="30" spans="1:35">
      <c r="A30" s="112"/>
      <c r="B30" s="149"/>
      <c r="C30" s="23"/>
      <c r="D30" s="23"/>
      <c r="E30" s="23"/>
      <c r="F30" s="23"/>
      <c r="G30" s="46"/>
      <c r="H30" s="157"/>
      <c r="I30" s="163"/>
      <c r="J30" s="164"/>
      <c r="K30" s="178"/>
      <c r="L30" s="178"/>
      <c r="M30" s="161"/>
      <c r="N30" s="158"/>
      <c r="O30" s="57"/>
      <c r="P30" s="8"/>
      <c r="Q30" s="17"/>
      <c r="R30" s="17"/>
      <c r="S30" s="17"/>
      <c r="T30" s="17"/>
      <c r="U30" s="17"/>
      <c r="V30" s="41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59"/>
    </row>
    <row r="31" spans="1:35">
      <c r="A31" s="112"/>
      <c r="B31" s="149"/>
      <c r="C31" s="23"/>
      <c r="D31" s="23"/>
      <c r="E31" s="23"/>
      <c r="F31" s="23"/>
      <c r="G31" s="46"/>
      <c r="H31" s="157"/>
      <c r="I31" s="163"/>
      <c r="J31" s="164"/>
      <c r="K31" s="178"/>
      <c r="L31" s="178"/>
      <c r="M31" s="161"/>
      <c r="N31" s="158"/>
      <c r="O31" s="57"/>
      <c r="P31" s="8"/>
      <c r="Q31" s="17"/>
      <c r="R31" s="17"/>
      <c r="S31" s="17"/>
      <c r="T31" s="17"/>
      <c r="U31" s="17"/>
      <c r="V31" s="41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59"/>
    </row>
    <row r="32" spans="1:35">
      <c r="A32" s="112"/>
      <c r="B32" s="149"/>
      <c r="C32" s="23"/>
      <c r="D32" s="23"/>
      <c r="E32" s="23"/>
      <c r="F32" s="23"/>
      <c r="G32" s="46"/>
      <c r="H32" s="157"/>
      <c r="I32" s="163"/>
      <c r="J32" s="164"/>
      <c r="K32" s="178"/>
      <c r="L32" s="178"/>
      <c r="M32" s="161"/>
      <c r="N32" s="158"/>
      <c r="O32" s="57"/>
      <c r="P32" s="8"/>
      <c r="Q32" s="17"/>
      <c r="R32" s="17"/>
      <c r="S32" s="17"/>
      <c r="T32" s="17"/>
      <c r="U32" s="17"/>
      <c r="V32" s="41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59"/>
    </row>
    <row r="33" spans="1:35">
      <c r="A33" s="112"/>
      <c r="B33" s="149"/>
      <c r="C33" s="23"/>
      <c r="D33" s="23"/>
      <c r="E33" s="23"/>
      <c r="F33" s="23"/>
      <c r="G33" s="46"/>
      <c r="H33" s="157"/>
      <c r="I33" s="163"/>
      <c r="J33" s="164"/>
      <c r="K33" s="178"/>
      <c r="L33" s="178"/>
      <c r="M33" s="161"/>
      <c r="N33" s="158"/>
      <c r="O33" s="57"/>
      <c r="P33" s="8"/>
      <c r="Q33" s="17"/>
      <c r="R33" s="17"/>
      <c r="S33" s="17"/>
      <c r="T33" s="17"/>
      <c r="U33" s="17"/>
      <c r="V33" s="41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59"/>
    </row>
    <row r="34" spans="1:35">
      <c r="A34" s="112"/>
      <c r="B34" s="149"/>
      <c r="C34" s="23"/>
      <c r="D34" s="23"/>
      <c r="E34" s="23"/>
      <c r="F34" s="23"/>
      <c r="G34" s="46"/>
      <c r="H34" s="157"/>
      <c r="I34" s="163"/>
      <c r="J34" s="164"/>
      <c r="K34" s="178"/>
      <c r="L34" s="178"/>
      <c r="M34" s="161"/>
      <c r="N34" s="158"/>
      <c r="O34" s="57"/>
      <c r="P34" s="8"/>
      <c r="Q34" s="17"/>
      <c r="R34" s="17"/>
      <c r="S34" s="17"/>
      <c r="T34" s="17"/>
      <c r="U34" s="17"/>
      <c r="V34" s="41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59"/>
    </row>
    <row r="35" spans="1:35">
      <c r="A35" s="112"/>
      <c r="B35" s="149"/>
      <c r="C35" s="23"/>
      <c r="D35" s="23"/>
      <c r="E35" s="23"/>
      <c r="F35" s="23"/>
      <c r="G35" s="46"/>
      <c r="H35" s="157"/>
      <c r="I35" s="163"/>
      <c r="J35" s="164"/>
      <c r="K35" s="178"/>
      <c r="L35" s="178"/>
      <c r="M35" s="161"/>
      <c r="N35" s="158"/>
      <c r="O35" s="57"/>
      <c r="P35" s="8"/>
      <c r="Q35" s="17"/>
      <c r="R35" s="17"/>
      <c r="S35" s="17"/>
      <c r="T35" s="17"/>
      <c r="U35" s="17"/>
      <c r="V35" s="41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59"/>
    </row>
    <row r="36" spans="1:35">
      <c r="A36" s="112"/>
      <c r="B36" s="149"/>
      <c r="C36" s="23"/>
      <c r="D36" s="23"/>
      <c r="E36" s="23"/>
      <c r="F36" s="23"/>
      <c r="G36" s="46"/>
      <c r="H36" s="157"/>
      <c r="I36" s="163"/>
      <c r="J36" s="164"/>
      <c r="K36" s="178"/>
      <c r="L36" s="178"/>
      <c r="M36" s="161"/>
      <c r="N36" s="158"/>
      <c r="O36" s="57"/>
      <c r="P36" s="8"/>
      <c r="Q36" s="17"/>
      <c r="R36" s="17"/>
      <c r="S36" s="17"/>
      <c r="T36" s="17"/>
      <c r="U36" s="17"/>
      <c r="V36" s="41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59"/>
    </row>
    <row r="37" spans="1:35">
      <c r="A37" s="112"/>
      <c r="B37" s="149"/>
      <c r="C37" s="23"/>
      <c r="D37" s="23"/>
      <c r="E37" s="23"/>
      <c r="F37" s="23"/>
      <c r="G37" s="46"/>
      <c r="H37" s="157"/>
      <c r="I37" s="163"/>
      <c r="J37" s="164"/>
      <c r="K37" s="178"/>
      <c r="L37" s="178"/>
      <c r="M37" s="161"/>
      <c r="N37" s="158"/>
      <c r="O37" s="57"/>
      <c r="P37" s="8"/>
      <c r="Q37" s="17"/>
      <c r="R37" s="17"/>
      <c r="S37" s="17"/>
      <c r="T37" s="17"/>
      <c r="U37" s="17"/>
      <c r="V37" s="41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59"/>
    </row>
    <row r="38" spans="1:35">
      <c r="A38" s="112"/>
      <c r="B38" s="149"/>
      <c r="C38" s="23"/>
      <c r="D38" s="23"/>
      <c r="E38" s="23"/>
      <c r="F38" s="23"/>
      <c r="G38" s="46"/>
      <c r="H38" s="157"/>
      <c r="I38" s="163"/>
      <c r="J38" s="164"/>
      <c r="K38" s="178"/>
      <c r="L38" s="178"/>
      <c r="M38" s="161"/>
      <c r="N38" s="158"/>
      <c r="O38" s="57"/>
      <c r="P38" s="8"/>
      <c r="Q38" s="17"/>
      <c r="R38" s="17"/>
      <c r="S38" s="17"/>
      <c r="T38" s="17"/>
      <c r="U38" s="17"/>
      <c r="V38" s="41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59"/>
    </row>
    <row r="39" spans="1:35">
      <c r="A39" s="112"/>
      <c r="B39" s="149"/>
      <c r="C39" s="23"/>
      <c r="D39" s="23"/>
      <c r="E39" s="23"/>
      <c r="F39" s="23"/>
      <c r="G39" s="46"/>
      <c r="H39" s="157"/>
      <c r="I39" s="163"/>
      <c r="J39" s="164"/>
      <c r="K39" s="178"/>
      <c r="L39" s="178"/>
      <c r="M39" s="161"/>
      <c r="N39" s="158"/>
      <c r="O39" s="57"/>
      <c r="P39" s="8"/>
      <c r="Q39" s="17"/>
      <c r="R39" s="17"/>
      <c r="S39" s="17"/>
      <c r="T39" s="17"/>
      <c r="U39" s="17"/>
      <c r="V39" s="41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59"/>
    </row>
    <row r="40" spans="1:35">
      <c r="A40" s="112"/>
      <c r="B40" s="149"/>
      <c r="C40" s="23"/>
      <c r="D40" s="23"/>
      <c r="E40" s="23"/>
      <c r="F40" s="23"/>
      <c r="G40" s="46"/>
      <c r="H40" s="157"/>
      <c r="I40" s="163"/>
      <c r="J40" s="164"/>
      <c r="K40" s="178"/>
      <c r="L40" s="178"/>
      <c r="M40" s="161"/>
      <c r="N40" s="158"/>
      <c r="O40" s="57"/>
      <c r="P40" s="8"/>
      <c r="Q40" s="17"/>
      <c r="R40" s="17"/>
      <c r="S40" s="17"/>
      <c r="T40" s="17"/>
      <c r="U40" s="17"/>
      <c r="V40" s="41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59"/>
    </row>
    <row r="41" spans="1:35">
      <c r="A41" s="112"/>
      <c r="B41" s="149"/>
      <c r="C41" s="23"/>
      <c r="D41" s="23"/>
      <c r="E41" s="23"/>
      <c r="F41" s="23"/>
      <c r="G41" s="46"/>
      <c r="H41" s="157"/>
      <c r="I41" s="163"/>
      <c r="J41" s="164"/>
      <c r="K41" s="178"/>
      <c r="L41" s="178"/>
      <c r="M41" s="161"/>
      <c r="N41" s="158"/>
      <c r="O41" s="57"/>
      <c r="P41" s="8"/>
      <c r="Q41" s="17"/>
      <c r="R41" s="17"/>
      <c r="S41" s="17"/>
      <c r="T41" s="17"/>
      <c r="U41" s="17"/>
      <c r="V41" s="41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59"/>
    </row>
    <row r="42" spans="1:35">
      <c r="A42" s="112"/>
      <c r="B42" s="149"/>
      <c r="C42" s="23"/>
      <c r="D42" s="23"/>
      <c r="E42" s="23"/>
      <c r="F42" s="23"/>
      <c r="G42" s="46"/>
      <c r="H42" s="157"/>
      <c r="I42" s="163"/>
      <c r="J42" s="164"/>
      <c r="K42" s="178"/>
      <c r="L42" s="178"/>
      <c r="M42" s="161"/>
      <c r="N42" s="158"/>
      <c r="O42" s="57"/>
      <c r="P42" s="8"/>
      <c r="Q42" s="17"/>
      <c r="R42" s="17"/>
      <c r="S42" s="17"/>
      <c r="T42" s="17"/>
      <c r="U42" s="17"/>
      <c r="V42" s="41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59"/>
    </row>
    <row r="43" spans="1:35">
      <c r="A43" s="112"/>
      <c r="B43" s="149"/>
      <c r="C43" s="23"/>
      <c r="D43" s="23"/>
      <c r="E43" s="23"/>
      <c r="F43" s="23"/>
      <c r="G43" s="46"/>
      <c r="H43" s="157"/>
      <c r="I43" s="163"/>
      <c r="J43" s="164"/>
      <c r="K43" s="178"/>
      <c r="L43" s="178"/>
      <c r="M43" s="161"/>
      <c r="N43" s="158"/>
      <c r="O43" s="57"/>
      <c r="P43" s="8"/>
      <c r="Q43" s="17"/>
      <c r="R43" s="17"/>
      <c r="S43" s="17"/>
      <c r="T43" s="17"/>
      <c r="U43" s="17"/>
      <c r="V43" s="41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59"/>
    </row>
    <row r="44" spans="1:35">
      <c r="A44" s="112"/>
      <c r="B44" s="149"/>
      <c r="C44" s="23"/>
      <c r="D44" s="23"/>
      <c r="E44" s="23"/>
      <c r="F44" s="23"/>
      <c r="G44" s="46"/>
      <c r="H44" s="157"/>
      <c r="I44" s="163"/>
      <c r="J44" s="164"/>
      <c r="K44" s="178"/>
      <c r="L44" s="178"/>
      <c r="M44" s="161"/>
      <c r="N44" s="158"/>
      <c r="O44" s="57"/>
      <c r="P44" s="8"/>
      <c r="Q44" s="17"/>
      <c r="R44" s="17"/>
      <c r="S44" s="17"/>
      <c r="T44" s="17"/>
      <c r="U44" s="17"/>
      <c r="V44" s="41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59"/>
    </row>
    <row r="45" spans="1:35">
      <c r="A45" s="112"/>
      <c r="B45" s="149"/>
      <c r="C45" s="23"/>
      <c r="D45" s="23"/>
      <c r="E45" s="23"/>
      <c r="F45" s="23"/>
      <c r="G45" s="46"/>
      <c r="H45" s="157"/>
      <c r="I45" s="163"/>
      <c r="J45" s="164"/>
      <c r="K45" s="178"/>
      <c r="L45" s="178"/>
      <c r="M45" s="161"/>
      <c r="N45" s="158"/>
      <c r="O45" s="57"/>
      <c r="P45" s="8"/>
      <c r="Q45" s="17"/>
      <c r="R45" s="17"/>
      <c r="S45" s="17"/>
      <c r="T45" s="17"/>
      <c r="U45" s="17"/>
      <c r="V45" s="41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59"/>
    </row>
    <row r="46" spans="1:35">
      <c r="A46" s="112"/>
      <c r="B46" s="149"/>
      <c r="C46" s="23"/>
      <c r="D46" s="23"/>
      <c r="E46" s="23"/>
      <c r="F46" s="23"/>
      <c r="G46" s="46"/>
      <c r="H46" s="157"/>
      <c r="I46" s="163"/>
      <c r="J46" s="164"/>
      <c r="K46" s="178"/>
      <c r="L46" s="178"/>
      <c r="M46" s="161"/>
      <c r="N46" s="158"/>
      <c r="O46" s="57"/>
      <c r="P46" s="8"/>
      <c r="Q46" s="17"/>
      <c r="R46" s="17"/>
      <c r="S46" s="17"/>
      <c r="T46" s="17"/>
      <c r="U46" s="17"/>
      <c r="V46" s="41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59"/>
    </row>
    <row r="47" spans="1:35">
      <c r="A47" s="112"/>
      <c r="B47" s="149"/>
      <c r="C47" s="23"/>
      <c r="D47" s="23"/>
      <c r="E47" s="23"/>
      <c r="F47" s="23"/>
      <c r="G47" s="46"/>
      <c r="H47" s="157"/>
      <c r="I47" s="163"/>
      <c r="J47" s="164"/>
      <c r="K47" s="178"/>
      <c r="L47" s="178"/>
      <c r="M47" s="161"/>
      <c r="N47" s="158"/>
      <c r="O47" s="57"/>
      <c r="P47" s="8"/>
      <c r="Q47" s="17"/>
      <c r="R47" s="17"/>
      <c r="S47" s="17"/>
      <c r="T47" s="17"/>
      <c r="U47" s="17"/>
      <c r="V47" s="41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59"/>
    </row>
    <row r="48" spans="1:35">
      <c r="A48" s="112"/>
      <c r="B48" s="149"/>
      <c r="C48" s="23"/>
      <c r="D48" s="23"/>
      <c r="E48" s="23"/>
      <c r="F48" s="23"/>
      <c r="G48" s="46"/>
      <c r="H48" s="157"/>
      <c r="I48" s="163"/>
      <c r="J48" s="164"/>
      <c r="K48" s="178"/>
      <c r="L48" s="178"/>
      <c r="M48" s="161"/>
      <c r="N48" s="158"/>
      <c r="O48" s="57"/>
      <c r="P48" s="8"/>
      <c r="Q48" s="17"/>
      <c r="R48" s="17"/>
      <c r="S48" s="17"/>
      <c r="T48" s="17"/>
      <c r="U48" s="17"/>
      <c r="V48" s="41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59"/>
    </row>
    <row r="49" spans="1:35">
      <c r="A49" s="112"/>
      <c r="B49" s="149"/>
      <c r="C49" s="23"/>
      <c r="D49" s="23"/>
      <c r="E49" s="23"/>
      <c r="F49" s="23"/>
      <c r="G49" s="46"/>
      <c r="H49" s="157"/>
      <c r="I49" s="163"/>
      <c r="J49" s="164"/>
      <c r="K49" s="178"/>
      <c r="L49" s="178"/>
      <c r="M49" s="161"/>
      <c r="N49" s="158"/>
      <c r="O49" s="57"/>
      <c r="P49" s="8"/>
      <c r="Q49" s="17"/>
      <c r="R49" s="17"/>
      <c r="S49" s="17"/>
      <c r="T49" s="17"/>
      <c r="U49" s="17"/>
      <c r="V49" s="41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59"/>
    </row>
    <row r="50" spans="1:35">
      <c r="A50" s="112"/>
      <c r="B50" s="149"/>
      <c r="C50" s="23"/>
      <c r="D50" s="23"/>
      <c r="E50" s="23"/>
      <c r="F50" s="23"/>
      <c r="G50" s="46"/>
      <c r="H50" s="157"/>
      <c r="I50" s="163"/>
      <c r="J50" s="164"/>
      <c r="K50" s="178"/>
      <c r="L50" s="178"/>
      <c r="M50" s="161"/>
      <c r="N50" s="158"/>
      <c r="O50" s="57"/>
      <c r="P50" s="8"/>
      <c r="Q50" s="17"/>
      <c r="R50" s="17"/>
      <c r="S50" s="17"/>
      <c r="T50" s="17"/>
      <c r="U50" s="17"/>
      <c r="V50" s="41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59"/>
    </row>
    <row r="51" spans="1:35">
      <c r="A51" s="112"/>
      <c r="B51" s="149"/>
      <c r="C51" s="23"/>
      <c r="D51" s="23"/>
      <c r="E51" s="23"/>
      <c r="F51" s="23"/>
      <c r="G51" s="46"/>
      <c r="H51" s="157"/>
      <c r="I51" s="163"/>
      <c r="J51" s="164"/>
      <c r="K51" s="178"/>
      <c r="L51" s="178"/>
      <c r="M51" s="161"/>
      <c r="N51" s="158"/>
      <c r="O51" s="57"/>
      <c r="P51" s="8"/>
      <c r="Q51" s="17"/>
      <c r="R51" s="17"/>
      <c r="S51" s="17"/>
      <c r="T51" s="17"/>
      <c r="U51" s="17"/>
      <c r="V51" s="41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59"/>
    </row>
    <row r="52" spans="1:35">
      <c r="A52" s="112"/>
      <c r="B52" s="149"/>
      <c r="C52" s="23"/>
      <c r="D52" s="23"/>
      <c r="E52" s="23"/>
      <c r="F52" s="23"/>
      <c r="G52" s="46"/>
      <c r="H52" s="157"/>
      <c r="I52" s="163"/>
      <c r="J52" s="164"/>
      <c r="K52" s="178"/>
      <c r="L52" s="178"/>
      <c r="M52" s="161"/>
      <c r="N52" s="158"/>
      <c r="O52" s="57"/>
      <c r="P52" s="8"/>
      <c r="Q52" s="17"/>
      <c r="R52" s="17"/>
      <c r="S52" s="17"/>
      <c r="T52" s="17"/>
      <c r="U52" s="17"/>
      <c r="V52" s="41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59"/>
    </row>
    <row r="53" spans="1:35">
      <c r="A53" s="112"/>
      <c r="B53" s="149"/>
      <c r="C53" s="23"/>
      <c r="D53" s="23"/>
      <c r="E53" s="23"/>
      <c r="F53" s="23"/>
      <c r="G53" s="46"/>
      <c r="H53" s="157"/>
      <c r="I53" s="163"/>
      <c r="J53" s="164"/>
      <c r="K53" s="178"/>
      <c r="L53" s="178"/>
      <c r="M53" s="161"/>
      <c r="N53" s="158"/>
      <c r="O53" s="57"/>
      <c r="P53" s="8"/>
      <c r="Q53" s="17"/>
      <c r="R53" s="17"/>
      <c r="S53" s="17"/>
      <c r="T53" s="17"/>
      <c r="U53" s="17"/>
      <c r="V53" s="41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59"/>
    </row>
    <row r="54" spans="1:35">
      <c r="A54" s="112"/>
      <c r="B54" s="149"/>
      <c r="C54" s="23"/>
      <c r="D54" s="23"/>
      <c r="E54" s="23"/>
      <c r="F54" s="23"/>
      <c r="G54" s="46"/>
      <c r="H54" s="157"/>
      <c r="I54" s="163"/>
      <c r="J54" s="164"/>
      <c r="K54" s="178"/>
      <c r="L54" s="178"/>
      <c r="M54" s="161"/>
      <c r="N54" s="158"/>
      <c r="O54" s="57"/>
      <c r="P54" s="8"/>
      <c r="Q54" s="17"/>
      <c r="R54" s="17"/>
      <c r="S54" s="17"/>
      <c r="T54" s="17"/>
      <c r="U54" s="17"/>
      <c r="V54" s="41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59"/>
    </row>
    <row r="55" spans="1:35">
      <c r="A55" s="112"/>
      <c r="B55" s="149"/>
      <c r="C55" s="23"/>
      <c r="D55" s="23"/>
      <c r="E55" s="23"/>
      <c r="F55" s="23"/>
      <c r="G55" s="46"/>
      <c r="H55" s="157"/>
      <c r="I55" s="163"/>
      <c r="J55" s="164"/>
      <c r="K55" s="178"/>
      <c r="L55" s="178"/>
      <c r="M55" s="161"/>
      <c r="N55" s="158"/>
      <c r="O55" s="57"/>
      <c r="P55" s="8"/>
      <c r="Q55" s="17"/>
      <c r="R55" s="17"/>
      <c r="S55" s="17"/>
      <c r="T55" s="17"/>
      <c r="U55" s="17"/>
      <c r="V55" s="41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59"/>
    </row>
    <row r="56" spans="1:35">
      <c r="A56" s="112"/>
      <c r="B56" s="149"/>
      <c r="C56" s="23"/>
      <c r="D56" s="23"/>
      <c r="E56" s="23"/>
      <c r="F56" s="23"/>
      <c r="G56" s="46"/>
      <c r="H56" s="157"/>
      <c r="I56" s="163"/>
      <c r="J56" s="164"/>
      <c r="K56" s="178"/>
      <c r="L56" s="178"/>
      <c r="M56" s="161"/>
      <c r="N56" s="158"/>
      <c r="O56" s="57"/>
      <c r="P56" s="8"/>
      <c r="Q56" s="17"/>
      <c r="R56" s="17"/>
      <c r="S56" s="17"/>
      <c r="T56" s="17"/>
      <c r="U56" s="17"/>
      <c r="V56" s="41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59"/>
    </row>
    <row r="57" spans="1:35">
      <c r="A57" s="112"/>
      <c r="B57" s="149"/>
      <c r="C57" s="23"/>
      <c r="D57" s="23"/>
      <c r="E57" s="23"/>
      <c r="F57" s="23"/>
      <c r="G57" s="46"/>
      <c r="H57" s="157"/>
      <c r="I57" s="163"/>
      <c r="J57" s="164"/>
      <c r="K57" s="178"/>
      <c r="L57" s="178"/>
      <c r="M57" s="161"/>
      <c r="N57" s="158"/>
      <c r="O57" s="57"/>
      <c r="P57" s="8"/>
      <c r="Q57" s="17"/>
      <c r="R57" s="17"/>
      <c r="S57" s="17"/>
      <c r="T57" s="17"/>
      <c r="U57" s="17"/>
      <c r="V57" s="41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59"/>
    </row>
    <row r="58" spans="1:35">
      <c r="A58" s="112"/>
      <c r="B58" s="149"/>
      <c r="C58" s="23"/>
      <c r="D58" s="23"/>
      <c r="E58" s="23"/>
      <c r="F58" s="23"/>
      <c r="G58" s="46"/>
      <c r="H58" s="157"/>
      <c r="I58" s="163"/>
      <c r="J58" s="164"/>
      <c r="K58" s="178"/>
      <c r="L58" s="178"/>
      <c r="M58" s="161"/>
      <c r="N58" s="158"/>
      <c r="O58" s="57"/>
      <c r="P58" s="8"/>
      <c r="Q58" s="17"/>
      <c r="R58" s="17"/>
      <c r="S58" s="17"/>
      <c r="T58" s="17"/>
      <c r="U58" s="17"/>
      <c r="V58" s="41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59"/>
    </row>
    <row r="59" spans="1:35">
      <c r="A59" s="112"/>
      <c r="B59" s="149"/>
      <c r="C59" s="23"/>
      <c r="D59" s="23"/>
      <c r="E59" s="23"/>
      <c r="F59" s="23"/>
      <c r="G59" s="46"/>
      <c r="H59" s="157"/>
      <c r="I59" s="163"/>
      <c r="J59" s="164"/>
      <c r="K59" s="178"/>
      <c r="L59" s="178"/>
      <c r="M59" s="161"/>
      <c r="N59" s="158"/>
      <c r="O59" s="57"/>
      <c r="P59" s="8"/>
      <c r="Q59" s="17"/>
      <c r="R59" s="17"/>
      <c r="S59" s="17"/>
      <c r="T59" s="17"/>
      <c r="U59" s="17"/>
      <c r="V59" s="41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59"/>
    </row>
    <row r="60" spans="1:35">
      <c r="A60" s="112"/>
      <c r="B60" s="149"/>
      <c r="C60" s="23"/>
      <c r="D60" s="23"/>
      <c r="E60" s="23"/>
      <c r="F60" s="23"/>
      <c r="G60" s="46"/>
      <c r="H60" s="157"/>
      <c r="I60" s="163"/>
      <c r="J60" s="164"/>
      <c r="K60" s="178"/>
      <c r="L60" s="178"/>
      <c r="M60" s="161"/>
      <c r="N60" s="158"/>
      <c r="O60" s="57"/>
      <c r="P60" s="8"/>
      <c r="Q60" s="17"/>
      <c r="R60" s="17"/>
      <c r="S60" s="17"/>
      <c r="T60" s="17"/>
      <c r="U60" s="17"/>
      <c r="V60" s="41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59"/>
    </row>
    <row r="61" spans="1:35">
      <c r="A61" s="112"/>
      <c r="B61" s="149"/>
      <c r="C61" s="23"/>
      <c r="D61" s="23"/>
      <c r="E61" s="23"/>
      <c r="F61" s="23"/>
      <c r="G61" s="46"/>
      <c r="H61" s="157"/>
      <c r="I61" s="163"/>
      <c r="J61" s="164"/>
      <c r="K61" s="178"/>
      <c r="L61" s="178"/>
      <c r="M61" s="161"/>
      <c r="N61" s="158"/>
      <c r="O61" s="57"/>
      <c r="P61" s="8"/>
      <c r="Q61" s="17"/>
      <c r="R61" s="17"/>
      <c r="S61" s="17"/>
      <c r="T61" s="17"/>
      <c r="U61" s="17"/>
      <c r="V61" s="41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59"/>
    </row>
    <row r="62" spans="1:35">
      <c r="A62" s="112"/>
      <c r="B62" s="149"/>
      <c r="C62" s="23"/>
      <c r="D62" s="23"/>
      <c r="E62" s="23"/>
      <c r="F62" s="23"/>
      <c r="G62" s="46"/>
      <c r="H62" s="157"/>
      <c r="I62" s="163"/>
      <c r="J62" s="164"/>
      <c r="K62" s="178"/>
      <c r="L62" s="178"/>
      <c r="M62" s="161"/>
      <c r="N62" s="158"/>
      <c r="O62" s="57"/>
      <c r="P62" s="8"/>
      <c r="Q62" s="17"/>
      <c r="R62" s="17"/>
      <c r="S62" s="17"/>
      <c r="T62" s="17"/>
      <c r="U62" s="17"/>
      <c r="V62" s="41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59"/>
    </row>
    <row r="63" spans="1:35">
      <c r="A63" s="112"/>
      <c r="B63" s="149"/>
      <c r="C63" s="23"/>
      <c r="D63" s="23"/>
      <c r="E63" s="23"/>
      <c r="F63" s="23"/>
      <c r="G63" s="46"/>
      <c r="H63" s="157"/>
      <c r="I63" s="163"/>
      <c r="J63" s="164"/>
      <c r="K63" s="178"/>
      <c r="L63" s="178"/>
      <c r="M63" s="161"/>
      <c r="N63" s="158"/>
      <c r="O63" s="57"/>
      <c r="P63" s="8"/>
      <c r="Q63" s="17"/>
      <c r="R63" s="17"/>
      <c r="S63" s="17"/>
      <c r="T63" s="17"/>
      <c r="U63" s="17"/>
      <c r="V63" s="41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59"/>
    </row>
    <row r="64" spans="1:35">
      <c r="A64" s="112"/>
      <c r="B64" s="149"/>
      <c r="C64" s="23"/>
      <c r="D64" s="23"/>
      <c r="E64" s="23"/>
      <c r="F64" s="23"/>
      <c r="G64" s="46"/>
      <c r="H64" s="157"/>
      <c r="I64" s="163"/>
      <c r="J64" s="164"/>
      <c r="K64" s="178"/>
      <c r="L64" s="178"/>
      <c r="M64" s="161"/>
      <c r="N64" s="158"/>
      <c r="O64" s="57"/>
      <c r="P64" s="8"/>
      <c r="Q64" s="17"/>
      <c r="R64" s="17"/>
      <c r="S64" s="17"/>
      <c r="T64" s="17"/>
      <c r="U64" s="17"/>
      <c r="V64" s="41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59"/>
    </row>
    <row r="65" spans="1:35">
      <c r="A65" s="112"/>
      <c r="B65" s="149"/>
      <c r="C65" s="23"/>
      <c r="D65" s="23"/>
      <c r="E65" s="23"/>
      <c r="F65" s="23"/>
      <c r="G65" s="46"/>
      <c r="H65" s="157"/>
      <c r="I65" s="163"/>
      <c r="J65" s="164"/>
      <c r="K65" s="178"/>
      <c r="L65" s="178"/>
      <c r="M65" s="161"/>
      <c r="N65" s="158"/>
      <c r="O65" s="57"/>
      <c r="P65" s="8"/>
      <c r="Q65" s="17"/>
      <c r="R65" s="17"/>
      <c r="S65" s="17"/>
      <c r="T65" s="17"/>
      <c r="U65" s="17"/>
      <c r="V65" s="41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59"/>
    </row>
    <row r="66" spans="1:35">
      <c r="A66" s="112"/>
      <c r="B66" s="149"/>
      <c r="C66" s="23"/>
      <c r="D66" s="23"/>
      <c r="E66" s="23"/>
      <c r="F66" s="23"/>
      <c r="G66" s="46"/>
      <c r="H66" s="157"/>
      <c r="I66" s="163"/>
      <c r="J66" s="164"/>
      <c r="K66" s="178"/>
      <c r="L66" s="178"/>
      <c r="M66" s="161"/>
      <c r="N66" s="158"/>
      <c r="O66" s="57"/>
      <c r="P66" s="8"/>
      <c r="Q66" s="17"/>
      <c r="R66" s="17"/>
      <c r="S66" s="17"/>
      <c r="T66" s="17"/>
      <c r="U66" s="17"/>
      <c r="V66" s="41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59"/>
    </row>
    <row r="67" spans="1:35">
      <c r="A67" s="112"/>
      <c r="B67" s="149"/>
      <c r="C67" s="23"/>
      <c r="D67" s="23"/>
      <c r="E67" s="23"/>
      <c r="F67" s="23"/>
      <c r="G67" s="46"/>
      <c r="H67" s="157"/>
      <c r="I67" s="163"/>
      <c r="J67" s="164"/>
      <c r="K67" s="178"/>
      <c r="L67" s="178"/>
      <c r="M67" s="161"/>
      <c r="N67" s="158"/>
      <c r="O67" s="57"/>
      <c r="P67" s="8"/>
      <c r="Q67" s="17"/>
      <c r="R67" s="17"/>
      <c r="S67" s="17"/>
      <c r="T67" s="17"/>
      <c r="U67" s="17"/>
      <c r="V67" s="41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59"/>
    </row>
    <row r="68" spans="1:35">
      <c r="A68" s="112"/>
      <c r="B68" s="149"/>
      <c r="C68" s="23"/>
      <c r="D68" s="23"/>
      <c r="E68" s="23"/>
      <c r="F68" s="23"/>
      <c r="G68" s="46"/>
      <c r="H68" s="157"/>
      <c r="I68" s="163"/>
      <c r="J68" s="164"/>
      <c r="K68" s="178"/>
      <c r="L68" s="178"/>
      <c r="M68" s="161"/>
      <c r="N68" s="158"/>
      <c r="O68" s="57"/>
      <c r="P68" s="8"/>
      <c r="Q68" s="17"/>
      <c r="R68" s="17"/>
      <c r="S68" s="17"/>
      <c r="T68" s="17"/>
      <c r="U68" s="17"/>
      <c r="V68" s="41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59"/>
    </row>
    <row r="69" spans="1:35">
      <c r="A69" s="112"/>
      <c r="B69" s="149"/>
      <c r="C69" s="23"/>
      <c r="D69" s="23"/>
      <c r="E69" s="23"/>
      <c r="F69" s="23"/>
      <c r="G69" s="46"/>
      <c r="H69" s="157"/>
      <c r="I69" s="163"/>
      <c r="J69" s="164"/>
      <c r="K69" s="178"/>
      <c r="L69" s="178"/>
      <c r="M69" s="161"/>
      <c r="N69" s="158"/>
      <c r="O69" s="57"/>
      <c r="P69" s="8"/>
      <c r="Q69" s="17"/>
      <c r="R69" s="17"/>
      <c r="S69" s="17"/>
      <c r="T69" s="17"/>
      <c r="U69" s="17"/>
      <c r="V69" s="41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59"/>
    </row>
    <row r="70" spans="1:35">
      <c r="A70" s="112"/>
      <c r="B70" s="149"/>
      <c r="C70" s="23"/>
      <c r="D70" s="23"/>
      <c r="E70" s="23"/>
      <c r="F70" s="23"/>
      <c r="G70" s="46"/>
      <c r="H70" s="157"/>
      <c r="I70" s="163"/>
      <c r="J70" s="164"/>
      <c r="K70" s="178"/>
      <c r="L70" s="178"/>
      <c r="M70" s="161"/>
      <c r="N70" s="158"/>
      <c r="O70" s="57"/>
      <c r="P70" s="8"/>
      <c r="Q70" s="17"/>
      <c r="R70" s="17"/>
      <c r="S70" s="17"/>
      <c r="T70" s="17"/>
      <c r="U70" s="17"/>
      <c r="V70" s="41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59"/>
    </row>
    <row r="71" spans="1:35">
      <c r="A71" s="112"/>
      <c r="B71" s="149"/>
      <c r="C71" s="23"/>
      <c r="D71" s="23"/>
      <c r="E71" s="23"/>
      <c r="F71" s="23"/>
      <c r="G71" s="46"/>
      <c r="H71" s="157"/>
      <c r="I71" s="163"/>
      <c r="J71" s="164"/>
      <c r="K71" s="178"/>
      <c r="L71" s="178"/>
      <c r="M71" s="161"/>
      <c r="N71" s="158"/>
      <c r="O71" s="57"/>
      <c r="P71" s="8"/>
      <c r="Q71" s="17"/>
      <c r="R71" s="17"/>
      <c r="S71" s="17"/>
      <c r="T71" s="17"/>
      <c r="U71" s="17"/>
      <c r="V71" s="41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59"/>
    </row>
    <row r="72" spans="1:35">
      <c r="A72" s="112"/>
      <c r="B72" s="149"/>
      <c r="C72" s="23"/>
      <c r="D72" s="23"/>
      <c r="E72" s="23"/>
      <c r="F72" s="23"/>
      <c r="G72" s="46"/>
      <c r="H72" s="157"/>
      <c r="I72" s="163"/>
      <c r="J72" s="164"/>
      <c r="K72" s="178"/>
      <c r="L72" s="178"/>
      <c r="M72" s="161"/>
      <c r="N72" s="158"/>
      <c r="O72" s="57"/>
      <c r="P72" s="8"/>
      <c r="Q72" s="17"/>
      <c r="R72" s="17"/>
      <c r="S72" s="17"/>
      <c r="T72" s="17"/>
      <c r="U72" s="17"/>
      <c r="V72" s="41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59"/>
    </row>
    <row r="73" spans="1:35">
      <c r="A73" s="112"/>
      <c r="B73" s="149"/>
      <c r="C73" s="23"/>
      <c r="D73" s="23"/>
      <c r="E73" s="23"/>
      <c r="F73" s="23"/>
      <c r="G73" s="46"/>
      <c r="H73" s="157"/>
      <c r="I73" s="163"/>
      <c r="J73" s="164"/>
      <c r="K73" s="178"/>
      <c r="L73" s="178"/>
      <c r="M73" s="161"/>
      <c r="N73" s="158"/>
      <c r="O73" s="57"/>
      <c r="P73" s="8"/>
      <c r="Q73" s="17"/>
      <c r="R73" s="17"/>
      <c r="S73" s="17"/>
      <c r="T73" s="17"/>
      <c r="U73" s="17"/>
      <c r="V73" s="41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59"/>
    </row>
    <row r="74" spans="1:35">
      <c r="A74" s="112"/>
      <c r="B74" s="149"/>
      <c r="C74" s="23"/>
      <c r="D74" s="23"/>
      <c r="E74" s="23"/>
      <c r="F74" s="23"/>
      <c r="G74" s="46"/>
      <c r="H74" s="157"/>
      <c r="I74" s="163"/>
      <c r="J74" s="164"/>
      <c r="K74" s="178"/>
      <c r="L74" s="178"/>
      <c r="M74" s="161"/>
      <c r="N74" s="158"/>
      <c r="O74" s="57"/>
      <c r="P74" s="8"/>
      <c r="Q74" s="17"/>
      <c r="R74" s="17"/>
      <c r="S74" s="17"/>
      <c r="T74" s="17"/>
      <c r="U74" s="17"/>
      <c r="V74" s="41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59"/>
    </row>
    <row r="75" spans="1:35">
      <c r="A75" s="112"/>
      <c r="B75" s="149"/>
      <c r="C75" s="23"/>
      <c r="D75" s="23"/>
      <c r="E75" s="23"/>
      <c r="F75" s="23"/>
      <c r="G75" s="46"/>
      <c r="H75" s="157"/>
      <c r="I75" s="163"/>
      <c r="J75" s="164"/>
      <c r="K75" s="178"/>
      <c r="L75" s="178"/>
      <c r="M75" s="161"/>
      <c r="N75" s="158"/>
      <c r="O75" s="57"/>
      <c r="P75" s="8"/>
      <c r="Q75" s="17"/>
      <c r="R75" s="17"/>
      <c r="S75" s="17"/>
      <c r="T75" s="17"/>
      <c r="U75" s="17"/>
      <c r="V75" s="41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59"/>
    </row>
    <row r="76" spans="1:35">
      <c r="A76" s="112"/>
      <c r="B76" s="149"/>
      <c r="C76" s="23"/>
      <c r="D76" s="23"/>
      <c r="E76" s="23"/>
      <c r="F76" s="23"/>
      <c r="G76" s="46"/>
      <c r="H76" s="157"/>
      <c r="I76" s="163"/>
      <c r="J76" s="164"/>
      <c r="K76" s="178"/>
      <c r="L76" s="178"/>
      <c r="M76" s="161"/>
      <c r="N76" s="158"/>
      <c r="O76" s="57"/>
      <c r="P76" s="8"/>
      <c r="Q76" s="17"/>
      <c r="R76" s="17"/>
      <c r="S76" s="17"/>
      <c r="T76" s="17"/>
      <c r="U76" s="17"/>
      <c r="V76" s="41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59"/>
    </row>
    <row r="77" spans="1:35">
      <c r="A77" s="112"/>
      <c r="B77" s="149"/>
      <c r="C77" s="23"/>
      <c r="D77" s="23"/>
      <c r="E77" s="23"/>
      <c r="F77" s="23"/>
      <c r="G77" s="46"/>
      <c r="H77" s="157"/>
      <c r="I77" s="163"/>
      <c r="J77" s="164"/>
      <c r="K77" s="178"/>
      <c r="L77" s="178"/>
      <c r="M77" s="161"/>
      <c r="N77" s="158"/>
      <c r="O77" s="57"/>
      <c r="P77" s="8"/>
      <c r="Q77" s="17"/>
      <c r="R77" s="17"/>
      <c r="S77" s="17"/>
      <c r="T77" s="17"/>
      <c r="U77" s="17"/>
      <c r="V77" s="41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59"/>
    </row>
    <row r="78" spans="1:35">
      <c r="A78" s="112"/>
      <c r="B78" s="149"/>
      <c r="C78" s="23"/>
      <c r="D78" s="23"/>
      <c r="E78" s="23"/>
      <c r="F78" s="23"/>
      <c r="G78" s="46"/>
      <c r="H78" s="157"/>
      <c r="I78" s="163"/>
      <c r="J78" s="164"/>
      <c r="K78" s="178"/>
      <c r="L78" s="178"/>
      <c r="M78" s="161"/>
      <c r="N78" s="158"/>
      <c r="O78" s="57"/>
      <c r="P78" s="8"/>
      <c r="Q78" s="17"/>
      <c r="R78" s="17"/>
      <c r="S78" s="17"/>
      <c r="T78" s="17"/>
      <c r="U78" s="17"/>
      <c r="V78" s="41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59"/>
    </row>
    <row r="79" spans="1:35">
      <c r="A79" s="112"/>
      <c r="B79" s="149"/>
      <c r="C79" s="23"/>
      <c r="D79" s="23"/>
      <c r="E79" s="23"/>
      <c r="F79" s="23"/>
      <c r="G79" s="46"/>
      <c r="H79" s="157"/>
      <c r="I79" s="163"/>
      <c r="J79" s="164"/>
      <c r="K79" s="178"/>
      <c r="L79" s="178"/>
      <c r="M79" s="161"/>
      <c r="N79" s="158"/>
      <c r="O79" s="57"/>
      <c r="P79" s="8"/>
      <c r="Q79" s="17"/>
      <c r="R79" s="17"/>
      <c r="S79" s="17"/>
      <c r="T79" s="17"/>
      <c r="U79" s="17"/>
      <c r="V79" s="41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59"/>
    </row>
    <row r="80" spans="1:35">
      <c r="A80" s="112"/>
      <c r="B80" s="149"/>
      <c r="C80" s="23"/>
      <c r="D80" s="23"/>
      <c r="E80" s="23"/>
      <c r="F80" s="23"/>
      <c r="G80" s="46"/>
      <c r="H80" s="157"/>
      <c r="I80" s="163"/>
      <c r="J80" s="164"/>
      <c r="K80" s="178"/>
      <c r="L80" s="178"/>
      <c r="M80" s="161"/>
      <c r="N80" s="158"/>
      <c r="O80" s="57"/>
      <c r="P80" s="8"/>
      <c r="Q80" s="17"/>
      <c r="R80" s="17"/>
      <c r="S80" s="17"/>
      <c r="T80" s="17"/>
      <c r="U80" s="17"/>
      <c r="V80" s="41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59"/>
    </row>
    <row r="81" spans="1:35">
      <c r="A81" s="112"/>
      <c r="B81" s="149"/>
      <c r="C81" s="23"/>
      <c r="D81" s="23"/>
      <c r="E81" s="23"/>
      <c r="F81" s="23"/>
      <c r="G81" s="46"/>
      <c r="H81" s="157"/>
      <c r="I81" s="163"/>
      <c r="J81" s="164"/>
      <c r="K81" s="178"/>
      <c r="L81" s="178"/>
      <c r="M81" s="161"/>
      <c r="N81" s="158"/>
      <c r="O81" s="57"/>
      <c r="P81" s="8"/>
      <c r="Q81" s="17"/>
      <c r="R81" s="17"/>
      <c r="S81" s="17"/>
      <c r="T81" s="17"/>
      <c r="U81" s="17"/>
      <c r="V81" s="41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59"/>
    </row>
    <row r="82" spans="1:35">
      <c r="A82" s="112"/>
      <c r="B82" s="149"/>
      <c r="C82" s="23"/>
      <c r="D82" s="23"/>
      <c r="E82" s="23"/>
      <c r="F82" s="23"/>
      <c r="G82" s="46"/>
      <c r="H82" s="157"/>
      <c r="I82" s="163"/>
      <c r="J82" s="164"/>
      <c r="K82" s="178"/>
      <c r="L82" s="178"/>
      <c r="M82" s="161"/>
      <c r="N82" s="158"/>
      <c r="O82" s="57"/>
      <c r="P82" s="8"/>
      <c r="Q82" s="17"/>
      <c r="R82" s="17"/>
      <c r="S82" s="17"/>
      <c r="T82" s="17"/>
      <c r="U82" s="17"/>
      <c r="V82" s="41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59"/>
    </row>
    <row r="83" spans="1:35">
      <c r="A83" s="112"/>
      <c r="B83" s="149"/>
      <c r="C83" s="23"/>
      <c r="D83" s="23"/>
      <c r="E83" s="23"/>
      <c r="F83" s="23"/>
      <c r="G83" s="46"/>
      <c r="H83" s="157"/>
      <c r="I83" s="163"/>
      <c r="J83" s="164"/>
      <c r="K83" s="178"/>
      <c r="L83" s="178"/>
      <c r="M83" s="161"/>
      <c r="N83" s="158"/>
      <c r="O83" s="57"/>
      <c r="P83" s="8"/>
      <c r="Q83" s="17"/>
      <c r="R83" s="17"/>
      <c r="S83" s="17"/>
      <c r="T83" s="17"/>
      <c r="U83" s="17"/>
      <c r="V83" s="41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59"/>
    </row>
    <row r="84" spans="1:35">
      <c r="A84" s="112"/>
      <c r="B84" s="149"/>
      <c r="C84" s="23"/>
      <c r="D84" s="23"/>
      <c r="E84" s="23"/>
      <c r="F84" s="23"/>
      <c r="G84" s="46"/>
      <c r="H84" s="157"/>
      <c r="I84" s="163"/>
      <c r="J84" s="164"/>
      <c r="K84" s="178"/>
      <c r="L84" s="178"/>
      <c r="M84" s="161"/>
      <c r="N84" s="158"/>
      <c r="O84" s="57"/>
      <c r="P84" s="8"/>
      <c r="Q84" s="17"/>
      <c r="R84" s="17"/>
      <c r="S84" s="17"/>
      <c r="T84" s="17"/>
      <c r="U84" s="17"/>
      <c r="V84" s="41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59"/>
    </row>
    <row r="85" spans="1:35">
      <c r="A85" s="112"/>
      <c r="B85" s="149"/>
      <c r="C85" s="23"/>
      <c r="D85" s="23"/>
      <c r="E85" s="23"/>
      <c r="F85" s="23"/>
      <c r="G85" s="46"/>
      <c r="H85" s="157"/>
      <c r="I85" s="163"/>
      <c r="J85" s="164"/>
      <c r="K85" s="178"/>
      <c r="L85" s="178"/>
      <c r="M85" s="161"/>
      <c r="N85" s="158"/>
      <c r="O85" s="57"/>
      <c r="P85" s="8"/>
      <c r="Q85" s="17"/>
      <c r="R85" s="17"/>
      <c r="S85" s="17"/>
      <c r="T85" s="17"/>
      <c r="U85" s="17"/>
      <c r="V85" s="41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59"/>
    </row>
    <row r="86" spans="1:35">
      <c r="A86" s="112"/>
      <c r="B86" s="149"/>
      <c r="C86" s="23"/>
      <c r="D86" s="23"/>
      <c r="E86" s="23"/>
      <c r="F86" s="23"/>
      <c r="G86" s="46"/>
      <c r="H86" s="157"/>
      <c r="I86" s="163"/>
      <c r="J86" s="164"/>
      <c r="K86" s="178"/>
      <c r="L86" s="178"/>
      <c r="M86" s="161"/>
      <c r="N86" s="158"/>
      <c r="O86" s="57"/>
      <c r="P86" s="8"/>
      <c r="Q86" s="17"/>
      <c r="R86" s="17"/>
      <c r="S86" s="17"/>
      <c r="T86" s="17"/>
      <c r="U86" s="17"/>
      <c r="V86" s="41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59"/>
    </row>
    <row r="87" spans="1:35">
      <c r="A87" s="112"/>
      <c r="B87" s="149"/>
      <c r="C87" s="23"/>
      <c r="D87" s="23"/>
      <c r="E87" s="23"/>
      <c r="F87" s="23"/>
      <c r="G87" s="46"/>
      <c r="H87" s="157"/>
      <c r="I87" s="163"/>
      <c r="J87" s="164"/>
      <c r="K87" s="178"/>
      <c r="L87" s="178"/>
      <c r="M87" s="161"/>
      <c r="N87" s="158"/>
      <c r="O87" s="57"/>
      <c r="P87" s="8"/>
      <c r="Q87" s="17"/>
      <c r="R87" s="17"/>
      <c r="S87" s="17"/>
      <c r="T87" s="17"/>
      <c r="U87" s="17"/>
      <c r="V87" s="41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59"/>
    </row>
    <row r="88" spans="1:35">
      <c r="A88" s="112"/>
      <c r="B88" s="149"/>
      <c r="C88" s="23"/>
      <c r="D88" s="23"/>
      <c r="E88" s="23"/>
      <c r="F88" s="23"/>
      <c r="G88" s="46"/>
      <c r="H88" s="157"/>
      <c r="I88" s="163"/>
      <c r="J88" s="164"/>
      <c r="K88" s="178"/>
      <c r="L88" s="178"/>
      <c r="M88" s="161"/>
      <c r="N88" s="158"/>
      <c r="O88" s="57"/>
      <c r="P88" s="8"/>
      <c r="Q88" s="17"/>
      <c r="R88" s="17"/>
      <c r="S88" s="17"/>
      <c r="T88" s="17"/>
      <c r="U88" s="17"/>
      <c r="V88" s="41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59"/>
    </row>
    <row r="89" spans="1:35">
      <c r="A89" s="112"/>
      <c r="B89" s="149"/>
      <c r="C89" s="23"/>
      <c r="D89" s="23"/>
      <c r="E89" s="23"/>
      <c r="F89" s="23"/>
      <c r="G89" s="46"/>
      <c r="H89" s="157"/>
      <c r="I89" s="163"/>
      <c r="J89" s="164"/>
      <c r="K89" s="178"/>
      <c r="L89" s="178"/>
      <c r="M89" s="161"/>
      <c r="N89" s="158"/>
      <c r="O89" s="57"/>
      <c r="P89" s="8"/>
      <c r="Q89" s="17"/>
      <c r="R89" s="17"/>
      <c r="S89" s="17"/>
      <c r="T89" s="17"/>
      <c r="U89" s="17"/>
      <c r="V89" s="41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59"/>
    </row>
    <row r="90" spans="1:35">
      <c r="A90" s="112"/>
      <c r="B90" s="149"/>
      <c r="C90" s="23"/>
      <c r="D90" s="23"/>
      <c r="E90" s="23"/>
      <c r="F90" s="23"/>
      <c r="G90" s="46"/>
      <c r="H90" s="157"/>
      <c r="I90" s="163"/>
      <c r="J90" s="164"/>
      <c r="K90" s="178"/>
      <c r="L90" s="178"/>
      <c r="M90" s="161"/>
      <c r="N90" s="158"/>
      <c r="O90" s="57"/>
      <c r="P90" s="8"/>
      <c r="Q90" s="17"/>
      <c r="R90" s="17"/>
      <c r="S90" s="17"/>
      <c r="T90" s="17"/>
      <c r="U90" s="17"/>
      <c r="V90" s="41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59"/>
    </row>
    <row r="91" spans="1:35">
      <c r="A91" s="112"/>
      <c r="B91" s="149"/>
      <c r="C91" s="23"/>
      <c r="D91" s="23"/>
      <c r="E91" s="23"/>
      <c r="F91" s="23"/>
      <c r="G91" s="46"/>
      <c r="H91" s="157"/>
      <c r="I91" s="163"/>
      <c r="J91" s="164"/>
      <c r="K91" s="178"/>
      <c r="L91" s="178"/>
      <c r="M91" s="161"/>
      <c r="N91" s="158"/>
      <c r="O91" s="57"/>
      <c r="P91" s="8"/>
      <c r="Q91" s="17"/>
      <c r="R91" s="17"/>
      <c r="S91" s="17"/>
      <c r="T91" s="17"/>
      <c r="U91" s="17"/>
      <c r="V91" s="41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59"/>
    </row>
    <row r="92" spans="1:35">
      <c r="A92" s="112"/>
      <c r="B92" s="149"/>
      <c r="C92" s="23"/>
      <c r="D92" s="23"/>
      <c r="E92" s="23"/>
      <c r="F92" s="23"/>
      <c r="G92" s="46"/>
      <c r="H92" s="157"/>
      <c r="I92" s="163"/>
      <c r="J92" s="164"/>
      <c r="K92" s="178"/>
      <c r="L92" s="178"/>
      <c r="M92" s="161"/>
      <c r="N92" s="158"/>
      <c r="O92" s="57"/>
      <c r="P92" s="8"/>
      <c r="Q92" s="17"/>
      <c r="R92" s="17"/>
      <c r="S92" s="17"/>
      <c r="T92" s="17"/>
      <c r="U92" s="17"/>
      <c r="V92" s="41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59"/>
    </row>
    <row r="93" spans="1:35">
      <c r="A93" s="112"/>
      <c r="B93" s="149"/>
      <c r="C93" s="23"/>
      <c r="D93" s="23"/>
      <c r="E93" s="23"/>
      <c r="F93" s="23"/>
      <c r="G93" s="46"/>
      <c r="H93" s="159"/>
      <c r="I93" s="165"/>
      <c r="J93" s="166"/>
      <c r="K93" s="179"/>
      <c r="L93" s="179"/>
      <c r="M93" s="162"/>
      <c r="N93" s="160"/>
      <c r="O93" s="57"/>
      <c r="P93" s="8"/>
      <c r="Q93" s="17"/>
      <c r="R93" s="17"/>
      <c r="S93" s="17"/>
      <c r="T93" s="17"/>
      <c r="U93" s="17"/>
      <c r="V93" s="41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59"/>
    </row>
  </sheetData>
  <mergeCells count="9">
    <mergeCell ref="A2:G3"/>
    <mergeCell ref="I3:J3"/>
    <mergeCell ref="H1:N1"/>
    <mergeCell ref="P2:Q2"/>
    <mergeCell ref="S2:AI2"/>
    <mergeCell ref="P3:Q3"/>
    <mergeCell ref="W3:AC3"/>
    <mergeCell ref="AD3:AF3"/>
    <mergeCell ref="AG3:AI3"/>
  </mergeCells>
  <phoneticPr fontId="1" type="noConversion"/>
  <conditionalFormatting sqref="B1:B1048576">
    <cfRule type="duplicateValues" dxfId="130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A924-F762-49E3-A1D9-5EBAFCC44E53}">
  <sheetPr>
    <pageSetUpPr fitToPage="1"/>
  </sheetPr>
  <dimension ref="B1:XDP58"/>
  <sheetViews>
    <sheetView topLeftCell="G1" zoomScale="115" zoomScaleNormal="115" workbookViewId="0">
      <selection activeCell="T9" sqref="T9"/>
    </sheetView>
  </sheetViews>
  <sheetFormatPr defaultColWidth="8.75" defaultRowHeight="17"/>
  <cols>
    <col min="1" max="1" width="1.58203125" customWidth="1"/>
    <col min="2" max="2" width="3.5" bestFit="1" customWidth="1"/>
    <col min="3" max="3" width="13.33203125" bestFit="1" customWidth="1"/>
    <col min="4" max="4" width="25.5" style="614" customWidth="1"/>
    <col min="5" max="5" width="53.83203125" style="597" bestFit="1" customWidth="1"/>
    <col min="6" max="6" width="14.58203125" style="611" bestFit="1" customWidth="1"/>
    <col min="7" max="7" width="42.83203125" bestFit="1" customWidth="1"/>
    <col min="8" max="8" width="3.5" bestFit="1" customWidth="1"/>
    <col min="9" max="9" width="13.33203125" bestFit="1" customWidth="1"/>
    <col min="10" max="10" width="21" bestFit="1" customWidth="1"/>
    <col min="11" max="11" width="36.83203125" bestFit="1" customWidth="1"/>
    <col min="12" max="12" width="14.58203125" bestFit="1" customWidth="1"/>
    <col min="13" max="13" width="23.5" bestFit="1" customWidth="1"/>
    <col min="14" max="15" width="3.08203125" bestFit="1" customWidth="1"/>
    <col min="16" max="16" width="10.58203125" bestFit="1" customWidth="1"/>
    <col min="17" max="17" width="4" bestFit="1" customWidth="1"/>
    <col min="18" max="18" width="7.33203125" bestFit="1" customWidth="1"/>
    <col min="19" max="19" width="19" customWidth="1"/>
    <col min="20" max="20" width="43.83203125" bestFit="1" customWidth="1"/>
    <col min="21" max="21" width="13.08203125" bestFit="1" customWidth="1"/>
    <col min="22" max="22" width="10.25" customWidth="1"/>
    <col min="23" max="23" width="15.08203125" customWidth="1"/>
    <col min="27" max="27" width="9.5" customWidth="1"/>
    <col min="28" max="28" width="12.5" customWidth="1"/>
  </cols>
  <sheetData>
    <row r="1" spans="2:28 16344:16344" ht="7" customHeight="1" thickBot="1"/>
    <row r="2" spans="2:28 16344:16344" ht="18.5" thickTop="1">
      <c r="B2" s="965" t="s">
        <v>557</v>
      </c>
      <c r="C2" s="966"/>
      <c r="D2" s="966"/>
      <c r="E2" s="966"/>
      <c r="F2" s="966"/>
      <c r="G2" s="966"/>
      <c r="H2" s="965" t="s">
        <v>558</v>
      </c>
      <c r="I2" s="966"/>
      <c r="J2" s="966"/>
      <c r="K2" s="966"/>
      <c r="L2" s="966"/>
      <c r="M2" s="966"/>
      <c r="N2" s="965" t="s">
        <v>559</v>
      </c>
      <c r="O2" s="966"/>
      <c r="P2" s="966"/>
      <c r="Q2" s="966"/>
      <c r="R2" s="966"/>
      <c r="S2" s="966"/>
      <c r="T2" s="966"/>
      <c r="U2" s="969"/>
      <c r="W2" s="961" t="s">
        <v>560</v>
      </c>
      <c r="X2" s="962"/>
      <c r="Y2" s="961" t="s">
        <v>561</v>
      </c>
      <c r="Z2" s="962"/>
      <c r="AA2" s="961" t="s">
        <v>562</v>
      </c>
      <c r="AB2" s="962"/>
    </row>
    <row r="3" spans="2:28 16344:16344">
      <c r="B3" s="332"/>
      <c r="C3" s="343" t="s">
        <v>103</v>
      </c>
      <c r="D3" s="615" t="s">
        <v>563</v>
      </c>
      <c r="E3" s="598" t="s">
        <v>564</v>
      </c>
      <c r="F3" s="612" t="s">
        <v>565</v>
      </c>
      <c r="G3" s="343" t="s">
        <v>566</v>
      </c>
      <c r="H3" s="332"/>
      <c r="I3" s="343" t="s">
        <v>103</v>
      </c>
      <c r="J3" s="615" t="s">
        <v>563</v>
      </c>
      <c r="K3" s="598" t="s">
        <v>564</v>
      </c>
      <c r="L3" s="612" t="s">
        <v>565</v>
      </c>
      <c r="M3" s="343" t="s">
        <v>566</v>
      </c>
      <c r="N3" s="967" t="s">
        <v>108</v>
      </c>
      <c r="O3" s="968"/>
      <c r="P3" s="968"/>
      <c r="Q3" s="968"/>
      <c r="R3" s="757" t="s">
        <v>567</v>
      </c>
      <c r="S3" s="757" t="s">
        <v>568</v>
      </c>
      <c r="T3" s="757" t="s">
        <v>569</v>
      </c>
      <c r="U3" s="758" t="s">
        <v>105</v>
      </c>
      <c r="W3" s="335" t="s">
        <v>567</v>
      </c>
      <c r="X3" s="336" t="s">
        <v>570</v>
      </c>
      <c r="Y3" s="335" t="s">
        <v>567</v>
      </c>
      <c r="Z3" s="336" t="s">
        <v>570</v>
      </c>
      <c r="AA3" s="335" t="s">
        <v>567</v>
      </c>
      <c r="AB3" s="336" t="s">
        <v>570</v>
      </c>
    </row>
    <row r="4" spans="2:28 16344:16344">
      <c r="B4" s="333">
        <v>1</v>
      </c>
      <c r="C4" s="344" t="s">
        <v>419</v>
      </c>
      <c r="D4" s="616" t="s">
        <v>571</v>
      </c>
      <c r="E4" s="599" t="s">
        <v>572</v>
      </c>
      <c r="F4" s="345" t="s">
        <v>420</v>
      </c>
      <c r="G4" s="643"/>
      <c r="H4" s="333">
        <v>1</v>
      </c>
      <c r="I4" s="344" t="s">
        <v>302</v>
      </c>
      <c r="J4" s="617" t="s">
        <v>573</v>
      </c>
      <c r="K4" s="600" t="s">
        <v>574</v>
      </c>
      <c r="L4" s="347">
        <v>1045934288</v>
      </c>
      <c r="M4" s="643"/>
      <c r="N4" s="741">
        <v>28</v>
      </c>
      <c r="O4" s="742">
        <v>21</v>
      </c>
      <c r="P4" s="742" t="s">
        <v>400</v>
      </c>
      <c r="Q4" s="742">
        <v>205</v>
      </c>
      <c r="R4" s="743" t="s">
        <v>419</v>
      </c>
      <c r="S4" s="744" t="s">
        <v>420</v>
      </c>
      <c r="T4" s="745" t="s">
        <v>422</v>
      </c>
      <c r="U4" s="740"/>
      <c r="W4" s="341" t="s">
        <v>250</v>
      </c>
      <c r="X4" s="342" t="s">
        <v>575</v>
      </c>
      <c r="Y4" s="341" t="s">
        <v>576</v>
      </c>
      <c r="Z4" s="342" t="s">
        <v>577</v>
      </c>
      <c r="AA4" s="341" t="s">
        <v>276</v>
      </c>
      <c r="AB4" s="342" t="s">
        <v>578</v>
      </c>
    </row>
    <row r="5" spans="2:28 16344:16344">
      <c r="B5" s="334">
        <v>2</v>
      </c>
      <c r="C5" s="346" t="s">
        <v>302</v>
      </c>
      <c r="D5" s="617" t="s">
        <v>573</v>
      </c>
      <c r="E5" s="600" t="s">
        <v>574</v>
      </c>
      <c r="F5" s="347">
        <v>1045934288</v>
      </c>
      <c r="G5" s="644"/>
      <c r="H5" s="334">
        <v>2</v>
      </c>
      <c r="I5" s="346" t="s">
        <v>289</v>
      </c>
      <c r="J5" s="617" t="s">
        <v>579</v>
      </c>
      <c r="K5" s="600" t="s">
        <v>579</v>
      </c>
      <c r="L5" s="347">
        <v>1042129409</v>
      </c>
      <c r="M5" s="644"/>
      <c r="N5" s="741">
        <v>28</v>
      </c>
      <c r="O5" s="742">
        <v>8</v>
      </c>
      <c r="P5" s="742"/>
      <c r="Q5" s="746">
        <v>0</v>
      </c>
      <c r="R5" s="743" t="s">
        <v>327</v>
      </c>
      <c r="S5" s="744">
        <v>1092076435</v>
      </c>
      <c r="T5" s="745" t="s">
        <v>328</v>
      </c>
      <c r="U5" s="740"/>
      <c r="W5" s="341" t="s">
        <v>434</v>
      </c>
      <c r="X5" s="342" t="s">
        <v>575</v>
      </c>
      <c r="Y5" s="341" t="s">
        <v>580</v>
      </c>
      <c r="Z5" s="342" t="s">
        <v>581</v>
      </c>
      <c r="AA5" s="341" t="s">
        <v>316</v>
      </c>
      <c r="AB5" s="342" t="s">
        <v>582</v>
      </c>
    </row>
    <row r="6" spans="2:28 16344:16344" ht="23">
      <c r="B6" s="963">
        <v>3</v>
      </c>
      <c r="C6" s="348" t="s">
        <v>583</v>
      </c>
      <c r="D6" s="618" t="s">
        <v>584</v>
      </c>
      <c r="E6" s="601" t="s">
        <v>584</v>
      </c>
      <c r="F6" s="349">
        <v>1047476757</v>
      </c>
      <c r="G6" s="645" t="s">
        <v>585</v>
      </c>
      <c r="H6" s="586">
        <v>3</v>
      </c>
      <c r="I6" s="348" t="s">
        <v>327</v>
      </c>
      <c r="J6" s="618" t="s">
        <v>586</v>
      </c>
      <c r="K6" s="601" t="s">
        <v>586</v>
      </c>
      <c r="L6" s="349">
        <v>1092076435</v>
      </c>
      <c r="M6" s="645"/>
      <c r="N6" s="741">
        <v>28</v>
      </c>
      <c r="O6" s="742">
        <v>31</v>
      </c>
      <c r="P6" s="742"/>
      <c r="Q6" s="746">
        <v>0</v>
      </c>
      <c r="R6" s="743" t="s">
        <v>462</v>
      </c>
      <c r="S6" s="747" t="s">
        <v>587</v>
      </c>
      <c r="T6" s="748" t="s">
        <v>465</v>
      </c>
      <c r="U6" s="740"/>
      <c r="W6" s="341" t="s">
        <v>480</v>
      </c>
      <c r="X6" s="342" t="s">
        <v>578</v>
      </c>
      <c r="Y6" s="341" t="s">
        <v>588</v>
      </c>
      <c r="Z6" s="342" t="s">
        <v>577</v>
      </c>
      <c r="AA6" s="341"/>
      <c r="AB6" s="342"/>
    </row>
    <row r="7" spans="2:28 16344:16344">
      <c r="B7" s="964"/>
      <c r="C7" s="346" t="s">
        <v>201</v>
      </c>
      <c r="D7" s="618" t="s">
        <v>584</v>
      </c>
      <c r="E7" s="601" t="s">
        <v>584</v>
      </c>
      <c r="F7" s="347">
        <v>1062667936</v>
      </c>
      <c r="G7" s="644" t="s">
        <v>585</v>
      </c>
      <c r="H7" s="333">
        <v>4</v>
      </c>
      <c r="I7" s="346" t="s">
        <v>210</v>
      </c>
      <c r="J7" s="618" t="s">
        <v>589</v>
      </c>
      <c r="K7" s="601" t="s">
        <v>589</v>
      </c>
      <c r="L7" s="347">
        <v>1023796112</v>
      </c>
      <c r="M7" s="644"/>
      <c r="N7" s="741">
        <v>28</v>
      </c>
      <c r="O7" s="742">
        <v>3</v>
      </c>
      <c r="P7" s="742" t="s">
        <v>244</v>
      </c>
      <c r="Q7" s="742">
        <v>501</v>
      </c>
      <c r="R7" s="749" t="s">
        <v>258</v>
      </c>
      <c r="S7" s="744">
        <v>1064819910</v>
      </c>
      <c r="T7" s="748" t="s">
        <v>259</v>
      </c>
      <c r="U7" s="740"/>
      <c r="W7" s="337" t="s">
        <v>357</v>
      </c>
      <c r="X7" s="338" t="s">
        <v>582</v>
      </c>
      <c r="Y7" s="337" t="s">
        <v>338</v>
      </c>
      <c r="Z7" s="338" t="s">
        <v>582</v>
      </c>
      <c r="AA7" s="337"/>
      <c r="AB7" s="338"/>
    </row>
    <row r="8" spans="2:28 16344:16344">
      <c r="B8" s="334">
        <v>4</v>
      </c>
      <c r="C8" s="350" t="s">
        <v>415</v>
      </c>
      <c r="D8" s="619" t="s">
        <v>590</v>
      </c>
      <c r="E8" s="602" t="s">
        <v>590</v>
      </c>
      <c r="F8" s="351">
        <v>1087076397</v>
      </c>
      <c r="G8" s="646"/>
      <c r="H8" s="334">
        <v>5</v>
      </c>
      <c r="I8" s="350" t="s">
        <v>386</v>
      </c>
      <c r="J8" s="617" t="s">
        <v>591</v>
      </c>
      <c r="K8" s="602" t="s">
        <v>592</v>
      </c>
      <c r="L8" s="347">
        <v>1023796112</v>
      </c>
      <c r="M8" s="646"/>
      <c r="N8" s="741">
        <v>28</v>
      </c>
      <c r="O8" s="742">
        <v>1</v>
      </c>
      <c r="P8" s="742" t="s">
        <v>184</v>
      </c>
      <c r="Q8" s="742">
        <v>502</v>
      </c>
      <c r="R8" s="743" t="s">
        <v>210</v>
      </c>
      <c r="S8" s="744">
        <v>1023796112</v>
      </c>
      <c r="T8" s="745" t="s">
        <v>211</v>
      </c>
      <c r="U8" s="740"/>
      <c r="W8" s="337" t="s">
        <v>342</v>
      </c>
      <c r="X8" s="338" t="s">
        <v>582</v>
      </c>
      <c r="Y8" s="337" t="s">
        <v>384</v>
      </c>
      <c r="Z8" s="338" t="s">
        <v>582</v>
      </c>
      <c r="AA8" s="337"/>
      <c r="AB8" s="338"/>
    </row>
    <row r="9" spans="2:28 16344:16344">
      <c r="B9" s="334">
        <v>5</v>
      </c>
      <c r="C9" s="346" t="s">
        <v>245</v>
      </c>
      <c r="D9" s="617" t="s">
        <v>593</v>
      </c>
      <c r="E9" s="600" t="s">
        <v>593</v>
      </c>
      <c r="F9" s="347">
        <v>1083435510</v>
      </c>
      <c r="G9" s="644"/>
      <c r="H9" s="586">
        <v>6</v>
      </c>
      <c r="I9" s="346" t="s">
        <v>258</v>
      </c>
      <c r="J9" s="617" t="s">
        <v>594</v>
      </c>
      <c r="K9" s="600" t="s">
        <v>594</v>
      </c>
      <c r="L9" s="347">
        <v>1064819910</v>
      </c>
      <c r="M9" s="644"/>
      <c r="N9" s="741">
        <v>28</v>
      </c>
      <c r="O9" s="742">
        <v>15</v>
      </c>
      <c r="P9" s="742" t="s">
        <v>367</v>
      </c>
      <c r="Q9" s="742">
        <v>303</v>
      </c>
      <c r="R9" s="743" t="s">
        <v>386</v>
      </c>
      <c r="S9" s="747">
        <v>1026616111</v>
      </c>
      <c r="T9" s="745" t="s">
        <v>387</v>
      </c>
      <c r="U9" s="740"/>
      <c r="W9" s="337" t="s">
        <v>338</v>
      </c>
      <c r="X9" s="338" t="s">
        <v>582</v>
      </c>
      <c r="Y9" s="337"/>
      <c r="Z9" s="338"/>
      <c r="AA9" s="337"/>
      <c r="AB9" s="338"/>
    </row>
    <row r="10" spans="2:28 16344:16344" ht="23">
      <c r="B10" s="334">
        <v>6</v>
      </c>
      <c r="C10" s="350" t="s">
        <v>595</v>
      </c>
      <c r="D10" s="619" t="s">
        <v>596</v>
      </c>
      <c r="E10" s="602" t="s">
        <v>597</v>
      </c>
      <c r="F10" s="351">
        <v>1088475510</v>
      </c>
      <c r="G10" s="646"/>
      <c r="H10" s="333">
        <v>7</v>
      </c>
      <c r="I10" s="631" t="s">
        <v>598</v>
      </c>
      <c r="J10" s="632" t="s">
        <v>599</v>
      </c>
      <c r="K10" s="633" t="s">
        <v>225</v>
      </c>
      <c r="L10" s="634">
        <v>1088667967</v>
      </c>
      <c r="M10" s="646"/>
      <c r="N10" s="741">
        <v>28</v>
      </c>
      <c r="O10" s="742">
        <v>11</v>
      </c>
      <c r="P10" s="742" t="s">
        <v>335</v>
      </c>
      <c r="Q10" s="742">
        <v>202</v>
      </c>
      <c r="R10" s="743" t="s">
        <v>342</v>
      </c>
      <c r="S10" s="747" t="s">
        <v>343</v>
      </c>
      <c r="T10" s="745" t="s">
        <v>345</v>
      </c>
      <c r="U10" s="740"/>
      <c r="W10" s="337" t="s">
        <v>384</v>
      </c>
      <c r="X10" s="338" t="s">
        <v>582</v>
      </c>
      <c r="Y10" s="337"/>
      <c r="Z10" s="338"/>
      <c r="AA10" s="337"/>
      <c r="AB10" s="338"/>
    </row>
    <row r="11" spans="2:28 16344:16344">
      <c r="B11" s="334">
        <v>7</v>
      </c>
      <c r="C11" s="346" t="s">
        <v>600</v>
      </c>
      <c r="D11" s="617" t="s">
        <v>601</v>
      </c>
      <c r="E11" s="600" t="s">
        <v>602</v>
      </c>
      <c r="F11" s="347">
        <v>1025425187</v>
      </c>
      <c r="G11" s="644"/>
      <c r="H11" s="334">
        <v>8</v>
      </c>
      <c r="I11" s="350" t="s">
        <v>595</v>
      </c>
      <c r="J11" s="619" t="s">
        <v>597</v>
      </c>
      <c r="K11" s="602" t="s">
        <v>597</v>
      </c>
      <c r="L11" s="351">
        <v>1088475510</v>
      </c>
      <c r="M11" s="646"/>
      <c r="N11" s="741">
        <v>28</v>
      </c>
      <c r="O11" s="742">
        <v>19</v>
      </c>
      <c r="P11" s="742"/>
      <c r="Q11" s="746">
        <v>0</v>
      </c>
      <c r="R11" s="743" t="s">
        <v>396</v>
      </c>
      <c r="S11" s="744">
        <v>1029997006</v>
      </c>
      <c r="T11" s="745" t="s">
        <v>397</v>
      </c>
      <c r="U11" s="740"/>
      <c r="W11" s="337" t="s">
        <v>382</v>
      </c>
      <c r="X11" s="338" t="s">
        <v>603</v>
      </c>
      <c r="Y11" s="337"/>
      <c r="Z11" s="338"/>
      <c r="AA11" s="337"/>
      <c r="AB11" s="338"/>
    </row>
    <row r="12" spans="2:28 16344:16344">
      <c r="B12" s="334">
        <v>8</v>
      </c>
      <c r="C12" s="354" t="s">
        <v>221</v>
      </c>
      <c r="D12" s="620" t="s">
        <v>604</v>
      </c>
      <c r="E12" s="603" t="s">
        <v>605</v>
      </c>
      <c r="F12" s="355">
        <v>1052729620</v>
      </c>
      <c r="G12" s="647"/>
      <c r="H12" s="586">
        <v>9</v>
      </c>
      <c r="I12" s="354" t="s">
        <v>606</v>
      </c>
      <c r="J12" s="619" t="s">
        <v>590</v>
      </c>
      <c r="K12" s="602" t="s">
        <v>590</v>
      </c>
      <c r="L12" s="351">
        <v>1087076397</v>
      </c>
      <c r="M12" s="647" t="s">
        <v>607</v>
      </c>
      <c r="N12" s="741">
        <v>28</v>
      </c>
      <c r="O12" s="742">
        <v>32</v>
      </c>
      <c r="P12" s="742" t="s">
        <v>468</v>
      </c>
      <c r="Q12" s="742">
        <v>101</v>
      </c>
      <c r="R12" s="743" t="s">
        <v>469</v>
      </c>
      <c r="S12" s="744">
        <v>1080317170</v>
      </c>
      <c r="T12" s="745" t="s">
        <v>470</v>
      </c>
      <c r="U12" s="740"/>
      <c r="W12" s="337" t="s">
        <v>580</v>
      </c>
      <c r="X12" s="338" t="s">
        <v>608</v>
      </c>
      <c r="Y12" s="337"/>
      <c r="Z12" s="338"/>
      <c r="AA12" s="337"/>
      <c r="AB12" s="338"/>
      <c r="XDP12" s="331" t="s">
        <v>605</v>
      </c>
    </row>
    <row r="13" spans="2:28 16344:16344" ht="23">
      <c r="B13" s="334">
        <v>9</v>
      </c>
      <c r="C13" s="352" t="s">
        <v>609</v>
      </c>
      <c r="D13" s="621" t="s">
        <v>610</v>
      </c>
      <c r="E13" s="604" t="s">
        <v>610</v>
      </c>
      <c r="F13" s="353">
        <v>1029997006</v>
      </c>
      <c r="G13" s="648"/>
      <c r="H13" s="333">
        <v>10</v>
      </c>
      <c r="I13" s="352" t="s">
        <v>611</v>
      </c>
      <c r="J13" s="621" t="s">
        <v>612</v>
      </c>
      <c r="K13" s="621" t="s">
        <v>612</v>
      </c>
      <c r="L13" s="353">
        <v>1099885738</v>
      </c>
      <c r="M13" s="648" t="s">
        <v>613</v>
      </c>
      <c r="N13" s="741">
        <v>28</v>
      </c>
      <c r="O13" s="742">
        <v>1</v>
      </c>
      <c r="P13" s="742" t="s">
        <v>184</v>
      </c>
      <c r="Q13" s="742">
        <v>401</v>
      </c>
      <c r="R13" s="743" t="s">
        <v>201</v>
      </c>
      <c r="S13" s="747" t="s">
        <v>614</v>
      </c>
      <c r="T13" s="745" t="s">
        <v>204</v>
      </c>
      <c r="U13" s="740"/>
      <c r="W13" s="337"/>
      <c r="X13" s="338"/>
      <c r="Y13" s="337"/>
      <c r="Z13" s="338"/>
      <c r="AA13" s="337"/>
      <c r="AB13" s="338"/>
    </row>
    <row r="14" spans="2:28 16344:16344">
      <c r="B14" s="334">
        <v>10</v>
      </c>
      <c r="C14" s="350" t="s">
        <v>188</v>
      </c>
      <c r="D14" s="619" t="s">
        <v>615</v>
      </c>
      <c r="E14" s="602" t="s">
        <v>616</v>
      </c>
      <c r="F14" s="351">
        <v>1041834648</v>
      </c>
      <c r="G14" s="646"/>
      <c r="H14" s="334">
        <v>11</v>
      </c>
      <c r="I14" s="631" t="s">
        <v>617</v>
      </c>
      <c r="J14" s="632" t="s">
        <v>618</v>
      </c>
      <c r="K14" s="633" t="s">
        <v>619</v>
      </c>
      <c r="L14" s="634">
        <v>1052322332</v>
      </c>
      <c r="M14" s="737" t="s">
        <v>620</v>
      </c>
      <c r="N14" s="741">
        <v>28</v>
      </c>
      <c r="O14" s="742">
        <v>2</v>
      </c>
      <c r="P14" s="742" t="s">
        <v>214</v>
      </c>
      <c r="Q14" s="742">
        <v>202</v>
      </c>
      <c r="R14" s="743" t="s">
        <v>221</v>
      </c>
      <c r="S14" s="744">
        <v>1052729620</v>
      </c>
      <c r="T14" s="745" t="s">
        <v>222</v>
      </c>
      <c r="U14" s="740"/>
      <c r="W14" s="337"/>
      <c r="X14" s="338"/>
      <c r="Y14" s="337"/>
      <c r="Z14" s="338"/>
      <c r="AA14" s="337"/>
      <c r="AB14" s="338"/>
    </row>
    <row r="15" spans="2:28 16344:16344">
      <c r="B15" s="334">
        <v>11</v>
      </c>
      <c r="C15" s="346" t="s">
        <v>621</v>
      </c>
      <c r="D15" s="617" t="s">
        <v>622</v>
      </c>
      <c r="E15" s="600"/>
      <c r="F15" s="347"/>
      <c r="G15" s="644"/>
      <c r="H15" s="586">
        <v>12</v>
      </c>
      <c r="I15" s="346" t="s">
        <v>471</v>
      </c>
      <c r="J15" s="617" t="s">
        <v>623</v>
      </c>
      <c r="K15" s="617" t="s">
        <v>623</v>
      </c>
      <c r="L15" s="347">
        <v>1054941685</v>
      </c>
      <c r="M15" s="644"/>
      <c r="N15" s="741">
        <v>28</v>
      </c>
      <c r="O15" s="742">
        <v>15</v>
      </c>
      <c r="P15" s="742" t="s">
        <v>367</v>
      </c>
      <c r="Q15" s="742">
        <v>101</v>
      </c>
      <c r="R15" s="743" t="s">
        <v>368</v>
      </c>
      <c r="S15" s="744">
        <v>1037409714</v>
      </c>
      <c r="T15" s="745" t="s">
        <v>369</v>
      </c>
      <c r="U15" s="740"/>
      <c r="W15" s="337"/>
      <c r="X15" s="338"/>
      <c r="Y15" s="337"/>
      <c r="Z15" s="338"/>
      <c r="AA15" s="337"/>
      <c r="AB15" s="338"/>
    </row>
    <row r="16" spans="2:28 16344:16344">
      <c r="B16" s="334">
        <v>12</v>
      </c>
      <c r="C16" s="350" t="s">
        <v>624</v>
      </c>
      <c r="D16" s="619" t="s">
        <v>625</v>
      </c>
      <c r="E16" s="602" t="s">
        <v>625</v>
      </c>
      <c r="F16" s="351">
        <v>1053011820</v>
      </c>
      <c r="G16" s="646"/>
      <c r="H16" s="333">
        <v>13</v>
      </c>
      <c r="I16" s="346" t="s">
        <v>201</v>
      </c>
      <c r="J16" s="618" t="s">
        <v>584</v>
      </c>
      <c r="K16" s="601" t="s">
        <v>584</v>
      </c>
      <c r="L16" s="349">
        <v>1047476757</v>
      </c>
      <c r="M16" s="646"/>
      <c r="N16" s="741">
        <v>28</v>
      </c>
      <c r="O16" s="742">
        <v>1</v>
      </c>
      <c r="P16" s="742" t="s">
        <v>184</v>
      </c>
      <c r="Q16" s="742">
        <v>201</v>
      </c>
      <c r="R16" s="743" t="s">
        <v>188</v>
      </c>
      <c r="S16" s="744">
        <v>1041834048</v>
      </c>
      <c r="T16" s="745" t="s">
        <v>189</v>
      </c>
      <c r="U16" s="740"/>
      <c r="W16" s="337"/>
      <c r="X16" s="338"/>
      <c r="Y16" s="337"/>
      <c r="Z16" s="338"/>
      <c r="AA16" s="337"/>
      <c r="AB16" s="338"/>
    </row>
    <row r="17" spans="2:28">
      <c r="B17" s="334">
        <v>13</v>
      </c>
      <c r="C17" s="350" t="s">
        <v>357</v>
      </c>
      <c r="D17" s="619" t="s">
        <v>626</v>
      </c>
      <c r="E17" s="602" t="s">
        <v>627</v>
      </c>
      <c r="F17" s="351">
        <v>1047197865</v>
      </c>
      <c r="G17" s="646"/>
      <c r="H17" s="334">
        <v>14</v>
      </c>
      <c r="I17" s="350" t="s">
        <v>628</v>
      </c>
      <c r="J17" s="619" t="s">
        <v>629</v>
      </c>
      <c r="K17" s="619" t="s">
        <v>268</v>
      </c>
      <c r="L17" s="351">
        <v>1053390764</v>
      </c>
      <c r="M17" s="646" t="s">
        <v>630</v>
      </c>
      <c r="N17" s="741">
        <v>28</v>
      </c>
      <c r="O17" s="742">
        <v>1</v>
      </c>
      <c r="P17" s="742" t="s">
        <v>184</v>
      </c>
      <c r="Q17" s="742">
        <v>202</v>
      </c>
      <c r="R17" s="743" t="s">
        <v>192</v>
      </c>
      <c r="S17" s="744">
        <v>1089568848</v>
      </c>
      <c r="T17" s="745" t="s">
        <v>193</v>
      </c>
      <c r="U17" s="740"/>
      <c r="W17" s="337"/>
      <c r="X17" s="338"/>
      <c r="Y17" s="337"/>
      <c r="Z17" s="338"/>
      <c r="AA17" s="337"/>
      <c r="AB17" s="338"/>
    </row>
    <row r="18" spans="2:28">
      <c r="B18" s="334">
        <v>14</v>
      </c>
      <c r="C18" s="346" t="s">
        <v>368</v>
      </c>
      <c r="D18" s="617" t="s">
        <v>631</v>
      </c>
      <c r="E18" s="600" t="s">
        <v>632</v>
      </c>
      <c r="F18" s="347">
        <v>1037409714</v>
      </c>
      <c r="G18" s="644"/>
      <c r="H18" s="586">
        <v>15</v>
      </c>
      <c r="I18" s="635" t="s">
        <v>454</v>
      </c>
      <c r="J18" s="636" t="s">
        <v>633</v>
      </c>
      <c r="K18" s="636" t="s">
        <v>633</v>
      </c>
      <c r="L18" s="637">
        <v>1052243222</v>
      </c>
      <c r="M18" s="738" t="s">
        <v>634</v>
      </c>
      <c r="N18" s="741">
        <v>28</v>
      </c>
      <c r="O18" s="742">
        <v>21</v>
      </c>
      <c r="P18" s="742" t="s">
        <v>400</v>
      </c>
      <c r="Q18" s="742">
        <v>202</v>
      </c>
      <c r="R18" s="743" t="s">
        <v>413</v>
      </c>
      <c r="S18" s="744">
        <v>1031124282</v>
      </c>
      <c r="T18" s="745" t="s">
        <v>414</v>
      </c>
      <c r="U18" s="740"/>
      <c r="W18" s="337"/>
      <c r="X18" s="338"/>
      <c r="Y18" s="337"/>
      <c r="Z18" s="338"/>
      <c r="AA18" s="337"/>
      <c r="AB18" s="338"/>
    </row>
    <row r="19" spans="2:28" ht="23">
      <c r="B19" s="963">
        <v>15</v>
      </c>
      <c r="C19" s="350" t="s">
        <v>342</v>
      </c>
      <c r="D19" s="619" t="s">
        <v>635</v>
      </c>
      <c r="E19" s="602" t="s">
        <v>636</v>
      </c>
      <c r="F19" s="351">
        <v>1053814560</v>
      </c>
      <c r="G19" s="646"/>
      <c r="H19" s="333">
        <v>16</v>
      </c>
      <c r="I19" s="631" t="s">
        <v>232</v>
      </c>
      <c r="J19" s="632" t="s">
        <v>637</v>
      </c>
      <c r="K19" s="632" t="s">
        <v>637</v>
      </c>
      <c r="L19" s="634">
        <v>1053684927</v>
      </c>
      <c r="M19" s="737"/>
      <c r="N19" s="741">
        <v>28</v>
      </c>
      <c r="O19" s="742">
        <v>2</v>
      </c>
      <c r="P19" s="742" t="s">
        <v>214</v>
      </c>
      <c r="Q19" s="742">
        <v>302</v>
      </c>
      <c r="R19" s="743" t="s">
        <v>227</v>
      </c>
      <c r="S19" s="747" t="s">
        <v>228</v>
      </c>
      <c r="T19" s="745" t="s">
        <v>230</v>
      </c>
      <c r="U19" s="740"/>
      <c r="W19" s="337"/>
      <c r="X19" s="338"/>
      <c r="Y19" s="337"/>
      <c r="Z19" s="338"/>
      <c r="AA19" s="337"/>
      <c r="AB19" s="338"/>
    </row>
    <row r="20" spans="2:28">
      <c r="B20" s="964"/>
      <c r="C20" s="346" t="s">
        <v>638</v>
      </c>
      <c r="D20" s="617" t="s">
        <v>635</v>
      </c>
      <c r="E20" s="600"/>
      <c r="F20" s="347">
        <v>1074944560</v>
      </c>
      <c r="G20" s="644"/>
      <c r="H20" s="334">
        <v>17</v>
      </c>
      <c r="I20" s="346" t="s">
        <v>639</v>
      </c>
      <c r="J20" s="617" t="s">
        <v>640</v>
      </c>
      <c r="K20" s="600" t="s">
        <v>641</v>
      </c>
      <c r="L20" s="347">
        <v>1094840777</v>
      </c>
      <c r="M20" s="644"/>
      <c r="N20" s="741">
        <v>28</v>
      </c>
      <c r="O20" s="742">
        <v>4</v>
      </c>
      <c r="P20" s="750" t="s">
        <v>265</v>
      </c>
      <c r="Q20" s="742">
        <v>501</v>
      </c>
      <c r="R20" s="743" t="s">
        <v>266</v>
      </c>
      <c r="S20" s="744">
        <v>1053390764</v>
      </c>
      <c r="T20" s="745" t="s">
        <v>269</v>
      </c>
      <c r="U20" s="740"/>
      <c r="W20" s="337"/>
      <c r="X20" s="338"/>
      <c r="Y20" s="337"/>
      <c r="Z20" s="338"/>
      <c r="AA20" s="337"/>
      <c r="AB20" s="338"/>
    </row>
    <row r="21" spans="2:28" ht="23">
      <c r="B21" s="334">
        <v>16</v>
      </c>
      <c r="C21" s="346" t="s">
        <v>239</v>
      </c>
      <c r="D21" s="617" t="s">
        <v>642</v>
      </c>
      <c r="E21" s="600" t="s">
        <v>643</v>
      </c>
      <c r="F21" s="347">
        <v>1062694936</v>
      </c>
      <c r="G21" s="644"/>
      <c r="H21" s="586">
        <v>18</v>
      </c>
      <c r="I21" s="346" t="s">
        <v>644</v>
      </c>
      <c r="J21" s="617" t="s">
        <v>645</v>
      </c>
      <c r="K21" s="617" t="s">
        <v>645</v>
      </c>
      <c r="L21" s="347">
        <v>1025425187</v>
      </c>
      <c r="M21" s="644"/>
      <c r="N21" s="741">
        <v>28</v>
      </c>
      <c r="O21" s="742">
        <v>2</v>
      </c>
      <c r="P21" s="742" t="s">
        <v>214</v>
      </c>
      <c r="Q21" s="742">
        <v>101</v>
      </c>
      <c r="R21" s="743" t="s">
        <v>216</v>
      </c>
      <c r="S21" s="744">
        <v>1094840777</v>
      </c>
      <c r="T21" s="748" t="s">
        <v>217</v>
      </c>
      <c r="U21" s="740"/>
      <c r="W21" s="337"/>
      <c r="X21" s="338"/>
      <c r="Y21" s="337"/>
      <c r="Z21" s="338"/>
      <c r="AA21" s="337"/>
      <c r="AB21" s="338"/>
    </row>
    <row r="22" spans="2:28">
      <c r="B22" s="334">
        <v>17</v>
      </c>
      <c r="C22" s="350" t="s">
        <v>327</v>
      </c>
      <c r="D22" s="619" t="s">
        <v>646</v>
      </c>
      <c r="E22" s="602" t="s">
        <v>646</v>
      </c>
      <c r="F22" s="351">
        <v>1092076435</v>
      </c>
      <c r="G22" s="646"/>
      <c r="H22" s="333">
        <v>19</v>
      </c>
      <c r="I22" s="631" t="s">
        <v>647</v>
      </c>
      <c r="J22" s="632" t="s">
        <v>648</v>
      </c>
      <c r="K22" s="633" t="s">
        <v>649</v>
      </c>
      <c r="L22" s="634">
        <v>1062256947</v>
      </c>
      <c r="M22" s="737" t="s">
        <v>650</v>
      </c>
      <c r="N22" s="741">
        <v>28</v>
      </c>
      <c r="O22" s="742">
        <v>1</v>
      </c>
      <c r="P22" s="742" t="s">
        <v>184</v>
      </c>
      <c r="Q22" s="742">
        <v>501</v>
      </c>
      <c r="R22" s="743" t="s">
        <v>207</v>
      </c>
      <c r="S22" s="744">
        <v>1099885738</v>
      </c>
      <c r="T22" s="745" t="s">
        <v>209</v>
      </c>
      <c r="U22" s="740"/>
      <c r="W22" s="337"/>
      <c r="X22" s="338"/>
      <c r="Y22" s="337"/>
      <c r="Z22" s="338"/>
      <c r="AA22" s="337"/>
      <c r="AB22" s="338"/>
    </row>
    <row r="23" spans="2:28">
      <c r="B23" s="334">
        <v>18</v>
      </c>
      <c r="C23" s="346" t="s">
        <v>289</v>
      </c>
      <c r="D23" s="617" t="s">
        <v>651</v>
      </c>
      <c r="E23" s="600" t="s">
        <v>651</v>
      </c>
      <c r="F23" s="347">
        <v>1042129409</v>
      </c>
      <c r="G23" s="644"/>
      <c r="H23" s="334">
        <v>20</v>
      </c>
      <c r="I23" s="635" t="s">
        <v>373</v>
      </c>
      <c r="J23" s="636" t="s">
        <v>652</v>
      </c>
      <c r="K23" s="636" t="s">
        <v>652</v>
      </c>
      <c r="L23" s="637">
        <v>1053084290</v>
      </c>
      <c r="M23" s="738"/>
      <c r="N23" s="741">
        <v>28</v>
      </c>
      <c r="O23" s="742">
        <v>2</v>
      </c>
      <c r="P23" s="742" t="s">
        <v>214</v>
      </c>
      <c r="Q23" s="742">
        <v>401</v>
      </c>
      <c r="R23" s="743" t="s">
        <v>232</v>
      </c>
      <c r="S23" s="744">
        <v>1053684927</v>
      </c>
      <c r="T23" s="745" t="s">
        <v>233</v>
      </c>
      <c r="U23" s="740"/>
      <c r="W23" s="337"/>
      <c r="X23" s="338"/>
      <c r="Y23" s="337"/>
      <c r="Z23" s="338"/>
      <c r="AA23" s="337"/>
      <c r="AB23" s="338"/>
    </row>
    <row r="24" spans="2:28">
      <c r="B24" s="334">
        <v>19</v>
      </c>
      <c r="C24" s="350" t="s">
        <v>403</v>
      </c>
      <c r="D24" s="619" t="s">
        <v>653</v>
      </c>
      <c r="E24" s="602" t="s">
        <v>654</v>
      </c>
      <c r="F24" s="351">
        <v>1033112358</v>
      </c>
      <c r="G24" s="646"/>
      <c r="H24" s="586">
        <v>21</v>
      </c>
      <c r="I24" s="346" t="s">
        <v>239</v>
      </c>
      <c r="J24" s="617" t="s">
        <v>642</v>
      </c>
      <c r="K24" s="600" t="s">
        <v>643</v>
      </c>
      <c r="L24" s="347">
        <v>1062694936</v>
      </c>
      <c r="M24" s="646"/>
      <c r="N24" s="741">
        <v>28</v>
      </c>
      <c r="O24" s="742">
        <v>32</v>
      </c>
      <c r="P24" s="742" t="s">
        <v>468</v>
      </c>
      <c r="Q24" s="742">
        <v>101</v>
      </c>
      <c r="R24" s="743" t="s">
        <v>469</v>
      </c>
      <c r="S24" s="744">
        <v>1080317170</v>
      </c>
      <c r="T24" s="745" t="s">
        <v>470</v>
      </c>
      <c r="U24" s="740"/>
      <c r="W24" s="337"/>
      <c r="X24" s="338"/>
      <c r="Y24" s="337"/>
      <c r="Z24" s="338"/>
      <c r="AA24" s="337"/>
      <c r="AB24" s="338"/>
    </row>
    <row r="25" spans="2:28">
      <c r="B25" s="334">
        <v>20</v>
      </c>
      <c r="C25" s="346" t="s">
        <v>258</v>
      </c>
      <c r="D25" s="617" t="s">
        <v>594</v>
      </c>
      <c r="E25" s="600" t="s">
        <v>594</v>
      </c>
      <c r="F25" s="347">
        <v>1064819910</v>
      </c>
      <c r="G25" s="644"/>
      <c r="H25" s="333">
        <v>22</v>
      </c>
      <c r="I25" s="635" t="s">
        <v>331</v>
      </c>
      <c r="J25" s="636" t="s">
        <v>655</v>
      </c>
      <c r="K25" s="638" t="s">
        <v>656</v>
      </c>
      <c r="L25" s="637" t="s">
        <v>657</v>
      </c>
      <c r="M25" s="738" t="s">
        <v>658</v>
      </c>
      <c r="N25" s="741">
        <v>28</v>
      </c>
      <c r="O25" s="742">
        <v>2</v>
      </c>
      <c r="P25" s="742" t="s">
        <v>214</v>
      </c>
      <c r="Q25" s="742">
        <v>301</v>
      </c>
      <c r="R25" s="743" t="s">
        <v>224</v>
      </c>
      <c r="S25" s="744">
        <v>1088667967</v>
      </c>
      <c r="T25" s="745" t="s">
        <v>225</v>
      </c>
      <c r="U25" s="740"/>
      <c r="W25" s="337"/>
      <c r="X25" s="338"/>
      <c r="Y25" s="337"/>
      <c r="Z25" s="338"/>
      <c r="AA25" s="337"/>
      <c r="AB25" s="338"/>
    </row>
    <row r="26" spans="2:28">
      <c r="B26" s="334">
        <v>21</v>
      </c>
      <c r="C26" s="350" t="s">
        <v>210</v>
      </c>
      <c r="D26" s="619" t="s">
        <v>592</v>
      </c>
      <c r="E26" s="602" t="s">
        <v>592</v>
      </c>
      <c r="F26" s="347">
        <v>1023796112</v>
      </c>
      <c r="G26" s="646" t="s">
        <v>659</v>
      </c>
      <c r="H26" s="334">
        <v>23</v>
      </c>
      <c r="I26" s="350" t="s">
        <v>660</v>
      </c>
      <c r="J26" s="619" t="s">
        <v>661</v>
      </c>
      <c r="K26" s="602" t="s">
        <v>662</v>
      </c>
      <c r="L26" s="351">
        <v>1022802127</v>
      </c>
      <c r="M26" s="646"/>
      <c r="N26" s="741">
        <v>28</v>
      </c>
      <c r="O26" s="742">
        <v>2</v>
      </c>
      <c r="P26" s="742" t="s">
        <v>214</v>
      </c>
      <c r="Q26" s="742">
        <v>502</v>
      </c>
      <c r="R26" s="743" t="s">
        <v>239</v>
      </c>
      <c r="S26" s="744">
        <v>1062694936</v>
      </c>
      <c r="T26" s="748" t="s">
        <v>241</v>
      </c>
      <c r="U26" s="740"/>
      <c r="W26" s="337"/>
      <c r="X26" s="338"/>
      <c r="Y26" s="337"/>
      <c r="Z26" s="338"/>
      <c r="AA26" s="337"/>
      <c r="AB26" s="338"/>
    </row>
    <row r="27" spans="2:28">
      <c r="B27" s="334">
        <v>22</v>
      </c>
      <c r="C27" s="346" t="s">
        <v>386</v>
      </c>
      <c r="D27" s="617" t="s">
        <v>591</v>
      </c>
      <c r="E27" s="602" t="s">
        <v>592</v>
      </c>
      <c r="F27" s="347"/>
      <c r="G27" s="644" t="s">
        <v>663</v>
      </c>
      <c r="H27" s="586">
        <v>24</v>
      </c>
      <c r="I27" s="635" t="s">
        <v>664</v>
      </c>
      <c r="J27" s="636" t="s">
        <v>665</v>
      </c>
      <c r="K27" s="636" t="s">
        <v>665</v>
      </c>
      <c r="L27" s="637" t="s">
        <v>657</v>
      </c>
      <c r="M27" s="738" t="s">
        <v>666</v>
      </c>
      <c r="N27" s="741">
        <v>28</v>
      </c>
      <c r="O27" s="742">
        <v>2</v>
      </c>
      <c r="P27" s="742" t="s">
        <v>214</v>
      </c>
      <c r="Q27" s="742">
        <v>201</v>
      </c>
      <c r="R27" s="743" t="s">
        <v>219</v>
      </c>
      <c r="S27" s="744">
        <v>1090234936</v>
      </c>
      <c r="T27" s="748" t="s">
        <v>220</v>
      </c>
      <c r="U27" s="740"/>
      <c r="W27" s="337"/>
      <c r="X27" s="338"/>
      <c r="Y27" s="337"/>
      <c r="Z27" s="338"/>
      <c r="AA27" s="337"/>
      <c r="AB27" s="338"/>
    </row>
    <row r="28" spans="2:28" ht="23">
      <c r="B28" s="334">
        <v>23</v>
      </c>
      <c r="C28" s="350" t="s">
        <v>276</v>
      </c>
      <c r="D28" s="619" t="s">
        <v>667</v>
      </c>
      <c r="E28" s="602" t="s">
        <v>662</v>
      </c>
      <c r="F28" s="351">
        <v>1022802127</v>
      </c>
      <c r="G28" s="646"/>
      <c r="H28" s="334">
        <v>23</v>
      </c>
      <c r="I28" s="639" t="s">
        <v>668</v>
      </c>
      <c r="J28" s="640" t="s">
        <v>669</v>
      </c>
      <c r="K28" s="640" t="s">
        <v>669</v>
      </c>
      <c r="L28" s="641">
        <v>1091560958</v>
      </c>
      <c r="M28" s="737"/>
      <c r="N28" s="741">
        <v>28</v>
      </c>
      <c r="O28" s="742">
        <v>28</v>
      </c>
      <c r="P28" s="750" t="s">
        <v>453</v>
      </c>
      <c r="Q28" s="742" t="s">
        <v>457</v>
      </c>
      <c r="R28" s="743" t="s">
        <v>454</v>
      </c>
      <c r="S28" s="747" t="s">
        <v>458</v>
      </c>
      <c r="T28" s="745" t="s">
        <v>456</v>
      </c>
      <c r="U28" s="740" t="s">
        <v>670</v>
      </c>
      <c r="W28" s="337"/>
      <c r="X28" s="338"/>
      <c r="Y28" s="337"/>
      <c r="Z28" s="338"/>
      <c r="AA28" s="337"/>
      <c r="AB28" s="338"/>
    </row>
    <row r="29" spans="2:28" ht="26.5" thickBot="1">
      <c r="B29" s="586">
        <v>24</v>
      </c>
      <c r="C29" s="346" t="s">
        <v>304</v>
      </c>
      <c r="D29" s="617" t="s">
        <v>671</v>
      </c>
      <c r="E29" s="600" t="s">
        <v>671</v>
      </c>
      <c r="F29" s="347">
        <v>1022756481</v>
      </c>
      <c r="G29" s="644"/>
      <c r="H29" s="586">
        <v>24</v>
      </c>
      <c r="I29" s="635" t="s">
        <v>426</v>
      </c>
      <c r="J29" s="636" t="s">
        <v>672</v>
      </c>
      <c r="K29" s="638" t="s">
        <v>673</v>
      </c>
      <c r="L29" s="642" t="s">
        <v>674</v>
      </c>
      <c r="M29" s="738"/>
      <c r="N29" s="741">
        <v>28</v>
      </c>
      <c r="O29" s="742">
        <v>15</v>
      </c>
      <c r="P29" s="742" t="s">
        <v>367</v>
      </c>
      <c r="Q29" s="742">
        <v>203</v>
      </c>
      <c r="R29" s="743" t="s">
        <v>379</v>
      </c>
      <c r="S29" s="744">
        <v>1087076397</v>
      </c>
      <c r="T29" s="745" t="s">
        <v>381</v>
      </c>
      <c r="U29" s="740"/>
      <c r="W29" s="339"/>
      <c r="X29" s="340"/>
      <c r="Y29" s="339"/>
      <c r="Z29" s="340"/>
      <c r="AA29" s="339"/>
      <c r="AB29" s="340"/>
    </row>
    <row r="30" spans="2:28" ht="17.5" thickTop="1">
      <c r="B30" s="334">
        <v>25</v>
      </c>
      <c r="C30" s="588" t="s">
        <v>675</v>
      </c>
      <c r="D30" s="622" t="s">
        <v>676</v>
      </c>
      <c r="E30" s="596" t="s">
        <v>677</v>
      </c>
      <c r="F30" s="589">
        <v>1025206793</v>
      </c>
      <c r="G30" s="649"/>
      <c r="H30" s="334">
        <v>23</v>
      </c>
      <c r="I30" s="350" t="s">
        <v>678</v>
      </c>
      <c r="J30" s="619" t="s">
        <v>679</v>
      </c>
      <c r="K30" s="602" t="s">
        <v>680</v>
      </c>
      <c r="L30" s="351">
        <v>1025206793</v>
      </c>
      <c r="M30" s="646"/>
      <c r="N30" s="741">
        <v>28</v>
      </c>
      <c r="O30" s="742">
        <v>1</v>
      </c>
      <c r="P30" s="742" t="s">
        <v>184</v>
      </c>
      <c r="Q30" s="742">
        <v>402</v>
      </c>
      <c r="R30" s="743" t="s">
        <v>205</v>
      </c>
      <c r="S30" s="744">
        <v>1088475510</v>
      </c>
      <c r="T30" s="745" t="s">
        <v>206</v>
      </c>
      <c r="U30" s="740" t="s">
        <v>681</v>
      </c>
    </row>
    <row r="31" spans="2:28">
      <c r="B31" s="586">
        <v>26</v>
      </c>
      <c r="C31" s="590" t="s">
        <v>260</v>
      </c>
      <c r="D31" s="623" t="s">
        <v>682</v>
      </c>
      <c r="E31" s="605" t="s">
        <v>683</v>
      </c>
      <c r="F31" s="591">
        <v>1077362221</v>
      </c>
      <c r="G31" s="650"/>
      <c r="H31" s="334">
        <v>23</v>
      </c>
      <c r="I31" s="350" t="s">
        <v>684</v>
      </c>
      <c r="J31" s="619" t="s">
        <v>685</v>
      </c>
      <c r="K31" s="619" t="s">
        <v>685</v>
      </c>
      <c r="L31" s="351">
        <v>1037409714</v>
      </c>
      <c r="M31" s="646"/>
      <c r="N31" s="741">
        <v>28</v>
      </c>
      <c r="O31" s="742">
        <v>21</v>
      </c>
      <c r="P31" s="742" t="s">
        <v>400</v>
      </c>
      <c r="Q31" s="742">
        <v>302</v>
      </c>
      <c r="R31" s="743" t="s">
        <v>426</v>
      </c>
      <c r="S31" s="744">
        <v>1046417645</v>
      </c>
      <c r="T31" s="745" t="s">
        <v>428</v>
      </c>
      <c r="U31" s="740" t="s">
        <v>686</v>
      </c>
    </row>
    <row r="32" spans="2:28" ht="23">
      <c r="B32" s="334">
        <v>27</v>
      </c>
      <c r="C32" s="592" t="s">
        <v>346</v>
      </c>
      <c r="D32" s="624" t="s">
        <v>687</v>
      </c>
      <c r="E32" s="606" t="s">
        <v>688</v>
      </c>
      <c r="F32" s="593">
        <v>1054951181</v>
      </c>
      <c r="G32" s="650"/>
      <c r="H32" s="334">
        <v>23</v>
      </c>
      <c r="I32" s="350" t="s">
        <v>624</v>
      </c>
      <c r="J32" s="619" t="s">
        <v>689</v>
      </c>
      <c r="K32" s="602" t="s">
        <v>690</v>
      </c>
      <c r="L32" s="351">
        <v>1053011820</v>
      </c>
      <c r="M32" s="646" t="s">
        <v>691</v>
      </c>
      <c r="N32" s="741">
        <v>28</v>
      </c>
      <c r="O32" s="742">
        <v>21</v>
      </c>
      <c r="P32" s="742" t="s">
        <v>400</v>
      </c>
      <c r="Q32" s="742">
        <v>203</v>
      </c>
      <c r="R32" s="743" t="s">
        <v>415</v>
      </c>
      <c r="S32" s="747" t="s">
        <v>416</v>
      </c>
      <c r="T32" s="745" t="s">
        <v>417</v>
      </c>
      <c r="U32" s="740"/>
    </row>
    <row r="33" spans="2:21">
      <c r="B33" s="586">
        <v>28</v>
      </c>
      <c r="C33" s="609" t="s">
        <v>692</v>
      </c>
      <c r="D33" s="623" t="s">
        <v>693</v>
      </c>
      <c r="E33" s="605" t="s">
        <v>694</v>
      </c>
      <c r="F33" s="591">
        <v>1052103668</v>
      </c>
      <c r="G33" s="651" t="s">
        <v>695</v>
      </c>
      <c r="H33" s="334">
        <v>23</v>
      </c>
      <c r="I33" s="350" t="s">
        <v>696</v>
      </c>
      <c r="J33" s="619" t="s">
        <v>697</v>
      </c>
      <c r="K33" s="619" t="s">
        <v>697</v>
      </c>
      <c r="L33" s="351">
        <v>1052729620</v>
      </c>
      <c r="M33" s="646"/>
      <c r="N33" s="741">
        <v>28</v>
      </c>
      <c r="O33" s="742">
        <v>11</v>
      </c>
      <c r="P33" s="742" t="s">
        <v>335</v>
      </c>
      <c r="Q33" s="742">
        <v>401</v>
      </c>
      <c r="R33" s="743" t="s">
        <v>352</v>
      </c>
      <c r="S33" s="744">
        <v>1053011820</v>
      </c>
      <c r="T33" s="745" t="s">
        <v>353</v>
      </c>
      <c r="U33" s="740" t="s">
        <v>698</v>
      </c>
    </row>
    <row r="34" spans="2:21">
      <c r="B34" s="334">
        <v>29</v>
      </c>
      <c r="C34" s="609" t="s">
        <v>699</v>
      </c>
      <c r="D34" s="623" t="s">
        <v>700</v>
      </c>
      <c r="E34" s="605" t="s">
        <v>641</v>
      </c>
      <c r="F34" s="591">
        <v>1094840777</v>
      </c>
      <c r="G34" s="651"/>
      <c r="H34" s="334">
        <v>23</v>
      </c>
      <c r="I34" s="631" t="s">
        <v>701</v>
      </c>
      <c r="J34" s="632" t="s">
        <v>702</v>
      </c>
      <c r="K34" s="633" t="s">
        <v>703</v>
      </c>
      <c r="L34" s="634">
        <v>1072265756</v>
      </c>
      <c r="M34" s="737"/>
      <c r="N34" s="741">
        <v>28</v>
      </c>
      <c r="O34" s="742">
        <v>36</v>
      </c>
      <c r="P34" s="742"/>
      <c r="Q34" s="746">
        <v>0</v>
      </c>
      <c r="R34" s="749" t="s">
        <v>488</v>
      </c>
      <c r="S34" s="744">
        <v>1052103668</v>
      </c>
      <c r="T34" s="748" t="s">
        <v>490</v>
      </c>
      <c r="U34" s="740" t="s">
        <v>704</v>
      </c>
    </row>
    <row r="35" spans="2:21">
      <c r="B35" s="586">
        <v>30</v>
      </c>
      <c r="C35" s="609" t="s">
        <v>705</v>
      </c>
      <c r="D35" s="623" t="s">
        <v>706</v>
      </c>
      <c r="E35" s="605" t="s">
        <v>641</v>
      </c>
      <c r="F35" s="591">
        <v>1044530114</v>
      </c>
      <c r="G35" s="651"/>
      <c r="H35" s="334">
        <v>23</v>
      </c>
      <c r="I35" s="631" t="s">
        <v>707</v>
      </c>
      <c r="J35" s="632" t="s">
        <v>708</v>
      </c>
      <c r="K35" s="633" t="s">
        <v>709</v>
      </c>
      <c r="L35" s="634">
        <v>1058596947</v>
      </c>
      <c r="M35" s="737"/>
      <c r="N35" s="741">
        <v>28</v>
      </c>
      <c r="O35" s="742">
        <v>5</v>
      </c>
      <c r="P35" s="742" t="s">
        <v>272</v>
      </c>
      <c r="Q35" s="742">
        <v>202</v>
      </c>
      <c r="R35" s="743" t="s">
        <v>276</v>
      </c>
      <c r="S35" s="744">
        <v>1022802127</v>
      </c>
      <c r="T35" s="745" t="s">
        <v>278</v>
      </c>
      <c r="U35" s="740"/>
    </row>
    <row r="36" spans="2:21" ht="26.5" thickBot="1">
      <c r="B36" s="334">
        <v>31</v>
      </c>
      <c r="C36" s="609" t="s">
        <v>707</v>
      </c>
      <c r="D36" s="623" t="s">
        <v>710</v>
      </c>
      <c r="E36" s="605" t="s">
        <v>709</v>
      </c>
      <c r="F36" s="613">
        <v>1058596947</v>
      </c>
      <c r="G36" s="651"/>
      <c r="H36" s="652">
        <v>23</v>
      </c>
      <c r="I36" s="653" t="s">
        <v>638</v>
      </c>
      <c r="J36" s="654" t="s">
        <v>711</v>
      </c>
      <c r="K36" s="655" t="s">
        <v>712</v>
      </c>
      <c r="L36" s="656" t="s">
        <v>343</v>
      </c>
      <c r="M36" s="739" t="s">
        <v>713</v>
      </c>
      <c r="N36" s="741">
        <v>28</v>
      </c>
      <c r="O36" s="742">
        <v>32</v>
      </c>
      <c r="P36" s="742" t="s">
        <v>468</v>
      </c>
      <c r="Q36" s="742">
        <v>201</v>
      </c>
      <c r="R36" s="743" t="s">
        <v>473</v>
      </c>
      <c r="S36" s="744">
        <v>1025425187</v>
      </c>
      <c r="T36" s="745" t="s">
        <v>474</v>
      </c>
      <c r="U36" s="740"/>
    </row>
    <row r="37" spans="2:21" ht="23">
      <c r="B37" s="586">
        <v>32</v>
      </c>
      <c r="C37" s="609" t="s">
        <v>714</v>
      </c>
      <c r="D37" s="623" t="s">
        <v>715</v>
      </c>
      <c r="E37" s="605" t="s">
        <v>716</v>
      </c>
      <c r="F37" s="591">
        <v>1093373913</v>
      </c>
      <c r="G37" s="610"/>
      <c r="H37" s="74"/>
      <c r="I37" s="74"/>
      <c r="J37" s="74"/>
      <c r="K37" s="74"/>
      <c r="L37" s="74"/>
      <c r="M37" s="74"/>
      <c r="N37" s="741">
        <v>28</v>
      </c>
      <c r="O37" s="742">
        <v>6</v>
      </c>
      <c r="P37" s="742" t="s">
        <v>293</v>
      </c>
      <c r="Q37" s="742">
        <v>203</v>
      </c>
      <c r="R37" s="743" t="s">
        <v>299</v>
      </c>
      <c r="S37" s="747" t="s">
        <v>300</v>
      </c>
      <c r="T37" s="745" t="s">
        <v>301</v>
      </c>
      <c r="U37" s="740" t="s">
        <v>717</v>
      </c>
    </row>
    <row r="38" spans="2:21" ht="34.5">
      <c r="B38" s="334">
        <v>33</v>
      </c>
      <c r="C38" s="609" t="s">
        <v>718</v>
      </c>
      <c r="D38" s="623" t="s">
        <v>719</v>
      </c>
      <c r="E38" s="605" t="s">
        <v>720</v>
      </c>
      <c r="F38" s="591">
        <v>1089593398</v>
      </c>
      <c r="G38" s="610"/>
      <c r="H38" s="74"/>
      <c r="I38" s="74"/>
      <c r="J38" s="74"/>
      <c r="K38" s="74"/>
      <c r="L38" s="74"/>
      <c r="M38" s="74"/>
      <c r="N38" s="741">
        <v>28</v>
      </c>
      <c r="O38" s="742">
        <v>1</v>
      </c>
      <c r="P38" s="742" t="s">
        <v>184</v>
      </c>
      <c r="Q38" s="742">
        <v>301</v>
      </c>
      <c r="R38" s="743" t="s">
        <v>195</v>
      </c>
      <c r="S38" s="747" t="s">
        <v>196</v>
      </c>
      <c r="T38" s="745" t="s">
        <v>198</v>
      </c>
      <c r="U38" s="740"/>
    </row>
    <row r="39" spans="2:21">
      <c r="B39" s="586">
        <v>34</v>
      </c>
      <c r="C39" s="609" t="s">
        <v>721</v>
      </c>
      <c r="D39" s="623" t="s">
        <v>722</v>
      </c>
      <c r="E39" s="605" t="s">
        <v>723</v>
      </c>
      <c r="F39" s="591">
        <v>1090890638</v>
      </c>
      <c r="G39" s="610"/>
      <c r="H39" s="74"/>
      <c r="I39" s="74"/>
      <c r="J39" s="74"/>
      <c r="K39" s="74"/>
      <c r="L39" s="74"/>
      <c r="M39" s="74"/>
      <c r="N39" s="741">
        <v>28</v>
      </c>
      <c r="O39" s="742">
        <v>21</v>
      </c>
      <c r="P39" s="742" t="s">
        <v>400</v>
      </c>
      <c r="Q39" s="742">
        <v>102</v>
      </c>
      <c r="R39" s="743" t="s">
        <v>403</v>
      </c>
      <c r="S39" s="744">
        <v>1033112358</v>
      </c>
      <c r="T39" s="745" t="s">
        <v>405</v>
      </c>
      <c r="U39" s="740"/>
    </row>
    <row r="40" spans="2:21" ht="23.5" thickBot="1">
      <c r="B40" s="334">
        <v>35</v>
      </c>
      <c r="C40" s="609" t="s">
        <v>724</v>
      </c>
      <c r="D40" s="623" t="s">
        <v>725</v>
      </c>
      <c r="E40" s="605" t="s">
        <v>726</v>
      </c>
      <c r="F40" s="591">
        <v>1051910707</v>
      </c>
      <c r="G40" s="627" t="s">
        <v>727</v>
      </c>
      <c r="H40" s="74"/>
      <c r="I40" s="74"/>
      <c r="J40" s="74"/>
      <c r="K40" s="74"/>
      <c r="L40" s="74"/>
      <c r="M40" s="74"/>
      <c r="N40" s="751">
        <v>28</v>
      </c>
      <c r="O40" s="752">
        <v>2</v>
      </c>
      <c r="P40" s="752" t="s">
        <v>214</v>
      </c>
      <c r="Q40" s="752">
        <v>402</v>
      </c>
      <c r="R40" s="753" t="s">
        <v>234</v>
      </c>
      <c r="S40" s="754" t="s">
        <v>235</v>
      </c>
      <c r="T40" s="755" t="s">
        <v>236</v>
      </c>
      <c r="U40" s="756" t="s">
        <v>728</v>
      </c>
    </row>
    <row r="41" spans="2:21">
      <c r="B41" s="586">
        <v>36</v>
      </c>
      <c r="C41" s="609" t="s">
        <v>729</v>
      </c>
      <c r="D41" s="623" t="s">
        <v>730</v>
      </c>
      <c r="E41" s="605" t="s">
        <v>690</v>
      </c>
      <c r="F41" s="591">
        <v>1053011820</v>
      </c>
      <c r="G41" s="610"/>
    </row>
    <row r="42" spans="2:21">
      <c r="B42" s="334">
        <v>37</v>
      </c>
      <c r="C42" s="609" t="s">
        <v>731</v>
      </c>
      <c r="D42" s="623" t="s">
        <v>732</v>
      </c>
      <c r="E42" s="605" t="s">
        <v>733</v>
      </c>
      <c r="F42" s="591">
        <v>1052174850</v>
      </c>
      <c r="G42" s="610"/>
    </row>
    <row r="43" spans="2:21">
      <c r="B43" s="586">
        <v>38</v>
      </c>
      <c r="C43" s="609" t="s">
        <v>734</v>
      </c>
      <c r="D43" s="623" t="s">
        <v>672</v>
      </c>
      <c r="E43" s="605" t="s">
        <v>735</v>
      </c>
      <c r="F43" s="591">
        <v>1046417645</v>
      </c>
      <c r="G43" s="610" t="s">
        <v>736</v>
      </c>
    </row>
    <row r="44" spans="2:21">
      <c r="B44" s="334">
        <v>39</v>
      </c>
      <c r="C44" s="609" t="s">
        <v>737</v>
      </c>
      <c r="D44" s="623" t="s">
        <v>738</v>
      </c>
      <c r="E44" s="605" t="s">
        <v>739</v>
      </c>
      <c r="F44" s="591">
        <v>1053390764</v>
      </c>
      <c r="G44" s="610" t="s">
        <v>740</v>
      </c>
    </row>
    <row r="45" spans="2:21">
      <c r="B45" s="586">
        <v>40</v>
      </c>
      <c r="C45" s="609" t="s">
        <v>675</v>
      </c>
      <c r="D45" s="623" t="s">
        <v>679</v>
      </c>
      <c r="E45" s="605" t="s">
        <v>677</v>
      </c>
      <c r="F45" s="591">
        <v>1037106773</v>
      </c>
      <c r="G45" s="610" t="s">
        <v>741</v>
      </c>
    </row>
    <row r="46" spans="2:21" ht="34">
      <c r="B46" s="334">
        <v>41</v>
      </c>
      <c r="C46" s="609" t="s">
        <v>617</v>
      </c>
      <c r="D46" s="623" t="s">
        <v>742</v>
      </c>
      <c r="E46" s="605" t="s">
        <v>619</v>
      </c>
      <c r="F46" s="591">
        <v>1052322332</v>
      </c>
      <c r="G46" s="628" t="s">
        <v>743</v>
      </c>
    </row>
    <row r="47" spans="2:21">
      <c r="B47" s="586">
        <v>42</v>
      </c>
      <c r="C47" s="609" t="s">
        <v>744</v>
      </c>
      <c r="D47" s="623" t="s">
        <v>745</v>
      </c>
      <c r="E47" s="605" t="s">
        <v>746</v>
      </c>
      <c r="F47" s="591">
        <v>1097237677</v>
      </c>
      <c r="G47" s="610"/>
    </row>
    <row r="48" spans="2:21">
      <c r="B48" s="334">
        <v>43</v>
      </c>
      <c r="C48" s="609" t="s">
        <v>747</v>
      </c>
      <c r="D48" s="623" t="s">
        <v>748</v>
      </c>
      <c r="E48" s="605" t="s">
        <v>749</v>
      </c>
      <c r="F48" s="591">
        <v>1063607471</v>
      </c>
      <c r="G48" s="610"/>
    </row>
    <row r="49" spans="2:7">
      <c r="B49" s="586">
        <v>44</v>
      </c>
      <c r="C49" s="609" t="s">
        <v>401</v>
      </c>
      <c r="D49" s="623" t="s">
        <v>750</v>
      </c>
      <c r="E49" s="605" t="s">
        <v>751</v>
      </c>
      <c r="F49" s="591">
        <v>1072265756</v>
      </c>
      <c r="G49" s="610"/>
    </row>
    <row r="50" spans="2:7">
      <c r="B50" s="334">
        <v>45</v>
      </c>
      <c r="C50" s="609" t="s">
        <v>668</v>
      </c>
      <c r="D50" s="623" t="s">
        <v>669</v>
      </c>
      <c r="E50" s="623" t="s">
        <v>669</v>
      </c>
      <c r="F50" s="591">
        <v>1091560958</v>
      </c>
      <c r="G50" s="610"/>
    </row>
    <row r="51" spans="2:7">
      <c r="B51" s="586">
        <v>46</v>
      </c>
      <c r="C51" s="609"/>
      <c r="D51" s="623"/>
      <c r="E51" s="605"/>
      <c r="F51" s="591"/>
      <c r="G51" s="610"/>
    </row>
    <row r="52" spans="2:7">
      <c r="B52" s="334">
        <v>47</v>
      </c>
      <c r="C52" s="609"/>
      <c r="D52" s="623"/>
      <c r="E52" s="605"/>
      <c r="F52" s="591"/>
      <c r="G52" s="610"/>
    </row>
    <row r="53" spans="2:7">
      <c r="B53" s="586">
        <v>48</v>
      </c>
      <c r="C53" s="609"/>
      <c r="D53" s="623"/>
      <c r="E53" s="605"/>
      <c r="F53" s="591"/>
      <c r="G53" s="610"/>
    </row>
    <row r="54" spans="2:7">
      <c r="B54" s="334">
        <v>49</v>
      </c>
      <c r="C54" s="609"/>
      <c r="D54" s="623"/>
      <c r="E54" s="605"/>
      <c r="F54" s="591"/>
      <c r="G54" s="610"/>
    </row>
    <row r="55" spans="2:7">
      <c r="B55" s="586">
        <v>50</v>
      </c>
      <c r="C55" s="609"/>
      <c r="D55" s="623"/>
      <c r="E55" s="605"/>
      <c r="F55" s="591"/>
      <c r="G55" s="610"/>
    </row>
    <row r="56" spans="2:7">
      <c r="B56" s="334">
        <v>51</v>
      </c>
      <c r="C56" s="609"/>
      <c r="D56" s="623"/>
      <c r="E56" s="605"/>
      <c r="F56" s="591"/>
      <c r="G56" s="610"/>
    </row>
    <row r="57" spans="2:7" ht="17.5" thickBot="1">
      <c r="B57" s="586">
        <v>52</v>
      </c>
      <c r="C57" s="594"/>
      <c r="D57" s="625"/>
      <c r="E57" s="607"/>
      <c r="F57" s="595"/>
      <c r="G57" s="608"/>
    </row>
    <row r="58" spans="2:7" ht="22" customHeight="1" thickTop="1"/>
  </sheetData>
  <mergeCells count="9">
    <mergeCell ref="W2:X2"/>
    <mergeCell ref="B6:B7"/>
    <mergeCell ref="B19:B20"/>
    <mergeCell ref="Y2:Z2"/>
    <mergeCell ref="AA2:AB2"/>
    <mergeCell ref="B2:G2"/>
    <mergeCell ref="H2:M2"/>
    <mergeCell ref="N3:Q3"/>
    <mergeCell ref="N2:U2"/>
  </mergeCells>
  <phoneticPr fontId="1" type="noConversion"/>
  <conditionalFormatting sqref="C4:C57">
    <cfRule type="duplicateValues" dxfId="129" priority="350"/>
  </conditionalFormatting>
  <conditionalFormatting sqref="C30:C57">
    <cfRule type="duplicateValues" dxfId="128" priority="352"/>
  </conditionalFormatting>
  <conditionalFormatting sqref="F4:F25 F37:F57 F27:F35">
    <cfRule type="duplicateValues" dxfId="127" priority="354"/>
  </conditionalFormatting>
  <conditionalFormatting sqref="F26">
    <cfRule type="duplicateValues" dxfId="126" priority="131"/>
  </conditionalFormatting>
  <conditionalFormatting sqref="I4:I10 I12:I15 I17:I23 I25:I27 I29:I36">
    <cfRule type="duplicateValues" dxfId="125" priority="355"/>
  </conditionalFormatting>
  <conditionalFormatting sqref="I11">
    <cfRule type="duplicateValues" dxfId="124" priority="127"/>
  </conditionalFormatting>
  <conditionalFormatting sqref="I16">
    <cfRule type="duplicateValues" dxfId="123" priority="124"/>
  </conditionalFormatting>
  <conditionalFormatting sqref="I24">
    <cfRule type="duplicateValues" dxfId="122" priority="121"/>
  </conditionalFormatting>
  <conditionalFormatting sqref="I28">
    <cfRule type="duplicateValues" dxfId="121" priority="118"/>
    <cfRule type="duplicateValues" dxfId="120" priority="119"/>
  </conditionalFormatting>
  <conditionalFormatting sqref="L4">
    <cfRule type="duplicateValues" dxfId="119" priority="132"/>
  </conditionalFormatting>
  <conditionalFormatting sqref="L5:L8 L10 L13:L15 L17:L23 L25:L27 L29:L36">
    <cfRule type="duplicateValues" dxfId="118" priority="360"/>
  </conditionalFormatting>
  <conditionalFormatting sqref="L9">
    <cfRule type="duplicateValues" dxfId="117" priority="129"/>
  </conditionalFormatting>
  <conditionalFormatting sqref="L11">
    <cfRule type="duplicateValues" dxfId="116" priority="128"/>
  </conditionalFormatting>
  <conditionalFormatting sqref="L12">
    <cfRule type="duplicateValues" dxfId="115" priority="126"/>
  </conditionalFormatting>
  <conditionalFormatting sqref="L16">
    <cfRule type="duplicateValues" dxfId="114" priority="123"/>
  </conditionalFormatting>
  <conditionalFormatting sqref="L24">
    <cfRule type="duplicateValues" dxfId="113" priority="122"/>
  </conditionalFormatting>
  <conditionalFormatting sqref="L28">
    <cfRule type="duplicateValues" dxfId="112" priority="120"/>
  </conditionalFormatting>
  <conditionalFormatting sqref="R4">
    <cfRule type="duplicateValues" dxfId="111" priority="112"/>
    <cfRule type="duplicateValues" dxfId="110" priority="113"/>
  </conditionalFormatting>
  <conditionalFormatting sqref="R5">
    <cfRule type="duplicateValues" dxfId="109" priority="110"/>
  </conditionalFormatting>
  <conditionalFormatting sqref="R6">
    <cfRule type="duplicateValues" dxfId="108" priority="107"/>
    <cfRule type="duplicateValues" dxfId="107" priority="108"/>
  </conditionalFormatting>
  <conditionalFormatting sqref="R7">
    <cfRule type="duplicateValues" dxfId="106" priority="105"/>
    <cfRule type="duplicateValues" dxfId="105" priority="104"/>
  </conditionalFormatting>
  <conditionalFormatting sqref="R8">
    <cfRule type="duplicateValues" dxfId="104" priority="102"/>
    <cfRule type="duplicateValues" dxfId="103" priority="101"/>
  </conditionalFormatting>
  <conditionalFormatting sqref="R9">
    <cfRule type="duplicateValues" dxfId="102" priority="99"/>
    <cfRule type="duplicateValues" dxfId="101" priority="98"/>
  </conditionalFormatting>
  <conditionalFormatting sqref="R10">
    <cfRule type="duplicateValues" dxfId="100" priority="96"/>
    <cfRule type="duplicateValues" dxfId="99" priority="95"/>
  </conditionalFormatting>
  <conditionalFormatting sqref="R11">
    <cfRule type="duplicateValues" dxfId="98" priority="92"/>
    <cfRule type="duplicateValues" dxfId="97" priority="93"/>
  </conditionalFormatting>
  <conditionalFormatting sqref="R12">
    <cfRule type="duplicateValues" dxfId="96" priority="89"/>
    <cfRule type="duplicateValues" dxfId="95" priority="90"/>
  </conditionalFormatting>
  <conditionalFormatting sqref="R13">
    <cfRule type="duplicateValues" dxfId="94" priority="86"/>
    <cfRule type="duplicateValues" dxfId="93" priority="87"/>
  </conditionalFormatting>
  <conditionalFormatting sqref="R14">
    <cfRule type="duplicateValues" dxfId="92" priority="84"/>
    <cfRule type="duplicateValues" dxfId="91" priority="83"/>
  </conditionalFormatting>
  <conditionalFormatting sqref="R15">
    <cfRule type="duplicateValues" dxfId="90" priority="80"/>
    <cfRule type="duplicateValues" dxfId="89" priority="81"/>
  </conditionalFormatting>
  <conditionalFormatting sqref="R16">
    <cfRule type="duplicateValues" dxfId="88" priority="77"/>
    <cfRule type="duplicateValues" dxfId="87" priority="78"/>
  </conditionalFormatting>
  <conditionalFormatting sqref="R17">
    <cfRule type="duplicateValues" dxfId="86" priority="75"/>
    <cfRule type="duplicateValues" dxfId="85" priority="74"/>
  </conditionalFormatting>
  <conditionalFormatting sqref="R18">
    <cfRule type="duplicateValues" dxfId="84" priority="71"/>
    <cfRule type="duplicateValues" dxfId="83" priority="72"/>
  </conditionalFormatting>
  <conditionalFormatting sqref="R19">
    <cfRule type="duplicateValues" dxfId="82" priority="68"/>
    <cfRule type="duplicateValues" dxfId="81" priority="69"/>
  </conditionalFormatting>
  <conditionalFormatting sqref="R20">
    <cfRule type="duplicateValues" dxfId="80" priority="66"/>
    <cfRule type="duplicateValues" dxfId="79" priority="65"/>
  </conditionalFormatting>
  <conditionalFormatting sqref="R21">
    <cfRule type="duplicateValues" dxfId="78" priority="63"/>
    <cfRule type="duplicateValues" dxfId="77" priority="62"/>
  </conditionalFormatting>
  <conditionalFormatting sqref="R22">
    <cfRule type="duplicateValues" dxfId="76" priority="56"/>
    <cfRule type="duplicateValues" dxfId="75" priority="57"/>
  </conditionalFormatting>
  <conditionalFormatting sqref="R23">
    <cfRule type="duplicateValues" dxfId="74" priority="54"/>
    <cfRule type="duplicateValues" dxfId="73" priority="53"/>
  </conditionalFormatting>
  <conditionalFormatting sqref="R24">
    <cfRule type="duplicateValues" dxfId="72" priority="50"/>
    <cfRule type="duplicateValues" dxfId="71" priority="51"/>
  </conditionalFormatting>
  <conditionalFormatting sqref="R25">
    <cfRule type="duplicateValues" dxfId="70" priority="47"/>
    <cfRule type="duplicateValues" dxfId="69" priority="48"/>
  </conditionalFormatting>
  <conditionalFormatting sqref="R26">
    <cfRule type="duplicateValues" dxfId="68" priority="44"/>
    <cfRule type="duplicateValues" dxfId="67" priority="45"/>
  </conditionalFormatting>
  <conditionalFormatting sqref="R27">
    <cfRule type="duplicateValues" dxfId="66" priority="41"/>
    <cfRule type="duplicateValues" dxfId="65" priority="42"/>
  </conditionalFormatting>
  <conditionalFormatting sqref="R28">
    <cfRule type="duplicateValues" dxfId="64" priority="38"/>
    <cfRule type="duplicateValues" dxfId="63" priority="39"/>
  </conditionalFormatting>
  <conditionalFormatting sqref="R29">
    <cfRule type="duplicateValues" dxfId="62" priority="35"/>
    <cfRule type="duplicateValues" dxfId="61" priority="36"/>
  </conditionalFormatting>
  <conditionalFormatting sqref="R30">
    <cfRule type="duplicateValues" dxfId="60" priority="32"/>
    <cfRule type="duplicateValues" dxfId="59" priority="33"/>
  </conditionalFormatting>
  <conditionalFormatting sqref="R31">
    <cfRule type="duplicateValues" dxfId="58" priority="29"/>
    <cfRule type="duplicateValues" dxfId="57" priority="30"/>
  </conditionalFormatting>
  <conditionalFormatting sqref="R32">
    <cfRule type="duplicateValues" dxfId="56" priority="26"/>
    <cfRule type="duplicateValues" dxfId="55" priority="27"/>
  </conditionalFormatting>
  <conditionalFormatting sqref="R33">
    <cfRule type="duplicateValues" dxfId="54" priority="23"/>
    <cfRule type="duplicateValues" dxfId="53" priority="24"/>
  </conditionalFormatting>
  <conditionalFormatting sqref="R34">
    <cfRule type="duplicateValues" dxfId="52" priority="21"/>
    <cfRule type="duplicateValues" dxfId="51" priority="20"/>
  </conditionalFormatting>
  <conditionalFormatting sqref="R35">
    <cfRule type="duplicateValues" dxfId="50" priority="18"/>
    <cfRule type="duplicateValues" dxfId="49" priority="17"/>
  </conditionalFormatting>
  <conditionalFormatting sqref="R36">
    <cfRule type="duplicateValues" dxfId="48" priority="15"/>
    <cfRule type="duplicateValues" dxfId="47" priority="14"/>
  </conditionalFormatting>
  <conditionalFormatting sqref="R37">
    <cfRule type="duplicateValues" dxfId="46" priority="11"/>
    <cfRule type="duplicateValues" dxfId="45" priority="12"/>
  </conditionalFormatting>
  <conditionalFormatting sqref="R38">
    <cfRule type="duplicateValues" dxfId="44" priority="9"/>
    <cfRule type="duplicateValues" dxfId="43" priority="8"/>
  </conditionalFormatting>
  <conditionalFormatting sqref="R39">
    <cfRule type="duplicateValues" dxfId="42" priority="4"/>
    <cfRule type="duplicateValues" dxfId="41" priority="5"/>
  </conditionalFormatting>
  <conditionalFormatting sqref="R40">
    <cfRule type="duplicateValues" dxfId="40" priority="2"/>
    <cfRule type="duplicateValues" dxfId="39" priority="3"/>
  </conditionalFormatting>
  <conditionalFormatting sqref="T4">
    <cfRule type="duplicateValues" dxfId="38" priority="111"/>
  </conditionalFormatting>
  <conditionalFormatting sqref="T5">
    <cfRule type="duplicateValues" dxfId="37" priority="109"/>
  </conditionalFormatting>
  <conditionalFormatting sqref="T6">
    <cfRule type="duplicateValues" dxfId="36" priority="106"/>
  </conditionalFormatting>
  <conditionalFormatting sqref="T7">
    <cfRule type="duplicateValues" dxfId="35" priority="103"/>
  </conditionalFormatting>
  <conditionalFormatting sqref="T8">
    <cfRule type="duplicateValues" dxfId="34" priority="100"/>
  </conditionalFormatting>
  <conditionalFormatting sqref="T9">
    <cfRule type="duplicateValues" dxfId="33" priority="97"/>
  </conditionalFormatting>
  <conditionalFormatting sqref="T10">
    <cfRule type="duplicateValues" dxfId="32" priority="94"/>
  </conditionalFormatting>
  <conditionalFormatting sqref="T11">
    <cfRule type="duplicateValues" dxfId="31" priority="91"/>
  </conditionalFormatting>
  <conditionalFormatting sqref="T12">
    <cfRule type="duplicateValues" dxfId="30" priority="88"/>
  </conditionalFormatting>
  <conditionalFormatting sqref="T13">
    <cfRule type="duplicateValues" dxfId="29" priority="85"/>
  </conditionalFormatting>
  <conditionalFormatting sqref="T14">
    <cfRule type="duplicateValues" dxfId="28" priority="82"/>
  </conditionalFormatting>
  <conditionalFormatting sqref="T15">
    <cfRule type="duplicateValues" dxfId="27" priority="79"/>
  </conditionalFormatting>
  <conditionalFormatting sqref="T16">
    <cfRule type="duplicateValues" dxfId="26" priority="76"/>
  </conditionalFormatting>
  <conditionalFormatting sqref="T17">
    <cfRule type="duplicateValues" dxfId="25" priority="73"/>
  </conditionalFormatting>
  <conditionalFormatting sqref="T18">
    <cfRule type="duplicateValues" dxfId="24" priority="70"/>
  </conditionalFormatting>
  <conditionalFormatting sqref="T19">
    <cfRule type="duplicateValues" dxfId="23" priority="67"/>
  </conditionalFormatting>
  <conditionalFormatting sqref="T20">
    <cfRule type="duplicateValues" dxfId="22" priority="64"/>
  </conditionalFormatting>
  <conditionalFormatting sqref="T21">
    <cfRule type="duplicateValues" dxfId="21" priority="61"/>
  </conditionalFormatting>
  <conditionalFormatting sqref="T22">
    <cfRule type="duplicateValues" dxfId="20" priority="55"/>
  </conditionalFormatting>
  <conditionalFormatting sqref="T23">
    <cfRule type="duplicateValues" dxfId="19" priority="52"/>
  </conditionalFormatting>
  <conditionalFormatting sqref="T24">
    <cfRule type="duplicateValues" dxfId="18" priority="49"/>
  </conditionalFormatting>
  <conditionalFormatting sqref="T25">
    <cfRule type="duplicateValues" dxfId="17" priority="46"/>
  </conditionalFormatting>
  <conditionalFormatting sqref="T26">
    <cfRule type="duplicateValues" dxfId="16" priority="43"/>
  </conditionalFormatting>
  <conditionalFormatting sqref="T27">
    <cfRule type="duplicateValues" dxfId="15" priority="40"/>
  </conditionalFormatting>
  <conditionalFormatting sqref="T28">
    <cfRule type="duplicateValues" dxfId="14" priority="37"/>
  </conditionalFormatting>
  <conditionalFormatting sqref="T29">
    <cfRule type="duplicateValues" dxfId="13" priority="34"/>
  </conditionalFormatting>
  <conditionalFormatting sqref="T30">
    <cfRule type="duplicateValues" dxfId="12" priority="31"/>
  </conditionalFormatting>
  <conditionalFormatting sqref="T31">
    <cfRule type="duplicateValues" dxfId="11" priority="28"/>
  </conditionalFormatting>
  <conditionalFormatting sqref="T32">
    <cfRule type="duplicateValues" dxfId="10" priority="25"/>
  </conditionalFormatting>
  <conditionalFormatting sqref="T33">
    <cfRule type="duplicateValues" dxfId="9" priority="22"/>
  </conditionalFormatting>
  <conditionalFormatting sqref="T34">
    <cfRule type="duplicateValues" dxfId="8" priority="19"/>
  </conditionalFormatting>
  <conditionalFormatting sqref="T35">
    <cfRule type="duplicateValues" dxfId="7" priority="16"/>
  </conditionalFormatting>
  <conditionalFormatting sqref="T36">
    <cfRule type="duplicateValues" dxfId="6" priority="13"/>
  </conditionalFormatting>
  <conditionalFormatting sqref="T37">
    <cfRule type="duplicateValues" dxfId="5" priority="10"/>
  </conditionalFormatting>
  <conditionalFormatting sqref="T38">
    <cfRule type="duplicateValues" dxfId="4" priority="6"/>
  </conditionalFormatting>
  <conditionalFormatting sqref="T40">
    <cfRule type="duplicateValues" dxfId="3" priority="1"/>
  </conditionalFormatting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2770-498D-4E80-980D-F34720E7881E}">
  <dimension ref="A1:G31"/>
  <sheetViews>
    <sheetView workbookViewId="0">
      <selection activeCell="I40" sqref="I40"/>
    </sheetView>
  </sheetViews>
  <sheetFormatPr defaultColWidth="8.75" defaultRowHeight="17"/>
  <cols>
    <col min="4" max="4" width="13.08203125" customWidth="1"/>
    <col min="5" max="5" width="12.58203125" bestFit="1" customWidth="1"/>
    <col min="7" max="7" width="13.58203125" customWidth="1"/>
  </cols>
  <sheetData>
    <row r="1" spans="1:7">
      <c r="A1" s="629" t="s">
        <v>2</v>
      </c>
      <c r="B1" s="629" t="s">
        <v>567</v>
      </c>
      <c r="C1" s="982" t="s">
        <v>752</v>
      </c>
      <c r="D1" s="983"/>
      <c r="E1" s="630" t="s">
        <v>565</v>
      </c>
      <c r="F1" s="982" t="s">
        <v>105</v>
      </c>
      <c r="G1" s="983"/>
    </row>
    <row r="2" spans="1:7">
      <c r="A2" s="970">
        <v>1</v>
      </c>
      <c r="B2" s="970" t="s">
        <v>260</v>
      </c>
      <c r="C2" s="970" t="s">
        <v>753</v>
      </c>
      <c r="D2" s="970"/>
      <c r="E2" s="972" t="s">
        <v>754</v>
      </c>
      <c r="F2" s="977"/>
      <c r="G2" s="974"/>
    </row>
    <row r="3" spans="1:7">
      <c r="A3" s="970"/>
      <c r="B3" s="970"/>
      <c r="C3" s="970"/>
      <c r="D3" s="970"/>
      <c r="E3" s="972"/>
      <c r="F3" s="975"/>
      <c r="G3" s="976"/>
    </row>
    <row r="4" spans="1:7">
      <c r="A4" s="970">
        <v>2</v>
      </c>
      <c r="B4" s="970" t="s">
        <v>245</v>
      </c>
      <c r="C4" s="970" t="s">
        <v>755</v>
      </c>
      <c r="D4" s="970"/>
      <c r="E4" s="972" t="s">
        <v>756</v>
      </c>
      <c r="F4" s="977"/>
      <c r="G4" s="974"/>
    </row>
    <row r="5" spans="1:7">
      <c r="A5" s="970"/>
      <c r="B5" s="970"/>
      <c r="C5" s="970"/>
      <c r="D5" s="970"/>
      <c r="E5" s="972"/>
      <c r="F5" s="975"/>
      <c r="G5" s="976"/>
    </row>
    <row r="6" spans="1:7">
      <c r="A6" s="970">
        <v>3</v>
      </c>
      <c r="B6" s="970" t="s">
        <v>239</v>
      </c>
      <c r="C6" s="971" t="s">
        <v>757</v>
      </c>
      <c r="D6" s="970"/>
      <c r="E6" s="972" t="s">
        <v>758</v>
      </c>
      <c r="F6" s="977"/>
      <c r="G6" s="974"/>
    </row>
    <row r="7" spans="1:7">
      <c r="A7" s="970"/>
      <c r="B7" s="970"/>
      <c r="C7" s="970"/>
      <c r="D7" s="970"/>
      <c r="E7" s="972"/>
      <c r="F7" s="975"/>
      <c r="G7" s="976"/>
    </row>
    <row r="8" spans="1:7">
      <c r="A8" s="970">
        <v>4</v>
      </c>
      <c r="B8" s="979" t="s">
        <v>759</v>
      </c>
      <c r="C8" s="971" t="s">
        <v>760</v>
      </c>
      <c r="D8" s="970"/>
      <c r="E8" s="980" t="s">
        <v>761</v>
      </c>
      <c r="F8" s="977"/>
      <c r="G8" s="974"/>
    </row>
    <row r="9" spans="1:7">
      <c r="A9" s="970"/>
      <c r="B9" s="979"/>
      <c r="C9" s="970"/>
      <c r="D9" s="970"/>
      <c r="E9" s="980"/>
      <c r="F9" s="975"/>
      <c r="G9" s="976"/>
    </row>
    <row r="10" spans="1:7">
      <c r="A10" s="970">
        <v>5</v>
      </c>
      <c r="B10" s="970" t="s">
        <v>638</v>
      </c>
      <c r="C10" s="981" t="s">
        <v>762</v>
      </c>
      <c r="D10" s="970"/>
      <c r="E10" s="972" t="s">
        <v>763</v>
      </c>
      <c r="F10" s="977" t="s">
        <v>713</v>
      </c>
      <c r="G10" s="974"/>
    </row>
    <row r="11" spans="1:7">
      <c r="A11" s="970"/>
      <c r="B11" s="970"/>
      <c r="C11" s="970"/>
      <c r="D11" s="970"/>
      <c r="E11" s="972"/>
      <c r="F11" s="975"/>
      <c r="G11" s="976"/>
    </row>
    <row r="12" spans="1:7">
      <c r="A12" s="970">
        <v>6</v>
      </c>
      <c r="B12" s="970" t="s">
        <v>617</v>
      </c>
      <c r="C12" s="971" t="s">
        <v>764</v>
      </c>
      <c r="D12" s="970"/>
      <c r="E12" s="972" t="s">
        <v>765</v>
      </c>
      <c r="F12" s="973" t="s">
        <v>620</v>
      </c>
      <c r="G12" s="974"/>
    </row>
    <row r="13" spans="1:7">
      <c r="A13" s="970"/>
      <c r="B13" s="970"/>
      <c r="C13" s="970"/>
      <c r="D13" s="970"/>
      <c r="E13" s="972"/>
      <c r="F13" s="975"/>
      <c r="G13" s="976"/>
    </row>
    <row r="14" spans="1:7">
      <c r="A14" s="970">
        <v>7</v>
      </c>
      <c r="B14" s="970" t="s">
        <v>276</v>
      </c>
      <c r="C14" s="971" t="s">
        <v>766</v>
      </c>
      <c r="D14" s="970"/>
      <c r="E14" s="972" t="s">
        <v>767</v>
      </c>
      <c r="F14" s="977"/>
      <c r="G14" s="974"/>
    </row>
    <row r="15" spans="1:7">
      <c r="A15" s="970"/>
      <c r="B15" s="970"/>
      <c r="C15" s="970"/>
      <c r="D15" s="970"/>
      <c r="E15" s="972"/>
      <c r="F15" s="975"/>
      <c r="G15" s="976"/>
    </row>
    <row r="16" spans="1:7">
      <c r="A16" s="970">
        <v>8</v>
      </c>
      <c r="B16" s="979" t="s">
        <v>768</v>
      </c>
      <c r="C16" s="971" t="s">
        <v>769</v>
      </c>
      <c r="D16" s="970"/>
      <c r="E16" s="972" t="s">
        <v>770</v>
      </c>
      <c r="F16" s="977" t="s">
        <v>771</v>
      </c>
      <c r="G16" s="974"/>
    </row>
    <row r="17" spans="1:7">
      <c r="A17" s="970"/>
      <c r="B17" s="979"/>
      <c r="C17" s="970"/>
      <c r="D17" s="970"/>
      <c r="E17" s="972"/>
      <c r="F17" s="975"/>
      <c r="G17" s="976"/>
    </row>
    <row r="18" spans="1:7">
      <c r="A18" s="970">
        <v>9</v>
      </c>
      <c r="B18" s="970" t="s">
        <v>675</v>
      </c>
      <c r="C18" s="971" t="s">
        <v>772</v>
      </c>
      <c r="D18" s="970"/>
      <c r="E18" s="972" t="s">
        <v>773</v>
      </c>
      <c r="F18" s="977"/>
      <c r="G18" s="974"/>
    </row>
    <row r="19" spans="1:7">
      <c r="A19" s="970"/>
      <c r="B19" s="970"/>
      <c r="C19" s="970"/>
      <c r="D19" s="970"/>
      <c r="E19" s="972"/>
      <c r="F19" s="975"/>
      <c r="G19" s="976"/>
    </row>
    <row r="20" spans="1:7">
      <c r="A20" s="970">
        <v>10</v>
      </c>
      <c r="B20" s="970" t="s">
        <v>774</v>
      </c>
      <c r="C20" s="978" t="s">
        <v>775</v>
      </c>
      <c r="D20" s="972"/>
      <c r="E20" s="972" t="s">
        <v>776</v>
      </c>
      <c r="F20" s="977" t="s">
        <v>777</v>
      </c>
      <c r="G20" s="974"/>
    </row>
    <row r="21" spans="1:7">
      <c r="A21" s="970"/>
      <c r="B21" s="970"/>
      <c r="C21" s="972"/>
      <c r="D21" s="972"/>
      <c r="E21" s="972"/>
      <c r="F21" s="975"/>
      <c r="G21" s="976"/>
    </row>
    <row r="22" spans="1:7">
      <c r="A22" s="970">
        <v>11</v>
      </c>
      <c r="B22" s="970" t="s">
        <v>419</v>
      </c>
      <c r="C22" s="971" t="s">
        <v>778</v>
      </c>
      <c r="D22" s="970"/>
      <c r="E22" s="972" t="s">
        <v>779</v>
      </c>
      <c r="F22" s="977" t="s">
        <v>780</v>
      </c>
      <c r="G22" s="974"/>
    </row>
    <row r="23" spans="1:7">
      <c r="A23" s="970"/>
      <c r="B23" s="970"/>
      <c r="C23" s="970"/>
      <c r="D23" s="970"/>
      <c r="E23" s="972"/>
      <c r="F23" s="975"/>
      <c r="G23" s="976"/>
    </row>
    <row r="24" spans="1:7">
      <c r="A24" s="970">
        <v>12</v>
      </c>
      <c r="B24" s="970" t="s">
        <v>734</v>
      </c>
      <c r="C24" s="971" t="s">
        <v>781</v>
      </c>
      <c r="D24" s="970"/>
      <c r="E24" s="972" t="s">
        <v>782</v>
      </c>
      <c r="F24" s="977" t="s">
        <v>736</v>
      </c>
      <c r="G24" s="974"/>
    </row>
    <row r="25" spans="1:7">
      <c r="A25" s="970"/>
      <c r="B25" s="970"/>
      <c r="C25" s="970"/>
      <c r="D25" s="970"/>
      <c r="E25" s="972"/>
      <c r="F25" s="975"/>
      <c r="G25" s="976"/>
    </row>
    <row r="26" spans="1:7">
      <c r="A26" s="970">
        <v>13</v>
      </c>
      <c r="B26" s="970" t="s">
        <v>401</v>
      </c>
      <c r="C26" s="971" t="s">
        <v>783</v>
      </c>
      <c r="D26" s="970"/>
      <c r="E26" s="972" t="s">
        <v>784</v>
      </c>
      <c r="F26" s="977"/>
      <c r="G26" s="974"/>
    </row>
    <row r="27" spans="1:7">
      <c r="A27" s="970"/>
      <c r="B27" s="970"/>
      <c r="C27" s="970"/>
      <c r="D27" s="970"/>
      <c r="E27" s="972"/>
      <c r="F27" s="975"/>
      <c r="G27" s="976"/>
    </row>
    <row r="28" spans="1:7">
      <c r="A28" s="970">
        <v>14</v>
      </c>
      <c r="B28" s="970" t="s">
        <v>668</v>
      </c>
      <c r="C28" s="971" t="s">
        <v>785</v>
      </c>
      <c r="D28" s="970"/>
      <c r="E28" s="972" t="s">
        <v>786</v>
      </c>
      <c r="F28" s="973" t="s">
        <v>787</v>
      </c>
      <c r="G28" s="974"/>
    </row>
    <row r="29" spans="1:7">
      <c r="A29" s="970"/>
      <c r="B29" s="970"/>
      <c r="C29" s="970"/>
      <c r="D29" s="970"/>
      <c r="E29" s="972"/>
      <c r="F29" s="975"/>
      <c r="G29" s="976"/>
    </row>
    <row r="30" spans="1:7">
      <c r="A30" s="970">
        <v>15</v>
      </c>
      <c r="B30" s="970" t="s">
        <v>403</v>
      </c>
      <c r="C30" s="971" t="s">
        <v>788</v>
      </c>
      <c r="D30" s="970"/>
      <c r="E30" s="972" t="s">
        <v>789</v>
      </c>
      <c r="F30" s="977" t="s">
        <v>404</v>
      </c>
      <c r="G30" s="974"/>
    </row>
    <row r="31" spans="1:7">
      <c r="A31" s="970"/>
      <c r="B31" s="970"/>
      <c r="C31" s="970"/>
      <c r="D31" s="970"/>
      <c r="E31" s="972"/>
      <c r="F31" s="975"/>
      <c r="G31" s="976"/>
    </row>
  </sheetData>
  <mergeCells count="77">
    <mergeCell ref="C1:D1"/>
    <mergeCell ref="F1:G1"/>
    <mergeCell ref="A2:A3"/>
    <mergeCell ref="B2:B3"/>
    <mergeCell ref="C2:D3"/>
    <mergeCell ref="E2:E3"/>
    <mergeCell ref="F2:G3"/>
    <mergeCell ref="A6:A7"/>
    <mergeCell ref="B6:B7"/>
    <mergeCell ref="C6:D7"/>
    <mergeCell ref="E6:E7"/>
    <mergeCell ref="F6:G7"/>
    <mergeCell ref="A4:A5"/>
    <mergeCell ref="B4:B5"/>
    <mergeCell ref="C4:D5"/>
    <mergeCell ref="E4:E5"/>
    <mergeCell ref="F4:G5"/>
    <mergeCell ref="A10:A11"/>
    <mergeCell ref="B10:B11"/>
    <mergeCell ref="C10:D11"/>
    <mergeCell ref="E10:E11"/>
    <mergeCell ref="F10:G11"/>
    <mergeCell ref="A8:A9"/>
    <mergeCell ref="B8:B9"/>
    <mergeCell ref="C8:D9"/>
    <mergeCell ref="E8:E9"/>
    <mergeCell ref="F8:G9"/>
    <mergeCell ref="A14:A15"/>
    <mergeCell ref="B14:B15"/>
    <mergeCell ref="C14:D15"/>
    <mergeCell ref="E14:E15"/>
    <mergeCell ref="F14:G15"/>
    <mergeCell ref="A12:A13"/>
    <mergeCell ref="B12:B13"/>
    <mergeCell ref="C12:D13"/>
    <mergeCell ref="E12:E13"/>
    <mergeCell ref="F12:G13"/>
    <mergeCell ref="A18:A19"/>
    <mergeCell ref="B18:B19"/>
    <mergeCell ref="C18:D19"/>
    <mergeCell ref="E18:E19"/>
    <mergeCell ref="F18:G19"/>
    <mergeCell ref="A16:A17"/>
    <mergeCell ref="B16:B17"/>
    <mergeCell ref="C16:D17"/>
    <mergeCell ref="E16:E17"/>
    <mergeCell ref="F16:G17"/>
    <mergeCell ref="A22:A23"/>
    <mergeCell ref="B22:B23"/>
    <mergeCell ref="C22:D23"/>
    <mergeCell ref="E22:E23"/>
    <mergeCell ref="F22:G23"/>
    <mergeCell ref="A20:A21"/>
    <mergeCell ref="B20:B21"/>
    <mergeCell ref="C20:D21"/>
    <mergeCell ref="E20:E21"/>
    <mergeCell ref="F20:G21"/>
    <mergeCell ref="A26:A27"/>
    <mergeCell ref="B26:B27"/>
    <mergeCell ref="C26:D27"/>
    <mergeCell ref="E26:E27"/>
    <mergeCell ref="F26:G27"/>
    <mergeCell ref="A24:A25"/>
    <mergeCell ref="B24:B25"/>
    <mergeCell ref="C24:D25"/>
    <mergeCell ref="E24:E25"/>
    <mergeCell ref="F24:G25"/>
    <mergeCell ref="A30:A31"/>
    <mergeCell ref="B30:B31"/>
    <mergeCell ref="C30:D31"/>
    <mergeCell ref="E30:E31"/>
    <mergeCell ref="F30:G31"/>
    <mergeCell ref="A28:A29"/>
    <mergeCell ref="B28:B29"/>
    <mergeCell ref="C28:D29"/>
    <mergeCell ref="E28:E29"/>
    <mergeCell ref="F28:G29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EAD3-4755-42D0-9C7F-711E90200449}">
  <dimension ref="A1:B186"/>
  <sheetViews>
    <sheetView workbookViewId="0">
      <selection activeCell="B152" sqref="B152"/>
    </sheetView>
  </sheetViews>
  <sheetFormatPr defaultRowHeight="17"/>
  <cols>
    <col min="1" max="1" width="14.08203125" style="72" customWidth="1"/>
    <col min="2" max="2" width="56.58203125" style="74" customWidth="1"/>
  </cols>
  <sheetData>
    <row r="1" spans="1:2" ht="17.5" thickBot="1">
      <c r="A1" s="378" t="s">
        <v>103</v>
      </c>
      <c r="B1" s="379" t="s">
        <v>108</v>
      </c>
    </row>
    <row r="2" spans="1:2" ht="18" thickTop="1" thickBot="1">
      <c r="A2" s="417" t="s">
        <v>178</v>
      </c>
      <c r="B2" s="420" t="s">
        <v>180</v>
      </c>
    </row>
    <row r="3" spans="1:2" ht="17.5" thickTop="1">
      <c r="A3" s="456"/>
      <c r="B3" s="459"/>
    </row>
    <row r="4" spans="1:2">
      <c r="A4" s="499" t="s">
        <v>185</v>
      </c>
      <c r="B4" s="502" t="s">
        <v>186</v>
      </c>
    </row>
    <row r="5" spans="1:2">
      <c r="A5" s="499" t="s">
        <v>185</v>
      </c>
      <c r="B5" s="502" t="s">
        <v>186</v>
      </c>
    </row>
    <row r="6" spans="1:2">
      <c r="A6" s="499" t="s">
        <v>188</v>
      </c>
      <c r="B6" s="502" t="s">
        <v>189</v>
      </c>
    </row>
    <row r="7" spans="1:2">
      <c r="A7" s="499" t="s">
        <v>192</v>
      </c>
      <c r="B7" s="502" t="s">
        <v>193</v>
      </c>
    </row>
    <row r="8" spans="1:2">
      <c r="A8" s="499" t="s">
        <v>195</v>
      </c>
      <c r="B8" s="502" t="s">
        <v>790</v>
      </c>
    </row>
    <row r="9" spans="1:2">
      <c r="A9" s="499" t="s">
        <v>199</v>
      </c>
      <c r="B9" s="502" t="s">
        <v>200</v>
      </c>
    </row>
    <row r="10" spans="1:2">
      <c r="A10" s="499" t="s">
        <v>201</v>
      </c>
      <c r="B10" s="502" t="s">
        <v>204</v>
      </c>
    </row>
    <row r="11" spans="1:2">
      <c r="A11" s="499" t="s">
        <v>205</v>
      </c>
      <c r="B11" s="502" t="s">
        <v>206</v>
      </c>
    </row>
    <row r="12" spans="1:2">
      <c r="A12" s="499" t="s">
        <v>207</v>
      </c>
      <c r="B12" s="502" t="s">
        <v>791</v>
      </c>
    </row>
    <row r="13" spans="1:2" ht="17.5" thickBot="1">
      <c r="A13" s="417" t="s">
        <v>210</v>
      </c>
      <c r="B13" s="420" t="s">
        <v>211</v>
      </c>
    </row>
    <row r="14" spans="1:2" ht="17.5" thickTop="1">
      <c r="A14" s="456"/>
      <c r="B14" s="459"/>
    </row>
    <row r="15" spans="1:2">
      <c r="A15" s="499" t="s">
        <v>216</v>
      </c>
      <c r="B15" s="519" t="s">
        <v>217</v>
      </c>
    </row>
    <row r="16" spans="1:2">
      <c r="A16" s="499" t="s">
        <v>216</v>
      </c>
      <c r="B16" s="519" t="s">
        <v>217</v>
      </c>
    </row>
    <row r="17" spans="1:2">
      <c r="A17" s="499" t="s">
        <v>219</v>
      </c>
      <c r="B17" s="519" t="s">
        <v>220</v>
      </c>
    </row>
    <row r="18" spans="1:2">
      <c r="A18" s="499" t="s">
        <v>221</v>
      </c>
      <c r="B18" s="502" t="s">
        <v>222</v>
      </c>
    </row>
    <row r="19" spans="1:2">
      <c r="A19" s="499" t="s">
        <v>224</v>
      </c>
      <c r="B19" s="502" t="s">
        <v>225</v>
      </c>
    </row>
    <row r="20" spans="1:2">
      <c r="A20" s="499" t="s">
        <v>227</v>
      </c>
      <c r="B20" s="502" t="s">
        <v>230</v>
      </c>
    </row>
    <row r="21" spans="1:2">
      <c r="A21" s="499" t="s">
        <v>232</v>
      </c>
      <c r="B21" s="502" t="s">
        <v>792</v>
      </c>
    </row>
    <row r="22" spans="1:2">
      <c r="A22" s="499" t="s">
        <v>234</v>
      </c>
      <c r="B22" s="502" t="s">
        <v>793</v>
      </c>
    </row>
    <row r="23" spans="1:2">
      <c r="A23" s="499" t="s">
        <v>237</v>
      </c>
      <c r="B23" s="502" t="s">
        <v>238</v>
      </c>
    </row>
    <row r="24" spans="1:2" ht="17.5" thickBot="1">
      <c r="A24" s="417" t="s">
        <v>239</v>
      </c>
      <c r="B24" s="521" t="s">
        <v>241</v>
      </c>
    </row>
    <row r="25" spans="1:2" ht="17.5" thickTop="1">
      <c r="A25" s="522"/>
      <c r="B25" s="524"/>
    </row>
    <row r="26" spans="1:2">
      <c r="A26" s="525" t="s">
        <v>245</v>
      </c>
      <c r="B26" s="519" t="s">
        <v>247</v>
      </c>
    </row>
    <row r="27" spans="1:2">
      <c r="A27" s="525" t="s">
        <v>248</v>
      </c>
      <c r="B27" s="519" t="s">
        <v>249</v>
      </c>
    </row>
    <row r="28" spans="1:2">
      <c r="A28" s="525" t="s">
        <v>250</v>
      </c>
      <c r="B28" s="519" t="s">
        <v>251</v>
      </c>
    </row>
    <row r="29" spans="1:2">
      <c r="A29" s="525" t="s">
        <v>252</v>
      </c>
      <c r="B29" s="519" t="s">
        <v>253</v>
      </c>
    </row>
    <row r="30" spans="1:2">
      <c r="A30" s="525" t="s">
        <v>254</v>
      </c>
      <c r="B30" s="519" t="s">
        <v>255</v>
      </c>
    </row>
    <row r="31" spans="1:2">
      <c r="A31" s="525" t="s">
        <v>256</v>
      </c>
      <c r="B31" s="519" t="s">
        <v>257</v>
      </c>
    </row>
    <row r="32" spans="1:2">
      <c r="A32" s="525" t="s">
        <v>258</v>
      </c>
      <c r="B32" s="519" t="s">
        <v>259</v>
      </c>
    </row>
    <row r="33" spans="1:2" ht="17.5" thickBot="1">
      <c r="A33" s="527" t="s">
        <v>260</v>
      </c>
      <c r="B33" s="521" t="s">
        <v>262</v>
      </c>
    </row>
    <row r="34" spans="1:2" ht="17.5" thickTop="1">
      <c r="A34" s="456"/>
      <c r="B34" s="459"/>
    </row>
    <row r="35" spans="1:2">
      <c r="A35" s="499" t="s">
        <v>266</v>
      </c>
      <c r="B35" s="502" t="s">
        <v>268</v>
      </c>
    </row>
    <row r="36" spans="1:2">
      <c r="A36" s="499" t="s">
        <v>266</v>
      </c>
      <c r="B36" s="502" t="s">
        <v>269</v>
      </c>
    </row>
    <row r="37" spans="1:2">
      <c r="A37" s="499" t="s">
        <v>266</v>
      </c>
      <c r="B37" s="502" t="s">
        <v>269</v>
      </c>
    </row>
    <row r="38" spans="1:2">
      <c r="A38" s="499" t="s">
        <v>266</v>
      </c>
      <c r="B38" s="502" t="s">
        <v>269</v>
      </c>
    </row>
    <row r="39" spans="1:2">
      <c r="A39" s="499" t="s">
        <v>266</v>
      </c>
      <c r="B39" s="502" t="s">
        <v>269</v>
      </c>
    </row>
    <row r="40" spans="1:2">
      <c r="A40" s="499" t="s">
        <v>266</v>
      </c>
      <c r="B40" s="502" t="s">
        <v>269</v>
      </c>
    </row>
    <row r="41" spans="1:2">
      <c r="A41" s="499" t="s">
        <v>266</v>
      </c>
      <c r="B41" s="502" t="s">
        <v>269</v>
      </c>
    </row>
    <row r="42" spans="1:2">
      <c r="A42" s="499" t="s">
        <v>266</v>
      </c>
      <c r="B42" s="502" t="s">
        <v>269</v>
      </c>
    </row>
    <row r="43" spans="1:2" ht="17.5" thickBot="1">
      <c r="A43" s="417" t="s">
        <v>266</v>
      </c>
      <c r="B43" s="420" t="s">
        <v>269</v>
      </c>
    </row>
    <row r="44" spans="1:2" ht="17.5" thickTop="1">
      <c r="A44" s="456"/>
      <c r="B44" s="459"/>
    </row>
    <row r="45" spans="1:2">
      <c r="A45" s="499" t="s">
        <v>273</v>
      </c>
      <c r="B45" s="502" t="s">
        <v>274</v>
      </c>
    </row>
    <row r="46" spans="1:2">
      <c r="A46" s="499" t="s">
        <v>276</v>
      </c>
      <c r="B46" s="502" t="s">
        <v>278</v>
      </c>
    </row>
    <row r="47" spans="1:2">
      <c r="A47" s="499" t="s">
        <v>279</v>
      </c>
      <c r="B47" s="502" t="s">
        <v>280</v>
      </c>
    </row>
    <row r="48" spans="1:2">
      <c r="A48" s="499" t="s">
        <v>281</v>
      </c>
      <c r="B48" s="502" t="s">
        <v>282</v>
      </c>
    </row>
    <row r="49" spans="1:2">
      <c r="A49" s="499" t="s">
        <v>283</v>
      </c>
      <c r="B49" s="502" t="s">
        <v>284</v>
      </c>
    </row>
    <row r="50" spans="1:2">
      <c r="A50" s="499" t="s">
        <v>285</v>
      </c>
      <c r="B50" s="502" t="s">
        <v>286</v>
      </c>
    </row>
    <row r="51" spans="1:2">
      <c r="A51" s="499" t="s">
        <v>287</v>
      </c>
      <c r="B51" s="502" t="s">
        <v>288</v>
      </c>
    </row>
    <row r="52" spans="1:2" ht="17.5" thickBot="1">
      <c r="A52" s="417" t="s">
        <v>289</v>
      </c>
      <c r="B52" s="420" t="s">
        <v>290</v>
      </c>
    </row>
    <row r="53" spans="1:2" ht="17.5" thickTop="1">
      <c r="A53" s="456"/>
      <c r="B53" s="459"/>
    </row>
    <row r="54" spans="1:2">
      <c r="A54" s="499" t="s">
        <v>294</v>
      </c>
      <c r="B54" s="519" t="s">
        <v>295</v>
      </c>
    </row>
    <row r="55" spans="1:2">
      <c r="A55" s="499" t="s">
        <v>297</v>
      </c>
      <c r="B55" s="502" t="s">
        <v>298</v>
      </c>
    </row>
    <row r="56" spans="1:2">
      <c r="A56" s="499" t="s">
        <v>299</v>
      </c>
      <c r="B56" s="502" t="s">
        <v>301</v>
      </c>
    </row>
    <row r="57" spans="1:2">
      <c r="A57" s="499" t="s">
        <v>299</v>
      </c>
      <c r="B57" s="502" t="s">
        <v>301</v>
      </c>
    </row>
    <row r="58" spans="1:2">
      <c r="A58" s="499" t="s">
        <v>302</v>
      </c>
      <c r="B58" s="502" t="s">
        <v>303</v>
      </c>
    </row>
    <row r="59" spans="1:2">
      <c r="A59" s="499" t="s">
        <v>304</v>
      </c>
      <c r="B59" s="502" t="s">
        <v>305</v>
      </c>
    </row>
    <row r="60" spans="1:2">
      <c r="A60" s="499" t="s">
        <v>306</v>
      </c>
      <c r="B60" s="502" t="s">
        <v>307</v>
      </c>
    </row>
    <row r="61" spans="1:2">
      <c r="A61" s="499" t="s">
        <v>308</v>
      </c>
      <c r="B61" s="502" t="s">
        <v>309</v>
      </c>
    </row>
    <row r="62" spans="1:2">
      <c r="A62" s="499" t="s">
        <v>310</v>
      </c>
      <c r="B62" s="502" t="s">
        <v>311</v>
      </c>
    </row>
    <row r="63" spans="1:2">
      <c r="A63" s="499" t="s">
        <v>312</v>
      </c>
      <c r="B63" s="502" t="s">
        <v>313</v>
      </c>
    </row>
    <row r="64" spans="1:2">
      <c r="A64" s="499" t="s">
        <v>314</v>
      </c>
      <c r="B64" s="502" t="s">
        <v>315</v>
      </c>
    </row>
    <row r="65" spans="1:2">
      <c r="A65" s="499" t="s">
        <v>316</v>
      </c>
      <c r="B65" s="502" t="s">
        <v>317</v>
      </c>
    </row>
    <row r="66" spans="1:2" ht="17.5" thickBot="1">
      <c r="A66" s="417" t="s">
        <v>302</v>
      </c>
      <c r="B66" s="420" t="s">
        <v>303</v>
      </c>
    </row>
    <row r="67" spans="1:2" ht="17.5" thickTop="1">
      <c r="A67" s="456"/>
      <c r="B67" s="459"/>
    </row>
    <row r="68" spans="1:2">
      <c r="A68" s="499" t="s">
        <v>321</v>
      </c>
      <c r="B68" s="502" t="s">
        <v>322</v>
      </c>
    </row>
    <row r="69" spans="1:2">
      <c r="A69" s="499" t="s">
        <v>321</v>
      </c>
      <c r="B69" s="502" t="s">
        <v>322</v>
      </c>
    </row>
    <row r="70" spans="1:2">
      <c r="A70" s="499" t="s">
        <v>321</v>
      </c>
      <c r="B70" s="502" t="s">
        <v>322</v>
      </c>
    </row>
    <row r="71" spans="1:2">
      <c r="A71" s="499" t="s">
        <v>321</v>
      </c>
      <c r="B71" s="502" t="s">
        <v>322</v>
      </c>
    </row>
    <row r="72" spans="1:2">
      <c r="A72" s="499" t="s">
        <v>321</v>
      </c>
      <c r="B72" s="502" t="s">
        <v>322</v>
      </c>
    </row>
    <row r="73" spans="1:2">
      <c r="A73" s="499" t="s">
        <v>321</v>
      </c>
      <c r="B73" s="502" t="s">
        <v>322</v>
      </c>
    </row>
    <row r="74" spans="1:2">
      <c r="A74" s="499" t="s">
        <v>321</v>
      </c>
      <c r="B74" s="502" t="s">
        <v>322</v>
      </c>
    </row>
    <row r="75" spans="1:2" ht="17.5" thickBot="1">
      <c r="A75" s="417" t="s">
        <v>321</v>
      </c>
      <c r="B75" s="420" t="s">
        <v>322</v>
      </c>
    </row>
    <row r="76" spans="1:2" ht="17.5" thickTop="1">
      <c r="A76" s="456" t="s">
        <v>327</v>
      </c>
      <c r="B76" s="459" t="s">
        <v>328</v>
      </c>
    </row>
    <row r="77" spans="1:2" ht="17.5" thickBot="1">
      <c r="A77" s="417" t="s">
        <v>331</v>
      </c>
      <c r="B77" s="420" t="s">
        <v>332</v>
      </c>
    </row>
    <row r="78" spans="1:2" ht="17.5" thickTop="1">
      <c r="A78" s="456"/>
      <c r="B78" s="459"/>
    </row>
    <row r="79" spans="1:2">
      <c r="A79" s="499" t="s">
        <v>336</v>
      </c>
      <c r="B79" s="502" t="s">
        <v>337</v>
      </c>
    </row>
    <row r="80" spans="1:2">
      <c r="A80" s="499" t="s">
        <v>338</v>
      </c>
      <c r="B80" s="502" t="s">
        <v>339</v>
      </c>
    </row>
    <row r="81" spans="1:2">
      <c r="A81" s="499" t="s">
        <v>340</v>
      </c>
      <c r="B81" s="502" t="s">
        <v>341</v>
      </c>
    </row>
    <row r="82" spans="1:2">
      <c r="A82" s="499" t="s">
        <v>342</v>
      </c>
      <c r="B82" s="502" t="s">
        <v>794</v>
      </c>
    </row>
    <row r="83" spans="1:2">
      <c r="A83" s="499" t="s">
        <v>346</v>
      </c>
      <c r="B83" s="502" t="s">
        <v>349</v>
      </c>
    </row>
    <row r="84" spans="1:2">
      <c r="A84" s="499" t="s">
        <v>350</v>
      </c>
      <c r="B84" s="502" t="s">
        <v>351</v>
      </c>
    </row>
    <row r="85" spans="1:2">
      <c r="A85" s="499" t="s">
        <v>352</v>
      </c>
      <c r="B85" s="502" t="s">
        <v>353</v>
      </c>
    </row>
    <row r="86" spans="1:2" ht="17.5" thickBot="1">
      <c r="A86" s="417" t="s">
        <v>354</v>
      </c>
      <c r="B86" s="420" t="s">
        <v>355</v>
      </c>
    </row>
    <row r="87" spans="1:2" ht="17.5" thickTop="1">
      <c r="A87" s="456" t="s">
        <v>357</v>
      </c>
      <c r="B87" s="459" t="s">
        <v>358</v>
      </c>
    </row>
    <row r="88" spans="1:2">
      <c r="A88" s="499" t="s">
        <v>360</v>
      </c>
      <c r="B88" s="502" t="s">
        <v>361</v>
      </c>
    </row>
    <row r="89" spans="1:2" ht="17.5" thickBot="1">
      <c r="A89" s="417" t="s">
        <v>363</v>
      </c>
      <c r="B89" s="420" t="s">
        <v>364</v>
      </c>
    </row>
    <row r="90" spans="1:2" ht="17.5" thickTop="1">
      <c r="A90" s="456"/>
      <c r="B90" s="459"/>
    </row>
    <row r="91" spans="1:2">
      <c r="A91" s="499" t="s">
        <v>368</v>
      </c>
      <c r="B91" s="502" t="s">
        <v>369</v>
      </c>
    </row>
    <row r="92" spans="1:2">
      <c r="A92" s="499" t="s">
        <v>371</v>
      </c>
      <c r="B92" s="502" t="s">
        <v>372</v>
      </c>
    </row>
    <row r="93" spans="1:2">
      <c r="A93" s="499" t="s">
        <v>373</v>
      </c>
      <c r="B93" s="502" t="s">
        <v>374</v>
      </c>
    </row>
    <row r="94" spans="1:2">
      <c r="A94" s="499" t="s">
        <v>375</v>
      </c>
      <c r="B94" s="502" t="s">
        <v>376</v>
      </c>
    </row>
    <row r="95" spans="1:2">
      <c r="A95" s="499" t="s">
        <v>377</v>
      </c>
      <c r="B95" s="502" t="s">
        <v>378</v>
      </c>
    </row>
    <row r="96" spans="1:2">
      <c r="A96" s="499" t="s">
        <v>379</v>
      </c>
      <c r="B96" s="502" t="s">
        <v>381</v>
      </c>
    </row>
    <row r="97" spans="1:2">
      <c r="A97" s="499" t="s">
        <v>382</v>
      </c>
      <c r="B97" s="502" t="s">
        <v>383</v>
      </c>
    </row>
    <row r="98" spans="1:2">
      <c r="A98" s="499" t="s">
        <v>384</v>
      </c>
      <c r="B98" s="502" t="s">
        <v>385</v>
      </c>
    </row>
    <row r="99" spans="1:2" ht="17.5" thickBot="1">
      <c r="A99" s="417" t="s">
        <v>386</v>
      </c>
      <c r="B99" s="420" t="s">
        <v>795</v>
      </c>
    </row>
    <row r="100" spans="1:2" ht="17.5" thickTop="1">
      <c r="A100" s="456" t="s">
        <v>390</v>
      </c>
      <c r="B100" s="459" t="s">
        <v>391</v>
      </c>
    </row>
    <row r="101" spans="1:2">
      <c r="A101" s="499" t="s">
        <v>393</v>
      </c>
      <c r="B101" s="502" t="s">
        <v>394</v>
      </c>
    </row>
    <row r="102" spans="1:2" ht="17.5" thickBot="1">
      <c r="A102" s="417" t="s">
        <v>396</v>
      </c>
      <c r="B102" s="420" t="s">
        <v>796</v>
      </c>
    </row>
    <row r="103" spans="1:2" ht="17.5" thickTop="1">
      <c r="A103" s="456"/>
      <c r="B103" s="459"/>
    </row>
    <row r="104" spans="1:2">
      <c r="A104" s="499" t="s">
        <v>401</v>
      </c>
      <c r="B104" s="502" t="s">
        <v>402</v>
      </c>
    </row>
    <row r="105" spans="1:2">
      <c r="A105" s="499" t="s">
        <v>403</v>
      </c>
      <c r="B105" s="502" t="s">
        <v>405</v>
      </c>
    </row>
    <row r="106" spans="1:2">
      <c r="A106" s="499" t="s">
        <v>406</v>
      </c>
      <c r="B106" s="502" t="s">
        <v>407</v>
      </c>
    </row>
    <row r="107" spans="1:2">
      <c r="A107" s="499" t="s">
        <v>408</v>
      </c>
      <c r="B107" s="502" t="s">
        <v>409</v>
      </c>
    </row>
    <row r="108" spans="1:2">
      <c r="A108" s="499" t="s">
        <v>410</v>
      </c>
      <c r="B108" s="502" t="s">
        <v>411</v>
      </c>
    </row>
    <row r="109" spans="1:2">
      <c r="A109" s="499" t="s">
        <v>413</v>
      </c>
      <c r="B109" s="502" t="s">
        <v>797</v>
      </c>
    </row>
    <row r="110" spans="1:2">
      <c r="A110" s="499" t="s">
        <v>415</v>
      </c>
      <c r="B110" s="502" t="s">
        <v>417</v>
      </c>
    </row>
    <row r="111" spans="1:2">
      <c r="A111" s="499" t="s">
        <v>419</v>
      </c>
      <c r="B111" s="502" t="s">
        <v>422</v>
      </c>
    </row>
    <row r="112" spans="1:2">
      <c r="A112" s="499" t="s">
        <v>423</v>
      </c>
      <c r="B112" s="502" t="s">
        <v>425</v>
      </c>
    </row>
    <row r="113" spans="1:2">
      <c r="A113" s="499" t="s">
        <v>426</v>
      </c>
      <c r="B113" s="502" t="s">
        <v>428</v>
      </c>
    </row>
    <row r="114" spans="1:2">
      <c r="A114" s="499" t="s">
        <v>429</v>
      </c>
      <c r="B114" s="502" t="s">
        <v>430</v>
      </c>
    </row>
    <row r="115" spans="1:2" ht="17.5" thickBot="1">
      <c r="A115" s="417" t="s">
        <v>431</v>
      </c>
      <c r="B115" s="420" t="s">
        <v>432</v>
      </c>
    </row>
    <row r="116" spans="1:2" ht="17.5" thickTop="1">
      <c r="A116" s="456" t="s">
        <v>434</v>
      </c>
      <c r="B116" s="459" t="s">
        <v>435</v>
      </c>
    </row>
    <row r="117" spans="1:2" ht="17.5" thickBot="1">
      <c r="A117" s="417" t="s">
        <v>439</v>
      </c>
      <c r="B117" s="420" t="s">
        <v>440</v>
      </c>
    </row>
    <row r="118" spans="1:2" ht="17.5" thickTop="1">
      <c r="A118" s="456"/>
      <c r="B118" s="459"/>
    </row>
    <row r="119" spans="1:2">
      <c r="A119" s="499" t="s">
        <v>444</v>
      </c>
      <c r="B119" s="502" t="s">
        <v>445</v>
      </c>
    </row>
    <row r="120" spans="1:2">
      <c r="A120" s="499" t="s">
        <v>444</v>
      </c>
      <c r="B120" s="502" t="s">
        <v>445</v>
      </c>
    </row>
    <row r="121" spans="1:2">
      <c r="A121" s="499" t="s">
        <v>444</v>
      </c>
      <c r="B121" s="502" t="s">
        <v>445</v>
      </c>
    </row>
    <row r="122" spans="1:2">
      <c r="A122" s="499" t="s">
        <v>444</v>
      </c>
      <c r="B122" s="502" t="s">
        <v>445</v>
      </c>
    </row>
    <row r="123" spans="1:2">
      <c r="A123" s="499" t="s">
        <v>444</v>
      </c>
      <c r="B123" s="502" t="s">
        <v>445</v>
      </c>
    </row>
    <row r="124" spans="1:2">
      <c r="A124" s="499" t="s">
        <v>444</v>
      </c>
      <c r="B124" s="502" t="s">
        <v>445</v>
      </c>
    </row>
    <row r="125" spans="1:2" ht="17.5" thickBot="1">
      <c r="A125" s="417" t="s">
        <v>444</v>
      </c>
      <c r="B125" s="420" t="s">
        <v>445</v>
      </c>
    </row>
    <row r="126" spans="1:2" ht="17.5" thickTop="1">
      <c r="A126" s="456"/>
      <c r="B126" s="459"/>
    </row>
    <row r="127" spans="1:2">
      <c r="A127" s="499" t="s">
        <v>449</v>
      </c>
      <c r="B127" s="502" t="s">
        <v>450</v>
      </c>
    </row>
    <row r="128" spans="1:2">
      <c r="A128" s="499" t="s">
        <v>449</v>
      </c>
      <c r="B128" s="502" t="s">
        <v>450</v>
      </c>
    </row>
    <row r="129" spans="1:2">
      <c r="A129" s="499" t="s">
        <v>449</v>
      </c>
      <c r="B129" s="502" t="s">
        <v>450</v>
      </c>
    </row>
    <row r="130" spans="1:2">
      <c r="A130" s="499" t="s">
        <v>449</v>
      </c>
      <c r="B130" s="502" t="s">
        <v>450</v>
      </c>
    </row>
    <row r="131" spans="1:2">
      <c r="A131" s="499" t="s">
        <v>449</v>
      </c>
      <c r="B131" s="502" t="s">
        <v>450</v>
      </c>
    </row>
    <row r="132" spans="1:2">
      <c r="A132" s="499" t="s">
        <v>449</v>
      </c>
      <c r="B132" s="502" t="s">
        <v>450</v>
      </c>
    </row>
    <row r="133" spans="1:2">
      <c r="A133" s="499" t="s">
        <v>449</v>
      </c>
      <c r="B133" s="502" t="s">
        <v>450</v>
      </c>
    </row>
    <row r="134" spans="1:2">
      <c r="A134" s="499" t="s">
        <v>449</v>
      </c>
      <c r="B134" s="502" t="s">
        <v>450</v>
      </c>
    </row>
    <row r="135" spans="1:2">
      <c r="A135" s="499" t="s">
        <v>449</v>
      </c>
      <c r="B135" s="502" t="s">
        <v>450</v>
      </c>
    </row>
    <row r="136" spans="1:2" ht="17.5" thickBot="1">
      <c r="A136" s="417" t="s">
        <v>449</v>
      </c>
      <c r="B136" s="420" t="s">
        <v>450</v>
      </c>
    </row>
    <row r="137" spans="1:2" ht="17.5" thickTop="1">
      <c r="A137" s="456"/>
      <c r="B137" s="459"/>
    </row>
    <row r="138" spans="1:2">
      <c r="A138" s="499" t="s">
        <v>454</v>
      </c>
      <c r="B138" s="502" t="s">
        <v>798</v>
      </c>
    </row>
    <row r="139" spans="1:2">
      <c r="A139" s="499" t="s">
        <v>454</v>
      </c>
      <c r="B139" s="502" t="s">
        <v>798</v>
      </c>
    </row>
    <row r="140" spans="1:2">
      <c r="A140" s="499" t="s">
        <v>454</v>
      </c>
      <c r="B140" s="502" t="s">
        <v>798</v>
      </c>
    </row>
    <row r="141" spans="1:2">
      <c r="A141" s="499" t="s">
        <v>454</v>
      </c>
      <c r="B141" s="502" t="s">
        <v>798</v>
      </c>
    </row>
    <row r="142" spans="1:2">
      <c r="A142" s="499" t="s">
        <v>454</v>
      </c>
      <c r="B142" s="502" t="s">
        <v>798</v>
      </c>
    </row>
    <row r="143" spans="1:2">
      <c r="A143" s="499" t="s">
        <v>454</v>
      </c>
      <c r="B143" s="502" t="s">
        <v>798</v>
      </c>
    </row>
    <row r="144" spans="1:2">
      <c r="A144" s="499" t="s">
        <v>454</v>
      </c>
      <c r="B144" s="502" t="s">
        <v>798</v>
      </c>
    </row>
    <row r="145" spans="1:2">
      <c r="A145" s="499" t="s">
        <v>454</v>
      </c>
      <c r="B145" s="502" t="s">
        <v>798</v>
      </c>
    </row>
    <row r="146" spans="1:2">
      <c r="A146" s="499" t="s">
        <v>454</v>
      </c>
      <c r="B146" s="502" t="s">
        <v>798</v>
      </c>
    </row>
    <row r="147" spans="1:2">
      <c r="A147" s="499" t="s">
        <v>454</v>
      </c>
      <c r="B147" s="502" t="s">
        <v>798</v>
      </c>
    </row>
    <row r="148" spans="1:2">
      <c r="A148" s="499" t="s">
        <v>454</v>
      </c>
      <c r="B148" s="502" t="s">
        <v>798</v>
      </c>
    </row>
    <row r="149" spans="1:2">
      <c r="A149" s="499" t="s">
        <v>454</v>
      </c>
      <c r="B149" s="502" t="s">
        <v>798</v>
      </c>
    </row>
    <row r="150" spans="1:2">
      <c r="A150" s="499" t="s">
        <v>454</v>
      </c>
      <c r="B150" s="502" t="s">
        <v>798</v>
      </c>
    </row>
    <row r="151" spans="1:2" ht="17.5" thickBot="1">
      <c r="A151" s="417" t="s">
        <v>454</v>
      </c>
      <c r="B151" s="420" t="s">
        <v>798</v>
      </c>
    </row>
    <row r="152" spans="1:2" ht="17.5" thickTop="1">
      <c r="A152" s="456" t="s">
        <v>460</v>
      </c>
      <c r="B152" s="459" t="s">
        <v>799</v>
      </c>
    </row>
    <row r="153" spans="1:2" ht="17.5" thickBot="1">
      <c r="A153" s="417" t="s">
        <v>462</v>
      </c>
      <c r="B153" s="521" t="s">
        <v>465</v>
      </c>
    </row>
    <row r="154" spans="1:2" ht="17.5" thickTop="1">
      <c r="A154" s="456"/>
      <c r="B154" s="459"/>
    </row>
    <row r="155" spans="1:2">
      <c r="A155" s="499" t="s">
        <v>469</v>
      </c>
      <c r="B155" s="502" t="s">
        <v>470</v>
      </c>
    </row>
    <row r="156" spans="1:2">
      <c r="A156" s="499" t="s">
        <v>471</v>
      </c>
      <c r="B156" s="502" t="s">
        <v>472</v>
      </c>
    </row>
    <row r="157" spans="1:2">
      <c r="A157" s="499" t="s">
        <v>473</v>
      </c>
      <c r="B157" s="502" t="s">
        <v>474</v>
      </c>
    </row>
    <row r="158" spans="1:2">
      <c r="A158" s="499" t="s">
        <v>475</v>
      </c>
      <c r="B158" s="502" t="s">
        <v>476</v>
      </c>
    </row>
    <row r="159" spans="1:2">
      <c r="A159" s="499" t="s">
        <v>477</v>
      </c>
      <c r="B159" s="502" t="s">
        <v>478</v>
      </c>
    </row>
    <row r="160" spans="1:2" ht="17.5" thickBot="1">
      <c r="A160" s="417" t="s">
        <v>480</v>
      </c>
      <c r="B160" s="420" t="s">
        <v>481</v>
      </c>
    </row>
    <row r="161" spans="1:2" ht="17.5" thickTop="1">
      <c r="A161" s="456" t="s">
        <v>185</v>
      </c>
      <c r="B161" s="459" t="s">
        <v>484</v>
      </c>
    </row>
    <row r="162" spans="1:2">
      <c r="A162" s="499" t="s">
        <v>485</v>
      </c>
      <c r="B162" s="502" t="s">
        <v>486</v>
      </c>
    </row>
    <row r="163" spans="1:2" ht="17.5" thickBot="1">
      <c r="A163" s="525" t="s">
        <v>488</v>
      </c>
      <c r="B163" s="519" t="s">
        <v>490</v>
      </c>
    </row>
    <row r="164" spans="1:2" ht="17.5" thickTop="1">
      <c r="A164" s="241"/>
      <c r="B164" s="242"/>
    </row>
    <row r="165" spans="1:2">
      <c r="A165" s="249"/>
      <c r="B165" s="233"/>
    </row>
    <row r="166" spans="1:2">
      <c r="A166" s="249"/>
      <c r="B166" s="233"/>
    </row>
    <row r="167" spans="1:2">
      <c r="A167" s="249"/>
      <c r="B167" s="233"/>
    </row>
    <row r="168" spans="1:2">
      <c r="A168" s="249"/>
      <c r="B168" s="233"/>
    </row>
    <row r="169" spans="1:2">
      <c r="A169" s="249"/>
      <c r="B169" s="233"/>
    </row>
    <row r="170" spans="1:2">
      <c r="A170" s="249"/>
      <c r="B170" s="233"/>
    </row>
    <row r="171" spans="1:2" ht="17.5" thickBot="1">
      <c r="A171" s="258"/>
      <c r="B171" s="264"/>
    </row>
    <row r="172" spans="1:2" ht="17.5" thickTop="1"/>
    <row r="174" spans="1:2">
      <c r="A174" s="826" t="s">
        <v>532</v>
      </c>
    </row>
    <row r="175" spans="1:2">
      <c r="A175" s="827"/>
    </row>
    <row r="176" spans="1:2">
      <c r="A176" s="228">
        <f>COUNTIFS(표3[사용승인일자],"&lt;1981-12-31",표3[주용도],"*공동*",표3[주구조],"*콘크리트*")</f>
        <v>0</v>
      </c>
    </row>
    <row r="177" spans="1:1">
      <c r="A177" s="228">
        <f>COUNTIFS(표3[사용승인일자],"&lt;1982-01-01",표3[주용도],"*공동*",표3[주구조],"*콘크리트*")</f>
        <v>0</v>
      </c>
    </row>
    <row r="178" spans="1:1">
      <c r="A178" s="228">
        <f>COUNTIFS(표3[사용승인일자],"&lt;1983-01-01",표3[주용도],"*공동*",표3[주구조],"*콘크리트*")</f>
        <v>0</v>
      </c>
    </row>
    <row r="179" spans="1:1">
      <c r="A179" s="228">
        <f>COUNTIFS(표3[사용승인일자],"&lt;1984-01-01",표3[주용도],"*공동*",표3[주구조],"*콘크리트*")</f>
        <v>0</v>
      </c>
    </row>
    <row r="180" spans="1:1">
      <c r="A180" s="228">
        <f>COUNTIFS(표3[사용승인일자],"&lt;1985-01-01",표3[주용도],"*공동*",표3[주구조],"*콘크리트*")</f>
        <v>0</v>
      </c>
    </row>
    <row r="181" spans="1:1">
      <c r="A181" s="228">
        <f>COUNTIFS(표3[사용승인일자],"&lt;1986-01-01",표3[주용도],"*공동*",표3[주구조],"*콘크리트*")</f>
        <v>0</v>
      </c>
    </row>
    <row r="182" spans="1:1">
      <c r="A182" s="228">
        <f>COUNTIFS(표3[사용승인일자],"&lt;1987-01-01",표3[주용도],"*공동*",표3[주구조],"*콘크리트*")</f>
        <v>0</v>
      </c>
    </row>
    <row r="183" spans="1:1">
      <c r="A183" s="228">
        <f>COUNTIFS(표3[사용승인일자],"&lt;1988-01-01",표3[주용도],"*공동*",표3[주구조],"*콘크리트*")</f>
        <v>0</v>
      </c>
    </row>
    <row r="184" spans="1:1">
      <c r="A184" s="228">
        <f>COUNTIFS(표3[사용승인일자],"&lt;1989-01-01",표3[주용도],"*공동*",표3[주구조],"*콘크리트*")</f>
        <v>0</v>
      </c>
    </row>
    <row r="185" spans="1:1">
      <c r="A185" s="228">
        <f>COUNTIFS(표3[사용승인일자],"&lt;1990-01-01",표3[주용도],"*공동*",표3[주구조],"*콘크리트*")</f>
        <v>0</v>
      </c>
    </row>
    <row r="186" spans="1:1">
      <c r="A186" s="228">
        <f>COUNTIFS(표3[사용승인일자],"&lt;1985-01-01",표3[주용도],"*공동*",표3[주구조],"*콘크리트*")</f>
        <v>0</v>
      </c>
    </row>
  </sheetData>
  <mergeCells count="1">
    <mergeCell ref="A174:A175"/>
  </mergeCells>
  <phoneticPr fontId="1" type="noConversion"/>
  <conditionalFormatting sqref="A187:A1048576 A1:A2 A4:A173">
    <cfRule type="duplicateValues" dxfId="2" priority="2"/>
  </conditionalFormatting>
  <conditionalFormatting sqref="A187:A1048576 A2 A4:A75 A77:A173">
    <cfRule type="duplicateValues" dxfId="1" priority="3"/>
  </conditionalFormatting>
  <conditionalFormatting sqref="B1:B51 B53:B104 B163:B1048576 B106:B161">
    <cfRule type="duplicateValues" dxfId="0" priority="1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7460-AA17-4ED7-BE63-6BDB49DA3CF2}">
  <sheetPr codeName="Sheet5">
    <pageSetUpPr autoPageBreaks="0" fitToPage="1"/>
  </sheetPr>
  <dimension ref="A1:H34"/>
  <sheetViews>
    <sheetView showOutlineSymbols="0" zoomScale="130" zoomScaleNormal="130" workbookViewId="0">
      <selection activeCell="H8" sqref="H8"/>
    </sheetView>
  </sheetViews>
  <sheetFormatPr defaultColWidth="10.5" defaultRowHeight="15" customHeight="1"/>
  <cols>
    <col min="1" max="1" width="26.83203125" style="317" customWidth="1"/>
    <col min="2" max="6" width="10.25" style="317" customWidth="1"/>
    <col min="7" max="8" width="19.33203125" style="317" customWidth="1"/>
    <col min="9" max="256" width="10.5" style="317"/>
    <col min="257" max="257" width="26.83203125" style="317" customWidth="1"/>
    <col min="258" max="261" width="10.25" style="317" customWidth="1"/>
    <col min="262" max="263" width="19.33203125" style="317" customWidth="1"/>
    <col min="264" max="512" width="10.5" style="317"/>
    <col min="513" max="513" width="26.83203125" style="317" customWidth="1"/>
    <col min="514" max="517" width="10.25" style="317" customWidth="1"/>
    <col min="518" max="519" width="19.33203125" style="317" customWidth="1"/>
    <col min="520" max="768" width="10.5" style="317"/>
    <col min="769" max="769" width="26.83203125" style="317" customWidth="1"/>
    <col min="770" max="773" width="10.25" style="317" customWidth="1"/>
    <col min="774" max="775" width="19.33203125" style="317" customWidth="1"/>
    <col min="776" max="1024" width="10.5" style="317"/>
    <col min="1025" max="1025" width="26.83203125" style="317" customWidth="1"/>
    <col min="1026" max="1029" width="10.25" style="317" customWidth="1"/>
    <col min="1030" max="1031" width="19.33203125" style="317" customWidth="1"/>
    <col min="1032" max="1280" width="10.5" style="317"/>
    <col min="1281" max="1281" width="26.83203125" style="317" customWidth="1"/>
    <col min="1282" max="1285" width="10.25" style="317" customWidth="1"/>
    <col min="1286" max="1287" width="19.33203125" style="317" customWidth="1"/>
    <col min="1288" max="1536" width="10.5" style="317"/>
    <col min="1537" max="1537" width="26.83203125" style="317" customWidth="1"/>
    <col min="1538" max="1541" width="10.25" style="317" customWidth="1"/>
    <col min="1542" max="1543" width="19.33203125" style="317" customWidth="1"/>
    <col min="1544" max="1792" width="10.5" style="317"/>
    <col min="1793" max="1793" width="26.83203125" style="317" customWidth="1"/>
    <col min="1794" max="1797" width="10.25" style="317" customWidth="1"/>
    <col min="1798" max="1799" width="19.33203125" style="317" customWidth="1"/>
    <col min="1800" max="2048" width="10.5" style="317"/>
    <col min="2049" max="2049" width="26.83203125" style="317" customWidth="1"/>
    <col min="2050" max="2053" width="10.25" style="317" customWidth="1"/>
    <col min="2054" max="2055" width="19.33203125" style="317" customWidth="1"/>
    <col min="2056" max="2304" width="10.5" style="317"/>
    <col min="2305" max="2305" width="26.83203125" style="317" customWidth="1"/>
    <col min="2306" max="2309" width="10.25" style="317" customWidth="1"/>
    <col min="2310" max="2311" width="19.33203125" style="317" customWidth="1"/>
    <col min="2312" max="2560" width="10.5" style="317"/>
    <col min="2561" max="2561" width="26.83203125" style="317" customWidth="1"/>
    <col min="2562" max="2565" width="10.25" style="317" customWidth="1"/>
    <col min="2566" max="2567" width="19.33203125" style="317" customWidth="1"/>
    <col min="2568" max="2816" width="10.5" style="317"/>
    <col min="2817" max="2817" width="26.83203125" style="317" customWidth="1"/>
    <col min="2818" max="2821" width="10.25" style="317" customWidth="1"/>
    <col min="2822" max="2823" width="19.33203125" style="317" customWidth="1"/>
    <col min="2824" max="3072" width="10.5" style="317"/>
    <col min="3073" max="3073" width="26.83203125" style="317" customWidth="1"/>
    <col min="3074" max="3077" width="10.25" style="317" customWidth="1"/>
    <col min="3078" max="3079" width="19.33203125" style="317" customWidth="1"/>
    <col min="3080" max="3328" width="10.5" style="317"/>
    <col min="3329" max="3329" width="26.83203125" style="317" customWidth="1"/>
    <col min="3330" max="3333" width="10.25" style="317" customWidth="1"/>
    <col min="3334" max="3335" width="19.33203125" style="317" customWidth="1"/>
    <col min="3336" max="3584" width="10.5" style="317"/>
    <col min="3585" max="3585" width="26.83203125" style="317" customWidth="1"/>
    <col min="3586" max="3589" width="10.25" style="317" customWidth="1"/>
    <col min="3590" max="3591" width="19.33203125" style="317" customWidth="1"/>
    <col min="3592" max="3840" width="10.5" style="317"/>
    <col min="3841" max="3841" width="26.83203125" style="317" customWidth="1"/>
    <col min="3842" max="3845" width="10.25" style="317" customWidth="1"/>
    <col min="3846" max="3847" width="19.33203125" style="317" customWidth="1"/>
    <col min="3848" max="4096" width="10.5" style="317"/>
    <col min="4097" max="4097" width="26.83203125" style="317" customWidth="1"/>
    <col min="4098" max="4101" width="10.25" style="317" customWidth="1"/>
    <col min="4102" max="4103" width="19.33203125" style="317" customWidth="1"/>
    <col min="4104" max="4352" width="10.5" style="317"/>
    <col min="4353" max="4353" width="26.83203125" style="317" customWidth="1"/>
    <col min="4354" max="4357" width="10.25" style="317" customWidth="1"/>
    <col min="4358" max="4359" width="19.33203125" style="317" customWidth="1"/>
    <col min="4360" max="4608" width="10.5" style="317"/>
    <col min="4609" max="4609" width="26.83203125" style="317" customWidth="1"/>
    <col min="4610" max="4613" width="10.25" style="317" customWidth="1"/>
    <col min="4614" max="4615" width="19.33203125" style="317" customWidth="1"/>
    <col min="4616" max="4864" width="10.5" style="317"/>
    <col min="4865" max="4865" width="26.83203125" style="317" customWidth="1"/>
    <col min="4866" max="4869" width="10.25" style="317" customWidth="1"/>
    <col min="4870" max="4871" width="19.33203125" style="317" customWidth="1"/>
    <col min="4872" max="5120" width="10.5" style="317"/>
    <col min="5121" max="5121" width="26.83203125" style="317" customWidth="1"/>
    <col min="5122" max="5125" width="10.25" style="317" customWidth="1"/>
    <col min="5126" max="5127" width="19.33203125" style="317" customWidth="1"/>
    <col min="5128" max="5376" width="10.5" style="317"/>
    <col min="5377" max="5377" width="26.83203125" style="317" customWidth="1"/>
    <col min="5378" max="5381" width="10.25" style="317" customWidth="1"/>
    <col min="5382" max="5383" width="19.33203125" style="317" customWidth="1"/>
    <col min="5384" max="5632" width="10.5" style="317"/>
    <col min="5633" max="5633" width="26.83203125" style="317" customWidth="1"/>
    <col min="5634" max="5637" width="10.25" style="317" customWidth="1"/>
    <col min="5638" max="5639" width="19.33203125" style="317" customWidth="1"/>
    <col min="5640" max="5888" width="10.5" style="317"/>
    <col min="5889" max="5889" width="26.83203125" style="317" customWidth="1"/>
    <col min="5890" max="5893" width="10.25" style="317" customWidth="1"/>
    <col min="5894" max="5895" width="19.33203125" style="317" customWidth="1"/>
    <col min="5896" max="6144" width="10.5" style="317"/>
    <col min="6145" max="6145" width="26.83203125" style="317" customWidth="1"/>
    <col min="6146" max="6149" width="10.25" style="317" customWidth="1"/>
    <col min="6150" max="6151" width="19.33203125" style="317" customWidth="1"/>
    <col min="6152" max="6400" width="10.5" style="317"/>
    <col min="6401" max="6401" width="26.83203125" style="317" customWidth="1"/>
    <col min="6402" max="6405" width="10.25" style="317" customWidth="1"/>
    <col min="6406" max="6407" width="19.33203125" style="317" customWidth="1"/>
    <col min="6408" max="6656" width="10.5" style="317"/>
    <col min="6657" max="6657" width="26.83203125" style="317" customWidth="1"/>
    <col min="6658" max="6661" width="10.25" style="317" customWidth="1"/>
    <col min="6662" max="6663" width="19.33203125" style="317" customWidth="1"/>
    <col min="6664" max="6912" width="10.5" style="317"/>
    <col min="6913" max="6913" width="26.83203125" style="317" customWidth="1"/>
    <col min="6914" max="6917" width="10.25" style="317" customWidth="1"/>
    <col min="6918" max="6919" width="19.33203125" style="317" customWidth="1"/>
    <col min="6920" max="7168" width="10.5" style="317"/>
    <col min="7169" max="7169" width="26.83203125" style="317" customWidth="1"/>
    <col min="7170" max="7173" width="10.25" style="317" customWidth="1"/>
    <col min="7174" max="7175" width="19.33203125" style="317" customWidth="1"/>
    <col min="7176" max="7424" width="10.5" style="317"/>
    <col min="7425" max="7425" width="26.83203125" style="317" customWidth="1"/>
    <col min="7426" max="7429" width="10.25" style="317" customWidth="1"/>
    <col min="7430" max="7431" width="19.33203125" style="317" customWidth="1"/>
    <col min="7432" max="7680" width="10.5" style="317"/>
    <col min="7681" max="7681" width="26.83203125" style="317" customWidth="1"/>
    <col min="7682" max="7685" width="10.25" style="317" customWidth="1"/>
    <col min="7686" max="7687" width="19.33203125" style="317" customWidth="1"/>
    <col min="7688" max="7936" width="10.5" style="317"/>
    <col min="7937" max="7937" width="26.83203125" style="317" customWidth="1"/>
    <col min="7938" max="7941" width="10.25" style="317" customWidth="1"/>
    <col min="7942" max="7943" width="19.33203125" style="317" customWidth="1"/>
    <col min="7944" max="8192" width="10.5" style="317"/>
    <col min="8193" max="8193" width="26.83203125" style="317" customWidth="1"/>
    <col min="8194" max="8197" width="10.25" style="317" customWidth="1"/>
    <col min="8198" max="8199" width="19.33203125" style="317" customWidth="1"/>
    <col min="8200" max="8448" width="10.5" style="317"/>
    <col min="8449" max="8449" width="26.83203125" style="317" customWidth="1"/>
    <col min="8450" max="8453" width="10.25" style="317" customWidth="1"/>
    <col min="8454" max="8455" width="19.33203125" style="317" customWidth="1"/>
    <col min="8456" max="8704" width="10.5" style="317"/>
    <col min="8705" max="8705" width="26.83203125" style="317" customWidth="1"/>
    <col min="8706" max="8709" width="10.25" style="317" customWidth="1"/>
    <col min="8710" max="8711" width="19.33203125" style="317" customWidth="1"/>
    <col min="8712" max="8960" width="10.5" style="317"/>
    <col min="8961" max="8961" width="26.83203125" style="317" customWidth="1"/>
    <col min="8962" max="8965" width="10.25" style="317" customWidth="1"/>
    <col min="8966" max="8967" width="19.33203125" style="317" customWidth="1"/>
    <col min="8968" max="9216" width="10.5" style="317"/>
    <col min="9217" max="9217" width="26.83203125" style="317" customWidth="1"/>
    <col min="9218" max="9221" width="10.25" style="317" customWidth="1"/>
    <col min="9222" max="9223" width="19.33203125" style="317" customWidth="1"/>
    <col min="9224" max="9472" width="10.5" style="317"/>
    <col min="9473" max="9473" width="26.83203125" style="317" customWidth="1"/>
    <col min="9474" max="9477" width="10.25" style="317" customWidth="1"/>
    <col min="9478" max="9479" width="19.33203125" style="317" customWidth="1"/>
    <col min="9480" max="9728" width="10.5" style="317"/>
    <col min="9729" max="9729" width="26.83203125" style="317" customWidth="1"/>
    <col min="9730" max="9733" width="10.25" style="317" customWidth="1"/>
    <col min="9734" max="9735" width="19.33203125" style="317" customWidth="1"/>
    <col min="9736" max="9984" width="10.5" style="317"/>
    <col min="9985" max="9985" width="26.83203125" style="317" customWidth="1"/>
    <col min="9986" max="9989" width="10.25" style="317" customWidth="1"/>
    <col min="9990" max="9991" width="19.33203125" style="317" customWidth="1"/>
    <col min="9992" max="10240" width="10.5" style="317"/>
    <col min="10241" max="10241" width="26.83203125" style="317" customWidth="1"/>
    <col min="10242" max="10245" width="10.25" style="317" customWidth="1"/>
    <col min="10246" max="10247" width="19.33203125" style="317" customWidth="1"/>
    <col min="10248" max="10496" width="10.5" style="317"/>
    <col min="10497" max="10497" width="26.83203125" style="317" customWidth="1"/>
    <col min="10498" max="10501" width="10.25" style="317" customWidth="1"/>
    <col min="10502" max="10503" width="19.33203125" style="317" customWidth="1"/>
    <col min="10504" max="10752" width="10.5" style="317"/>
    <col min="10753" max="10753" width="26.83203125" style="317" customWidth="1"/>
    <col min="10754" max="10757" width="10.25" style="317" customWidth="1"/>
    <col min="10758" max="10759" width="19.33203125" style="317" customWidth="1"/>
    <col min="10760" max="11008" width="10.5" style="317"/>
    <col min="11009" max="11009" width="26.83203125" style="317" customWidth="1"/>
    <col min="11010" max="11013" width="10.25" style="317" customWidth="1"/>
    <col min="11014" max="11015" width="19.33203125" style="317" customWidth="1"/>
    <col min="11016" max="11264" width="10.5" style="317"/>
    <col min="11265" max="11265" width="26.83203125" style="317" customWidth="1"/>
    <col min="11266" max="11269" width="10.25" style="317" customWidth="1"/>
    <col min="11270" max="11271" width="19.33203125" style="317" customWidth="1"/>
    <col min="11272" max="11520" width="10.5" style="317"/>
    <col min="11521" max="11521" width="26.83203125" style="317" customWidth="1"/>
    <col min="11522" max="11525" width="10.25" style="317" customWidth="1"/>
    <col min="11526" max="11527" width="19.33203125" style="317" customWidth="1"/>
    <col min="11528" max="11776" width="10.5" style="317"/>
    <col min="11777" max="11777" width="26.83203125" style="317" customWidth="1"/>
    <col min="11778" max="11781" width="10.25" style="317" customWidth="1"/>
    <col min="11782" max="11783" width="19.33203125" style="317" customWidth="1"/>
    <col min="11784" max="12032" width="10.5" style="317"/>
    <col min="12033" max="12033" width="26.83203125" style="317" customWidth="1"/>
    <col min="12034" max="12037" width="10.25" style="317" customWidth="1"/>
    <col min="12038" max="12039" width="19.33203125" style="317" customWidth="1"/>
    <col min="12040" max="12288" width="10.5" style="317"/>
    <col min="12289" max="12289" width="26.83203125" style="317" customWidth="1"/>
    <col min="12290" max="12293" width="10.25" style="317" customWidth="1"/>
    <col min="12294" max="12295" width="19.33203125" style="317" customWidth="1"/>
    <col min="12296" max="12544" width="10.5" style="317"/>
    <col min="12545" max="12545" width="26.83203125" style="317" customWidth="1"/>
    <col min="12546" max="12549" width="10.25" style="317" customWidth="1"/>
    <col min="12550" max="12551" width="19.33203125" style="317" customWidth="1"/>
    <col min="12552" max="12800" width="10.5" style="317"/>
    <col min="12801" max="12801" width="26.83203125" style="317" customWidth="1"/>
    <col min="12802" max="12805" width="10.25" style="317" customWidth="1"/>
    <col min="12806" max="12807" width="19.33203125" style="317" customWidth="1"/>
    <col min="12808" max="13056" width="10.5" style="317"/>
    <col min="13057" max="13057" width="26.83203125" style="317" customWidth="1"/>
    <col min="13058" max="13061" width="10.25" style="317" customWidth="1"/>
    <col min="13062" max="13063" width="19.33203125" style="317" customWidth="1"/>
    <col min="13064" max="13312" width="10.5" style="317"/>
    <col min="13313" max="13313" width="26.83203125" style="317" customWidth="1"/>
    <col min="13314" max="13317" width="10.25" style="317" customWidth="1"/>
    <col min="13318" max="13319" width="19.33203125" style="317" customWidth="1"/>
    <col min="13320" max="13568" width="10.5" style="317"/>
    <col min="13569" max="13569" width="26.83203125" style="317" customWidth="1"/>
    <col min="13570" max="13573" width="10.25" style="317" customWidth="1"/>
    <col min="13574" max="13575" width="19.33203125" style="317" customWidth="1"/>
    <col min="13576" max="13824" width="10.5" style="317"/>
    <col min="13825" max="13825" width="26.83203125" style="317" customWidth="1"/>
    <col min="13826" max="13829" width="10.25" style="317" customWidth="1"/>
    <col min="13830" max="13831" width="19.33203125" style="317" customWidth="1"/>
    <col min="13832" max="14080" width="10.5" style="317"/>
    <col min="14081" max="14081" width="26.83203125" style="317" customWidth="1"/>
    <col min="14082" max="14085" width="10.25" style="317" customWidth="1"/>
    <col min="14086" max="14087" width="19.33203125" style="317" customWidth="1"/>
    <col min="14088" max="14336" width="10.5" style="317"/>
    <col min="14337" max="14337" width="26.83203125" style="317" customWidth="1"/>
    <col min="14338" max="14341" width="10.25" style="317" customWidth="1"/>
    <col min="14342" max="14343" width="19.33203125" style="317" customWidth="1"/>
    <col min="14344" max="14592" width="10.5" style="317"/>
    <col min="14593" max="14593" width="26.83203125" style="317" customWidth="1"/>
    <col min="14594" max="14597" width="10.25" style="317" customWidth="1"/>
    <col min="14598" max="14599" width="19.33203125" style="317" customWidth="1"/>
    <col min="14600" max="14848" width="10.5" style="317"/>
    <col min="14849" max="14849" width="26.83203125" style="317" customWidth="1"/>
    <col min="14850" max="14853" width="10.25" style="317" customWidth="1"/>
    <col min="14854" max="14855" width="19.33203125" style="317" customWidth="1"/>
    <col min="14856" max="15104" width="10.5" style="317"/>
    <col min="15105" max="15105" width="26.83203125" style="317" customWidth="1"/>
    <col min="15106" max="15109" width="10.25" style="317" customWidth="1"/>
    <col min="15110" max="15111" width="19.33203125" style="317" customWidth="1"/>
    <col min="15112" max="15360" width="10.5" style="317"/>
    <col min="15361" max="15361" width="26.83203125" style="317" customWidth="1"/>
    <col min="15362" max="15365" width="10.25" style="317" customWidth="1"/>
    <col min="15366" max="15367" width="19.33203125" style="317" customWidth="1"/>
    <col min="15368" max="15616" width="10.5" style="317"/>
    <col min="15617" max="15617" width="26.83203125" style="317" customWidth="1"/>
    <col min="15618" max="15621" width="10.25" style="317" customWidth="1"/>
    <col min="15622" max="15623" width="19.33203125" style="317" customWidth="1"/>
    <col min="15624" max="15872" width="10.5" style="317"/>
    <col min="15873" max="15873" width="26.83203125" style="317" customWidth="1"/>
    <col min="15874" max="15877" width="10.25" style="317" customWidth="1"/>
    <col min="15878" max="15879" width="19.33203125" style="317" customWidth="1"/>
    <col min="15880" max="16128" width="10.5" style="317"/>
    <col min="16129" max="16129" width="26.83203125" style="317" customWidth="1"/>
    <col min="16130" max="16133" width="10.25" style="317" customWidth="1"/>
    <col min="16134" max="16135" width="19.33203125" style="317" customWidth="1"/>
    <col min="16136" max="16384" width="10.5" style="317"/>
  </cols>
  <sheetData>
    <row r="1" spans="1:8" s="314" customFormat="1" ht="16.5" customHeight="1">
      <c r="A1" s="318" t="s">
        <v>800</v>
      </c>
      <c r="B1" s="318" t="s">
        <v>801</v>
      </c>
      <c r="C1" s="318" t="s">
        <v>802</v>
      </c>
      <c r="D1" s="318" t="s">
        <v>80</v>
      </c>
      <c r="E1" s="318" t="s">
        <v>803</v>
      </c>
      <c r="F1" s="318" t="s">
        <v>804</v>
      </c>
      <c r="G1" s="318" t="s">
        <v>805</v>
      </c>
      <c r="H1" s="318" t="s">
        <v>806</v>
      </c>
    </row>
    <row r="2" spans="1:8" s="314" customFormat="1" ht="12.75" customHeight="1">
      <c r="A2" s="315" t="s">
        <v>807</v>
      </c>
      <c r="B2" s="315">
        <v>7</v>
      </c>
      <c r="C2" s="315">
        <v>9</v>
      </c>
      <c r="D2" s="315" t="s">
        <v>459</v>
      </c>
      <c r="E2" s="316">
        <v>2668.6</v>
      </c>
      <c r="F2" s="316">
        <v>92.910003662109375</v>
      </c>
      <c r="G2" s="315" t="s">
        <v>808</v>
      </c>
      <c r="H2" s="315"/>
    </row>
    <row r="3" spans="1:8" ht="15" customHeight="1">
      <c r="A3" s="315" t="s">
        <v>807</v>
      </c>
      <c r="B3" s="315">
        <v>28</v>
      </c>
      <c r="C3" s="315"/>
      <c r="D3" s="315" t="s">
        <v>173</v>
      </c>
      <c r="E3" s="316">
        <v>233.3</v>
      </c>
      <c r="F3" s="316">
        <v>233.30000305175781</v>
      </c>
      <c r="G3" s="315" t="s">
        <v>808</v>
      </c>
      <c r="H3" s="315"/>
    </row>
    <row r="4" spans="1:8" ht="15" customHeight="1">
      <c r="A4" s="315" t="s">
        <v>807</v>
      </c>
      <c r="B4" s="315">
        <v>28</v>
      </c>
      <c r="C4" s="315">
        <v>1</v>
      </c>
      <c r="D4" s="315" t="s">
        <v>173</v>
      </c>
      <c r="E4" s="316">
        <v>374.6</v>
      </c>
      <c r="F4" s="316">
        <v>374.60000610351563</v>
      </c>
      <c r="G4" s="315" t="s">
        <v>808</v>
      </c>
      <c r="H4" s="315"/>
    </row>
    <row r="5" spans="1:8" ht="15" customHeight="1">
      <c r="A5" s="315" t="s">
        <v>807</v>
      </c>
      <c r="B5" s="315">
        <v>28</v>
      </c>
      <c r="C5" s="315">
        <v>2</v>
      </c>
      <c r="D5" s="315" t="s">
        <v>173</v>
      </c>
      <c r="E5" s="316">
        <v>353.7</v>
      </c>
      <c r="F5" s="316">
        <v>353.70001220703125</v>
      </c>
      <c r="G5" s="315" t="s">
        <v>808</v>
      </c>
      <c r="H5" s="315"/>
    </row>
    <row r="6" spans="1:8" ht="15" customHeight="1">
      <c r="A6" s="315" t="s">
        <v>807</v>
      </c>
      <c r="B6" s="315">
        <v>28</v>
      </c>
      <c r="C6" s="315">
        <v>3</v>
      </c>
      <c r="D6" s="315" t="s">
        <v>173</v>
      </c>
      <c r="E6" s="316">
        <v>223.9</v>
      </c>
      <c r="F6" s="316">
        <v>223.89999389648438</v>
      </c>
      <c r="G6" s="315" t="s">
        <v>808</v>
      </c>
      <c r="H6" s="315"/>
    </row>
    <row r="7" spans="1:8" ht="15" customHeight="1">
      <c r="A7" s="315" t="s">
        <v>807</v>
      </c>
      <c r="B7" s="315">
        <v>28</v>
      </c>
      <c r="C7" s="315">
        <v>4</v>
      </c>
      <c r="D7" s="315" t="s">
        <v>173</v>
      </c>
      <c r="E7" s="316">
        <v>216</v>
      </c>
      <c r="F7" s="316">
        <v>216</v>
      </c>
      <c r="G7" s="315" t="s">
        <v>808</v>
      </c>
      <c r="H7" s="315"/>
    </row>
    <row r="8" spans="1:8" ht="15" customHeight="1">
      <c r="A8" s="315" t="s">
        <v>807</v>
      </c>
      <c r="B8" s="315">
        <v>28</v>
      </c>
      <c r="C8" s="315">
        <v>5</v>
      </c>
      <c r="D8" s="315" t="s">
        <v>173</v>
      </c>
      <c r="E8" s="316">
        <v>214.9</v>
      </c>
      <c r="F8" s="316">
        <v>214.89999389648438</v>
      </c>
      <c r="G8" s="315" t="s">
        <v>808</v>
      </c>
      <c r="H8" s="315"/>
    </row>
    <row r="9" spans="1:8" ht="15" customHeight="1">
      <c r="A9" s="315" t="s">
        <v>807</v>
      </c>
      <c r="B9" s="315">
        <v>28</v>
      </c>
      <c r="C9" s="315">
        <v>6</v>
      </c>
      <c r="D9" s="315" t="s">
        <v>173</v>
      </c>
      <c r="E9" s="316">
        <v>386.8</v>
      </c>
      <c r="F9" s="316">
        <v>386.79998779296875</v>
      </c>
      <c r="G9" s="315" t="s">
        <v>808</v>
      </c>
      <c r="H9" s="315"/>
    </row>
    <row r="10" spans="1:8" ht="15" customHeight="1">
      <c r="A10" s="315" t="s">
        <v>807</v>
      </c>
      <c r="B10" s="315">
        <v>28</v>
      </c>
      <c r="C10" s="315">
        <v>7</v>
      </c>
      <c r="D10" s="315" t="s">
        <v>173</v>
      </c>
      <c r="E10" s="316">
        <v>343.8</v>
      </c>
      <c r="F10" s="316">
        <v>343.79998779296875</v>
      </c>
      <c r="G10" s="315" t="s">
        <v>808</v>
      </c>
      <c r="H10" s="315"/>
    </row>
    <row r="11" spans="1:8" ht="15" customHeight="1">
      <c r="A11" s="315" t="s">
        <v>807</v>
      </c>
      <c r="B11" s="315">
        <v>28</v>
      </c>
      <c r="C11" s="315">
        <v>8</v>
      </c>
      <c r="D11" s="315" t="s">
        <v>173</v>
      </c>
      <c r="E11" s="316">
        <v>175.6</v>
      </c>
      <c r="F11" s="316">
        <v>175.60000610351563</v>
      </c>
      <c r="G11" s="315" t="s">
        <v>808</v>
      </c>
      <c r="H11" s="315"/>
    </row>
    <row r="12" spans="1:8" ht="15" customHeight="1">
      <c r="A12" s="315" t="s">
        <v>807</v>
      </c>
      <c r="B12" s="315">
        <v>28</v>
      </c>
      <c r="C12" s="315">
        <v>10</v>
      </c>
      <c r="D12" s="315" t="s">
        <v>173</v>
      </c>
      <c r="E12" s="316">
        <v>147.19999999999999</v>
      </c>
      <c r="F12" s="316">
        <v>147.19999694824219</v>
      </c>
      <c r="G12" s="315" t="s">
        <v>808</v>
      </c>
      <c r="H12" s="315"/>
    </row>
    <row r="13" spans="1:8" ht="15" customHeight="1">
      <c r="A13" s="315" t="s">
        <v>807</v>
      </c>
      <c r="B13" s="315">
        <v>28</v>
      </c>
      <c r="C13" s="315">
        <v>11</v>
      </c>
      <c r="D13" s="315" t="s">
        <v>173</v>
      </c>
      <c r="E13" s="316">
        <v>240.5</v>
      </c>
      <c r="F13" s="316">
        <v>240.5</v>
      </c>
      <c r="G13" s="315" t="s">
        <v>808</v>
      </c>
      <c r="H13" s="315"/>
    </row>
    <row r="14" spans="1:8" ht="15" customHeight="1">
      <c r="A14" s="315" t="s">
        <v>807</v>
      </c>
      <c r="B14" s="315">
        <v>28</v>
      </c>
      <c r="C14" s="315">
        <v>12</v>
      </c>
      <c r="D14" s="315" t="s">
        <v>173</v>
      </c>
      <c r="E14" s="316">
        <v>169.5</v>
      </c>
      <c r="F14" s="316">
        <v>169.5</v>
      </c>
      <c r="G14" s="315" t="s">
        <v>808</v>
      </c>
      <c r="H14" s="315"/>
    </row>
    <row r="15" spans="1:8" ht="15" customHeight="1">
      <c r="A15" s="315" t="s">
        <v>807</v>
      </c>
      <c r="B15" s="315">
        <v>28</v>
      </c>
      <c r="C15" s="315">
        <v>13</v>
      </c>
      <c r="D15" s="315" t="s">
        <v>173</v>
      </c>
      <c r="E15" s="316">
        <v>200.4</v>
      </c>
      <c r="F15" s="316">
        <v>200.39999389648438</v>
      </c>
      <c r="G15" s="315" t="s">
        <v>808</v>
      </c>
      <c r="H15" s="315"/>
    </row>
    <row r="16" spans="1:8" ht="15" customHeight="1">
      <c r="A16" s="315" t="s">
        <v>807</v>
      </c>
      <c r="B16" s="315">
        <v>28</v>
      </c>
      <c r="C16" s="315">
        <v>14</v>
      </c>
      <c r="D16" s="315" t="s">
        <v>173</v>
      </c>
      <c r="E16" s="316">
        <v>169</v>
      </c>
      <c r="F16" s="316">
        <v>169</v>
      </c>
      <c r="G16" s="315" t="s">
        <v>808</v>
      </c>
      <c r="H16" s="315"/>
    </row>
    <row r="17" spans="1:8" ht="15" customHeight="1">
      <c r="A17" s="315" t="s">
        <v>807</v>
      </c>
      <c r="B17" s="315">
        <v>28</v>
      </c>
      <c r="C17" s="315">
        <v>15</v>
      </c>
      <c r="D17" s="315" t="s">
        <v>173</v>
      </c>
      <c r="E17" s="316">
        <v>525.9</v>
      </c>
      <c r="F17" s="316">
        <v>525.9000244140625</v>
      </c>
      <c r="G17" s="315" t="s">
        <v>808</v>
      </c>
      <c r="H17" s="315"/>
    </row>
    <row r="18" spans="1:8" ht="15" customHeight="1">
      <c r="A18" s="315" t="s">
        <v>807</v>
      </c>
      <c r="B18" s="315">
        <v>28</v>
      </c>
      <c r="C18" s="315">
        <v>17</v>
      </c>
      <c r="D18" s="315" t="s">
        <v>173</v>
      </c>
      <c r="E18" s="316">
        <v>155.5</v>
      </c>
      <c r="F18" s="316">
        <v>155.5</v>
      </c>
      <c r="G18" s="315" t="s">
        <v>808</v>
      </c>
      <c r="H18" s="315"/>
    </row>
    <row r="19" spans="1:8" ht="15" customHeight="1">
      <c r="A19" s="315" t="s">
        <v>807</v>
      </c>
      <c r="B19" s="315">
        <v>28</v>
      </c>
      <c r="C19" s="315">
        <v>18</v>
      </c>
      <c r="D19" s="315" t="s">
        <v>173</v>
      </c>
      <c r="E19" s="316">
        <v>138.19999999999999</v>
      </c>
      <c r="F19" s="316">
        <v>138.19999694824219</v>
      </c>
      <c r="G19" s="315" t="s">
        <v>808</v>
      </c>
      <c r="H19" s="315"/>
    </row>
    <row r="20" spans="1:8" ht="15" customHeight="1">
      <c r="A20" s="315" t="s">
        <v>807</v>
      </c>
      <c r="B20" s="315">
        <v>28</v>
      </c>
      <c r="C20" s="315">
        <v>19</v>
      </c>
      <c r="D20" s="315" t="s">
        <v>173</v>
      </c>
      <c r="E20" s="316">
        <v>167.3</v>
      </c>
      <c r="F20" s="316">
        <v>167.30000305175781</v>
      </c>
      <c r="G20" s="315" t="s">
        <v>808</v>
      </c>
      <c r="H20" s="315"/>
    </row>
    <row r="21" spans="1:8" ht="15" customHeight="1">
      <c r="A21" s="315" t="s">
        <v>807</v>
      </c>
      <c r="B21" s="315">
        <v>28</v>
      </c>
      <c r="C21" s="315">
        <v>21</v>
      </c>
      <c r="D21" s="315" t="s">
        <v>173</v>
      </c>
      <c r="E21" s="316">
        <v>632</v>
      </c>
      <c r="F21" s="316">
        <v>632</v>
      </c>
      <c r="G21" s="315" t="s">
        <v>808</v>
      </c>
      <c r="H21" s="315"/>
    </row>
    <row r="22" spans="1:8" ht="15" customHeight="1">
      <c r="A22" s="315" t="s">
        <v>807</v>
      </c>
      <c r="B22" s="315">
        <v>28</v>
      </c>
      <c r="C22" s="315">
        <v>23</v>
      </c>
      <c r="D22" s="315" t="s">
        <v>173</v>
      </c>
      <c r="E22" s="316">
        <v>206.1</v>
      </c>
      <c r="F22" s="316">
        <v>206.10000610351563</v>
      </c>
      <c r="G22" s="315" t="s">
        <v>808</v>
      </c>
      <c r="H22" s="315"/>
    </row>
    <row r="23" spans="1:8" ht="15" customHeight="1">
      <c r="A23" s="315" t="s">
        <v>807</v>
      </c>
      <c r="B23" s="315">
        <v>28</v>
      </c>
      <c r="C23" s="315">
        <v>24</v>
      </c>
      <c r="D23" s="315" t="s">
        <v>173</v>
      </c>
      <c r="E23" s="316">
        <v>208.1</v>
      </c>
      <c r="F23" s="316">
        <v>208.10000610351563</v>
      </c>
      <c r="G23" s="315" t="s">
        <v>808</v>
      </c>
      <c r="H23" s="315"/>
    </row>
    <row r="24" spans="1:8" ht="15" customHeight="1">
      <c r="A24" s="315" t="s">
        <v>807</v>
      </c>
      <c r="B24" s="315">
        <v>28</v>
      </c>
      <c r="C24" s="315">
        <v>25</v>
      </c>
      <c r="D24" s="315" t="s">
        <v>173</v>
      </c>
      <c r="E24" s="316">
        <v>205.8</v>
      </c>
      <c r="F24" s="316">
        <v>205.80000305175781</v>
      </c>
      <c r="G24" s="315" t="s">
        <v>808</v>
      </c>
      <c r="H24" s="315"/>
    </row>
    <row r="25" spans="1:8" ht="15" customHeight="1">
      <c r="A25" s="315" t="s">
        <v>807</v>
      </c>
      <c r="B25" s="315">
        <v>28</v>
      </c>
      <c r="C25" s="315">
        <v>26</v>
      </c>
      <c r="D25" s="315" t="s">
        <v>173</v>
      </c>
      <c r="E25" s="316">
        <v>206</v>
      </c>
      <c r="F25" s="316">
        <v>206</v>
      </c>
      <c r="G25" s="315" t="s">
        <v>808</v>
      </c>
      <c r="H25" s="315"/>
    </row>
    <row r="26" spans="1:8" ht="15" customHeight="1">
      <c r="A26" s="315" t="s">
        <v>807</v>
      </c>
      <c r="B26" s="315">
        <v>28</v>
      </c>
      <c r="C26" s="315">
        <v>27</v>
      </c>
      <c r="D26" s="315" t="s">
        <v>173</v>
      </c>
      <c r="E26" s="316">
        <v>226.9</v>
      </c>
      <c r="F26" s="316">
        <v>226.89999389648438</v>
      </c>
      <c r="G26" s="315" t="s">
        <v>808</v>
      </c>
      <c r="H26" s="315"/>
    </row>
    <row r="27" spans="1:8" ht="15" customHeight="1">
      <c r="A27" s="315" t="s">
        <v>807</v>
      </c>
      <c r="B27" s="315">
        <v>28</v>
      </c>
      <c r="C27" s="315">
        <v>28</v>
      </c>
      <c r="D27" s="315" t="s">
        <v>173</v>
      </c>
      <c r="E27" s="316">
        <v>227.1</v>
      </c>
      <c r="F27" s="316">
        <v>227.10000610351563</v>
      </c>
      <c r="G27" s="315" t="s">
        <v>808</v>
      </c>
      <c r="H27" s="315"/>
    </row>
    <row r="28" spans="1:8" ht="15" customHeight="1">
      <c r="A28" s="315" t="s">
        <v>807</v>
      </c>
      <c r="B28" s="315">
        <v>28</v>
      </c>
      <c r="C28" s="315">
        <v>29</v>
      </c>
      <c r="D28" s="315" t="s">
        <v>459</v>
      </c>
      <c r="E28" s="316">
        <v>467.5</v>
      </c>
      <c r="F28" s="316">
        <v>467.5</v>
      </c>
      <c r="G28" s="315" t="s">
        <v>808</v>
      </c>
      <c r="H28" s="315"/>
    </row>
    <row r="29" spans="1:8" ht="15" customHeight="1">
      <c r="A29" s="315" t="s">
        <v>807</v>
      </c>
      <c r="B29" s="315">
        <v>28</v>
      </c>
      <c r="C29" s="315">
        <v>30</v>
      </c>
      <c r="D29" s="315" t="s">
        <v>459</v>
      </c>
      <c r="E29" s="316">
        <v>2903.8</v>
      </c>
      <c r="F29" s="316">
        <v>716.469970703125</v>
      </c>
      <c r="G29" s="315" t="s">
        <v>808</v>
      </c>
      <c r="H29" s="315"/>
    </row>
    <row r="30" spans="1:8" ht="15" customHeight="1">
      <c r="A30" s="315" t="s">
        <v>807</v>
      </c>
      <c r="B30" s="315">
        <v>28</v>
      </c>
      <c r="C30" s="315">
        <v>31</v>
      </c>
      <c r="D30" s="315" t="s">
        <v>173</v>
      </c>
      <c r="E30" s="316">
        <v>175.6</v>
      </c>
      <c r="F30" s="316">
        <v>175.60000610351563</v>
      </c>
      <c r="G30" s="315" t="s">
        <v>808</v>
      </c>
      <c r="H30" s="315"/>
    </row>
    <row r="31" spans="1:8" ht="15" customHeight="1">
      <c r="A31" s="315" t="s">
        <v>807</v>
      </c>
      <c r="B31" s="315">
        <v>28</v>
      </c>
      <c r="C31" s="315">
        <v>32</v>
      </c>
      <c r="D31" s="315" t="s">
        <v>173</v>
      </c>
      <c r="E31" s="316">
        <v>169.4</v>
      </c>
      <c r="F31" s="316">
        <v>169.39999389648438</v>
      </c>
      <c r="G31" s="315" t="s">
        <v>808</v>
      </c>
      <c r="H31" s="315"/>
    </row>
    <row r="32" spans="1:8" ht="15" customHeight="1">
      <c r="A32" s="315" t="s">
        <v>807</v>
      </c>
      <c r="B32" s="315">
        <v>28</v>
      </c>
      <c r="C32" s="315">
        <v>34</v>
      </c>
      <c r="D32" s="315" t="s">
        <v>173</v>
      </c>
      <c r="E32" s="316">
        <v>399.5</v>
      </c>
      <c r="F32" s="316">
        <v>399.5</v>
      </c>
      <c r="G32" s="315" t="s">
        <v>808</v>
      </c>
      <c r="H32" s="315"/>
    </row>
    <row r="33" spans="1:8" ht="15" customHeight="1">
      <c r="A33" s="315" t="s">
        <v>807</v>
      </c>
      <c r="B33" s="315">
        <v>28</v>
      </c>
      <c r="C33" s="315">
        <v>35</v>
      </c>
      <c r="D33" s="315" t="s">
        <v>173</v>
      </c>
      <c r="E33" s="316">
        <v>235.1</v>
      </c>
      <c r="F33" s="316">
        <v>235.10000610351563</v>
      </c>
      <c r="G33" s="315" t="s">
        <v>808</v>
      </c>
      <c r="H33" s="315"/>
    </row>
    <row r="34" spans="1:8" ht="15" customHeight="1">
      <c r="A34" s="315" t="s">
        <v>807</v>
      </c>
      <c r="B34" s="315">
        <v>28</v>
      </c>
      <c r="C34" s="315">
        <v>36</v>
      </c>
      <c r="D34" s="315" t="s">
        <v>173</v>
      </c>
      <c r="E34" s="316">
        <v>208.8</v>
      </c>
      <c r="F34" s="316">
        <v>208.80000305175781</v>
      </c>
      <c r="G34" s="315" t="s">
        <v>808</v>
      </c>
      <c r="H34" s="315"/>
    </row>
  </sheetData>
  <phoneticPr fontId="1" type="noConversion"/>
  <pageMargins left="0" right="0" top="0" bottom="0" header="0" footer="0"/>
  <pageSetup paperSize="9" firstPageNumber="0" fitToWidth="0" fitToHeight="0" orientation="landscape" useFirstPageNumber="1" horizontalDpi="300" verticalDpi="300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5F7D-B366-4B5B-AD9F-5640AC18BFFD}">
  <dimension ref="A1:D105"/>
  <sheetViews>
    <sheetView zoomScale="145" zoomScaleNormal="145" workbookViewId="0">
      <selection activeCell="E90" sqref="E90"/>
    </sheetView>
  </sheetViews>
  <sheetFormatPr defaultColWidth="8.75" defaultRowHeight="17"/>
  <cols>
    <col min="1" max="2" width="10.25" style="317" customWidth="1"/>
    <col min="3" max="4" width="9" style="121"/>
  </cols>
  <sheetData>
    <row r="1" spans="1:4" ht="17.5" thickBot="1">
      <c r="A1" s="318" t="s">
        <v>809</v>
      </c>
      <c r="B1" s="318" t="s">
        <v>119</v>
      </c>
      <c r="C1" s="313" t="s">
        <v>119</v>
      </c>
      <c r="D1" s="313" t="s">
        <v>118</v>
      </c>
    </row>
    <row r="2" spans="1:4" ht="17.5" thickBot="1">
      <c r="A2" s="315">
        <v>23</v>
      </c>
      <c r="B2" s="315">
        <v>0</v>
      </c>
      <c r="C2" s="313">
        <v>23</v>
      </c>
      <c r="D2" s="313">
        <v>0</v>
      </c>
    </row>
    <row r="3" spans="1:4" ht="17.5" thickBot="1">
      <c r="A3" s="315">
        <v>23</v>
      </c>
      <c r="B3" s="315">
        <v>8</v>
      </c>
      <c r="C3" s="313">
        <v>23</v>
      </c>
      <c r="D3" s="313">
        <v>8</v>
      </c>
    </row>
    <row r="4" spans="1:4" ht="17.5" thickBot="1">
      <c r="A4" s="315">
        <v>23</v>
      </c>
      <c r="B4" s="315">
        <v>9</v>
      </c>
      <c r="C4" s="313">
        <v>23</v>
      </c>
      <c r="D4" s="313">
        <v>9</v>
      </c>
    </row>
    <row r="5" spans="1:4" ht="17.5" thickBot="1">
      <c r="A5" s="315">
        <v>23</v>
      </c>
      <c r="B5" s="315">
        <v>31</v>
      </c>
      <c r="C5" s="313">
        <v>23</v>
      </c>
      <c r="D5" s="313">
        <v>31</v>
      </c>
    </row>
    <row r="6" spans="1:4" ht="17.5" thickBot="1">
      <c r="A6" s="315">
        <v>23</v>
      </c>
      <c r="B6" s="315">
        <v>36</v>
      </c>
      <c r="C6" s="313">
        <v>23</v>
      </c>
      <c r="D6" s="313">
        <v>36</v>
      </c>
    </row>
    <row r="7" spans="1:4" ht="17.5" thickBot="1">
      <c r="A7" s="315">
        <v>23</v>
      </c>
      <c r="B7" s="315">
        <v>38</v>
      </c>
      <c r="C7" s="313">
        <v>23</v>
      </c>
      <c r="D7" s="313">
        <v>38</v>
      </c>
    </row>
    <row r="8" spans="1:4" ht="17.5" thickBot="1">
      <c r="A8" s="315">
        <v>23</v>
      </c>
      <c r="B8" s="315">
        <v>39</v>
      </c>
      <c r="C8" s="313">
        <v>23</v>
      </c>
      <c r="D8" s="313">
        <v>39</v>
      </c>
    </row>
    <row r="9" spans="1:4" ht="17.5" thickBot="1">
      <c r="A9" s="315">
        <v>23</v>
      </c>
      <c r="B9" s="315">
        <v>40</v>
      </c>
      <c r="C9" s="313">
        <v>23</v>
      </c>
      <c r="D9" s="313">
        <v>40</v>
      </c>
    </row>
    <row r="10" spans="1:4" ht="17.5" thickBot="1">
      <c r="A10" s="315">
        <v>23</v>
      </c>
      <c r="B10" s="315">
        <v>41</v>
      </c>
      <c r="C10" s="313">
        <v>23</v>
      </c>
      <c r="D10" s="313">
        <v>41</v>
      </c>
    </row>
    <row r="11" spans="1:4" ht="17.5" thickBot="1">
      <c r="A11" s="315">
        <v>23</v>
      </c>
      <c r="B11" s="315">
        <v>45</v>
      </c>
      <c r="C11" s="313">
        <v>23</v>
      </c>
      <c r="D11" s="313">
        <v>45</v>
      </c>
    </row>
    <row r="12" spans="1:4" ht="17.5" thickBot="1">
      <c r="A12" s="315">
        <v>23</v>
      </c>
      <c r="B12" s="315">
        <v>56</v>
      </c>
      <c r="C12" s="313">
        <v>23</v>
      </c>
      <c r="D12" s="313">
        <v>56</v>
      </c>
    </row>
    <row r="13" spans="1:4" ht="17.5" thickBot="1">
      <c r="A13" s="315">
        <v>23</v>
      </c>
      <c r="B13" s="315">
        <v>62</v>
      </c>
      <c r="C13" s="313">
        <v>23</v>
      </c>
      <c r="D13" s="313">
        <v>62</v>
      </c>
    </row>
    <row r="14" spans="1:4" ht="17.5" thickBot="1">
      <c r="A14" s="315">
        <v>24</v>
      </c>
      <c r="B14" s="315">
        <v>1</v>
      </c>
      <c r="C14" s="313">
        <v>24</v>
      </c>
      <c r="D14" s="313">
        <v>1</v>
      </c>
    </row>
    <row r="15" spans="1:4" ht="17.5" thickBot="1">
      <c r="A15" s="315">
        <v>24</v>
      </c>
      <c r="B15" s="315">
        <v>2</v>
      </c>
      <c r="C15" s="313">
        <v>24</v>
      </c>
      <c r="D15" s="313">
        <v>2</v>
      </c>
    </row>
    <row r="16" spans="1:4" ht="17.5" thickBot="1">
      <c r="A16" s="315">
        <v>24</v>
      </c>
      <c r="B16" s="315">
        <v>8</v>
      </c>
      <c r="C16" s="313">
        <v>24</v>
      </c>
      <c r="D16" s="313">
        <v>8</v>
      </c>
    </row>
    <row r="17" spans="1:4" ht="17.5" thickBot="1">
      <c r="A17" s="315">
        <v>24</v>
      </c>
      <c r="B17" s="315">
        <v>9</v>
      </c>
      <c r="C17" s="313">
        <v>24</v>
      </c>
      <c r="D17" s="313">
        <v>9</v>
      </c>
    </row>
    <row r="18" spans="1:4" ht="17.5" thickBot="1">
      <c r="A18" s="315">
        <v>25</v>
      </c>
      <c r="B18" s="315">
        <v>41</v>
      </c>
      <c r="C18" s="313">
        <v>25</v>
      </c>
      <c r="D18" s="313">
        <v>41</v>
      </c>
    </row>
    <row r="19" spans="1:4" ht="17.5" thickBot="1">
      <c r="A19" s="315">
        <v>25</v>
      </c>
      <c r="B19" s="315">
        <v>42</v>
      </c>
      <c r="C19" s="313">
        <v>25</v>
      </c>
      <c r="D19" s="313">
        <v>42</v>
      </c>
    </row>
    <row r="20" spans="1:4" ht="17.5" thickBot="1">
      <c r="A20" s="315">
        <v>25</v>
      </c>
      <c r="B20" s="315">
        <v>43</v>
      </c>
      <c r="C20" s="313">
        <v>25</v>
      </c>
      <c r="D20" s="313">
        <v>43</v>
      </c>
    </row>
    <row r="21" spans="1:4" ht="17.5" thickBot="1">
      <c r="A21" s="315">
        <v>25</v>
      </c>
      <c r="B21" s="315">
        <v>44</v>
      </c>
      <c r="C21" s="313">
        <v>25</v>
      </c>
      <c r="D21" s="313">
        <v>44</v>
      </c>
    </row>
    <row r="22" spans="1:4" ht="17.5" thickBot="1">
      <c r="A22" s="315">
        <v>25</v>
      </c>
      <c r="B22" s="315">
        <v>45</v>
      </c>
      <c r="C22" s="313">
        <v>25</v>
      </c>
      <c r="D22" s="313">
        <v>45</v>
      </c>
    </row>
    <row r="23" spans="1:4" ht="17.5" thickBot="1">
      <c r="A23" s="315">
        <v>25</v>
      </c>
      <c r="B23" s="315">
        <v>47</v>
      </c>
      <c r="C23" s="313">
        <v>25</v>
      </c>
      <c r="D23" s="313">
        <v>47</v>
      </c>
    </row>
    <row r="24" spans="1:4" ht="17.5" thickBot="1">
      <c r="A24" s="315">
        <v>25</v>
      </c>
      <c r="B24" s="315">
        <v>48</v>
      </c>
      <c r="C24" s="313">
        <v>25</v>
      </c>
      <c r="D24" s="313">
        <v>48</v>
      </c>
    </row>
    <row r="25" spans="1:4" ht="17.5" thickBot="1">
      <c r="A25" s="315">
        <v>25</v>
      </c>
      <c r="B25" s="315">
        <v>49</v>
      </c>
      <c r="C25" s="313">
        <v>25</v>
      </c>
      <c r="D25" s="313">
        <v>49</v>
      </c>
    </row>
    <row r="26" spans="1:4" ht="17.5" thickBot="1">
      <c r="A26" s="315">
        <v>25</v>
      </c>
      <c r="B26" s="315">
        <v>50</v>
      </c>
      <c r="C26" s="313">
        <v>25</v>
      </c>
      <c r="D26" s="313">
        <v>50</v>
      </c>
    </row>
    <row r="27" spans="1:4" ht="17.5" thickBot="1">
      <c r="A27" s="315">
        <v>25</v>
      </c>
      <c r="B27" s="315">
        <v>51</v>
      </c>
      <c r="C27" s="313">
        <v>25</v>
      </c>
      <c r="D27" s="313">
        <v>51</v>
      </c>
    </row>
    <row r="28" spans="1:4" ht="17.5" thickBot="1">
      <c r="A28" s="315">
        <v>25</v>
      </c>
      <c r="B28" s="315">
        <v>52</v>
      </c>
      <c r="C28" s="313">
        <v>25</v>
      </c>
      <c r="D28" s="313">
        <v>52</v>
      </c>
    </row>
    <row r="29" spans="1:4" ht="17.5" thickBot="1">
      <c r="A29" s="315">
        <v>25</v>
      </c>
      <c r="B29" s="315">
        <v>53</v>
      </c>
      <c r="C29" s="313">
        <v>25</v>
      </c>
      <c r="D29" s="313">
        <v>53</v>
      </c>
    </row>
    <row r="30" spans="1:4" ht="17.5" thickBot="1">
      <c r="A30" s="315">
        <v>25</v>
      </c>
      <c r="B30" s="315">
        <v>54</v>
      </c>
      <c r="C30" s="313">
        <v>25</v>
      </c>
      <c r="D30" s="313">
        <v>54</v>
      </c>
    </row>
    <row r="31" spans="1:4" ht="17.5" thickBot="1">
      <c r="A31" s="315">
        <v>25</v>
      </c>
      <c r="B31" s="315">
        <v>55</v>
      </c>
      <c r="C31" s="313">
        <v>25</v>
      </c>
      <c r="D31" s="313">
        <v>55</v>
      </c>
    </row>
    <row r="32" spans="1:4" ht="17.5" thickBot="1">
      <c r="A32" s="315">
        <v>25</v>
      </c>
      <c r="B32" s="315">
        <v>56</v>
      </c>
      <c r="C32" s="313">
        <v>25</v>
      </c>
      <c r="D32" s="313">
        <v>56</v>
      </c>
    </row>
    <row r="33" spans="1:4" ht="17.5" thickBot="1">
      <c r="A33" s="315">
        <v>25</v>
      </c>
      <c r="B33" s="315">
        <v>57</v>
      </c>
      <c r="C33" s="313">
        <v>25</v>
      </c>
      <c r="D33" s="313">
        <v>57</v>
      </c>
    </row>
    <row r="34" spans="1:4" ht="17.5" thickBot="1">
      <c r="A34" s="315">
        <v>25</v>
      </c>
      <c r="B34" s="315">
        <v>58</v>
      </c>
      <c r="C34" s="313">
        <v>25</v>
      </c>
      <c r="D34" s="313">
        <v>58</v>
      </c>
    </row>
    <row r="35" spans="1:4" ht="17.5" thickBot="1">
      <c r="A35" s="315">
        <v>25</v>
      </c>
      <c r="B35" s="315">
        <v>59</v>
      </c>
      <c r="C35" s="313">
        <v>25</v>
      </c>
      <c r="D35" s="313">
        <v>59</v>
      </c>
    </row>
    <row r="36" spans="1:4" ht="17.5" thickBot="1">
      <c r="A36" s="315">
        <v>25</v>
      </c>
      <c r="B36" s="315">
        <v>60</v>
      </c>
      <c r="C36" s="313">
        <v>25</v>
      </c>
      <c r="D36" s="313">
        <v>60</v>
      </c>
    </row>
    <row r="37" spans="1:4" ht="17.5" thickBot="1">
      <c r="A37" s="315">
        <v>25</v>
      </c>
      <c r="B37" s="315">
        <v>73</v>
      </c>
      <c r="C37" s="313">
        <v>25</v>
      </c>
      <c r="D37" s="313">
        <v>73</v>
      </c>
    </row>
    <row r="38" spans="1:4" ht="17.5" thickBot="1">
      <c r="A38" s="315">
        <v>25</v>
      </c>
      <c r="B38" s="315">
        <v>74</v>
      </c>
      <c r="C38" s="313">
        <v>25</v>
      </c>
      <c r="D38" s="313">
        <v>74</v>
      </c>
    </row>
    <row r="39" spans="1:4" ht="17.5" thickBot="1">
      <c r="A39" s="315">
        <v>25</v>
      </c>
      <c r="B39" s="315">
        <v>75</v>
      </c>
      <c r="C39" s="313">
        <v>25</v>
      </c>
      <c r="D39" s="313">
        <v>75</v>
      </c>
    </row>
    <row r="40" spans="1:4" ht="17.5" thickBot="1">
      <c r="A40" s="315">
        <v>25</v>
      </c>
      <c r="B40" s="315">
        <v>76</v>
      </c>
      <c r="C40" s="313">
        <v>25</v>
      </c>
      <c r="D40" s="313">
        <v>76</v>
      </c>
    </row>
    <row r="41" spans="1:4" ht="17.5" thickBot="1">
      <c r="A41" s="315">
        <v>25</v>
      </c>
      <c r="B41" s="315">
        <v>77</v>
      </c>
      <c r="C41" s="313">
        <v>25</v>
      </c>
      <c r="D41" s="313">
        <v>77</v>
      </c>
    </row>
    <row r="42" spans="1:4" ht="17.5" thickBot="1">
      <c r="A42" s="315">
        <v>25</v>
      </c>
      <c r="B42" s="315">
        <v>78</v>
      </c>
      <c r="C42" s="313">
        <v>25</v>
      </c>
      <c r="D42" s="313">
        <v>78</v>
      </c>
    </row>
    <row r="43" spans="1:4" ht="17.5" thickBot="1">
      <c r="A43" s="315">
        <v>25</v>
      </c>
      <c r="B43" s="315">
        <v>79</v>
      </c>
      <c r="C43" s="313">
        <v>25</v>
      </c>
      <c r="D43" s="313">
        <v>79</v>
      </c>
    </row>
    <row r="44" spans="1:4" ht="17.5" thickBot="1">
      <c r="A44" s="315">
        <v>25</v>
      </c>
      <c r="B44" s="315">
        <v>80</v>
      </c>
      <c r="C44" s="313">
        <v>25</v>
      </c>
      <c r="D44" s="313">
        <v>80</v>
      </c>
    </row>
    <row r="45" spans="1:4" ht="17.5" thickBot="1">
      <c r="A45" s="315">
        <v>25</v>
      </c>
      <c r="B45" s="315">
        <v>84</v>
      </c>
      <c r="C45" s="313">
        <v>25</v>
      </c>
      <c r="D45" s="313">
        <v>84</v>
      </c>
    </row>
    <row r="46" spans="1:4" ht="17.5" thickBot="1">
      <c r="A46" s="315">
        <v>25</v>
      </c>
      <c r="B46" s="315">
        <v>93</v>
      </c>
      <c r="C46" s="313">
        <v>25</v>
      </c>
      <c r="D46" s="313">
        <v>93</v>
      </c>
    </row>
    <row r="47" spans="1:4" ht="17.5" thickBot="1">
      <c r="A47" s="315">
        <v>25</v>
      </c>
      <c r="B47" s="315">
        <v>103</v>
      </c>
      <c r="C47" s="313">
        <v>25</v>
      </c>
      <c r="D47" s="313">
        <v>103</v>
      </c>
    </row>
    <row r="48" spans="1:4" ht="17.5" thickBot="1">
      <c r="A48" s="315">
        <v>26</v>
      </c>
      <c r="B48" s="315">
        <v>75</v>
      </c>
      <c r="C48" s="313">
        <v>26</v>
      </c>
      <c r="D48" s="313">
        <v>75</v>
      </c>
    </row>
    <row r="49" spans="1:4" ht="17.5" thickBot="1">
      <c r="A49" s="315">
        <v>29</v>
      </c>
      <c r="B49" s="315">
        <v>3</v>
      </c>
      <c r="C49" s="313">
        <v>29</v>
      </c>
      <c r="D49" s="313">
        <v>3</v>
      </c>
    </row>
    <row r="50" spans="1:4" ht="17.5" thickBot="1">
      <c r="A50" s="315">
        <v>31</v>
      </c>
      <c r="B50" s="315">
        <v>8</v>
      </c>
      <c r="C50" s="313">
        <v>31</v>
      </c>
      <c r="D50" s="313">
        <v>8</v>
      </c>
    </row>
    <row r="51" spans="1:4" ht="17.5" thickBot="1">
      <c r="A51" s="315">
        <v>31</v>
      </c>
      <c r="B51" s="315">
        <v>9</v>
      </c>
      <c r="C51" s="313">
        <v>31</v>
      </c>
      <c r="D51" s="313">
        <v>9</v>
      </c>
    </row>
    <row r="52" spans="1:4" ht="17.5" thickBot="1">
      <c r="A52" s="315">
        <v>31</v>
      </c>
      <c r="B52" s="315">
        <v>10</v>
      </c>
      <c r="C52" s="313">
        <v>31</v>
      </c>
      <c r="D52" s="313">
        <v>10</v>
      </c>
    </row>
    <row r="53" spans="1:4" ht="17.5" thickBot="1">
      <c r="A53" s="315">
        <v>31</v>
      </c>
      <c r="B53" s="315">
        <v>11</v>
      </c>
      <c r="C53" s="313">
        <v>31</v>
      </c>
      <c r="D53" s="313">
        <v>11</v>
      </c>
    </row>
    <row r="54" spans="1:4" ht="17.5" thickBot="1">
      <c r="A54" s="315">
        <v>31</v>
      </c>
      <c r="B54" s="315">
        <v>12</v>
      </c>
      <c r="C54" s="313">
        <v>31</v>
      </c>
      <c r="D54" s="313">
        <v>12</v>
      </c>
    </row>
    <row r="55" spans="1:4" ht="17.5" thickBot="1">
      <c r="A55" s="315">
        <v>31</v>
      </c>
      <c r="B55" s="315">
        <v>13</v>
      </c>
      <c r="C55" s="313">
        <v>31</v>
      </c>
      <c r="D55" s="313">
        <v>13</v>
      </c>
    </row>
    <row r="56" spans="1:4" ht="17.5" thickBot="1">
      <c r="A56" s="315">
        <v>31</v>
      </c>
      <c r="B56" s="315">
        <v>15</v>
      </c>
      <c r="C56" s="313">
        <v>31</v>
      </c>
      <c r="D56" s="313">
        <v>15</v>
      </c>
    </row>
    <row r="57" spans="1:4" ht="17.5" thickBot="1">
      <c r="A57" s="315">
        <v>31</v>
      </c>
      <c r="B57" s="315">
        <v>17</v>
      </c>
      <c r="C57" s="313">
        <v>31</v>
      </c>
      <c r="D57" s="313">
        <v>17</v>
      </c>
    </row>
    <row r="58" spans="1:4" ht="17.5" thickBot="1">
      <c r="A58" s="315">
        <v>31</v>
      </c>
      <c r="B58" s="315">
        <v>26</v>
      </c>
      <c r="C58" s="313">
        <v>31</v>
      </c>
      <c r="D58" s="313">
        <v>26</v>
      </c>
    </row>
    <row r="59" spans="1:4" ht="17.5" thickBot="1">
      <c r="A59" s="315">
        <v>31</v>
      </c>
      <c r="B59" s="315">
        <v>27</v>
      </c>
      <c r="C59" s="313">
        <v>31</v>
      </c>
      <c r="D59" s="313">
        <v>27</v>
      </c>
    </row>
    <row r="60" spans="1:4" ht="17.5" thickBot="1">
      <c r="A60" s="315">
        <v>31</v>
      </c>
      <c r="B60" s="315">
        <v>33</v>
      </c>
      <c r="C60" s="313">
        <v>31</v>
      </c>
      <c r="D60" s="313">
        <v>33</v>
      </c>
    </row>
    <row r="61" spans="1:4" ht="17.5" thickBot="1">
      <c r="A61" s="315">
        <v>31</v>
      </c>
      <c r="B61" s="315">
        <v>34</v>
      </c>
      <c r="C61" s="313">
        <v>31</v>
      </c>
      <c r="D61" s="313">
        <v>34</v>
      </c>
    </row>
    <row r="62" spans="1:4" ht="17.5" thickBot="1">
      <c r="A62" s="315">
        <v>31</v>
      </c>
      <c r="B62" s="315">
        <v>40</v>
      </c>
      <c r="C62" s="313">
        <v>31</v>
      </c>
      <c r="D62" s="313">
        <v>40</v>
      </c>
    </row>
    <row r="63" spans="1:4" ht="17.5" thickBot="1">
      <c r="A63" s="315">
        <v>31</v>
      </c>
      <c r="B63" s="315">
        <v>42</v>
      </c>
      <c r="C63" s="313">
        <v>31</v>
      </c>
      <c r="D63" s="313">
        <v>42</v>
      </c>
    </row>
    <row r="64" spans="1:4" ht="17.5" thickBot="1">
      <c r="A64" s="315">
        <v>31</v>
      </c>
      <c r="B64" s="315">
        <v>49</v>
      </c>
      <c r="C64" s="313">
        <v>31</v>
      </c>
      <c r="D64" s="313">
        <v>49</v>
      </c>
    </row>
    <row r="65" spans="1:4" ht="17.5" thickBot="1">
      <c r="A65" s="315">
        <v>31</v>
      </c>
      <c r="B65" s="315">
        <v>50</v>
      </c>
      <c r="C65" s="313">
        <v>31</v>
      </c>
      <c r="D65" s="313">
        <v>50</v>
      </c>
    </row>
    <row r="66" spans="1:4" ht="17.5" thickBot="1">
      <c r="A66" s="315">
        <v>31</v>
      </c>
      <c r="B66" s="315">
        <v>51</v>
      </c>
      <c r="C66" s="313">
        <v>31</v>
      </c>
      <c r="D66" s="313">
        <v>51</v>
      </c>
    </row>
    <row r="67" spans="1:4" ht="17.5" thickBot="1">
      <c r="A67" s="315">
        <v>31</v>
      </c>
      <c r="B67" s="315">
        <v>52</v>
      </c>
      <c r="C67" s="313">
        <v>31</v>
      </c>
      <c r="D67" s="313">
        <v>52</v>
      </c>
    </row>
    <row r="68" spans="1:4" ht="17.5" thickBot="1">
      <c r="A68" s="315">
        <v>31</v>
      </c>
      <c r="B68" s="315">
        <v>53</v>
      </c>
      <c r="C68" s="313">
        <v>31</v>
      </c>
      <c r="D68" s="313">
        <v>53</v>
      </c>
    </row>
    <row r="69" spans="1:4" ht="17.5" thickBot="1">
      <c r="A69" s="315">
        <v>31</v>
      </c>
      <c r="B69" s="315">
        <v>54</v>
      </c>
      <c r="C69" s="313">
        <v>31</v>
      </c>
      <c r="D69" s="313">
        <v>54</v>
      </c>
    </row>
    <row r="70" spans="1:4" ht="17.5" thickBot="1">
      <c r="A70" s="315">
        <v>31</v>
      </c>
      <c r="B70" s="315">
        <v>62</v>
      </c>
      <c r="C70" s="313">
        <v>31</v>
      </c>
      <c r="D70" s="313">
        <v>62</v>
      </c>
    </row>
    <row r="71" spans="1:4" ht="17.5" thickBot="1">
      <c r="A71" s="315">
        <v>31</v>
      </c>
      <c r="B71" s="315">
        <v>63</v>
      </c>
      <c r="C71" s="313">
        <v>31</v>
      </c>
      <c r="D71" s="313">
        <v>63</v>
      </c>
    </row>
    <row r="72" spans="1:4" ht="17.5" thickBot="1">
      <c r="A72" s="315">
        <v>31</v>
      </c>
      <c r="B72" s="315">
        <v>64</v>
      </c>
      <c r="C72" s="313">
        <v>31</v>
      </c>
      <c r="D72" s="313">
        <v>64</v>
      </c>
    </row>
    <row r="73" spans="1:4" ht="17.5" thickBot="1">
      <c r="A73" s="315">
        <v>31</v>
      </c>
      <c r="B73" s="315">
        <v>65</v>
      </c>
      <c r="C73" s="313">
        <v>31</v>
      </c>
      <c r="D73" s="313">
        <v>65</v>
      </c>
    </row>
    <row r="74" spans="1:4" ht="17.5" thickBot="1">
      <c r="A74" s="315">
        <v>31</v>
      </c>
      <c r="B74" s="315">
        <v>66</v>
      </c>
      <c r="C74" s="313">
        <v>31</v>
      </c>
      <c r="D74" s="313">
        <v>66</v>
      </c>
    </row>
    <row r="75" spans="1:4" ht="17.5" thickBot="1">
      <c r="A75" s="315">
        <v>31</v>
      </c>
      <c r="B75" s="315">
        <v>67</v>
      </c>
      <c r="C75" s="313">
        <v>31</v>
      </c>
      <c r="D75" s="313">
        <v>67</v>
      </c>
    </row>
    <row r="76" spans="1:4" ht="17.5" thickBot="1">
      <c r="A76" s="315">
        <v>36</v>
      </c>
      <c r="B76" s="315">
        <v>4</v>
      </c>
      <c r="C76" s="313">
        <v>36</v>
      </c>
      <c r="D76" s="313">
        <v>4</v>
      </c>
    </row>
    <row r="77" spans="1:4" ht="17.5" thickBot="1">
      <c r="A77" s="315">
        <v>36</v>
      </c>
      <c r="B77" s="315">
        <v>5</v>
      </c>
      <c r="C77" s="313">
        <v>36</v>
      </c>
      <c r="D77" s="313">
        <v>5</v>
      </c>
    </row>
    <row r="78" spans="1:4" ht="17.5" thickBot="1">
      <c r="A78" s="315">
        <v>36</v>
      </c>
      <c r="B78" s="315">
        <v>8</v>
      </c>
      <c r="C78" s="313">
        <v>36</v>
      </c>
      <c r="D78" s="313">
        <v>8</v>
      </c>
    </row>
    <row r="79" spans="1:4" ht="17.5" thickBot="1">
      <c r="A79" s="315">
        <v>36</v>
      </c>
      <c r="B79" s="315">
        <v>9</v>
      </c>
      <c r="C79" s="313">
        <v>36</v>
      </c>
      <c r="D79" s="313">
        <v>9</v>
      </c>
    </row>
    <row r="80" spans="1:4" ht="17.5" thickBot="1">
      <c r="A80" s="315">
        <v>36</v>
      </c>
      <c r="B80" s="315">
        <v>11</v>
      </c>
      <c r="C80" s="313">
        <v>36</v>
      </c>
      <c r="D80" s="313">
        <v>11</v>
      </c>
    </row>
    <row r="81" spans="1:4" ht="17.5" thickBot="1">
      <c r="A81" s="315">
        <v>36</v>
      </c>
      <c r="B81" s="315">
        <v>14</v>
      </c>
      <c r="C81" s="313">
        <v>36</v>
      </c>
      <c r="D81" s="313">
        <v>14</v>
      </c>
    </row>
    <row r="82" spans="1:4" ht="17.5" thickBot="1">
      <c r="A82" s="315">
        <v>36</v>
      </c>
      <c r="B82" s="315">
        <v>15</v>
      </c>
      <c r="C82" s="313">
        <v>36</v>
      </c>
      <c r="D82" s="313">
        <v>15</v>
      </c>
    </row>
    <row r="83" spans="1:4" ht="17.5" thickBot="1">
      <c r="A83" s="315">
        <v>36</v>
      </c>
      <c r="B83" s="315">
        <v>17</v>
      </c>
      <c r="C83" s="313">
        <v>36</v>
      </c>
      <c r="D83" s="313">
        <v>17</v>
      </c>
    </row>
    <row r="84" spans="1:4" ht="17.5" thickBot="1">
      <c r="A84" s="315">
        <v>36</v>
      </c>
      <c r="B84" s="315">
        <v>18</v>
      </c>
      <c r="C84" s="313">
        <v>36</v>
      </c>
      <c r="D84" s="313">
        <v>18</v>
      </c>
    </row>
    <row r="85" spans="1:4" ht="17.5" thickBot="1">
      <c r="A85" s="315">
        <v>36</v>
      </c>
      <c r="B85" s="315">
        <v>19</v>
      </c>
      <c r="C85" s="313">
        <v>36</v>
      </c>
      <c r="D85" s="313">
        <v>19</v>
      </c>
    </row>
    <row r="86" spans="1:4" ht="17.5" thickBot="1">
      <c r="A86" s="315">
        <v>36</v>
      </c>
      <c r="B86" s="315">
        <v>20</v>
      </c>
      <c r="C86" s="313">
        <v>36</v>
      </c>
      <c r="D86" s="313">
        <v>20</v>
      </c>
    </row>
    <row r="87" spans="1:4" ht="17.5" thickBot="1">
      <c r="A87" s="315">
        <v>36</v>
      </c>
      <c r="B87" s="315">
        <v>21</v>
      </c>
      <c r="C87" s="313">
        <v>36</v>
      </c>
      <c r="D87" s="313">
        <v>21</v>
      </c>
    </row>
    <row r="88" spans="1:4" ht="17.5" thickBot="1">
      <c r="A88" s="315">
        <v>36</v>
      </c>
      <c r="B88" s="315">
        <v>26</v>
      </c>
      <c r="C88" s="313">
        <v>36</v>
      </c>
      <c r="D88" s="313">
        <v>26</v>
      </c>
    </row>
    <row r="89" spans="1:4" ht="17.5" thickBot="1">
      <c r="A89" s="315">
        <v>36</v>
      </c>
      <c r="B89" s="315">
        <v>68</v>
      </c>
      <c r="C89" s="313">
        <v>36</v>
      </c>
      <c r="D89" s="313">
        <v>68</v>
      </c>
    </row>
    <row r="90" spans="1:4" ht="17.5" thickBot="1">
      <c r="A90" s="315">
        <v>36</v>
      </c>
      <c r="B90" s="315">
        <v>71</v>
      </c>
      <c r="C90" s="313">
        <v>36</v>
      </c>
      <c r="D90" s="313">
        <v>71</v>
      </c>
    </row>
    <row r="91" spans="1:4" ht="17.5" thickBot="1">
      <c r="A91" s="315">
        <v>36</v>
      </c>
      <c r="B91" s="315">
        <v>72</v>
      </c>
      <c r="C91" s="313">
        <v>36</v>
      </c>
      <c r="D91" s="313">
        <v>72</v>
      </c>
    </row>
    <row r="92" spans="1:4" ht="17.5" thickBot="1">
      <c r="A92" s="315">
        <v>36</v>
      </c>
      <c r="B92" s="315">
        <v>73</v>
      </c>
      <c r="C92" s="313">
        <v>36</v>
      </c>
      <c r="D92" s="313">
        <v>73</v>
      </c>
    </row>
    <row r="93" spans="1:4" ht="17.5" thickBot="1">
      <c r="A93" s="315">
        <v>36</v>
      </c>
      <c r="B93" s="315">
        <v>79</v>
      </c>
      <c r="C93" s="313">
        <v>36</v>
      </c>
      <c r="D93" s="313">
        <v>79</v>
      </c>
    </row>
    <row r="94" spans="1:4" ht="17.5" thickBot="1">
      <c r="A94" s="315">
        <v>36</v>
      </c>
      <c r="B94" s="315">
        <v>83</v>
      </c>
      <c r="C94" s="313">
        <v>36</v>
      </c>
      <c r="D94" s="313">
        <v>83</v>
      </c>
    </row>
    <row r="95" spans="1:4" ht="17.5" thickBot="1">
      <c r="A95" s="315">
        <v>36</v>
      </c>
      <c r="B95" s="315">
        <v>84</v>
      </c>
      <c r="C95" s="313">
        <v>36</v>
      </c>
      <c r="D95" s="313">
        <v>84</v>
      </c>
    </row>
    <row r="96" spans="1:4" ht="17.5" thickBot="1">
      <c r="A96" s="315">
        <v>36</v>
      </c>
      <c r="B96" s="315">
        <v>85</v>
      </c>
      <c r="C96" s="313">
        <v>36</v>
      </c>
      <c r="D96" s="313">
        <v>85</v>
      </c>
    </row>
    <row r="97" spans="1:4" ht="17.5" thickBot="1">
      <c r="A97" s="315">
        <v>36</v>
      </c>
      <c r="B97" s="315">
        <v>89</v>
      </c>
      <c r="C97" s="313"/>
      <c r="D97" s="313"/>
    </row>
    <row r="98" spans="1:4" ht="17.5" thickBot="1">
      <c r="A98" s="315">
        <v>36</v>
      </c>
      <c r="B98" s="315">
        <v>90</v>
      </c>
      <c r="C98" s="313">
        <v>36</v>
      </c>
      <c r="D98" s="313">
        <v>90</v>
      </c>
    </row>
    <row r="99" spans="1:4" ht="17.5" thickBot="1">
      <c r="A99" s="315">
        <v>37</v>
      </c>
      <c r="B99" s="315">
        <v>1</v>
      </c>
      <c r="C99" s="313">
        <v>37</v>
      </c>
      <c r="D99" s="313">
        <v>1</v>
      </c>
    </row>
    <row r="100" spans="1:4" ht="17.5" thickBot="1">
      <c r="A100" s="315">
        <v>37</v>
      </c>
      <c r="B100" s="315">
        <v>3</v>
      </c>
      <c r="C100" s="313">
        <v>37</v>
      </c>
      <c r="D100" s="313">
        <v>3</v>
      </c>
    </row>
    <row r="101" spans="1:4" ht="17.5" thickBot="1">
      <c r="A101" s="315">
        <v>37</v>
      </c>
      <c r="B101" s="315">
        <v>4</v>
      </c>
      <c r="C101" s="313">
        <v>37</v>
      </c>
      <c r="D101" s="313">
        <v>4</v>
      </c>
    </row>
    <row r="102" spans="1:4" ht="17.5" thickBot="1">
      <c r="A102" s="315">
        <v>38</v>
      </c>
      <c r="B102" s="315">
        <v>4</v>
      </c>
      <c r="C102" s="313">
        <v>38</v>
      </c>
      <c r="D102" s="313">
        <v>4</v>
      </c>
    </row>
    <row r="103" spans="1:4" ht="17.5" thickBot="1">
      <c r="A103" s="315">
        <v>38</v>
      </c>
      <c r="B103" s="315">
        <v>5</v>
      </c>
      <c r="C103" s="313">
        <v>38</v>
      </c>
      <c r="D103" s="313">
        <v>5</v>
      </c>
    </row>
    <row r="104" spans="1:4" ht="17.5" thickBot="1">
      <c r="A104" s="315">
        <v>717</v>
      </c>
      <c r="B104" s="315">
        <v>6</v>
      </c>
      <c r="C104" s="313">
        <v>712</v>
      </c>
      <c r="D104" s="313">
        <v>26</v>
      </c>
    </row>
    <row r="105" spans="1:4" ht="17.5" thickBot="1">
      <c r="A105" s="315">
        <v>717</v>
      </c>
      <c r="B105" s="315">
        <v>12</v>
      </c>
      <c r="C105" s="313">
        <v>717</v>
      </c>
      <c r="D105" s="313">
        <v>6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EB41-54A6-4E8A-A930-745E2FA5D3B3}">
  <dimension ref="A1:I30"/>
  <sheetViews>
    <sheetView zoomScale="130" zoomScaleNormal="130" workbookViewId="0">
      <selection activeCell="H14" sqref="H14"/>
    </sheetView>
  </sheetViews>
  <sheetFormatPr defaultColWidth="10.5" defaultRowHeight="15" customHeight="1"/>
  <cols>
    <col min="1" max="1" width="26.83203125" style="317" customWidth="1"/>
    <col min="2" max="4" width="11.83203125" style="317" customWidth="1"/>
    <col min="5" max="8" width="15.58203125" style="317" customWidth="1"/>
    <col min="9" max="9" width="15.33203125" style="317" bestFit="1" customWidth="1"/>
    <col min="10" max="256" width="10.5" style="317"/>
    <col min="257" max="257" width="26.83203125" style="317" customWidth="1"/>
    <col min="258" max="260" width="11.83203125" style="317" customWidth="1"/>
    <col min="261" max="264" width="15.58203125" style="317" customWidth="1"/>
    <col min="265" max="265" width="11.83203125" style="317" customWidth="1"/>
    <col min="266" max="512" width="10.5" style="317"/>
    <col min="513" max="513" width="26.83203125" style="317" customWidth="1"/>
    <col min="514" max="516" width="11.83203125" style="317" customWidth="1"/>
    <col min="517" max="520" width="15.58203125" style="317" customWidth="1"/>
    <col min="521" max="521" width="11.83203125" style="317" customWidth="1"/>
    <col min="522" max="768" width="10.5" style="317"/>
    <col min="769" max="769" width="26.83203125" style="317" customWidth="1"/>
    <col min="770" max="772" width="11.83203125" style="317" customWidth="1"/>
    <col min="773" max="776" width="15.58203125" style="317" customWidth="1"/>
    <col min="777" max="777" width="11.83203125" style="317" customWidth="1"/>
    <col min="778" max="1024" width="10.5" style="317"/>
    <col min="1025" max="1025" width="26.83203125" style="317" customWidth="1"/>
    <col min="1026" max="1028" width="11.83203125" style="317" customWidth="1"/>
    <col min="1029" max="1032" width="15.58203125" style="317" customWidth="1"/>
    <col min="1033" max="1033" width="11.83203125" style="317" customWidth="1"/>
    <col min="1034" max="1280" width="10.5" style="317"/>
    <col min="1281" max="1281" width="26.83203125" style="317" customWidth="1"/>
    <col min="1282" max="1284" width="11.83203125" style="317" customWidth="1"/>
    <col min="1285" max="1288" width="15.58203125" style="317" customWidth="1"/>
    <col min="1289" max="1289" width="11.83203125" style="317" customWidth="1"/>
    <col min="1290" max="1536" width="10.5" style="317"/>
    <col min="1537" max="1537" width="26.83203125" style="317" customWidth="1"/>
    <col min="1538" max="1540" width="11.83203125" style="317" customWidth="1"/>
    <col min="1541" max="1544" width="15.58203125" style="317" customWidth="1"/>
    <col min="1545" max="1545" width="11.83203125" style="317" customWidth="1"/>
    <col min="1546" max="1792" width="10.5" style="317"/>
    <col min="1793" max="1793" width="26.83203125" style="317" customWidth="1"/>
    <col min="1794" max="1796" width="11.83203125" style="317" customWidth="1"/>
    <col min="1797" max="1800" width="15.58203125" style="317" customWidth="1"/>
    <col min="1801" max="1801" width="11.83203125" style="317" customWidth="1"/>
    <col min="1802" max="2048" width="10.5" style="317"/>
    <col min="2049" max="2049" width="26.83203125" style="317" customWidth="1"/>
    <col min="2050" max="2052" width="11.83203125" style="317" customWidth="1"/>
    <col min="2053" max="2056" width="15.58203125" style="317" customWidth="1"/>
    <col min="2057" max="2057" width="11.83203125" style="317" customWidth="1"/>
    <col min="2058" max="2304" width="10.5" style="317"/>
    <col min="2305" max="2305" width="26.83203125" style="317" customWidth="1"/>
    <col min="2306" max="2308" width="11.83203125" style="317" customWidth="1"/>
    <col min="2309" max="2312" width="15.58203125" style="317" customWidth="1"/>
    <col min="2313" max="2313" width="11.83203125" style="317" customWidth="1"/>
    <col min="2314" max="2560" width="10.5" style="317"/>
    <col min="2561" max="2561" width="26.83203125" style="317" customWidth="1"/>
    <col min="2562" max="2564" width="11.83203125" style="317" customWidth="1"/>
    <col min="2565" max="2568" width="15.58203125" style="317" customWidth="1"/>
    <col min="2569" max="2569" width="11.83203125" style="317" customWidth="1"/>
    <col min="2570" max="2816" width="10.5" style="317"/>
    <col min="2817" max="2817" width="26.83203125" style="317" customWidth="1"/>
    <col min="2818" max="2820" width="11.83203125" style="317" customWidth="1"/>
    <col min="2821" max="2824" width="15.58203125" style="317" customWidth="1"/>
    <col min="2825" max="2825" width="11.83203125" style="317" customWidth="1"/>
    <col min="2826" max="3072" width="10.5" style="317"/>
    <col min="3073" max="3073" width="26.83203125" style="317" customWidth="1"/>
    <col min="3074" max="3076" width="11.83203125" style="317" customWidth="1"/>
    <col min="3077" max="3080" width="15.58203125" style="317" customWidth="1"/>
    <col min="3081" max="3081" width="11.83203125" style="317" customWidth="1"/>
    <col min="3082" max="3328" width="10.5" style="317"/>
    <col min="3329" max="3329" width="26.83203125" style="317" customWidth="1"/>
    <col min="3330" max="3332" width="11.83203125" style="317" customWidth="1"/>
    <col min="3333" max="3336" width="15.58203125" style="317" customWidth="1"/>
    <col min="3337" max="3337" width="11.83203125" style="317" customWidth="1"/>
    <col min="3338" max="3584" width="10.5" style="317"/>
    <col min="3585" max="3585" width="26.83203125" style="317" customWidth="1"/>
    <col min="3586" max="3588" width="11.83203125" style="317" customWidth="1"/>
    <col min="3589" max="3592" width="15.58203125" style="317" customWidth="1"/>
    <col min="3593" max="3593" width="11.83203125" style="317" customWidth="1"/>
    <col min="3594" max="3840" width="10.5" style="317"/>
    <col min="3841" max="3841" width="26.83203125" style="317" customWidth="1"/>
    <col min="3842" max="3844" width="11.83203125" style="317" customWidth="1"/>
    <col min="3845" max="3848" width="15.58203125" style="317" customWidth="1"/>
    <col min="3849" max="3849" width="11.83203125" style="317" customWidth="1"/>
    <col min="3850" max="4096" width="10.5" style="317"/>
    <col min="4097" max="4097" width="26.83203125" style="317" customWidth="1"/>
    <col min="4098" max="4100" width="11.83203125" style="317" customWidth="1"/>
    <col min="4101" max="4104" width="15.58203125" style="317" customWidth="1"/>
    <col min="4105" max="4105" width="11.83203125" style="317" customWidth="1"/>
    <col min="4106" max="4352" width="10.5" style="317"/>
    <col min="4353" max="4353" width="26.83203125" style="317" customWidth="1"/>
    <col min="4354" max="4356" width="11.83203125" style="317" customWidth="1"/>
    <col min="4357" max="4360" width="15.58203125" style="317" customWidth="1"/>
    <col min="4361" max="4361" width="11.83203125" style="317" customWidth="1"/>
    <col min="4362" max="4608" width="10.5" style="317"/>
    <col min="4609" max="4609" width="26.83203125" style="317" customWidth="1"/>
    <col min="4610" max="4612" width="11.83203125" style="317" customWidth="1"/>
    <col min="4613" max="4616" width="15.58203125" style="317" customWidth="1"/>
    <col min="4617" max="4617" width="11.83203125" style="317" customWidth="1"/>
    <col min="4618" max="4864" width="10.5" style="317"/>
    <col min="4865" max="4865" width="26.83203125" style="317" customWidth="1"/>
    <col min="4866" max="4868" width="11.83203125" style="317" customWidth="1"/>
    <col min="4869" max="4872" width="15.58203125" style="317" customWidth="1"/>
    <col min="4873" max="4873" width="11.83203125" style="317" customWidth="1"/>
    <col min="4874" max="5120" width="10.5" style="317"/>
    <col min="5121" max="5121" width="26.83203125" style="317" customWidth="1"/>
    <col min="5122" max="5124" width="11.83203125" style="317" customWidth="1"/>
    <col min="5125" max="5128" width="15.58203125" style="317" customWidth="1"/>
    <col min="5129" max="5129" width="11.83203125" style="317" customWidth="1"/>
    <col min="5130" max="5376" width="10.5" style="317"/>
    <col min="5377" max="5377" width="26.83203125" style="317" customWidth="1"/>
    <col min="5378" max="5380" width="11.83203125" style="317" customWidth="1"/>
    <col min="5381" max="5384" width="15.58203125" style="317" customWidth="1"/>
    <col min="5385" max="5385" width="11.83203125" style="317" customWidth="1"/>
    <col min="5386" max="5632" width="10.5" style="317"/>
    <col min="5633" max="5633" width="26.83203125" style="317" customWidth="1"/>
    <col min="5634" max="5636" width="11.83203125" style="317" customWidth="1"/>
    <col min="5637" max="5640" width="15.58203125" style="317" customWidth="1"/>
    <col min="5641" max="5641" width="11.83203125" style="317" customWidth="1"/>
    <col min="5642" max="5888" width="10.5" style="317"/>
    <col min="5889" max="5889" width="26.83203125" style="317" customWidth="1"/>
    <col min="5890" max="5892" width="11.83203125" style="317" customWidth="1"/>
    <col min="5893" max="5896" width="15.58203125" style="317" customWidth="1"/>
    <col min="5897" max="5897" width="11.83203125" style="317" customWidth="1"/>
    <col min="5898" max="6144" width="10.5" style="317"/>
    <col min="6145" max="6145" width="26.83203125" style="317" customWidth="1"/>
    <col min="6146" max="6148" width="11.83203125" style="317" customWidth="1"/>
    <col min="6149" max="6152" width="15.58203125" style="317" customWidth="1"/>
    <col min="6153" max="6153" width="11.83203125" style="317" customWidth="1"/>
    <col min="6154" max="6400" width="10.5" style="317"/>
    <col min="6401" max="6401" width="26.83203125" style="317" customWidth="1"/>
    <col min="6402" max="6404" width="11.83203125" style="317" customWidth="1"/>
    <col min="6405" max="6408" width="15.58203125" style="317" customWidth="1"/>
    <col min="6409" max="6409" width="11.83203125" style="317" customWidth="1"/>
    <col min="6410" max="6656" width="10.5" style="317"/>
    <col min="6657" max="6657" width="26.83203125" style="317" customWidth="1"/>
    <col min="6658" max="6660" width="11.83203125" style="317" customWidth="1"/>
    <col min="6661" max="6664" width="15.58203125" style="317" customWidth="1"/>
    <col min="6665" max="6665" width="11.83203125" style="317" customWidth="1"/>
    <col min="6666" max="6912" width="10.5" style="317"/>
    <col min="6913" max="6913" width="26.83203125" style="317" customWidth="1"/>
    <col min="6914" max="6916" width="11.83203125" style="317" customWidth="1"/>
    <col min="6917" max="6920" width="15.58203125" style="317" customWidth="1"/>
    <col min="6921" max="6921" width="11.83203125" style="317" customWidth="1"/>
    <col min="6922" max="7168" width="10.5" style="317"/>
    <col min="7169" max="7169" width="26.83203125" style="317" customWidth="1"/>
    <col min="7170" max="7172" width="11.83203125" style="317" customWidth="1"/>
    <col min="7173" max="7176" width="15.58203125" style="317" customWidth="1"/>
    <col min="7177" max="7177" width="11.83203125" style="317" customWidth="1"/>
    <col min="7178" max="7424" width="10.5" style="317"/>
    <col min="7425" max="7425" width="26.83203125" style="317" customWidth="1"/>
    <col min="7426" max="7428" width="11.83203125" style="317" customWidth="1"/>
    <col min="7429" max="7432" width="15.58203125" style="317" customWidth="1"/>
    <col min="7433" max="7433" width="11.83203125" style="317" customWidth="1"/>
    <col min="7434" max="7680" width="10.5" style="317"/>
    <col min="7681" max="7681" width="26.83203125" style="317" customWidth="1"/>
    <col min="7682" max="7684" width="11.83203125" style="317" customWidth="1"/>
    <col min="7685" max="7688" width="15.58203125" style="317" customWidth="1"/>
    <col min="7689" max="7689" width="11.83203125" style="317" customWidth="1"/>
    <col min="7690" max="7936" width="10.5" style="317"/>
    <col min="7937" max="7937" width="26.83203125" style="317" customWidth="1"/>
    <col min="7938" max="7940" width="11.83203125" style="317" customWidth="1"/>
    <col min="7941" max="7944" width="15.58203125" style="317" customWidth="1"/>
    <col min="7945" max="7945" width="11.83203125" style="317" customWidth="1"/>
    <col min="7946" max="8192" width="10.5" style="317"/>
    <col min="8193" max="8193" width="26.83203125" style="317" customWidth="1"/>
    <col min="8194" max="8196" width="11.83203125" style="317" customWidth="1"/>
    <col min="8197" max="8200" width="15.58203125" style="317" customWidth="1"/>
    <col min="8201" max="8201" width="11.83203125" style="317" customWidth="1"/>
    <col min="8202" max="8448" width="10.5" style="317"/>
    <col min="8449" max="8449" width="26.83203125" style="317" customWidth="1"/>
    <col min="8450" max="8452" width="11.83203125" style="317" customWidth="1"/>
    <col min="8453" max="8456" width="15.58203125" style="317" customWidth="1"/>
    <col min="8457" max="8457" width="11.83203125" style="317" customWidth="1"/>
    <col min="8458" max="8704" width="10.5" style="317"/>
    <col min="8705" max="8705" width="26.83203125" style="317" customWidth="1"/>
    <col min="8706" max="8708" width="11.83203125" style="317" customWidth="1"/>
    <col min="8709" max="8712" width="15.58203125" style="317" customWidth="1"/>
    <col min="8713" max="8713" width="11.83203125" style="317" customWidth="1"/>
    <col min="8714" max="8960" width="10.5" style="317"/>
    <col min="8961" max="8961" width="26.83203125" style="317" customWidth="1"/>
    <col min="8962" max="8964" width="11.83203125" style="317" customWidth="1"/>
    <col min="8965" max="8968" width="15.58203125" style="317" customWidth="1"/>
    <col min="8969" max="8969" width="11.83203125" style="317" customWidth="1"/>
    <col min="8970" max="9216" width="10.5" style="317"/>
    <col min="9217" max="9217" width="26.83203125" style="317" customWidth="1"/>
    <col min="9218" max="9220" width="11.83203125" style="317" customWidth="1"/>
    <col min="9221" max="9224" width="15.58203125" style="317" customWidth="1"/>
    <col min="9225" max="9225" width="11.83203125" style="317" customWidth="1"/>
    <col min="9226" max="9472" width="10.5" style="317"/>
    <col min="9473" max="9473" width="26.83203125" style="317" customWidth="1"/>
    <col min="9474" max="9476" width="11.83203125" style="317" customWidth="1"/>
    <col min="9477" max="9480" width="15.58203125" style="317" customWidth="1"/>
    <col min="9481" max="9481" width="11.83203125" style="317" customWidth="1"/>
    <col min="9482" max="9728" width="10.5" style="317"/>
    <col min="9729" max="9729" width="26.83203125" style="317" customWidth="1"/>
    <col min="9730" max="9732" width="11.83203125" style="317" customWidth="1"/>
    <col min="9733" max="9736" width="15.58203125" style="317" customWidth="1"/>
    <col min="9737" max="9737" width="11.83203125" style="317" customWidth="1"/>
    <col min="9738" max="9984" width="10.5" style="317"/>
    <col min="9985" max="9985" width="26.83203125" style="317" customWidth="1"/>
    <col min="9986" max="9988" width="11.83203125" style="317" customWidth="1"/>
    <col min="9989" max="9992" width="15.58203125" style="317" customWidth="1"/>
    <col min="9993" max="9993" width="11.83203125" style="317" customWidth="1"/>
    <col min="9994" max="10240" width="10.5" style="317"/>
    <col min="10241" max="10241" width="26.83203125" style="317" customWidth="1"/>
    <col min="10242" max="10244" width="11.83203125" style="317" customWidth="1"/>
    <col min="10245" max="10248" width="15.58203125" style="317" customWidth="1"/>
    <col min="10249" max="10249" width="11.83203125" style="317" customWidth="1"/>
    <col min="10250" max="10496" width="10.5" style="317"/>
    <col min="10497" max="10497" width="26.83203125" style="317" customWidth="1"/>
    <col min="10498" max="10500" width="11.83203125" style="317" customWidth="1"/>
    <col min="10501" max="10504" width="15.58203125" style="317" customWidth="1"/>
    <col min="10505" max="10505" width="11.83203125" style="317" customWidth="1"/>
    <col min="10506" max="10752" width="10.5" style="317"/>
    <col min="10753" max="10753" width="26.83203125" style="317" customWidth="1"/>
    <col min="10754" max="10756" width="11.83203125" style="317" customWidth="1"/>
    <col min="10757" max="10760" width="15.58203125" style="317" customWidth="1"/>
    <col min="10761" max="10761" width="11.83203125" style="317" customWidth="1"/>
    <col min="10762" max="11008" width="10.5" style="317"/>
    <col min="11009" max="11009" width="26.83203125" style="317" customWidth="1"/>
    <col min="11010" max="11012" width="11.83203125" style="317" customWidth="1"/>
    <col min="11013" max="11016" width="15.58203125" style="317" customWidth="1"/>
    <col min="11017" max="11017" width="11.83203125" style="317" customWidth="1"/>
    <col min="11018" max="11264" width="10.5" style="317"/>
    <col min="11265" max="11265" width="26.83203125" style="317" customWidth="1"/>
    <col min="11266" max="11268" width="11.83203125" style="317" customWidth="1"/>
    <col min="11269" max="11272" width="15.58203125" style="317" customWidth="1"/>
    <col min="11273" max="11273" width="11.83203125" style="317" customWidth="1"/>
    <col min="11274" max="11520" width="10.5" style="317"/>
    <col min="11521" max="11521" width="26.83203125" style="317" customWidth="1"/>
    <col min="11522" max="11524" width="11.83203125" style="317" customWidth="1"/>
    <col min="11525" max="11528" width="15.58203125" style="317" customWidth="1"/>
    <col min="11529" max="11529" width="11.83203125" style="317" customWidth="1"/>
    <col min="11530" max="11776" width="10.5" style="317"/>
    <col min="11777" max="11777" width="26.83203125" style="317" customWidth="1"/>
    <col min="11778" max="11780" width="11.83203125" style="317" customWidth="1"/>
    <col min="11781" max="11784" width="15.58203125" style="317" customWidth="1"/>
    <col min="11785" max="11785" width="11.83203125" style="317" customWidth="1"/>
    <col min="11786" max="12032" width="10.5" style="317"/>
    <col min="12033" max="12033" width="26.83203125" style="317" customWidth="1"/>
    <col min="12034" max="12036" width="11.83203125" style="317" customWidth="1"/>
    <col min="12037" max="12040" width="15.58203125" style="317" customWidth="1"/>
    <col min="12041" max="12041" width="11.83203125" style="317" customWidth="1"/>
    <col min="12042" max="12288" width="10.5" style="317"/>
    <col min="12289" max="12289" width="26.83203125" style="317" customWidth="1"/>
    <col min="12290" max="12292" width="11.83203125" style="317" customWidth="1"/>
    <col min="12293" max="12296" width="15.58203125" style="317" customWidth="1"/>
    <col min="12297" max="12297" width="11.83203125" style="317" customWidth="1"/>
    <col min="12298" max="12544" width="10.5" style="317"/>
    <col min="12545" max="12545" width="26.83203125" style="317" customWidth="1"/>
    <col min="12546" max="12548" width="11.83203125" style="317" customWidth="1"/>
    <col min="12549" max="12552" width="15.58203125" style="317" customWidth="1"/>
    <col min="12553" max="12553" width="11.83203125" style="317" customWidth="1"/>
    <col min="12554" max="12800" width="10.5" style="317"/>
    <col min="12801" max="12801" width="26.83203125" style="317" customWidth="1"/>
    <col min="12802" max="12804" width="11.83203125" style="317" customWidth="1"/>
    <col min="12805" max="12808" width="15.58203125" style="317" customWidth="1"/>
    <col min="12809" max="12809" width="11.83203125" style="317" customWidth="1"/>
    <col min="12810" max="13056" width="10.5" style="317"/>
    <col min="13057" max="13057" width="26.83203125" style="317" customWidth="1"/>
    <col min="13058" max="13060" width="11.83203125" style="317" customWidth="1"/>
    <col min="13061" max="13064" width="15.58203125" style="317" customWidth="1"/>
    <col min="13065" max="13065" width="11.83203125" style="317" customWidth="1"/>
    <col min="13066" max="13312" width="10.5" style="317"/>
    <col min="13313" max="13313" width="26.83203125" style="317" customWidth="1"/>
    <col min="13314" max="13316" width="11.83203125" style="317" customWidth="1"/>
    <col min="13317" max="13320" width="15.58203125" style="317" customWidth="1"/>
    <col min="13321" max="13321" width="11.83203125" style="317" customWidth="1"/>
    <col min="13322" max="13568" width="10.5" style="317"/>
    <col min="13569" max="13569" width="26.83203125" style="317" customWidth="1"/>
    <col min="13570" max="13572" width="11.83203125" style="317" customWidth="1"/>
    <col min="13573" max="13576" width="15.58203125" style="317" customWidth="1"/>
    <col min="13577" max="13577" width="11.83203125" style="317" customWidth="1"/>
    <col min="13578" max="13824" width="10.5" style="317"/>
    <col min="13825" max="13825" width="26.83203125" style="317" customWidth="1"/>
    <col min="13826" max="13828" width="11.83203125" style="317" customWidth="1"/>
    <col min="13829" max="13832" width="15.58203125" style="317" customWidth="1"/>
    <col min="13833" max="13833" width="11.83203125" style="317" customWidth="1"/>
    <col min="13834" max="14080" width="10.5" style="317"/>
    <col min="14081" max="14081" width="26.83203125" style="317" customWidth="1"/>
    <col min="14082" max="14084" width="11.83203125" style="317" customWidth="1"/>
    <col min="14085" max="14088" width="15.58203125" style="317" customWidth="1"/>
    <col min="14089" max="14089" width="11.83203125" style="317" customWidth="1"/>
    <col min="14090" max="14336" width="10.5" style="317"/>
    <col min="14337" max="14337" width="26.83203125" style="317" customWidth="1"/>
    <col min="14338" max="14340" width="11.83203125" style="317" customWidth="1"/>
    <col min="14341" max="14344" width="15.58203125" style="317" customWidth="1"/>
    <col min="14345" max="14345" width="11.83203125" style="317" customWidth="1"/>
    <col min="14346" max="14592" width="10.5" style="317"/>
    <col min="14593" max="14593" width="26.83203125" style="317" customWidth="1"/>
    <col min="14594" max="14596" width="11.83203125" style="317" customWidth="1"/>
    <col min="14597" max="14600" width="15.58203125" style="317" customWidth="1"/>
    <col min="14601" max="14601" width="11.83203125" style="317" customWidth="1"/>
    <col min="14602" max="14848" width="10.5" style="317"/>
    <col min="14849" max="14849" width="26.83203125" style="317" customWidth="1"/>
    <col min="14850" max="14852" width="11.83203125" style="317" customWidth="1"/>
    <col min="14853" max="14856" width="15.58203125" style="317" customWidth="1"/>
    <col min="14857" max="14857" width="11.83203125" style="317" customWidth="1"/>
    <col min="14858" max="15104" width="10.5" style="317"/>
    <col min="15105" max="15105" width="26.83203125" style="317" customWidth="1"/>
    <col min="15106" max="15108" width="11.83203125" style="317" customWidth="1"/>
    <col min="15109" max="15112" width="15.58203125" style="317" customWidth="1"/>
    <col min="15113" max="15113" width="11.83203125" style="317" customWidth="1"/>
    <col min="15114" max="15360" width="10.5" style="317"/>
    <col min="15361" max="15361" width="26.83203125" style="317" customWidth="1"/>
    <col min="15362" max="15364" width="11.83203125" style="317" customWidth="1"/>
    <col min="15365" max="15368" width="15.58203125" style="317" customWidth="1"/>
    <col min="15369" max="15369" width="11.83203125" style="317" customWidth="1"/>
    <col min="15370" max="15616" width="10.5" style="317"/>
    <col min="15617" max="15617" width="26.83203125" style="317" customWidth="1"/>
    <col min="15618" max="15620" width="11.83203125" style="317" customWidth="1"/>
    <col min="15621" max="15624" width="15.58203125" style="317" customWidth="1"/>
    <col min="15625" max="15625" width="11.83203125" style="317" customWidth="1"/>
    <col min="15626" max="15872" width="10.5" style="317"/>
    <col min="15873" max="15873" width="26.83203125" style="317" customWidth="1"/>
    <col min="15874" max="15876" width="11.83203125" style="317" customWidth="1"/>
    <col min="15877" max="15880" width="15.58203125" style="317" customWidth="1"/>
    <col min="15881" max="15881" width="11.83203125" style="317" customWidth="1"/>
    <col min="15882" max="16128" width="10.5" style="317"/>
    <col min="16129" max="16129" width="26.83203125" style="317" customWidth="1"/>
    <col min="16130" max="16132" width="11.83203125" style="317" customWidth="1"/>
    <col min="16133" max="16136" width="15.58203125" style="317" customWidth="1"/>
    <col min="16137" max="16137" width="11.83203125" style="317" customWidth="1"/>
    <col min="16138" max="16384" width="10.5" style="317"/>
  </cols>
  <sheetData>
    <row r="1" spans="1:9" ht="12">
      <c r="A1" s="318" t="s">
        <v>800</v>
      </c>
      <c r="B1" s="318" t="s">
        <v>810</v>
      </c>
      <c r="C1" s="318" t="s">
        <v>811</v>
      </c>
      <c r="D1" s="318" t="s">
        <v>80</v>
      </c>
      <c r="E1" s="318" t="s">
        <v>812</v>
      </c>
      <c r="F1" s="318" t="s">
        <v>813</v>
      </c>
      <c r="G1" s="318" t="s">
        <v>814</v>
      </c>
      <c r="H1" s="318" t="s">
        <v>815</v>
      </c>
      <c r="I1" s="318" t="s">
        <v>816</v>
      </c>
    </row>
    <row r="2" spans="1:9" ht="11.5" customHeight="1">
      <c r="A2" s="315" t="s">
        <v>807</v>
      </c>
      <c r="B2" s="315" t="s">
        <v>817</v>
      </c>
      <c r="C2" s="315"/>
      <c r="D2" s="315" t="s">
        <v>173</v>
      </c>
      <c r="E2" s="316">
        <v>455.48</v>
      </c>
      <c r="F2" s="315" t="s">
        <v>808</v>
      </c>
      <c r="G2" s="315" t="s">
        <v>176</v>
      </c>
      <c r="H2" s="315" t="s">
        <v>177</v>
      </c>
      <c r="I2" s="329" t="s">
        <v>818</v>
      </c>
    </row>
    <row r="3" spans="1:9" ht="15" customHeight="1">
      <c r="A3" s="315" t="s">
        <v>807</v>
      </c>
      <c r="B3" s="315" t="s">
        <v>817</v>
      </c>
      <c r="C3" s="315" t="s">
        <v>819</v>
      </c>
      <c r="D3" s="315" t="s">
        <v>173</v>
      </c>
      <c r="E3" s="316">
        <v>864.2</v>
      </c>
      <c r="F3" s="315" t="s">
        <v>808</v>
      </c>
      <c r="G3" s="315" t="s">
        <v>176</v>
      </c>
      <c r="H3" s="315" t="s">
        <v>183</v>
      </c>
      <c r="I3" s="315" t="s">
        <v>820</v>
      </c>
    </row>
    <row r="4" spans="1:9" ht="15" customHeight="1">
      <c r="A4" s="315" t="s">
        <v>807</v>
      </c>
      <c r="B4" s="315" t="s">
        <v>817</v>
      </c>
      <c r="C4" s="315" t="s">
        <v>821</v>
      </c>
      <c r="D4" s="315" t="s">
        <v>173</v>
      </c>
      <c r="E4" s="316">
        <v>853.26</v>
      </c>
      <c r="F4" s="315" t="s">
        <v>808</v>
      </c>
      <c r="G4" s="315" t="s">
        <v>176</v>
      </c>
      <c r="H4" s="315" t="s">
        <v>183</v>
      </c>
      <c r="I4" s="315" t="s">
        <v>820</v>
      </c>
    </row>
    <row r="5" spans="1:9" ht="15" customHeight="1">
      <c r="A5" s="315" t="s">
        <v>807</v>
      </c>
      <c r="B5" s="315" t="s">
        <v>817</v>
      </c>
      <c r="C5" s="315" t="s">
        <v>822</v>
      </c>
      <c r="D5" s="315" t="s">
        <v>173</v>
      </c>
      <c r="E5" s="316">
        <v>544.26</v>
      </c>
      <c r="F5" s="315" t="s">
        <v>808</v>
      </c>
      <c r="G5" s="315" t="s">
        <v>176</v>
      </c>
      <c r="H5" s="315" t="s">
        <v>183</v>
      </c>
      <c r="I5" s="315" t="s">
        <v>823</v>
      </c>
    </row>
    <row r="6" spans="1:9" ht="15" customHeight="1">
      <c r="A6" s="315" t="s">
        <v>807</v>
      </c>
      <c r="B6" s="315" t="s">
        <v>817</v>
      </c>
      <c r="C6" s="315" t="s">
        <v>824</v>
      </c>
      <c r="D6" s="315" t="s">
        <v>173</v>
      </c>
      <c r="E6" s="316">
        <v>503.76</v>
      </c>
      <c r="F6" s="315" t="s">
        <v>808</v>
      </c>
      <c r="G6" s="315" t="s">
        <v>176</v>
      </c>
      <c r="H6" s="315" t="s">
        <v>183</v>
      </c>
      <c r="I6" s="315" t="s">
        <v>825</v>
      </c>
    </row>
    <row r="7" spans="1:9" ht="15" customHeight="1">
      <c r="A7" s="315" t="s">
        <v>807</v>
      </c>
      <c r="B7" s="315" t="s">
        <v>817</v>
      </c>
      <c r="C7" s="315" t="s">
        <v>826</v>
      </c>
      <c r="D7" s="315" t="s">
        <v>173</v>
      </c>
      <c r="E7" s="316">
        <v>507.83</v>
      </c>
      <c r="F7" s="315" t="s">
        <v>808</v>
      </c>
      <c r="G7" s="315" t="s">
        <v>176</v>
      </c>
      <c r="H7" s="315" t="s">
        <v>183</v>
      </c>
      <c r="I7" s="315" t="s">
        <v>820</v>
      </c>
    </row>
    <row r="8" spans="1:9" ht="15" customHeight="1">
      <c r="A8" s="315" t="s">
        <v>807</v>
      </c>
      <c r="B8" s="315" t="s">
        <v>817</v>
      </c>
      <c r="C8" s="315" t="s">
        <v>827</v>
      </c>
      <c r="D8" s="315" t="s">
        <v>173</v>
      </c>
      <c r="E8" s="316">
        <v>796.65</v>
      </c>
      <c r="F8" s="315" t="s">
        <v>808</v>
      </c>
      <c r="G8" s="315" t="s">
        <v>176</v>
      </c>
      <c r="H8" s="315" t="s">
        <v>183</v>
      </c>
      <c r="I8" s="315" t="s">
        <v>820</v>
      </c>
    </row>
    <row r="9" spans="1:9" ht="15" customHeight="1">
      <c r="A9" s="315" t="s">
        <v>807</v>
      </c>
      <c r="B9" s="315" t="s">
        <v>817</v>
      </c>
      <c r="C9" s="315" t="s">
        <v>828</v>
      </c>
      <c r="D9" s="315" t="s">
        <v>173</v>
      </c>
      <c r="E9" s="316">
        <v>658.95</v>
      </c>
      <c r="F9" s="315" t="s">
        <v>808</v>
      </c>
      <c r="G9" s="315" t="s">
        <v>176</v>
      </c>
      <c r="H9" s="315" t="s">
        <v>183</v>
      </c>
      <c r="I9" s="315" t="s">
        <v>829</v>
      </c>
    </row>
    <row r="10" spans="1:9" ht="15" customHeight="1">
      <c r="A10" s="315" t="s">
        <v>807</v>
      </c>
      <c r="B10" s="315" t="s">
        <v>817</v>
      </c>
      <c r="C10" s="315" t="s">
        <v>830</v>
      </c>
      <c r="D10" s="315" t="s">
        <v>173</v>
      </c>
      <c r="E10" s="316">
        <v>242.46</v>
      </c>
      <c r="F10" s="315" t="s">
        <v>808</v>
      </c>
      <c r="G10" s="315" t="s">
        <v>325</v>
      </c>
      <c r="H10" s="315" t="s">
        <v>326</v>
      </c>
      <c r="I10" s="315" t="s">
        <v>818</v>
      </c>
    </row>
    <row r="11" spans="1:9" ht="15" customHeight="1">
      <c r="A11" s="315" t="s">
        <v>807</v>
      </c>
      <c r="B11" s="315" t="s">
        <v>817</v>
      </c>
      <c r="C11" s="315" t="s">
        <v>831</v>
      </c>
      <c r="D11" s="315" t="s">
        <v>173</v>
      </c>
      <c r="E11" s="316">
        <v>293.33999999999997</v>
      </c>
      <c r="F11" s="315" t="s">
        <v>808</v>
      </c>
      <c r="G11" s="315" t="s">
        <v>176</v>
      </c>
      <c r="H11" s="315" t="s">
        <v>330</v>
      </c>
      <c r="I11" s="315" t="s">
        <v>832</v>
      </c>
    </row>
    <row r="12" spans="1:9" ht="15" customHeight="1">
      <c r="A12" s="315" t="s">
        <v>807</v>
      </c>
      <c r="B12" s="315" t="s">
        <v>817</v>
      </c>
      <c r="C12" s="315" t="s">
        <v>833</v>
      </c>
      <c r="D12" s="315" t="s">
        <v>173</v>
      </c>
      <c r="E12" s="316">
        <v>460.56</v>
      </c>
      <c r="F12" s="315" t="s">
        <v>808</v>
      </c>
      <c r="G12" s="315" t="s">
        <v>176</v>
      </c>
      <c r="H12" s="315" t="s">
        <v>183</v>
      </c>
      <c r="I12" s="315" t="s">
        <v>832</v>
      </c>
    </row>
    <row r="13" spans="1:9" ht="15" customHeight="1">
      <c r="A13" s="315" t="s">
        <v>807</v>
      </c>
      <c r="B13" s="315" t="s">
        <v>817</v>
      </c>
      <c r="C13" s="315" t="s">
        <v>834</v>
      </c>
      <c r="D13" s="315" t="s">
        <v>173</v>
      </c>
      <c r="E13" s="316">
        <v>245.92</v>
      </c>
      <c r="F13" s="315" t="s">
        <v>808</v>
      </c>
      <c r="G13" s="315" t="s">
        <v>325</v>
      </c>
      <c r="H13" s="315" t="s">
        <v>326</v>
      </c>
      <c r="I13" s="315" t="s">
        <v>818</v>
      </c>
    </row>
    <row r="14" spans="1:9" ht="15" customHeight="1">
      <c r="A14" s="315" t="s">
        <v>807</v>
      </c>
      <c r="B14" s="315" t="s">
        <v>817</v>
      </c>
      <c r="C14" s="315" t="s">
        <v>835</v>
      </c>
      <c r="D14" s="315" t="s">
        <v>173</v>
      </c>
      <c r="E14" s="316">
        <v>299.83999999999997</v>
      </c>
      <c r="F14" s="315" t="s">
        <v>808</v>
      </c>
      <c r="G14" s="315" t="s">
        <v>176</v>
      </c>
      <c r="H14" s="315" t="s">
        <v>326</v>
      </c>
      <c r="I14" s="315" t="s">
        <v>836</v>
      </c>
    </row>
    <row r="15" spans="1:9" ht="15" customHeight="1">
      <c r="A15" s="315" t="s">
        <v>807</v>
      </c>
      <c r="B15" s="315" t="s">
        <v>817</v>
      </c>
      <c r="C15" s="315" t="s">
        <v>837</v>
      </c>
      <c r="D15" s="315" t="s">
        <v>173</v>
      </c>
      <c r="E15" s="316">
        <v>299.93</v>
      </c>
      <c r="F15" s="315" t="s">
        <v>808</v>
      </c>
      <c r="G15" s="315" t="s">
        <v>176</v>
      </c>
      <c r="H15" s="315" t="s">
        <v>326</v>
      </c>
      <c r="I15" s="315" t="s">
        <v>836</v>
      </c>
    </row>
    <row r="16" spans="1:9" ht="15" customHeight="1">
      <c r="A16" s="315" t="s">
        <v>807</v>
      </c>
      <c r="B16" s="315" t="s">
        <v>817</v>
      </c>
      <c r="C16" s="315" t="s">
        <v>838</v>
      </c>
      <c r="D16" s="315" t="s">
        <v>173</v>
      </c>
      <c r="E16" s="316">
        <v>896.99</v>
      </c>
      <c r="F16" s="315" t="s">
        <v>808</v>
      </c>
      <c r="G16" s="315" t="s">
        <v>176</v>
      </c>
      <c r="H16" s="315" t="s">
        <v>183</v>
      </c>
      <c r="I16" s="315" t="s">
        <v>839</v>
      </c>
    </row>
    <row r="17" spans="1:9" ht="15" customHeight="1">
      <c r="A17" s="315" t="s">
        <v>807</v>
      </c>
      <c r="B17" s="315" t="s">
        <v>817</v>
      </c>
      <c r="C17" s="315" t="s">
        <v>840</v>
      </c>
      <c r="D17" s="315" t="s">
        <v>173</v>
      </c>
      <c r="E17" s="316">
        <v>406.01</v>
      </c>
      <c r="F17" s="315" t="s">
        <v>808</v>
      </c>
      <c r="G17" s="315" t="s">
        <v>176</v>
      </c>
      <c r="H17" s="315" t="s">
        <v>326</v>
      </c>
      <c r="I17" s="315" t="s">
        <v>841</v>
      </c>
    </row>
    <row r="18" spans="1:9" ht="15" customHeight="1">
      <c r="A18" s="315" t="s">
        <v>807</v>
      </c>
      <c r="B18" s="315" t="s">
        <v>817</v>
      </c>
      <c r="C18" s="315" t="s">
        <v>842</v>
      </c>
      <c r="D18" s="315" t="s">
        <v>173</v>
      </c>
      <c r="E18" s="316">
        <v>298.2</v>
      </c>
      <c r="F18" s="315" t="s">
        <v>808</v>
      </c>
      <c r="G18" s="315" t="s">
        <v>176</v>
      </c>
      <c r="H18" s="315" t="s">
        <v>326</v>
      </c>
      <c r="I18" s="315" t="s">
        <v>836</v>
      </c>
    </row>
    <row r="19" spans="1:9" ht="15" customHeight="1">
      <c r="A19" s="315" t="s">
        <v>807</v>
      </c>
      <c r="B19" s="315" t="s">
        <v>817</v>
      </c>
      <c r="C19" s="315" t="s">
        <v>843</v>
      </c>
      <c r="D19" s="315" t="s">
        <v>173</v>
      </c>
      <c r="E19" s="316">
        <v>371.6</v>
      </c>
      <c r="F19" s="315" t="s">
        <v>808</v>
      </c>
      <c r="G19" s="315" t="s">
        <v>176</v>
      </c>
      <c r="H19" s="315" t="s">
        <v>326</v>
      </c>
      <c r="I19" s="315" t="s">
        <v>844</v>
      </c>
    </row>
    <row r="20" spans="1:9" ht="15" customHeight="1">
      <c r="A20" s="315" t="s">
        <v>807</v>
      </c>
      <c r="B20" s="315" t="s">
        <v>817</v>
      </c>
      <c r="C20" s="315" t="s">
        <v>845</v>
      </c>
      <c r="D20" s="315" t="s">
        <v>173</v>
      </c>
      <c r="E20" s="316">
        <v>975.36</v>
      </c>
      <c r="F20" s="315" t="s">
        <v>808</v>
      </c>
      <c r="G20" s="315" t="s">
        <v>176</v>
      </c>
      <c r="H20" s="315" t="s">
        <v>183</v>
      </c>
      <c r="I20" s="315" t="s">
        <v>818</v>
      </c>
    </row>
    <row r="21" spans="1:9" ht="15" customHeight="1">
      <c r="A21" s="315" t="s">
        <v>807</v>
      </c>
      <c r="B21" s="315" t="s">
        <v>817</v>
      </c>
      <c r="C21" s="315" t="s">
        <v>846</v>
      </c>
      <c r="D21" s="315" t="s">
        <v>173</v>
      </c>
      <c r="E21" s="316">
        <v>560.96</v>
      </c>
      <c r="F21" s="315" t="s">
        <v>808</v>
      </c>
      <c r="G21" s="315" t="s">
        <v>176</v>
      </c>
      <c r="H21" s="315" t="s">
        <v>326</v>
      </c>
      <c r="I21" s="315" t="s">
        <v>839</v>
      </c>
    </row>
    <row r="22" spans="1:9" ht="15" customHeight="1">
      <c r="A22" s="315" t="s">
        <v>807</v>
      </c>
      <c r="B22" s="315" t="s">
        <v>817</v>
      </c>
      <c r="C22" s="315" t="s">
        <v>847</v>
      </c>
      <c r="D22" s="315" t="s">
        <v>173</v>
      </c>
      <c r="E22" s="316">
        <v>956.45</v>
      </c>
      <c r="F22" s="315" t="s">
        <v>808</v>
      </c>
      <c r="G22" s="315" t="s">
        <v>176</v>
      </c>
      <c r="H22" s="315" t="s">
        <v>330</v>
      </c>
      <c r="I22" s="315" t="s">
        <v>839</v>
      </c>
    </row>
    <row r="23" spans="1:9" ht="15" customHeight="1">
      <c r="A23" s="315" t="s">
        <v>807</v>
      </c>
      <c r="B23" s="315" t="s">
        <v>817</v>
      </c>
      <c r="C23" s="315" t="s">
        <v>848</v>
      </c>
      <c r="D23" s="315" t="s">
        <v>173</v>
      </c>
      <c r="E23" s="316">
        <v>408.25</v>
      </c>
      <c r="F23" s="315" t="s">
        <v>808</v>
      </c>
      <c r="G23" s="315" t="s">
        <v>176</v>
      </c>
      <c r="H23" s="315" t="s">
        <v>183</v>
      </c>
      <c r="I23" s="315" t="s">
        <v>849</v>
      </c>
    </row>
    <row r="24" spans="1:9" ht="15" customHeight="1">
      <c r="A24" s="315" t="s">
        <v>807</v>
      </c>
      <c r="B24" s="315" t="s">
        <v>817</v>
      </c>
      <c r="C24" s="315" t="s">
        <v>850</v>
      </c>
      <c r="D24" s="315" t="s">
        <v>173</v>
      </c>
      <c r="E24" s="316">
        <v>453.35</v>
      </c>
      <c r="F24" s="315" t="s">
        <v>808</v>
      </c>
      <c r="G24" s="315" t="s">
        <v>176</v>
      </c>
      <c r="H24" s="315" t="s">
        <v>183</v>
      </c>
      <c r="I24" s="315" t="s">
        <v>851</v>
      </c>
    </row>
    <row r="25" spans="1:9" ht="15" customHeight="1">
      <c r="A25" s="315" t="s">
        <v>807</v>
      </c>
      <c r="B25" s="315" t="s">
        <v>817</v>
      </c>
      <c r="C25" s="315" t="s">
        <v>817</v>
      </c>
      <c r="D25" s="315" t="s">
        <v>173</v>
      </c>
      <c r="E25" s="316">
        <v>635.63</v>
      </c>
      <c r="F25" s="315" t="s">
        <v>808</v>
      </c>
      <c r="G25" s="315" t="s">
        <v>176</v>
      </c>
      <c r="H25" s="315" t="s">
        <v>183</v>
      </c>
      <c r="I25" s="315" t="s">
        <v>829</v>
      </c>
    </row>
    <row r="26" spans="1:9" ht="15" customHeight="1">
      <c r="A26" s="315" t="s">
        <v>807</v>
      </c>
      <c r="B26" s="315" t="s">
        <v>817</v>
      </c>
      <c r="C26" s="315" t="s">
        <v>852</v>
      </c>
      <c r="D26" s="315" t="s">
        <v>173</v>
      </c>
      <c r="E26" s="316">
        <v>403</v>
      </c>
      <c r="F26" s="315" t="s">
        <v>808</v>
      </c>
      <c r="G26" s="315" t="s">
        <v>176</v>
      </c>
      <c r="H26" s="315" t="s">
        <v>330</v>
      </c>
      <c r="I26" s="315" t="s">
        <v>818</v>
      </c>
    </row>
    <row r="27" spans="1:9" ht="15" customHeight="1">
      <c r="A27" s="315" t="s">
        <v>807</v>
      </c>
      <c r="B27" s="315" t="s">
        <v>817</v>
      </c>
      <c r="C27" s="315" t="s">
        <v>853</v>
      </c>
      <c r="D27" s="315" t="s">
        <v>173</v>
      </c>
      <c r="E27" s="316">
        <v>248.49</v>
      </c>
      <c r="F27" s="315" t="s">
        <v>808</v>
      </c>
      <c r="G27" s="315" t="s">
        <v>325</v>
      </c>
      <c r="H27" s="315" t="s">
        <v>183</v>
      </c>
      <c r="I27" s="315" t="s">
        <v>818</v>
      </c>
    </row>
    <row r="28" spans="1:9" ht="15" customHeight="1">
      <c r="A28" s="315" t="s">
        <v>807</v>
      </c>
      <c r="B28" s="315" t="s">
        <v>817</v>
      </c>
      <c r="C28" s="315" t="s">
        <v>854</v>
      </c>
      <c r="D28" s="315" t="s">
        <v>173</v>
      </c>
      <c r="E28" s="316">
        <v>157.5</v>
      </c>
      <c r="F28" s="315" t="s">
        <v>808</v>
      </c>
      <c r="G28" s="315" t="s">
        <v>483</v>
      </c>
      <c r="H28" s="315" t="s">
        <v>330</v>
      </c>
      <c r="I28" s="315" t="s">
        <v>844</v>
      </c>
    </row>
    <row r="29" spans="1:9" ht="15" customHeight="1">
      <c r="A29" s="315" t="s">
        <v>807</v>
      </c>
      <c r="B29" s="315" t="s">
        <v>817</v>
      </c>
      <c r="C29" s="315" t="s">
        <v>855</v>
      </c>
      <c r="D29" s="315" t="s">
        <v>173</v>
      </c>
      <c r="E29" s="316">
        <v>378.13</v>
      </c>
      <c r="F29" s="315" t="s">
        <v>808</v>
      </c>
      <c r="G29" s="315" t="s">
        <v>176</v>
      </c>
      <c r="H29" s="315" t="s">
        <v>326</v>
      </c>
      <c r="I29" s="315" t="s">
        <v>836</v>
      </c>
    </row>
    <row r="30" spans="1:9" ht="15" customHeight="1">
      <c r="A30" s="315" t="s">
        <v>807</v>
      </c>
      <c r="B30" s="315" t="s">
        <v>817</v>
      </c>
      <c r="C30" s="315" t="s">
        <v>856</v>
      </c>
      <c r="D30" s="315" t="s">
        <v>173</v>
      </c>
      <c r="E30" s="316">
        <v>416.34</v>
      </c>
      <c r="F30" s="315" t="s">
        <v>808</v>
      </c>
      <c r="G30" s="315" t="s">
        <v>176</v>
      </c>
      <c r="H30" s="315" t="s">
        <v>326</v>
      </c>
      <c r="I30" s="330" t="s">
        <v>857</v>
      </c>
    </row>
  </sheetData>
  <phoneticPr fontId="1" type="noConversion"/>
  <pageMargins left="0.7" right="0.7" top="0.75" bottom="0.75" header="0.3" footer="0.3"/>
  <ignoredErrors>
    <ignoredError sqref="I2" numberStoredAsText="1"/>
  </ignoredErrors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C40B-08BF-45EA-B029-14BFF94D1960}">
  <dimension ref="A1:B9"/>
  <sheetViews>
    <sheetView workbookViewId="0">
      <selection activeCell="B6" sqref="B6"/>
    </sheetView>
  </sheetViews>
  <sheetFormatPr defaultColWidth="8.75" defaultRowHeight="17"/>
  <cols>
    <col min="2" max="2" width="158.83203125" bestFit="1" customWidth="1"/>
  </cols>
  <sheetData>
    <row r="1" spans="1:2" ht="39.5">
      <c r="A1" s="319">
        <v>1</v>
      </c>
      <c r="B1" s="320" t="s">
        <v>858</v>
      </c>
    </row>
    <row r="2" spans="1:2" ht="39.5">
      <c r="A2" s="321">
        <v>2</v>
      </c>
      <c r="B2" s="322" t="s">
        <v>859</v>
      </c>
    </row>
    <row r="3" spans="1:2" ht="39.5">
      <c r="A3" s="321">
        <v>3</v>
      </c>
      <c r="B3" s="323" t="s">
        <v>860</v>
      </c>
    </row>
    <row r="4" spans="1:2" ht="39.5">
      <c r="A4" s="321">
        <v>4</v>
      </c>
      <c r="B4" s="322" t="s">
        <v>861</v>
      </c>
    </row>
    <row r="5" spans="1:2" ht="39.5">
      <c r="A5" s="321">
        <v>5</v>
      </c>
      <c r="B5" s="322" t="s">
        <v>862</v>
      </c>
    </row>
    <row r="6" spans="1:2" ht="39.5">
      <c r="A6" s="321">
        <v>6</v>
      </c>
      <c r="B6" s="322" t="s">
        <v>863</v>
      </c>
    </row>
    <row r="7" spans="1:2" ht="79">
      <c r="A7" s="321">
        <v>7</v>
      </c>
      <c r="B7" s="325" t="s">
        <v>864</v>
      </c>
    </row>
    <row r="8" spans="1:2" ht="79">
      <c r="A8" s="321">
        <v>8</v>
      </c>
      <c r="B8" s="325" t="s">
        <v>865</v>
      </c>
    </row>
    <row r="9" spans="1:2" ht="40" thickBot="1">
      <c r="A9" s="324">
        <v>9</v>
      </c>
      <c r="B9" s="326" t="s">
        <v>866</v>
      </c>
    </row>
  </sheetData>
  <phoneticPr fontId="1" type="noConversion"/>
  <hyperlinks>
    <hyperlink ref="B1" r:id="rId1" xr:uid="{3CACA389-7213-48D6-9566-65882108DB89}"/>
    <hyperlink ref="B3" r:id="rId2" xr:uid="{A6276348-39D2-402A-95A7-A8791371D363}"/>
    <hyperlink ref="B9" r:id="rId3" xr:uid="{820DCCCD-EA41-420E-A894-2E825D5F0EB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1158784802674FB3FE842BEEA63E2F" ma:contentTypeVersion="14" ma:contentTypeDescription="새 문서를 만듭니다." ma:contentTypeScope="" ma:versionID="c4cc01ddc8daf49b336b2f64979c398f">
  <xsd:schema xmlns:xsd="http://www.w3.org/2001/XMLSchema" xmlns:xs="http://www.w3.org/2001/XMLSchema" xmlns:p="http://schemas.microsoft.com/office/2006/metadata/properties" xmlns:ns2="c669e460-89bf-4bab-832b-297db646f863" xmlns:ns3="bc4f990b-8a25-4fc4-9a40-413f0961acd5" targetNamespace="http://schemas.microsoft.com/office/2006/metadata/properties" ma:root="true" ma:fieldsID="539f35fa336578de182d325c2afd5ebf" ns2:_="" ns3:_="">
    <xsd:import namespace="c669e460-89bf-4bab-832b-297db646f863"/>
    <xsd:import namespace="bc4f990b-8a25-4fc4-9a40-413f0961ac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TEST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9e460-89bf-4bab-832b-297db646f8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b109804b-8dde-40b6-aa1e-448770f770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TEST" ma:index="20" nillable="true" ma:displayName="TEST" ma:format="Dropdown" ma:internalName="TEST" ma:percentage="FALSE">
      <xsd:simpleType>
        <xsd:restriction base="dms:Number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f990b-8a25-4fc4-9a40-413f0961ac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c2d2a0-27bd-4950-8f23-a4ba6ba2462d}" ma:internalName="TaxCatchAll" ma:showField="CatchAllData" ma:web="bc4f990b-8a25-4fc4-9a40-413f0961ac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69e460-89bf-4bab-832b-297db646f863">
      <Terms xmlns="http://schemas.microsoft.com/office/infopath/2007/PartnerControls"/>
    </lcf76f155ced4ddcb4097134ff3c332f>
    <TEST xmlns="c669e460-89bf-4bab-832b-297db646f863" xsi:nil="true"/>
    <TaxCatchAll xmlns="bc4f990b-8a25-4fc4-9a40-413f0961acd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B0A064-131A-471B-B760-03B430D9B6C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326734D-E40D-47C2-8AD5-BF1DB7D0C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69e460-89bf-4bab-832b-297db646f863"/>
    <ds:schemaRef ds:uri="bc4f990b-8a25-4fc4-9a40-413f0961ac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8B05FD-9B0A-4C4F-B8EE-02A38C85BF55}">
  <ds:schemaRefs>
    <ds:schemaRef ds:uri="http://schemas.microsoft.com/office/2006/metadata/properties"/>
    <ds:schemaRef ds:uri="http://schemas.microsoft.com/office/infopath/2007/PartnerControls"/>
    <ds:schemaRef ds:uri="c669e460-89bf-4bab-832b-297db646f863"/>
    <ds:schemaRef ds:uri="bc4f990b-8a25-4fc4-9a40-413f0961acd5"/>
  </ds:schemaRefs>
</ds:datastoreItem>
</file>

<file path=customXml/itemProps4.xml><?xml version="1.0" encoding="utf-8"?>
<ds:datastoreItem xmlns:ds="http://schemas.openxmlformats.org/officeDocument/2006/customXml" ds:itemID="{F07FDCD9-530E-414B-BE1F-68B57B24F2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6</vt:i4>
      </vt:variant>
    </vt:vector>
  </HeadingPairs>
  <TitlesOfParts>
    <vt:vector size="19" baseType="lpstr">
      <vt:lpstr>요약</vt:lpstr>
      <vt:lpstr>통합</vt:lpstr>
      <vt:lpstr>A.토지 건축물에 관한사항</vt:lpstr>
      <vt:lpstr>B.소유권에 관한 사항</vt:lpstr>
      <vt:lpstr>C.동의에 관한 사항</vt:lpstr>
      <vt:lpstr>D.자산평가에 관한 사항</vt:lpstr>
      <vt:lpstr>설명회 참석자 명부</vt:lpstr>
      <vt:lpstr>준비위원명부</vt:lpstr>
      <vt:lpstr>우편물</vt:lpstr>
      <vt:lpstr>공적장부_부동산원</vt:lpstr>
      <vt:lpstr>비교</vt:lpstr>
      <vt:lpstr>건축물정보_부동산원</vt:lpstr>
      <vt:lpstr>이용순서</vt:lpstr>
      <vt:lpstr>통합!Print_Titles</vt:lpstr>
      <vt:lpstr>도로보정배율</vt:lpstr>
      <vt:lpstr>배당환산금</vt:lpstr>
      <vt:lpstr>집합건축물보정배율</vt:lpstr>
      <vt:lpstr>토지보정배율</vt:lpstr>
      <vt:lpstr>토지평당환산액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(주)광장 이사 황준석</dc:creator>
  <cp:keywords/>
  <dc:description/>
  <cp:lastModifiedBy>(주)광장건설 건축사업본부 과장 이민후</cp:lastModifiedBy>
  <cp:revision/>
  <dcterms:created xsi:type="dcterms:W3CDTF">2024-07-17T04:22:37Z</dcterms:created>
  <dcterms:modified xsi:type="dcterms:W3CDTF">2026-04-20T05:48:23Z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0x010100011158784802674FB3FE842BEEA63E2F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