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hueus-my.sharepoint.com/personal/ekaitz_hurtado_ehu_eus/Documents/Tesis doctoral/TesisEkaitzHurtado/Articulos/SMIA production execution (estancia)/Ficheros adicionales/Operational_evaluation/"/>
    </mc:Choice>
  </mc:AlternateContent>
  <xr:revisionPtr revIDLastSave="1683" documentId="13_ncr:1_{F78EB0ED-DE60-455A-945C-C898768D99E5}" xr6:coauthVersionLast="47" xr6:coauthVersionMax="47" xr10:uidLastSave="{0F0B71CE-5CFB-453F-9615-16229C9549A5}"/>
  <bookViews>
    <workbookView xWindow="-108" yWindow="-108" windowWidth="23256" windowHeight="12456" tabRatio="685" firstSheet="7" activeTab="9" xr2:uid="{4585B239-C603-44CF-81CE-0D655E77BC04}"/>
  </bookViews>
  <sheets>
    <sheet name="Extracted data" sheetId="1" r:id="rId1"/>
    <sheet name="IR analysis" sheetId="2" r:id="rId2"/>
    <sheet name="ILA analysis" sheetId="3" r:id="rId3"/>
    <sheet name="ILB analysis" sheetId="5" r:id="rId4"/>
    <sheet name="PMA analysis" sheetId="6" r:id="rId5"/>
    <sheet name="PMB analysis" sheetId="7" r:id="rId6"/>
    <sheet name="Operator analysis" sheetId="9" r:id="rId7"/>
    <sheet name="SMIA PE analysis" sheetId="10" r:id="rId8"/>
    <sheet name="Statistics" sheetId="8" r:id="rId9"/>
    <sheet name="Historical statistics" sheetId="12" r:id="rId10"/>
    <sheet name="Historical statistics (2)" sheetId="13" r:id="rId11"/>
  </sheets>
  <definedNames>
    <definedName name="ExternalData_1" localSheetId="0" hidden="1">'Extracted data'!$A$2:$C$10</definedName>
    <definedName name="ExternalData_2" localSheetId="0" hidden="1">'Extracted data'!$E$2:$G$4</definedName>
    <definedName name="ExternalData_3" localSheetId="0" hidden="1">'Extracted data'!$I$2:$K$6</definedName>
    <definedName name="ExternalData_4" localSheetId="0" hidden="1">'Extracted data'!$M$2:$O$4</definedName>
    <definedName name="ExternalData_5" localSheetId="0" hidden="1">'Extracted data'!$Q$2:$S$6</definedName>
    <definedName name="ExternalData_6" localSheetId="0" hidden="1">'Extracted data'!$Y$2:$AA$9</definedName>
    <definedName name="ExternalData_7" localSheetId="0" hidden="1">'Extracted data'!$U$2:$W$4</definedName>
    <definedName name="ExternalData_8" localSheetId="0" hidden="1">'Extracted data'!$AC$2:$AE$20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2" l="1" a="1"/>
  <c r="O1" i="12" s="1"/>
  <c r="C7" i="10" a="1"/>
  <c r="C7" i="10" s="1"/>
  <c r="L10" i="13"/>
  <c r="L11" i="13"/>
  <c r="L12" i="13"/>
  <c r="L13" i="13"/>
  <c r="L14" i="13"/>
  <c r="L15" i="13"/>
  <c r="L16" i="13"/>
  <c r="L17" i="13"/>
  <c r="L18" i="13"/>
  <c r="L19" i="13"/>
  <c r="H19" i="13"/>
  <c r="G19" i="13"/>
  <c r="F19" i="13"/>
  <c r="H18" i="13"/>
  <c r="G18" i="13"/>
  <c r="F18" i="13"/>
  <c r="H17" i="13"/>
  <c r="G17" i="13"/>
  <c r="F17" i="13"/>
  <c r="H16" i="13"/>
  <c r="G16" i="13"/>
  <c r="F16" i="13"/>
  <c r="H15" i="13"/>
  <c r="G15" i="13"/>
  <c r="F15" i="13"/>
  <c r="H14" i="13"/>
  <c r="G14" i="13"/>
  <c r="F14" i="13"/>
  <c r="H13" i="13"/>
  <c r="G13" i="13"/>
  <c r="F13" i="13"/>
  <c r="H12" i="13"/>
  <c r="G12" i="13"/>
  <c r="F12" i="13"/>
  <c r="H11" i="13"/>
  <c r="G11" i="13"/>
  <c r="F11" i="13"/>
  <c r="H10" i="13"/>
  <c r="G10" i="13"/>
  <c r="F10" i="13"/>
  <c r="L9" i="13"/>
  <c r="H9" i="13"/>
  <c r="G9" i="13"/>
  <c r="F9" i="13"/>
  <c r="L8" i="13"/>
  <c r="H8" i="13"/>
  <c r="G8" i="13"/>
  <c r="F8" i="13"/>
  <c r="L7" i="13"/>
  <c r="H7" i="13"/>
  <c r="G7" i="13"/>
  <c r="F7" i="13"/>
  <c r="L6" i="13"/>
  <c r="H6" i="13"/>
  <c r="G6" i="13"/>
  <c r="F6" i="13"/>
  <c r="L5" i="13"/>
  <c r="H5" i="13"/>
  <c r="G5" i="13"/>
  <c r="F5" i="13"/>
  <c r="K7" i="12"/>
  <c r="K8" i="12"/>
  <c r="K9" i="12"/>
  <c r="K6" i="12"/>
  <c r="K5" i="12"/>
  <c r="G6" i="12"/>
  <c r="G7" i="12"/>
  <c r="G8" i="12"/>
  <c r="G9" i="12"/>
  <c r="G5" i="12"/>
  <c r="F6" i="12"/>
  <c r="F7" i="12"/>
  <c r="F8" i="12"/>
  <c r="F9" i="12"/>
  <c r="F5" i="12"/>
  <c r="H9" i="12"/>
  <c r="H8" i="12"/>
  <c r="H7" i="12"/>
  <c r="H6" i="12"/>
  <c r="H5" i="12"/>
  <c r="B7" i="10" a="1"/>
  <c r="B7" i="10" s="1"/>
  <c r="E7" i="10" a="1"/>
  <c r="E7" i="10" s="1"/>
  <c r="D7" i="10" a="1"/>
  <c r="D7" i="10" s="1"/>
  <c r="B7" i="9" a="1"/>
  <c r="B7" i="9" s="1"/>
  <c r="D1" i="9"/>
  <c r="F7" i="9" s="1" a="1"/>
  <c r="F7" i="9" s="1"/>
  <c r="B7" i="7" a="1"/>
  <c r="B7" i="7" s="1"/>
  <c r="D1" i="7"/>
  <c r="F7" i="7" s="1" a="1"/>
  <c r="F7" i="7" s="1"/>
  <c r="B7" i="6" a="1"/>
  <c r="B7" i="6" s="1"/>
  <c r="D1" i="6"/>
  <c r="B7" i="5" a="1"/>
  <c r="B7" i="5" s="1"/>
  <c r="D1" i="5"/>
  <c r="F7" i="5" s="1" a="1"/>
  <c r="F7" i="5" s="1"/>
  <c r="B7" i="3" a="1"/>
  <c r="B7" i="3" s="1"/>
  <c r="D1" i="3"/>
  <c r="B7" i="2" a="1"/>
  <c r="B7" i="2" s="1"/>
  <c r="D1" i="2"/>
  <c r="G7" i="10" l="1" a="1"/>
  <c r="I14" i="10" s="1" a="1"/>
  <c r="I14" i="10" s="1"/>
  <c r="V23" i="8" a="1"/>
  <c r="V23" i="8" s="1"/>
  <c r="U7" i="10" a="1"/>
  <c r="U7" i="10" s="1"/>
  <c r="J137" i="10" a="1"/>
  <c r="J137" i="10" s="1"/>
  <c r="R7" i="10" a="1"/>
  <c r="M7" i="10" a="1"/>
  <c r="W20" i="10" s="1" a="1"/>
  <c r="W20" i="10" s="1"/>
  <c r="I168" i="10" a="1"/>
  <c r="I168" i="10" s="1"/>
  <c r="I160" i="10" a="1"/>
  <c r="I160" i="10" s="1"/>
  <c r="I151" i="10" a="1"/>
  <c r="I151" i="10" s="1"/>
  <c r="I135" i="10" a="1"/>
  <c r="I135" i="10" s="1"/>
  <c r="J173" i="10" a="1"/>
  <c r="J173" i="10" s="1"/>
  <c r="J165" i="10" a="1"/>
  <c r="J165" i="10" s="1"/>
  <c r="J157" i="10" a="1"/>
  <c r="J157" i="10" s="1"/>
  <c r="J149" i="10" a="1"/>
  <c r="J149" i="10" s="1"/>
  <c r="J141" i="10" a="1"/>
  <c r="J141" i="10" s="1"/>
  <c r="I167" i="10" a="1"/>
  <c r="I167" i="10" s="1"/>
  <c r="I159" i="10" a="1"/>
  <c r="I159" i="10" s="1"/>
  <c r="I149" i="10" a="1"/>
  <c r="I149" i="10" s="1"/>
  <c r="I133" i="10" a="1"/>
  <c r="I133" i="10" s="1"/>
  <c r="I119" i="10" a="1"/>
  <c r="I119" i="10" s="1"/>
  <c r="J172" i="10" a="1"/>
  <c r="J172" i="10" s="1"/>
  <c r="J164" i="10" a="1"/>
  <c r="J164" i="10" s="1"/>
  <c r="J156" i="10" a="1"/>
  <c r="J156" i="10" s="1"/>
  <c r="J148" i="10" a="1"/>
  <c r="J148" i="10" s="1"/>
  <c r="J140" i="10" a="1"/>
  <c r="J140" i="10" s="1"/>
  <c r="I166" i="10" a="1"/>
  <c r="I166" i="10" s="1"/>
  <c r="I158" i="10" a="1"/>
  <c r="I158" i="10" s="1"/>
  <c r="I147" i="10" a="1"/>
  <c r="I147" i="10" s="1"/>
  <c r="I131" i="10" a="1"/>
  <c r="I131" i="10" s="1"/>
  <c r="J171" i="10" a="1"/>
  <c r="J171" i="10" s="1"/>
  <c r="J163" i="10" a="1"/>
  <c r="J163" i="10" s="1"/>
  <c r="J155" i="10" a="1"/>
  <c r="J155" i="10" s="1"/>
  <c r="J147" i="10" a="1"/>
  <c r="J147" i="10" s="1"/>
  <c r="J139" i="10" a="1"/>
  <c r="J139" i="10" s="1"/>
  <c r="I173" i="10" a="1"/>
  <c r="I173" i="10" s="1"/>
  <c r="I165" i="10" a="1"/>
  <c r="I165" i="10" s="1"/>
  <c r="I157" i="10" a="1"/>
  <c r="I157" i="10" s="1"/>
  <c r="I145" i="10" a="1"/>
  <c r="I145" i="10" s="1"/>
  <c r="I129" i="10" a="1"/>
  <c r="I129" i="10" s="1"/>
  <c r="J170" i="10" a="1"/>
  <c r="J170" i="10" s="1"/>
  <c r="J162" i="10" a="1"/>
  <c r="J162" i="10" s="1"/>
  <c r="J154" i="10" a="1"/>
  <c r="J154" i="10" s="1"/>
  <c r="J146" i="10" a="1"/>
  <c r="J146" i="10" s="1"/>
  <c r="J138" i="10" a="1"/>
  <c r="J138" i="10" s="1"/>
  <c r="I172" i="10" a="1"/>
  <c r="I172" i="10" s="1"/>
  <c r="I164" i="10" a="1"/>
  <c r="I164" i="10" s="1"/>
  <c r="I156" i="10" a="1"/>
  <c r="I156" i="10" s="1"/>
  <c r="I143" i="10" a="1"/>
  <c r="I143" i="10" s="1"/>
  <c r="I127" i="10" a="1"/>
  <c r="I127" i="10" s="1"/>
  <c r="J169" i="10" a="1"/>
  <c r="J169" i="10" s="1"/>
  <c r="J161" i="10" a="1"/>
  <c r="J161" i="10" s="1"/>
  <c r="J153" i="10" a="1"/>
  <c r="J153" i="10" s="1"/>
  <c r="J145" i="10" a="1"/>
  <c r="J145" i="10" s="1"/>
  <c r="J112" i="10" a="1"/>
  <c r="J112" i="10" s="1"/>
  <c r="J116" i="10" a="1"/>
  <c r="J116" i="10" s="1"/>
  <c r="J120" i="10" a="1"/>
  <c r="J120" i="10" s="1"/>
  <c r="J124" i="10" a="1"/>
  <c r="J124" i="10" s="1"/>
  <c r="J128" i="10" a="1"/>
  <c r="J128" i="10" s="1"/>
  <c r="J132" i="10" a="1"/>
  <c r="J132" i="10" s="1"/>
  <c r="I115" i="10" a="1"/>
  <c r="I115" i="10" s="1"/>
  <c r="I120" i="10" a="1"/>
  <c r="I120" i="10" s="1"/>
  <c r="I126" i="10" a="1"/>
  <c r="I126" i="10" s="1"/>
  <c r="I134" i="10" a="1"/>
  <c r="I134" i="10" s="1"/>
  <c r="I142" i="10" a="1"/>
  <c r="I142" i="10" s="1"/>
  <c r="I150" i="10" a="1"/>
  <c r="I150" i="10" s="1"/>
  <c r="J113" i="10" a="1"/>
  <c r="J113" i="10" s="1"/>
  <c r="J117" i="10" a="1"/>
  <c r="J117" i="10" s="1"/>
  <c r="J121" i="10" a="1"/>
  <c r="J121" i="10" s="1"/>
  <c r="J125" i="10" a="1"/>
  <c r="J125" i="10" s="1"/>
  <c r="J129" i="10" a="1"/>
  <c r="J129" i="10" s="1"/>
  <c r="K129" i="10" s="1"/>
  <c r="J133" i="10" a="1"/>
  <c r="J133" i="10" s="1"/>
  <c r="K133" i="10" s="1"/>
  <c r="I112" i="10" a="1"/>
  <c r="I112" i="10" s="1"/>
  <c r="I116" i="10" a="1"/>
  <c r="I116" i="10" s="1"/>
  <c r="I121" i="10" a="1"/>
  <c r="I121" i="10" s="1"/>
  <c r="I128" i="10" a="1"/>
  <c r="I128" i="10" s="1"/>
  <c r="I136" i="10" a="1"/>
  <c r="I136" i="10" s="1"/>
  <c r="I144" i="10" a="1"/>
  <c r="I144" i="10" s="1"/>
  <c r="I152" i="10" a="1"/>
  <c r="I152" i="10" s="1"/>
  <c r="J114" i="10" a="1"/>
  <c r="J114" i="10" s="1"/>
  <c r="J118" i="10" a="1"/>
  <c r="J118" i="10" s="1"/>
  <c r="J122" i="10" a="1"/>
  <c r="J122" i="10" s="1"/>
  <c r="J126" i="10" a="1"/>
  <c r="J126" i="10" s="1"/>
  <c r="K126" i="10" s="1"/>
  <c r="J130" i="10" a="1"/>
  <c r="J130" i="10" s="1"/>
  <c r="I113" i="10" a="1"/>
  <c r="I113" i="10" s="1"/>
  <c r="I117" i="10" a="1"/>
  <c r="I117" i="10" s="1"/>
  <c r="I122" i="10" a="1"/>
  <c r="I122" i="10" s="1"/>
  <c r="I130" i="10" a="1"/>
  <c r="I130" i="10" s="1"/>
  <c r="I138" i="10" a="1"/>
  <c r="I138" i="10" s="1"/>
  <c r="I146" i="10" a="1"/>
  <c r="I146" i="10" s="1"/>
  <c r="J115" i="10" a="1"/>
  <c r="J115" i="10" s="1"/>
  <c r="K115" i="10" s="1"/>
  <c r="J119" i="10" a="1"/>
  <c r="J119" i="10" s="1"/>
  <c r="K119" i="10" s="1"/>
  <c r="J123" i="10" a="1"/>
  <c r="J123" i="10" s="1"/>
  <c r="J127" i="10" a="1"/>
  <c r="J127" i="10" s="1"/>
  <c r="K127" i="10" s="1"/>
  <c r="J131" i="10" a="1"/>
  <c r="J131" i="10" s="1"/>
  <c r="K131" i="10" s="1"/>
  <c r="I114" i="10" a="1"/>
  <c r="I114" i="10" s="1"/>
  <c r="I118" i="10" a="1"/>
  <c r="I118" i="10" s="1"/>
  <c r="I124" i="10" a="1"/>
  <c r="I124" i="10" s="1"/>
  <c r="I132" i="10" a="1"/>
  <c r="I132" i="10" s="1"/>
  <c r="I140" i="10" a="1"/>
  <c r="I140" i="10" s="1"/>
  <c r="I148" i="10" a="1"/>
  <c r="I148" i="10" s="1"/>
  <c r="I171" i="10" a="1"/>
  <c r="I171" i="10" s="1"/>
  <c r="I163" i="10" a="1"/>
  <c r="I163" i="10" s="1"/>
  <c r="I155" i="10" a="1"/>
  <c r="I155" i="10" s="1"/>
  <c r="I141" i="10" a="1"/>
  <c r="I141" i="10" s="1"/>
  <c r="I125" i="10" a="1"/>
  <c r="I125" i="10" s="1"/>
  <c r="J168" i="10" a="1"/>
  <c r="J168" i="10" s="1"/>
  <c r="K168" i="10" s="1"/>
  <c r="J160" i="10" a="1"/>
  <c r="J160" i="10" s="1"/>
  <c r="K160" i="10" s="1"/>
  <c r="J152" i="10" a="1"/>
  <c r="J152" i="10" s="1"/>
  <c r="K152" i="10" s="1"/>
  <c r="J144" i="10" a="1"/>
  <c r="J144" i="10" s="1"/>
  <c r="K144" i="10" s="1"/>
  <c r="J136" i="10" a="1"/>
  <c r="J136" i="10" s="1"/>
  <c r="K136" i="10" s="1"/>
  <c r="I170" i="10" a="1"/>
  <c r="I170" i="10" s="1"/>
  <c r="I162" i="10" a="1"/>
  <c r="I162" i="10" s="1"/>
  <c r="I154" i="10" a="1"/>
  <c r="I154" i="10" s="1"/>
  <c r="I139" i="10" a="1"/>
  <c r="I139" i="10" s="1"/>
  <c r="I123" i="10" a="1"/>
  <c r="I123" i="10" s="1"/>
  <c r="J167" i="10" a="1"/>
  <c r="J167" i="10" s="1"/>
  <c r="K167" i="10" s="1"/>
  <c r="J159" i="10" a="1"/>
  <c r="J159" i="10" s="1"/>
  <c r="K159" i="10" s="1"/>
  <c r="J151" i="10" a="1"/>
  <c r="J151" i="10" s="1"/>
  <c r="K151" i="10" s="1"/>
  <c r="J143" i="10" a="1"/>
  <c r="J143" i="10" s="1"/>
  <c r="K143" i="10" s="1"/>
  <c r="J135" i="10" a="1"/>
  <c r="J135" i="10" s="1"/>
  <c r="K135" i="10" s="1"/>
  <c r="I169" i="10" a="1"/>
  <c r="I169" i="10" s="1"/>
  <c r="I161" i="10" a="1"/>
  <c r="I161" i="10" s="1"/>
  <c r="I153" i="10" a="1"/>
  <c r="I153" i="10" s="1"/>
  <c r="I137" i="10" a="1"/>
  <c r="I137" i="10" s="1"/>
  <c r="K137" i="10" s="1"/>
  <c r="J166" i="10" a="1"/>
  <c r="J166" i="10" s="1"/>
  <c r="K166" i="10" s="1"/>
  <c r="J158" i="10" a="1"/>
  <c r="J158" i="10" s="1"/>
  <c r="K158" i="10" s="1"/>
  <c r="J150" i="10" a="1"/>
  <c r="J150" i="10" s="1"/>
  <c r="K150" i="10" s="1"/>
  <c r="J142" i="10" a="1"/>
  <c r="J142" i="10" s="1"/>
  <c r="K142" i="10" s="1"/>
  <c r="J134" i="10" a="1"/>
  <c r="J134" i="10" s="1"/>
  <c r="K134" i="10" s="1"/>
  <c r="H4" i="9" a="1"/>
  <c r="H4" i="9" s="1"/>
  <c r="D16" i="8" s="1"/>
  <c r="D4" i="9" a="1"/>
  <c r="D4" i="9" s="1"/>
  <c r="C16" i="8" s="1"/>
  <c r="F7" i="6" a="1"/>
  <c r="F7" i="6" s="1"/>
  <c r="F7" i="2" a="1"/>
  <c r="F7" i="2" s="1"/>
  <c r="F7" i="3" a="1"/>
  <c r="F7" i="3" s="1"/>
  <c r="H4" i="7" a="1"/>
  <c r="H4" i="7" s="1"/>
  <c r="D15" i="8" s="1"/>
  <c r="D4" i="7" a="1"/>
  <c r="D4" i="7" s="1"/>
  <c r="C15" i="8" s="1"/>
  <c r="D4" i="6" a="1"/>
  <c r="D4" i="6" s="1"/>
  <c r="C14" i="8" s="1"/>
  <c r="H4" i="5" a="1"/>
  <c r="H4" i="5" s="1"/>
  <c r="D13" i="8" s="1"/>
  <c r="D4" i="5" a="1"/>
  <c r="D4" i="5" s="1"/>
  <c r="C13" i="8" s="1"/>
  <c r="D4" i="3" a="1"/>
  <c r="D4" i="3" s="1"/>
  <c r="C12" i="8" s="1"/>
  <c r="D4" i="2" a="1"/>
  <c r="D4" i="2" s="1"/>
  <c r="I28" i="10" l="1" a="1"/>
  <c r="I28" i="10" s="1"/>
  <c r="I102" i="10" a="1"/>
  <c r="I102" i="10" s="1"/>
  <c r="J111" i="10" a="1"/>
  <c r="J111" i="10" s="1"/>
  <c r="J98" i="10" a="1"/>
  <c r="J98" i="10" s="1"/>
  <c r="J93" i="10" a="1"/>
  <c r="J93" i="10" s="1"/>
  <c r="I107" i="10" a="1"/>
  <c r="I107" i="10" s="1"/>
  <c r="J31" i="10" a="1"/>
  <c r="J31" i="10" s="1"/>
  <c r="J29" i="10" a="1"/>
  <c r="J29" i="10" s="1"/>
  <c r="I32" i="10" a="1"/>
  <c r="I32" i="10" s="1"/>
  <c r="I98" i="10" a="1"/>
  <c r="I98" i="10" s="1"/>
  <c r="J107" i="10" a="1"/>
  <c r="J107" i="10" s="1"/>
  <c r="K107" i="10" s="1"/>
  <c r="J94" i="10" a="1"/>
  <c r="J94" i="10" s="1"/>
  <c r="I108" i="10" a="1"/>
  <c r="I108" i="10" s="1"/>
  <c r="I103" i="10" a="1"/>
  <c r="I103" i="10" s="1"/>
  <c r="J27" i="10" a="1"/>
  <c r="J27" i="10" s="1"/>
  <c r="J25" i="10" a="1"/>
  <c r="J25" i="10" s="1"/>
  <c r="I36" i="10" a="1"/>
  <c r="I36" i="10" s="1"/>
  <c r="I94" i="10" a="1"/>
  <c r="I94" i="10" s="1"/>
  <c r="J103" i="10" a="1"/>
  <c r="J103" i="10" s="1"/>
  <c r="K103" i="10" s="1"/>
  <c r="I104" i="10" a="1"/>
  <c r="I104" i="10" s="1"/>
  <c r="I99" i="10" a="1"/>
  <c r="I99" i="10" s="1"/>
  <c r="J108" i="10" a="1"/>
  <c r="J108" i="10" s="1"/>
  <c r="J23" i="10" a="1"/>
  <c r="J23" i="10" s="1"/>
  <c r="J36" i="10" a="1"/>
  <c r="J36" i="10" s="1"/>
  <c r="J99" i="10" a="1"/>
  <c r="J99" i="10" s="1"/>
  <c r="K99" i="10" s="1"/>
  <c r="I109" i="10" a="1"/>
  <c r="I109" i="10" s="1"/>
  <c r="I100" i="10" a="1"/>
  <c r="I100" i="10" s="1"/>
  <c r="I95" i="10" a="1"/>
  <c r="I95" i="10" s="1"/>
  <c r="J104" i="10" a="1"/>
  <c r="J104" i="10" s="1"/>
  <c r="J34" i="10" a="1"/>
  <c r="J34" i="10" s="1"/>
  <c r="J32" i="10" a="1"/>
  <c r="J32" i="10" s="1"/>
  <c r="I22" i="10" a="1"/>
  <c r="I22" i="10" s="1"/>
  <c r="J95" i="10" a="1"/>
  <c r="J95" i="10" s="1"/>
  <c r="K95" i="10" s="1"/>
  <c r="I105" i="10" a="1"/>
  <c r="I105" i="10" s="1"/>
  <c r="I96" i="10" a="1"/>
  <c r="I96" i="10" s="1"/>
  <c r="J109" i="10" a="1"/>
  <c r="J109" i="10" s="1"/>
  <c r="J100" i="10" a="1"/>
  <c r="J100" i="10" s="1"/>
  <c r="J30" i="10" a="1"/>
  <c r="J30" i="10" s="1"/>
  <c r="J28" i="10" a="1"/>
  <c r="J28" i="10" s="1"/>
  <c r="I26" i="10" a="1"/>
  <c r="I26" i="10" s="1"/>
  <c r="I101" i="10" a="1"/>
  <c r="I101" i="10" s="1"/>
  <c r="J110" i="10" a="1"/>
  <c r="J110" i="10" s="1"/>
  <c r="I92" i="10" a="1"/>
  <c r="I92" i="10" s="1"/>
  <c r="J105" i="10" a="1"/>
  <c r="J105" i="10" s="1"/>
  <c r="J96" i="10" a="1"/>
  <c r="J96" i="10" s="1"/>
  <c r="J26" i="10" a="1"/>
  <c r="J26" i="10" s="1"/>
  <c r="K26" i="10" s="1"/>
  <c r="J24" i="10" a="1"/>
  <c r="J24" i="10" s="1"/>
  <c r="I30" i="10" a="1"/>
  <c r="I30" i="10" s="1"/>
  <c r="I110" i="10" a="1"/>
  <c r="I110" i="10" s="1"/>
  <c r="I97" i="10" a="1"/>
  <c r="I97" i="10" s="1"/>
  <c r="J106" i="10" a="1"/>
  <c r="J106" i="10" s="1"/>
  <c r="J101" i="10" a="1"/>
  <c r="J101" i="10" s="1"/>
  <c r="J92" i="10" a="1"/>
  <c r="J92" i="10" s="1"/>
  <c r="J22" i="10" a="1"/>
  <c r="J22" i="10" s="1"/>
  <c r="K22" i="10" s="1"/>
  <c r="I34" i="10" a="1"/>
  <c r="I34" i="10" s="1"/>
  <c r="I24" i="10" a="1"/>
  <c r="I24" i="10" s="1"/>
  <c r="I29" i="10" a="1"/>
  <c r="I29" i="10" s="1"/>
  <c r="I106" i="10" a="1"/>
  <c r="I106" i="10" s="1"/>
  <c r="I93" i="10" a="1"/>
  <c r="I93" i="10" s="1"/>
  <c r="J102" i="10" a="1"/>
  <c r="J102" i="10" s="1"/>
  <c r="J97" i="10" a="1"/>
  <c r="J97" i="10" s="1"/>
  <c r="I111" i="10" a="1"/>
  <c r="I111" i="10" s="1"/>
  <c r="J35" i="10" a="1"/>
  <c r="J35" i="10" s="1"/>
  <c r="J33" i="10" a="1"/>
  <c r="J33" i="10" s="1"/>
  <c r="I33" i="10" a="1"/>
  <c r="I33" i="10" s="1"/>
  <c r="I31" i="10" a="1"/>
  <c r="I31" i="10" s="1"/>
  <c r="K31" i="10" s="1"/>
  <c r="N25" i="10" a="1"/>
  <c r="N25" i="10" s="1"/>
  <c r="W25" i="10" a="1"/>
  <c r="W25" i="10" s="1"/>
  <c r="N26" i="10" a="1"/>
  <c r="N26" i="10" s="1"/>
  <c r="W26" i="10" a="1"/>
  <c r="W26" i="10" s="1"/>
  <c r="I23" i="10" a="1"/>
  <c r="I23" i="10" s="1"/>
  <c r="K23" i="10" s="1"/>
  <c r="N27" i="10" a="1"/>
  <c r="N27" i="10" s="1"/>
  <c r="W27" i="10" a="1"/>
  <c r="W27" i="10" s="1"/>
  <c r="I27" i="10" a="1"/>
  <c r="I27" i="10" s="1"/>
  <c r="K27" i="10" s="1"/>
  <c r="O25" i="10" a="1"/>
  <c r="O25" i="10" s="1"/>
  <c r="V25" i="10" a="1"/>
  <c r="V25" i="10" s="1"/>
  <c r="V26" i="10" a="1"/>
  <c r="V26" i="10" s="1"/>
  <c r="I35" i="10" a="1"/>
  <c r="I35" i="10" s="1"/>
  <c r="K35" i="10" s="1"/>
  <c r="O26" i="10" a="1"/>
  <c r="O26" i="10" s="1"/>
  <c r="V27" i="10" a="1"/>
  <c r="V27" i="10" s="1"/>
  <c r="O27" i="10" a="1"/>
  <c r="O27" i="10" s="1"/>
  <c r="P27" i="10" s="1"/>
  <c r="I48" i="10" a="1"/>
  <c r="I48" i="10" s="1"/>
  <c r="I70" i="10" a="1"/>
  <c r="I70" i="10" s="1"/>
  <c r="J91" i="10" a="1"/>
  <c r="J91" i="10" s="1"/>
  <c r="J59" i="10" a="1"/>
  <c r="J59" i="10" s="1"/>
  <c r="I85" i="10" a="1"/>
  <c r="I85" i="10" s="1"/>
  <c r="I53" i="10" a="1"/>
  <c r="I53" i="10" s="1"/>
  <c r="J74" i="10" a="1"/>
  <c r="J74" i="10" s="1"/>
  <c r="I72" i="10" a="1"/>
  <c r="I72" i="10" s="1"/>
  <c r="J61" i="10" a="1"/>
  <c r="J61" i="10" s="1"/>
  <c r="I87" i="10" a="1"/>
  <c r="I87" i="10" s="1"/>
  <c r="I55" i="10" a="1"/>
  <c r="I55" i="10" s="1"/>
  <c r="J76" i="10" a="1"/>
  <c r="J76" i="10" s="1"/>
  <c r="J43" i="10" a="1"/>
  <c r="J43" i="10" s="1"/>
  <c r="I66" i="10" a="1"/>
  <c r="I66" i="10" s="1"/>
  <c r="J87" i="10" a="1"/>
  <c r="J87" i="10" s="1"/>
  <c r="J55" i="10" a="1"/>
  <c r="J55" i="10" s="1"/>
  <c r="I81" i="10" a="1"/>
  <c r="I81" i="10" s="1"/>
  <c r="I49" i="10" a="1"/>
  <c r="I49" i="10" s="1"/>
  <c r="J70" i="10" a="1"/>
  <c r="J70" i="10" s="1"/>
  <c r="I68" i="10" a="1"/>
  <c r="I68" i="10" s="1"/>
  <c r="J89" i="10" a="1"/>
  <c r="J89" i="10" s="1"/>
  <c r="J57" i="10" a="1"/>
  <c r="J57" i="10" s="1"/>
  <c r="I83" i="10" a="1"/>
  <c r="I83" i="10" s="1"/>
  <c r="I51" i="10" a="1"/>
  <c r="I51" i="10" s="1"/>
  <c r="J72" i="10" a="1"/>
  <c r="J72" i="10" s="1"/>
  <c r="J39" i="10" a="1"/>
  <c r="J39" i="10" s="1"/>
  <c r="I62" i="10" a="1"/>
  <c r="I62" i="10" s="1"/>
  <c r="J83" i="10" a="1"/>
  <c r="J83" i="10" s="1"/>
  <c r="K83" i="10" s="1"/>
  <c r="J51" i="10" a="1"/>
  <c r="J51" i="10" s="1"/>
  <c r="I77" i="10" a="1"/>
  <c r="I77" i="10" s="1"/>
  <c r="J66" i="10" a="1"/>
  <c r="J66" i="10" s="1"/>
  <c r="I64" i="10" a="1"/>
  <c r="I64" i="10" s="1"/>
  <c r="J85" i="10" a="1"/>
  <c r="J85" i="10" s="1"/>
  <c r="J53" i="10" a="1"/>
  <c r="J53" i="10" s="1"/>
  <c r="I79" i="10" a="1"/>
  <c r="I79" i="10" s="1"/>
  <c r="J68" i="10" a="1"/>
  <c r="J68" i="10" s="1"/>
  <c r="J44" i="10" a="1"/>
  <c r="J44" i="10" s="1"/>
  <c r="I41" i="10" a="1"/>
  <c r="I41" i="10" s="1"/>
  <c r="I38" i="10" a="1"/>
  <c r="I38" i="10" s="1"/>
  <c r="I90" i="10" a="1"/>
  <c r="I90" i="10" s="1"/>
  <c r="I58" i="10" a="1"/>
  <c r="I58" i="10" s="1"/>
  <c r="J79" i="10" a="1"/>
  <c r="J79" i="10" s="1"/>
  <c r="J47" i="10" a="1"/>
  <c r="J47" i="10" s="1"/>
  <c r="I73" i="10" a="1"/>
  <c r="I73" i="10" s="1"/>
  <c r="J62" i="10" a="1"/>
  <c r="J62" i="10" s="1"/>
  <c r="I60" i="10" a="1"/>
  <c r="I60" i="10" s="1"/>
  <c r="J81" i="10" a="1"/>
  <c r="J81" i="10" s="1"/>
  <c r="J49" i="10" a="1"/>
  <c r="J49" i="10" s="1"/>
  <c r="I75" i="10" a="1"/>
  <c r="I75" i="10" s="1"/>
  <c r="J64" i="10" a="1"/>
  <c r="J64" i="10" s="1"/>
  <c r="J40" i="10" a="1"/>
  <c r="J40" i="10" s="1"/>
  <c r="I42" i="10" a="1"/>
  <c r="I42" i="10" s="1"/>
  <c r="I86" i="10" a="1"/>
  <c r="I86" i="10" s="1"/>
  <c r="I54" i="10" a="1"/>
  <c r="I54" i="10" s="1"/>
  <c r="J75" i="10" a="1"/>
  <c r="J75" i="10" s="1"/>
  <c r="I69" i="10" a="1"/>
  <c r="I69" i="10" s="1"/>
  <c r="J90" i="10" a="1"/>
  <c r="J90" i="10" s="1"/>
  <c r="J58" i="10" a="1"/>
  <c r="J58" i="10" s="1"/>
  <c r="I88" i="10" a="1"/>
  <c r="I88" i="10" s="1"/>
  <c r="I56" i="10" a="1"/>
  <c r="I56" i="10" s="1"/>
  <c r="J77" i="10" a="1"/>
  <c r="J77" i="10" s="1"/>
  <c r="I71" i="10" a="1"/>
  <c r="I71" i="10" s="1"/>
  <c r="J60" i="10" a="1"/>
  <c r="J60" i="10" s="1"/>
  <c r="J45" i="10" a="1"/>
  <c r="J45" i="10" s="1"/>
  <c r="I46" i="10" a="1"/>
  <c r="I46" i="10" s="1"/>
  <c r="I39" i="10" a="1"/>
  <c r="I39" i="10" s="1"/>
  <c r="I82" i="10" a="1"/>
  <c r="I82" i="10" s="1"/>
  <c r="I50" i="10" a="1"/>
  <c r="I50" i="10" s="1"/>
  <c r="J71" i="10" a="1"/>
  <c r="J71" i="10" s="1"/>
  <c r="K71" i="10" s="1"/>
  <c r="I65" i="10" a="1"/>
  <c r="I65" i="10" s="1"/>
  <c r="J86" i="10" a="1"/>
  <c r="J86" i="10" s="1"/>
  <c r="J54" i="10" a="1"/>
  <c r="J54" i="10" s="1"/>
  <c r="I84" i="10" a="1"/>
  <c r="I84" i="10" s="1"/>
  <c r="I52" i="10" a="1"/>
  <c r="I52" i="10" s="1"/>
  <c r="J73" i="10" a="1"/>
  <c r="J73" i="10" s="1"/>
  <c r="I67" i="10" a="1"/>
  <c r="I67" i="10" s="1"/>
  <c r="J88" i="10" a="1"/>
  <c r="J88" i="10" s="1"/>
  <c r="J56" i="10" a="1"/>
  <c r="J56" i="10" s="1"/>
  <c r="J41" i="10" a="1"/>
  <c r="J41" i="10" s="1"/>
  <c r="I47" i="10" a="1"/>
  <c r="I47" i="10" s="1"/>
  <c r="I37" i="10" a="1"/>
  <c r="I37" i="10" s="1"/>
  <c r="I78" i="10" a="1"/>
  <c r="I78" i="10" s="1"/>
  <c r="J67" i="10" a="1"/>
  <c r="J67" i="10" s="1"/>
  <c r="I61" i="10" a="1"/>
  <c r="I61" i="10" s="1"/>
  <c r="J82" i="10" a="1"/>
  <c r="J82" i="10" s="1"/>
  <c r="J50" i="10" a="1"/>
  <c r="J50" i="10" s="1"/>
  <c r="I80" i="10" a="1"/>
  <c r="I80" i="10" s="1"/>
  <c r="J69" i="10" a="1"/>
  <c r="J69" i="10" s="1"/>
  <c r="I63" i="10" a="1"/>
  <c r="I63" i="10" s="1"/>
  <c r="J84" i="10" a="1"/>
  <c r="J84" i="10" s="1"/>
  <c r="J52" i="10" a="1"/>
  <c r="J52" i="10" s="1"/>
  <c r="J42" i="10" a="1"/>
  <c r="J42" i="10" s="1"/>
  <c r="K42" i="10" s="1"/>
  <c r="J37" i="10" a="1"/>
  <c r="J37" i="10" s="1"/>
  <c r="I40" i="10" a="1"/>
  <c r="I40" i="10" s="1"/>
  <c r="I44" i="10" a="1"/>
  <c r="I44" i="10" s="1"/>
  <c r="I45" i="10" a="1"/>
  <c r="I45" i="10" s="1"/>
  <c r="I74" i="10" a="1"/>
  <c r="I74" i="10" s="1"/>
  <c r="J63" i="10" a="1"/>
  <c r="J63" i="10" s="1"/>
  <c r="I89" i="10" a="1"/>
  <c r="I89" i="10" s="1"/>
  <c r="I57" i="10" a="1"/>
  <c r="I57" i="10" s="1"/>
  <c r="J78" i="10" a="1"/>
  <c r="J78" i="10" s="1"/>
  <c r="J46" i="10" a="1"/>
  <c r="J46" i="10" s="1"/>
  <c r="K46" i="10" s="1"/>
  <c r="I76" i="10" a="1"/>
  <c r="I76" i="10" s="1"/>
  <c r="J65" i="10" a="1"/>
  <c r="J65" i="10" s="1"/>
  <c r="I91" i="10" a="1"/>
  <c r="I91" i="10" s="1"/>
  <c r="I59" i="10" a="1"/>
  <c r="I59" i="10" s="1"/>
  <c r="J80" i="10" a="1"/>
  <c r="J80" i="10" s="1"/>
  <c r="J48" i="10" a="1"/>
  <c r="J48" i="10" s="1"/>
  <c r="J38" i="10" a="1"/>
  <c r="J38" i="10" s="1"/>
  <c r="K38" i="10" s="1"/>
  <c r="O20" i="10" a="1"/>
  <c r="O20" i="10" s="1"/>
  <c r="O21" i="10" a="1"/>
  <c r="O21" i="10" s="1"/>
  <c r="N17" i="10" a="1"/>
  <c r="N17" i="10" s="1"/>
  <c r="O23" i="10" a="1"/>
  <c r="O23" i="10" s="1"/>
  <c r="W23" i="10" a="1"/>
  <c r="W23" i="10" s="1"/>
  <c r="N24" i="10" a="1"/>
  <c r="N24" i="10" s="1"/>
  <c r="X25" i="10"/>
  <c r="X26" i="10"/>
  <c r="N22" i="10" a="1"/>
  <c r="N22" i="10" s="1"/>
  <c r="X27" i="10"/>
  <c r="O24" i="10" a="1"/>
  <c r="O24" i="10" s="1"/>
  <c r="W21" i="10" a="1"/>
  <c r="W21" i="10" s="1"/>
  <c r="W22" i="10" a="1"/>
  <c r="W22" i="10" s="1"/>
  <c r="W24" i="10" a="1"/>
  <c r="W24" i="10" s="1"/>
  <c r="V21" i="10" a="1"/>
  <c r="V21" i="10" s="1"/>
  <c r="N23" i="10" a="1"/>
  <c r="N23" i="10" s="1"/>
  <c r="N18" i="10" a="1"/>
  <c r="N18" i="10" s="1"/>
  <c r="N20" i="10" a="1"/>
  <c r="N20" i="10" s="1"/>
  <c r="W17" i="10" a="1"/>
  <c r="W17" i="10" s="1"/>
  <c r="V14" i="10" a="1"/>
  <c r="V14" i="10" s="1"/>
  <c r="V18" i="10" a="1"/>
  <c r="V18" i="10" s="1"/>
  <c r="V22" i="10" a="1"/>
  <c r="V22" i="10" s="1"/>
  <c r="K41" i="10"/>
  <c r="I43" i="10" a="1"/>
  <c r="I43" i="10" s="1"/>
  <c r="K43" i="10" s="1"/>
  <c r="N16" i="10" a="1"/>
  <c r="N16" i="10" s="1"/>
  <c r="O16" i="10" a="1"/>
  <c r="O16" i="10" s="1"/>
  <c r="O18" i="10" a="1"/>
  <c r="O18" i="10" s="1"/>
  <c r="W14" i="10" a="1"/>
  <c r="W14" i="10" s="1"/>
  <c r="W18" i="10" a="1"/>
  <c r="W18" i="10" s="1"/>
  <c r="V15" i="10" a="1"/>
  <c r="V15" i="10" s="1"/>
  <c r="V19" i="10" a="1"/>
  <c r="V19" i="10" s="1"/>
  <c r="V23" i="10" a="1"/>
  <c r="V23" i="10" s="1"/>
  <c r="O19" i="10" a="1"/>
  <c r="O19" i="10" s="1"/>
  <c r="O22" i="10" a="1"/>
  <c r="O22" i="10" s="1"/>
  <c r="N19" i="10" a="1"/>
  <c r="N19" i="10" s="1"/>
  <c r="N21" i="10" a="1"/>
  <c r="N21" i="10" s="1"/>
  <c r="W15" i="10" a="1"/>
  <c r="W15" i="10" s="1"/>
  <c r="W19" i="10" a="1"/>
  <c r="W19" i="10" s="1"/>
  <c r="V16" i="10" a="1"/>
  <c r="V16" i="10" s="1"/>
  <c r="V24" i="10" a="1"/>
  <c r="V24" i="10" s="1"/>
  <c r="O17" i="10" a="1"/>
  <c r="O17" i="10" s="1"/>
  <c r="I25" i="10" a="1"/>
  <c r="I25" i="10" s="1"/>
  <c r="K25" i="10" s="1"/>
  <c r="W16" i="10" a="1"/>
  <c r="W16" i="10" s="1"/>
  <c r="V20" i="10" a="1"/>
  <c r="V20" i="10" s="1"/>
  <c r="X20" i="10" s="1"/>
  <c r="V17" i="10" a="1"/>
  <c r="V17" i="10" s="1"/>
  <c r="Y23" i="8" a="1"/>
  <c r="Y23" i="8" s="1"/>
  <c r="Z23" i="8" s="1"/>
  <c r="J11" i="10" a="1"/>
  <c r="J11" i="10" s="1"/>
  <c r="J14" i="10" a="1"/>
  <c r="J14" i="10" s="1"/>
  <c r="J21" i="10" a="1"/>
  <c r="J21" i="10" s="1"/>
  <c r="I18" i="10" a="1"/>
  <c r="I18" i="10" s="1"/>
  <c r="G7" i="10"/>
  <c r="J10" i="10" a="1"/>
  <c r="J10" i="10" s="1"/>
  <c r="J17" i="10" a="1"/>
  <c r="J17" i="10" s="1"/>
  <c r="I9" i="10" a="1"/>
  <c r="I9" i="10" s="1"/>
  <c r="I13" i="10" a="1"/>
  <c r="I13" i="10" s="1"/>
  <c r="J13" i="10" a="1"/>
  <c r="J13" i="10" s="1"/>
  <c r="J20" i="10" a="1"/>
  <c r="J20" i="10" s="1"/>
  <c r="I8" i="10" a="1"/>
  <c r="I8" i="10" s="1"/>
  <c r="I17" i="10" a="1"/>
  <c r="I17" i="10" s="1"/>
  <c r="J9" i="10" a="1"/>
  <c r="J9" i="10" s="1"/>
  <c r="J16" i="10" a="1"/>
  <c r="J16" i="10" s="1"/>
  <c r="I11" i="10" a="1"/>
  <c r="I11" i="10" s="1"/>
  <c r="I12" i="10" a="1"/>
  <c r="I12" i="10" s="1"/>
  <c r="I21" i="10" a="1"/>
  <c r="I21" i="10" s="1"/>
  <c r="K21" i="10" s="1"/>
  <c r="J12" i="10" a="1"/>
  <c r="J12" i="10" s="1"/>
  <c r="I15" i="10" a="1"/>
  <c r="I15" i="10" s="1"/>
  <c r="J8" i="10" a="1"/>
  <c r="J8" i="10" s="1"/>
  <c r="I19" i="10" a="1"/>
  <c r="I19" i="10" s="1"/>
  <c r="J19" i="10" a="1"/>
  <c r="J19" i="10" s="1"/>
  <c r="I10" i="10" a="1"/>
  <c r="I10" i="10" s="1"/>
  <c r="K10" i="10" s="1"/>
  <c r="I16" i="10" a="1"/>
  <c r="I16" i="10" s="1"/>
  <c r="I20" i="10" a="1"/>
  <c r="I20" i="10" s="1"/>
  <c r="K20" i="10" s="1"/>
  <c r="J15" i="10" a="1"/>
  <c r="J15" i="10" s="1"/>
  <c r="J18" i="10" a="1"/>
  <c r="J18" i="10" s="1"/>
  <c r="K18" i="10" s="1"/>
  <c r="K145" i="10"/>
  <c r="K14" i="10"/>
  <c r="X14" i="10"/>
  <c r="K33" i="10"/>
  <c r="P22" i="10"/>
  <c r="Q5" i="13"/>
  <c r="W13" i="10" a="1"/>
  <c r="W13" i="10" s="1"/>
  <c r="V12" i="10" a="1"/>
  <c r="V12" i="10" s="1"/>
  <c r="V13" i="10" a="1"/>
  <c r="V13" i="10" s="1"/>
  <c r="V8" i="10" a="1"/>
  <c r="V8" i="10" s="1"/>
  <c r="V9" i="10" a="1"/>
  <c r="V9" i="10" s="1"/>
  <c r="V10" i="10" a="1"/>
  <c r="V10" i="10" s="1"/>
  <c r="V11" i="10" a="1"/>
  <c r="V11" i="10" s="1"/>
  <c r="P21" i="10"/>
  <c r="W12" i="10" a="1"/>
  <c r="W12" i="10" s="1"/>
  <c r="W8" i="10" a="1"/>
  <c r="W8" i="10" s="1"/>
  <c r="W9" i="10" a="1"/>
  <c r="W9" i="10" s="1"/>
  <c r="W10" i="10" a="1"/>
  <c r="W10" i="10" s="1"/>
  <c r="W11" i="10" a="1"/>
  <c r="W11" i="10" s="1"/>
  <c r="P16" i="10"/>
  <c r="P18" i="10"/>
  <c r="P26" i="10"/>
  <c r="P23" i="10"/>
  <c r="P25" i="10"/>
  <c r="S5" i="12"/>
  <c r="K147" i="10"/>
  <c r="M7" i="10"/>
  <c r="O11" i="10" a="1"/>
  <c r="O11" i="10" s="1"/>
  <c r="N9" i="10" a="1"/>
  <c r="N9" i="10" s="1"/>
  <c r="O12" i="10" a="1"/>
  <c r="O12" i="10" s="1"/>
  <c r="O13" i="10" a="1"/>
  <c r="O13" i="10" s="1"/>
  <c r="N11" i="10" a="1"/>
  <c r="N11" i="10" s="1"/>
  <c r="O14" i="10" a="1"/>
  <c r="O14" i="10" s="1"/>
  <c r="N12" i="10" a="1"/>
  <c r="N12" i="10" s="1"/>
  <c r="N10" i="10" a="1"/>
  <c r="N10" i="10" s="1"/>
  <c r="O15" i="10" a="1"/>
  <c r="O15" i="10" s="1"/>
  <c r="N13" i="10" a="1"/>
  <c r="N13" i="10" s="1"/>
  <c r="N14" i="10" a="1"/>
  <c r="N14" i="10" s="1"/>
  <c r="O8" i="10" a="1"/>
  <c r="O8" i="10" s="1"/>
  <c r="O9" i="10" a="1"/>
  <c r="O9" i="10" s="1"/>
  <c r="N15" i="10" a="1"/>
  <c r="N15" i="10" s="1"/>
  <c r="N8" i="10" a="1"/>
  <c r="N8" i="10" s="1"/>
  <c r="O10" i="10" a="1"/>
  <c r="O10" i="10" s="1"/>
  <c r="R7" i="10"/>
  <c r="K110" i="10"/>
  <c r="K78" i="10"/>
  <c r="K97" i="10"/>
  <c r="K65" i="10"/>
  <c r="K112" i="10"/>
  <c r="K80" i="10"/>
  <c r="K48" i="10"/>
  <c r="K32" i="10"/>
  <c r="K162" i="10"/>
  <c r="K173" i="10"/>
  <c r="K123" i="10"/>
  <c r="K106" i="10"/>
  <c r="K74" i="10"/>
  <c r="K125" i="10"/>
  <c r="K93" i="10"/>
  <c r="K61" i="10"/>
  <c r="K108" i="10"/>
  <c r="K76" i="10"/>
  <c r="K28" i="10"/>
  <c r="K153" i="10"/>
  <c r="K170" i="10"/>
  <c r="K155" i="10"/>
  <c r="K102" i="10"/>
  <c r="K70" i="10"/>
  <c r="K121" i="10"/>
  <c r="K89" i="10"/>
  <c r="K57" i="10"/>
  <c r="K104" i="10"/>
  <c r="K72" i="10"/>
  <c r="K17" i="10"/>
  <c r="K24" i="10"/>
  <c r="K161" i="10"/>
  <c r="K163" i="10"/>
  <c r="K140" i="10"/>
  <c r="K130" i="10"/>
  <c r="K98" i="10"/>
  <c r="K66" i="10"/>
  <c r="K117" i="10"/>
  <c r="K85" i="10"/>
  <c r="K53" i="10"/>
  <c r="K132" i="10"/>
  <c r="K100" i="10"/>
  <c r="K68" i="10"/>
  <c r="K45" i="10"/>
  <c r="K13" i="10"/>
  <c r="K169" i="10"/>
  <c r="K171" i="10"/>
  <c r="K148" i="10"/>
  <c r="K94" i="10"/>
  <c r="K62" i="10"/>
  <c r="K113" i="10"/>
  <c r="K81" i="10"/>
  <c r="K49" i="10"/>
  <c r="K128" i="10"/>
  <c r="K96" i="10"/>
  <c r="K64" i="10"/>
  <c r="K156" i="10"/>
  <c r="K141" i="10"/>
  <c r="K122" i="10"/>
  <c r="K90" i="10"/>
  <c r="K58" i="10"/>
  <c r="K109" i="10"/>
  <c r="K77" i="10"/>
  <c r="K124" i="10"/>
  <c r="K92" i="10"/>
  <c r="K60" i="10"/>
  <c r="K37" i="10"/>
  <c r="K44" i="10"/>
  <c r="K12" i="10"/>
  <c r="K138" i="10"/>
  <c r="K164" i="10"/>
  <c r="K149" i="10"/>
  <c r="K118" i="10"/>
  <c r="K86" i="10"/>
  <c r="K54" i="10"/>
  <c r="K105" i="10"/>
  <c r="K73" i="10"/>
  <c r="K120" i="10"/>
  <c r="K88" i="10"/>
  <c r="K56" i="10"/>
  <c r="K40" i="10"/>
  <c r="K146" i="10"/>
  <c r="K172" i="10"/>
  <c r="K157" i="10"/>
  <c r="K114" i="10"/>
  <c r="K82" i="10"/>
  <c r="K50" i="10"/>
  <c r="K101" i="10"/>
  <c r="K69" i="10"/>
  <c r="K116" i="10"/>
  <c r="K84" i="10"/>
  <c r="K52" i="10"/>
  <c r="K29" i="10"/>
  <c r="K36" i="10"/>
  <c r="J7" i="10" a="1"/>
  <c r="J7" i="10" s="1"/>
  <c r="I7" i="10" a="1"/>
  <c r="I7" i="10" s="1"/>
  <c r="K154" i="10"/>
  <c r="K139" i="10"/>
  <c r="K165" i="10"/>
  <c r="H4" i="2" a="1"/>
  <c r="H4" i="2" s="1"/>
  <c r="H4" i="6" a="1"/>
  <c r="H4" i="6" s="1"/>
  <c r="D14" i="8" s="1"/>
  <c r="H4" i="3" a="1"/>
  <c r="H4" i="3" s="1"/>
  <c r="D12" i="8" s="1"/>
  <c r="C11" i="8"/>
  <c r="K30" i="10" l="1"/>
  <c r="K34" i="10"/>
  <c r="K111" i="10"/>
  <c r="P24" i="10"/>
  <c r="P20" i="10"/>
  <c r="P17" i="10"/>
  <c r="X23" i="10"/>
  <c r="X21" i="10"/>
  <c r="K8" i="10"/>
  <c r="K16" i="10"/>
  <c r="X15" i="10"/>
  <c r="X19" i="10"/>
  <c r="K67" i="10"/>
  <c r="P10" i="10"/>
  <c r="K75" i="10"/>
  <c r="K87" i="10"/>
  <c r="X22" i="10"/>
  <c r="K51" i="10"/>
  <c r="K63" i="10"/>
  <c r="K79" i="10"/>
  <c r="K15" i="10"/>
  <c r="K55" i="10"/>
  <c r="K59" i="10"/>
  <c r="X18" i="10"/>
  <c r="K47" i="10"/>
  <c r="K91" i="10"/>
  <c r="K39" i="10"/>
  <c r="P19" i="10"/>
  <c r="X17" i="10"/>
  <c r="X16" i="10"/>
  <c r="X24" i="10"/>
  <c r="K9" i="10"/>
  <c r="X12" i="10"/>
  <c r="K19" i="10"/>
  <c r="X8" i="10"/>
  <c r="K11" i="10"/>
  <c r="X11" i="10"/>
  <c r="X10" i="10"/>
  <c r="X9" i="10"/>
  <c r="S10" i="10" a="1"/>
  <c r="S10" i="10" s="1"/>
  <c r="X13" i="10"/>
  <c r="Q6" i="13"/>
  <c r="W7" i="10" a="1"/>
  <c r="W7" i="10" s="1"/>
  <c r="V7" i="10" a="1"/>
  <c r="V7" i="10" s="1"/>
  <c r="P9" i="10"/>
  <c r="S8" i="10" a="1"/>
  <c r="S8" i="10" s="1"/>
  <c r="S12" i="10" a="1"/>
  <c r="S12" i="10" s="1"/>
  <c r="S14" i="10" a="1"/>
  <c r="S14" i="10" s="1"/>
  <c r="S13" i="10" a="1"/>
  <c r="S13" i="10" s="1"/>
  <c r="S9" i="10" a="1"/>
  <c r="S9" i="10" s="1"/>
  <c r="S27" i="10" a="1"/>
  <c r="S27" i="10" s="1"/>
  <c r="P8" i="10"/>
  <c r="P12" i="10"/>
  <c r="S26" i="10" a="1"/>
  <c r="S26" i="10" s="1"/>
  <c r="S17" i="10" a="1"/>
  <c r="S17" i="10" s="1"/>
  <c r="S19" i="10" a="1"/>
  <c r="S19" i="10" s="1"/>
  <c r="S25" i="10" a="1"/>
  <c r="S25" i="10" s="1"/>
  <c r="S11" i="10" a="1"/>
  <c r="S11" i="10" s="1"/>
  <c r="S21" i="10" a="1"/>
  <c r="S21" i="10" s="1"/>
  <c r="S24" i="10" a="1"/>
  <c r="S24" i="10" s="1"/>
  <c r="S20" i="10" a="1"/>
  <c r="S20" i="10" s="1"/>
  <c r="S16" i="10" a="1"/>
  <c r="S16" i="10" s="1"/>
  <c r="P13" i="10"/>
  <c r="S23" i="10" a="1"/>
  <c r="S23" i="10" s="1"/>
  <c r="S15" i="10" a="1"/>
  <c r="S15" i="10" s="1"/>
  <c r="S22" i="10" a="1"/>
  <c r="S22" i="10" s="1"/>
  <c r="P15" i="10"/>
  <c r="P11" i="10"/>
  <c r="S18" i="10" a="1"/>
  <c r="S18" i="10" s="1"/>
  <c r="P14" i="10"/>
  <c r="D11" i="8"/>
  <c r="S23" i="8" s="1"/>
  <c r="S6" i="12"/>
  <c r="O7" i="10" a="1"/>
  <c r="O7" i="10" s="1"/>
  <c r="L23" i="8" a="1"/>
  <c r="L23" i="8" s="1"/>
  <c r="N7" i="10" a="1"/>
  <c r="N7" i="10" s="1"/>
  <c r="B23" i="8" a="1"/>
  <c r="K7" i="10"/>
  <c r="K4" i="10" s="1" a="1"/>
  <c r="K4" i="10" s="1"/>
  <c r="X7" i="10" l="1"/>
  <c r="X4" i="10" s="1" a="1"/>
  <c r="X4" i="10" s="1"/>
  <c r="S7" i="12" s="1"/>
  <c r="D27" i="8"/>
  <c r="D35" i="8"/>
  <c r="D43" i="8"/>
  <c r="D28" i="8"/>
  <c r="D36" i="8"/>
  <c r="D44" i="8"/>
  <c r="D29" i="8"/>
  <c r="D37" i="8"/>
  <c r="D45" i="8"/>
  <c r="D30" i="8"/>
  <c r="D38" i="8"/>
  <c r="D46" i="8"/>
  <c r="D31" i="8"/>
  <c r="D39" i="8"/>
  <c r="D24" i="8"/>
  <c r="D32" i="8"/>
  <c r="D40" i="8"/>
  <c r="D25" i="8"/>
  <c r="D33" i="8"/>
  <c r="D41" i="8"/>
  <c r="D26" i="8"/>
  <c r="D34" i="8"/>
  <c r="D42" i="8"/>
  <c r="S7" i="10" a="1"/>
  <c r="S7" i="10" s="1"/>
  <c r="S4" i="10" s="1" a="1"/>
  <c r="S4" i="10" s="1"/>
  <c r="P7" i="10"/>
  <c r="M23" i="8" s="1" a="1"/>
  <c r="M23" i="8" s="1"/>
  <c r="B23" i="8"/>
  <c r="C25" i="8"/>
  <c r="C33" i="8"/>
  <c r="C41" i="8"/>
  <c r="C26" i="8"/>
  <c r="C34" i="8"/>
  <c r="C42" i="8"/>
  <c r="C27" i="8"/>
  <c r="C35" i="8"/>
  <c r="C43" i="8"/>
  <c r="C28" i="8"/>
  <c r="C36" i="8"/>
  <c r="C44" i="8"/>
  <c r="C29" i="8"/>
  <c r="C37" i="8"/>
  <c r="C45" i="8"/>
  <c r="C30" i="8"/>
  <c r="C38" i="8"/>
  <c r="C46" i="8"/>
  <c r="C31" i="8"/>
  <c r="C39" i="8"/>
  <c r="C24" i="8"/>
  <c r="C32" i="8"/>
  <c r="C40" i="8"/>
  <c r="F25" i="8" l="1"/>
  <c r="G25" i="8" s="1"/>
  <c r="P4" i="10" a="1"/>
  <c r="P4" i="10" s="1"/>
  <c r="P23" i="8" s="1"/>
  <c r="D23" i="8"/>
  <c r="J24" i="8" s="1" a="1"/>
  <c r="J24" i="8" s="1"/>
  <c r="Q7" i="13"/>
  <c r="F34" i="8"/>
  <c r="G34" i="8" s="1"/>
  <c r="F32" i="8"/>
  <c r="G32" i="8" s="1"/>
  <c r="F38" i="8"/>
  <c r="G38" i="8" s="1"/>
  <c r="F40" i="8"/>
  <c r="G40" i="8" s="1"/>
  <c r="F27" i="8"/>
  <c r="G27" i="8" s="1"/>
  <c r="F45" i="8"/>
  <c r="G45" i="8" s="1"/>
  <c r="F37" i="8"/>
  <c r="G37" i="8" s="1"/>
  <c r="F44" i="8"/>
  <c r="G44" i="8" s="1"/>
  <c r="F28" i="8"/>
  <c r="G28" i="8" s="1"/>
  <c r="F33" i="8"/>
  <c r="G33" i="8" s="1"/>
  <c r="F42" i="8"/>
  <c r="G42" i="8" s="1"/>
  <c r="F31" i="8"/>
  <c r="G31" i="8" s="1"/>
  <c r="F41" i="8"/>
  <c r="G41" i="8" s="1"/>
  <c r="F35" i="8"/>
  <c r="G35" i="8" s="1"/>
  <c r="F36" i="8"/>
  <c r="G36" i="8" s="1"/>
  <c r="F46" i="8"/>
  <c r="G46" i="8" s="1"/>
  <c r="F24" i="8"/>
  <c r="G24" i="8" s="1"/>
  <c r="F29" i="8"/>
  <c r="G29" i="8" s="1"/>
  <c r="F39" i="8"/>
  <c r="G39" i="8" s="1"/>
  <c r="F43" i="8"/>
  <c r="G43" i="8" s="1"/>
  <c r="F30" i="8"/>
  <c r="G30" i="8" s="1"/>
  <c r="F26" i="8"/>
  <c r="G26" i="8" s="1"/>
  <c r="C23" i="8"/>
  <c r="J23" i="8" s="1" a="1"/>
  <c r="J23" i="8" s="1"/>
  <c r="F23" i="8" l="1"/>
  <c r="G23" i="8" l="1"/>
  <c r="J25" i="8" a="1"/>
  <c r="J25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853DF-B452-4238-8674-6F94F44580DF}" keepAlive="1" name="Query - smia-cedri-industrial-robot-metrics" description="Connection to the 'smia-cedri-industrial-robot-metrics' query in the workbook." type="5" refreshedVersion="8" background="1" saveData="1">
    <dbPr connection="Provider=Microsoft.Mashup.OleDb.1;Data Source=$Workbook$;Location=smia-cedri-industrial-robot-metrics;Extended Properties=&quot;&quot;" command="SELECT * FROM [smia-cedri-industrial-robot-metrics]"/>
  </connection>
  <connection id="2" xr16:uid="{ACAC34DE-0F19-4438-AF65-7FC74B9DFD1A}" keepAlive="1" name="Query - smia-hi-operator-metrics" description="Connection to the 'smia-hi-operator-metrics' query in the workbook." type="5" refreshedVersion="8" background="1" saveData="1">
    <dbPr connection="Provider=Microsoft.Mashup.OleDb.1;Data Source=$Workbook$;Location=smia-hi-operator-metrics;Extended Properties=&quot;&quot;" command="SELECT * FROM [smia-hi-operator-metrics]"/>
  </connection>
  <connection id="3" xr16:uid="{B8487619-D64B-4214-93C4-53BECCC4FF2A}" keepAlive="1" name="Query - smia-indexedline-a-metrics" description="Connection to the 'smia-indexedline-a-metrics' query in the workbook." type="5" refreshedVersion="8" background="1" saveData="1">
    <dbPr connection="Provider=Microsoft.Mashup.OleDb.1;Data Source=$Workbook$;Location=smia-indexedline-a-metrics;Extended Properties=&quot;&quot;" command="SELECT * FROM [smia-indexedline-a-metrics]"/>
  </connection>
  <connection id="4" xr16:uid="{A65CBC9B-A9A0-4B69-8833-1C2F72FE3543}" keepAlive="1" name="Query - smia-indexedline-b-metrics" description="Connection to the 'smia-indexedline-b-metrics' query in the workbook." type="5" refreshedVersion="8" background="1" saveData="1">
    <dbPr connection="Provider=Microsoft.Mashup.OleDb.1;Data Source=$Workbook$;Location=smia-indexedline-b-metrics;Extended Properties=&quot;&quot;" command="SELECT * FROM [smia-indexedline-b-metrics]"/>
  </connection>
  <connection id="5" xr16:uid="{854CAF13-EF84-4915-AE80-E0A6055ACBC2}" keepAlive="1" name="Query - smia-ism-metrics" description="Connection to the 'smia-ism-metrics' query in the workbook." type="5" refreshedVersion="8" background="1" saveData="1">
    <dbPr connection="Provider=Microsoft.Mashup.OleDb.1;Data Source=$Workbook$;Location=smia-ism-metrics;Extended Properties=&quot;&quot;" command="SELECT * FROM [smia-ism-metrics]"/>
  </connection>
  <connection id="6" xr16:uid="{D750774C-051D-4E90-9468-D57957B0E5FF}" keepAlive="1" name="Query - smia-pe-metrics" description="Connection to the 'smia-pe-metrics' query in the workbook." type="5" refreshedVersion="8" background="1" saveData="1">
    <dbPr connection="Provider=Microsoft.Mashup.OleDb.1;Data Source=$Workbook$;Location=smia-pe-metrics;Extended Properties=&quot;&quot;" command="SELECT * FROM [smia-pe-metrics]"/>
  </connection>
  <connection id="7" xr16:uid="{25836CFC-7F11-41FC-A17D-B1385F812316}" keepAlive="1" name="Query - smia-punchingmachine-a-metrics" description="Connection to the 'smia-punchingmachine-a-metrics' query in the workbook." type="5" refreshedVersion="8" background="1" saveData="1">
    <dbPr connection="Provider=Microsoft.Mashup.OleDb.1;Data Source=$Workbook$;Location=smia-punchingmachine-a-metrics;Extended Properties=&quot;&quot;" command="SELECT * FROM [smia-punchingmachine-a-metrics]"/>
  </connection>
  <connection id="8" xr16:uid="{6128D029-2F47-4C6A-8FC4-EF25E27C37B3}" keepAlive="1" name="Query - smia-punchingmachine-b-metrics" description="Connection to the 'smia-punchingmachine-b-metrics' query in the workbook." type="5" refreshedVersion="8" background="1" saveData="1">
    <dbPr connection="Provider=Microsoft.Mashup.OleDb.1;Data Source=$Workbook$;Location=smia-punchingmachine-b-metrics;Extended Properties=&quot;&quot;" command="SELECT * FROM [smia-punchingmachine-b-metric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<sst xmlns="http://schemas.openxmlformats.org/spreadsheetml/2006/main" count="311" uniqueCount="125">
  <si>
    <t>INDUSTRIAL ROBOT METRICS</t>
  </si>
  <si>
    <t>INDEXED LINE A METRICS</t>
  </si>
  <si>
    <t>INDEXED LINE B METRICS</t>
  </si>
  <si>
    <t>PUNCHING MACHINE A METRICS</t>
  </si>
  <si>
    <t>PUNCHING MACHINE B METRICS</t>
  </si>
  <si>
    <t>AgentID</t>
  </si>
  <si>
    <t>Timestamp</t>
  </si>
  <si>
    <t>Description</t>
  </si>
  <si>
    <t>smia-cedri-industrial-robot</t>
  </si>
  <si>
    <t>SMIA started</t>
  </si>
  <si>
    <t>SMIA self-configuration completed</t>
  </si>
  <si>
    <t>ISM METRICS</t>
  </si>
  <si>
    <t>smia-indexedline-a</t>
  </si>
  <si>
    <t>smia-indexedline-b</t>
  </si>
  <si>
    <t>smia-punchingmachine-a</t>
  </si>
  <si>
    <t>smia-punchingmachine-b</t>
  </si>
  <si>
    <t>smia-ism</t>
  </si>
  <si>
    <t>smia-indexedline-a registered</t>
  </si>
  <si>
    <t>smia-cedri-industrial-robot registered</t>
  </si>
  <si>
    <t>smia-hi-operator registered</t>
  </si>
  <si>
    <t>smia-punchingmachine-a registered</t>
  </si>
  <si>
    <t>smia-pe registered</t>
  </si>
  <si>
    <t>smia-indexedline-b registered</t>
  </si>
  <si>
    <t>smia-punchingmachine-b registered</t>
  </si>
  <si>
    <t>Self-configuration times</t>
  </si>
  <si>
    <t>SMIA instance</t>
  </si>
  <si>
    <t>Result</t>
  </si>
  <si>
    <t>ElapsedTime</t>
  </si>
  <si>
    <t>Start</t>
  </si>
  <si>
    <t>Finish</t>
  </si>
  <si>
    <t>Registration times</t>
  </si>
  <si>
    <t>smia-hi-operator</t>
  </si>
  <si>
    <t>Average time</t>
  </si>
  <si>
    <t>Average self-configuration time</t>
  </si>
  <si>
    <t>Average registration time</t>
  </si>
  <si>
    <t>Statistic</t>
  </si>
  <si>
    <t>Start-up statistics</t>
  </si>
  <si>
    <t>Self-configuration</t>
  </si>
  <si>
    <t>Registration</t>
  </si>
  <si>
    <t>OPERATOR METRICS</t>
  </si>
  <si>
    <t>IR</t>
  </si>
  <si>
    <t>ILA</t>
  </si>
  <si>
    <t>ILB</t>
  </si>
  <si>
    <t>PMA</t>
  </si>
  <si>
    <t>PMB</t>
  </si>
  <si>
    <t>Operator</t>
  </si>
  <si>
    <t>SMIA PE METRICS</t>
  </si>
  <si>
    <t>smia-pe</t>
  </si>
  <si>
    <t>SMIA PE workflow [wf-0] started</t>
  </si>
  <si>
    <t>Workflow tasks times</t>
  </si>
  <si>
    <t>Workflows global times</t>
  </si>
  <si>
    <t>Workflow</t>
  </si>
  <si>
    <t>SMIA PE workflow [wf-0] completed</t>
  </si>
  <si>
    <t>Task</t>
  </si>
  <si>
    <t>Thread</t>
  </si>
  <si>
    <t>Average execution time</t>
  </si>
  <si>
    <t>Average interaction time</t>
  </si>
  <si>
    <t>Request</t>
  </si>
  <si>
    <t>Reply</t>
  </si>
  <si>
    <t>Workflows interaction times</t>
  </si>
  <si>
    <t>InteractionTime</t>
  </si>
  <si>
    <t>Started</t>
  </si>
  <si>
    <t>Completed</t>
  </si>
  <si>
    <t>OEE statistics</t>
  </si>
  <si>
    <t>PlannedTotalTime</t>
  </si>
  <si>
    <t>Availability</t>
  </si>
  <si>
    <t>Performance</t>
  </si>
  <si>
    <t>Quality</t>
  </si>
  <si>
    <t>OEE</t>
  </si>
  <si>
    <t>OEE (%)</t>
  </si>
  <si>
    <t>Products</t>
  </si>
  <si>
    <t>Individual start-up statistics</t>
  </si>
  <si>
    <t>MLT</t>
  </si>
  <si>
    <t>MLT statistics</t>
  </si>
  <si>
    <t>Average MLT</t>
  </si>
  <si>
    <t>Total MLT</t>
  </si>
  <si>
    <t>TotalTime</t>
  </si>
  <si>
    <t>SMIA PE workflow [wf-0] analyzed</t>
  </si>
  <si>
    <t>Average OEE</t>
  </si>
  <si>
    <t>Average A</t>
  </si>
  <si>
    <t>Average P</t>
  </si>
  <si>
    <t>TODO</t>
  </si>
  <si>
    <t>ESTO ES UNA PRUEBA EN SIMULACION, HAY QUE RECOGER TIEMPOS DEL DEMOSTRADOR</t>
  </si>
  <si>
    <t>Workflows analysis times</t>
  </si>
  <si>
    <t>SMIA PE workflow [wf-0] analysis started</t>
  </si>
  <si>
    <t>Average workflow analysis time</t>
  </si>
  <si>
    <t>A (%)</t>
  </si>
  <si>
    <t>P (%)</t>
  </si>
  <si>
    <t>PREGUNTAR POR TIEMPO IDEAL</t>
  </si>
  <si>
    <t>Escenario manual</t>
  </si>
  <si>
    <t>Escenario A</t>
  </si>
  <si>
    <t>Escenario B</t>
  </si>
  <si>
    <t>ESTE SERIA UNA COMPARACION SOLO DEL OEE EN DIFERENTES ESCENARIOS</t>
  </si>
  <si>
    <t>(ya que una grafica con todos los componentes del OEE quedaria muy grande)</t>
  </si>
  <si>
    <t>ESTE SERIA UNA COMPARACION CON LOS DIFERENTES ESCENARIOS</t>
  </si>
  <si>
    <t>(seria interesante si se aprecia alguna diferencia entre escenarios)</t>
  </si>
  <si>
    <t>Si no se consigue arreglar el demostrador fisicamente, todo se tendrá que hacer con lo que funciona (PB e ILA): en escenario A añadir que en la negociación tenga mas valor, en B determinar que solo estos cumplen las constraints y en el manual especificarlos con los activos</t>
  </si>
  <si>
    <t>Lo mismo en el escenario B con el robot de transporte (tendria que ganar siempre)</t>
  </si>
  <si>
    <t/>
  </si>
  <si>
    <t>TTO statistics</t>
  </si>
  <si>
    <t>Average TTO</t>
  </si>
  <si>
    <t>El TTO es el tiempo de registro en SMIA ISM</t>
  </si>
  <si>
    <t>TTDE statistics</t>
  </si>
  <si>
    <t>EventTime</t>
  </si>
  <si>
    <t>DetectTime</t>
  </si>
  <si>
    <t>Asset service requested [smia-pe-p4vkc]</t>
  </si>
  <si>
    <t>Asset service completed [smia-pe-p4vkc]</t>
  </si>
  <si>
    <t>Asset service requested [smia-pe-vhd32]</t>
  </si>
  <si>
    <t>Asset service completed [smia-pe-vhd32]</t>
  </si>
  <si>
    <t>Asset service requested [smia-pe-6prh8]</t>
  </si>
  <si>
    <t>Asset service completed [smia-pe-6prh8]</t>
  </si>
  <si>
    <t>Asset service requested [smia-pe-or2t1]</t>
  </si>
  <si>
    <t>Asset service completed [smia-pe-or2t1]</t>
  </si>
  <si>
    <t>Asset service requested [smia-pe-mmlad]</t>
  </si>
  <si>
    <t>Asset service completed [smia-pe-mmlad]</t>
  </si>
  <si>
    <t>CSS-service request to smia-cedri-industrial-robot@ejabberd with thread [smia-pe-p4vkc] within workflow [wf-0]</t>
  </si>
  <si>
    <t>CSS-service reply from smia-cedri-industrial-robot@ejabberd with thread [smia-pe-p4vkc] within workflow [wf-0]</t>
  </si>
  <si>
    <t>CSS-service request to smia-punchingmachine-b@ejabberd with thread [smia-pe-mmlad] within workflow [wf-0]</t>
  </si>
  <si>
    <t>CSS-service reply from smia-punchingmachine-b@ejabberd with thread [smia-pe-mmlad] within workflow [wf-0]</t>
  </si>
  <si>
    <t>CSS-service request to smia-cedri-industrial-robot@ejabberd with thread [smia-pe-vhd32] within workflow [wf-0]</t>
  </si>
  <si>
    <t>CSS-service reply from smia-cedri-industrial-robot@ejabberd with thread [smia-pe-vhd32] within workflow [wf-0]</t>
  </si>
  <si>
    <t>CSS-service request to smia-indexedline-b@ejabberd with thread [smia-pe-or2t1] within workflow [wf-0]</t>
  </si>
  <si>
    <t>CSS-service reply from smia-indexedline-b@ejabberd with thread [smia-pe-or2t1] within workflow [wf-0]</t>
  </si>
  <si>
    <t>CSS-service request to smia-cedri-industrial-robot@ejabberd with thread [smia-pe-6prh8] within workflow [wf-0]</t>
  </si>
  <si>
    <t>CSS-service reply from smia-cedri-industrial-robot@ejabberd with thread [smia-pe-6prh8] within workflow [wf-0]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</si>
</sst>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4"/>
      <color rgb="FF0061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3" borderId="5" applyNumberFormat="0" applyAlignment="0" applyProtection="0"/>
    <xf numFmtId="0" fontId="8" fillId="3" borderId="4" applyNumberFormat="0" applyAlignment="0" applyProtection="0"/>
    <xf numFmtId="0" fontId="12" fillId="4" borderId="4" applyNumberFormat="0" applyAlignment="0" applyProtection="0"/>
  </cellStyleXfs>
  <cellXfs count="32">
    <xf numFmtId="0" fontId="0" fillId="0" borderId="0" xfId="0"/>
    <xf numFmtId="0" fontId="3" fillId="0" borderId="0" xfId="0" applyFont="1"/>
    <xf numFmtId="0" fontId="9" fillId="0" borderId="0" xfId="0" applyFont="1"/>
    <xf numFmtId="2" fontId="0" fillId="0" borderId="0" xfId="0" applyNumberFormat="1"/>
    <xf numFmtId="0" fontId="8" fillId="3" borderId="4" xfId="6"/>
    <xf numFmtId="0" fontId="6" fillId="0" borderId="3" xfId="4"/>
    <xf numFmtId="2" fontId="6" fillId="0" borderId="3" xfId="4" applyNumberFormat="1"/>
    <xf numFmtId="2" fontId="8" fillId="3" borderId="4" xfId="6" applyNumberFormat="1"/>
    <xf numFmtId="0" fontId="6" fillId="0" borderId="3" xfId="4" applyFill="1"/>
    <xf numFmtId="2" fontId="14" fillId="0" borderId="0" xfId="0" applyNumberFormat="1" applyFont="1"/>
    <xf numFmtId="0" fontId="7" fillId="3" borderId="5" xfId="5"/>
    <xf numFmtId="2" fontId="7" fillId="3" borderId="5" xfId="5" applyNumberFormat="1"/>
    <xf numFmtId="0" fontId="15" fillId="4" borderId="4" xfId="7" applyFont="1"/>
    <xf numFmtId="0" fontId="9" fillId="7" borderId="0" xfId="0" applyFont="1" applyFill="1"/>
    <xf numFmtId="2" fontId="0" fillId="6" borderId="9" xfId="0" applyNumberFormat="1" applyFill="1" applyBorder="1"/>
    <xf numFmtId="2" fontId="0" fillId="0" borderId="9" xfId="0" applyNumberFormat="1" applyBorder="1"/>
    <xf numFmtId="0" fontId="13" fillId="5" borderId="10" xfId="0" applyFont="1" applyFill="1" applyBorder="1"/>
    <xf numFmtId="2" fontId="0" fillId="6" borderId="11" xfId="0" applyNumberFormat="1" applyFill="1" applyBorder="1"/>
    <xf numFmtId="0" fontId="0" fillId="0" borderId="0" xfId="0" applyAlignment="1">
      <alignment horizontal="center"/>
    </xf>
    <xf numFmtId="0" fontId="4" fillId="0" borderId="0" xfId="2" applyBorder="1" applyAlignment="1">
      <alignment horizontal="center"/>
    </xf>
    <xf numFmtId="0" fontId="17" fillId="0" borderId="0" xfId="0" applyFont="1"/>
    <xf numFmtId="0" fontId="2" fillId="2" borderId="0" xfId="1" applyFont="1" applyAlignment="1">
      <alignment horizontal="center"/>
    </xf>
    <xf numFmtId="0" fontId="11" fillId="3" borderId="6" xfId="5" applyFont="1" applyBorder="1" applyAlignment="1">
      <alignment horizontal="center"/>
    </xf>
    <xf numFmtId="0" fontId="11" fillId="3" borderId="7" xfId="5" applyFont="1" applyBorder="1" applyAlignment="1">
      <alignment horizontal="center"/>
    </xf>
    <xf numFmtId="0" fontId="11" fillId="3" borderId="8" xfId="5" applyFont="1" applyBorder="1" applyAlignment="1">
      <alignment horizontal="center"/>
    </xf>
    <xf numFmtId="0" fontId="5" fillId="3" borderId="2" xfId="3" applyFill="1" applyAlignment="1">
      <alignment horizontal="center"/>
    </xf>
    <xf numFmtId="0" fontId="8" fillId="3" borderId="4" xfId="6" applyAlignment="1">
      <alignment horizontal="center"/>
    </xf>
    <xf numFmtId="0" fontId="4" fillId="0" borderId="1" xfId="2" applyAlignment="1">
      <alignment horizontal="center"/>
    </xf>
    <xf numFmtId="0" fontId="4" fillId="0" borderId="0" xfId="2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Fill="1"/>
  </cellXfs>
  <cellStyles count="8">
    <cellStyle name="Calculation" xfId="6" builtinId="22"/>
    <cellStyle name="Good" xfId="1" builtinId="26"/>
    <cellStyle name="Heading 1" xfId="2" builtinId="16"/>
    <cellStyle name="Heading 2" xfId="3" builtinId="17"/>
    <cellStyle name="Heading 3" xfId="4" builtinId="18"/>
    <cellStyle name="Input" xfId="7" builtinId="20"/>
    <cellStyle name="Normal" xfId="0" builtinId="0"/>
    <cellStyle name="Output" xfId="5" builtinId="21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44B3E1"/>
        </top>
      </border>
    </dxf>
    <dxf>
      <border outline="0"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C0E6F5"/>
          <bgColor rgb="FFC0E6F5"/>
        </patternFill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ck">
          <color theme="4"/>
        </top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SMIA start-up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Statistics!$C$10</c:f>
              <c:strCache>
                <c:ptCount val="1"/>
                <c:pt idx="0">
                  <c:v>Self-configuration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Statistics!$B$11:$B$16</c:f>
              <c:strCache>
                <c:ptCount val="6"/>
                <c:pt idx="0">
                  <c:v>IR</c:v>
                </c:pt>
                <c:pt idx="1">
                  <c:v>ILA</c:v>
                </c:pt>
                <c:pt idx="2">
                  <c:v>ILB</c:v>
                </c:pt>
                <c:pt idx="3">
                  <c:v>PMA</c:v>
                </c:pt>
                <c:pt idx="4">
                  <c:v>PMB</c:v>
                </c:pt>
                <c:pt idx="5">
                  <c:v>Operator</c:v>
                </c:pt>
              </c:strCache>
            </c:strRef>
          </c:cat>
          <c:val>
            <c:numRef>
              <c:f>Statistics!$C$11:$C$16</c:f>
              <c:numCache>
                <c:formatCode>0.00</c:formatCode>
                <c:ptCount val="6"/>
                <c:pt idx="0">
                  <c:v>3.4354000091552734</c:v>
                </c:pt>
                <c:pt idx="1">
                  <c:v>3.8011000156402588</c:v>
                </c:pt>
                <c:pt idx="2">
                  <c:v>4.2788999080657959</c:v>
                </c:pt>
                <c:pt idx="3">
                  <c:v>3.7315998077392578</c:v>
                </c:pt>
                <c:pt idx="4">
                  <c:v>3.6807999610900879</c:v>
                </c:pt>
                <c:pt idx="5">
                  <c:v>4.2074999809265137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85E-82FC-8D68651141C2}"/>
            </c:ext>
          </c:extLst>
        </c:ser>
        <c:ser>
          <c:idx val="1"/>
          <c:order val="1"/>
          <c:tx>
            <c:strRef>
              <c:f>Statistics!$D$10</c:f>
              <c:strCache>
                <c:ptCount val="1"/>
                <c:pt idx="0">
                  <c:v>Registration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Statistics!$B$11:$B$16</c:f>
              <c:strCache>
                <c:ptCount val="6"/>
                <c:pt idx="0">
                  <c:v>IR</c:v>
                </c:pt>
                <c:pt idx="1">
                  <c:v>ILA</c:v>
                </c:pt>
                <c:pt idx="2">
                  <c:v>ILB</c:v>
                </c:pt>
                <c:pt idx="3">
                  <c:v>PMA</c:v>
                </c:pt>
                <c:pt idx="4">
                  <c:v>PMB</c:v>
                </c:pt>
                <c:pt idx="5">
                  <c:v>Operator</c:v>
                </c:pt>
              </c:strCache>
            </c:strRef>
          </c:cat>
          <c:val>
            <c:numRef>
              <c:f>Statistics!$D$11:$D$16</c:f>
              <c:numCache>
                <c:formatCode>0.00</c:formatCode>
                <c:ptCount val="6"/>
                <c:pt idx="0">
                  <c:v>5.4195001125335693</c:v>
                </c:pt>
                <c:pt idx="1">
                  <c:v>6.2929000854492188</c:v>
                </c:pt>
                <c:pt idx="2">
                  <c:v>6.5065999031066895</c:v>
                </c:pt>
                <c:pt idx="3">
                  <c:v>6.1701998710632324</c:v>
                </c:pt>
                <c:pt idx="4">
                  <c:v>6.0613999366760254</c:v>
                </c:pt>
                <c:pt idx="5">
                  <c:v>6.6569998264312744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85E-82FC-8D6865114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2268496"/>
        <c:axId val="792266576"/>
      </c:barChart>
      <c:catAx>
        <c:axId val="7922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2266576"/>
        <c:crosses val="autoZero"/>
        <c:auto val="1"/>
        <c:lblAlgn val="ctr"/>
        <c:lblOffset val="100"/>
        <c:noMultiLvlLbl val="0"/>
      </c:catAx>
      <c:valAx>
        <c:axId val="7922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22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MLT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'SMIA PE analysis'!$M$7:$M$14</c:f>
              <c:strCache>
                <c:ptCount val="2"/>
                <c:pt idx="0">
                  <c:v>wf-0</c:v>
                </c:pt>
                <c:pt idx="1">
                  <c:v>0</c:v>
                </c:pt>
              </c:strCache>
            </c:strRef>
          </c:cat>
          <c:val>
            <c:numRef>
              <c:f>'SMIA PE analysis'!$P$7:$P$14</c:f>
              <c:numCache>
                <c:formatCode>0.00</c:formatCode>
                <c:ptCount val="8"/>
                <c:pt idx="0">
                  <c:v>83.383500099182129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6-466C-B840-69ADB46E5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3313472"/>
        <c:axId val="1023307232"/>
      </c:barChart>
      <c:catAx>
        <c:axId val="102331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3307232"/>
        <c:crosses val="autoZero"/>
        <c:auto val="1"/>
        <c:lblAlgn val="ctr"/>
        <c:lblOffset val="100"/>
        <c:noMultiLvlLbl val="0"/>
      </c:catAx>
      <c:valAx>
        <c:axId val="10233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331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Availability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'Historical statistics'!$C$5:$C$9</c:f>
              <c:numCache>
                <c:formatCode>0.00</c:formatCode>
                <c:ptCount val="5"/>
                <c:pt idx="0">
                  <c:v>0.92648333443535702</c:v>
                </c:pt>
                <c:pt idx="1">
                  <c:v>0.9675364807800011</c:v>
                </c:pt>
                <c:pt idx="2">
                  <c:v>0.9665998143178447</c:v>
                </c:pt>
                <c:pt idx="3">
                  <c:v>0.95325993447521928</c:v>
                </c:pt>
                <c:pt idx="4">
                  <c:v>0.89460464607585588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2-4F3E-9A5B-6DC8A779B473}"/>
            </c:ext>
          </c:extLst>
        </c:ser>
        <c:ser>
          <c:idx val="0"/>
          <c:order val="1"/>
          <c:tx>
            <c:v>Performance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'Historical statistics'!$D$5:$D$9</c:f>
              <c:numCache>
                <c:formatCode>0.00</c:formatCode>
                <c:ptCount val="5"/>
                <c:pt idx="0">
                  <c:v>1.0313791085491208</c:v>
                </c:pt>
                <c:pt idx="1">
                  <c:v>0.98777269382607435</c:v>
                </c:pt>
                <c:pt idx="2">
                  <c:v>0.98931397208219407</c:v>
                </c:pt>
                <c:pt idx="3">
                  <c:v>1.0028755096113946</c:v>
                </c:pt>
                <c:pt idx="4">
                  <c:v>1.0199189095307151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2-4F3E-9A5B-6DC8A779B473}"/>
            </c:ext>
          </c:extLst>
        </c:ser>
        <c:ser>
          <c:idx val="1"/>
          <c:order val="2"/>
          <c:tx>
            <c:v>Quality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9442-4F3E-9A5B-6DC8A779B473}"/>
            </c:ext>
          </c:extLst>
        </c:ser>
        <c:ser>
          <c:idx val="2"/>
          <c:order val="3"/>
          <c:tx>
            <c:v>OEE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'Historical statistics'!$E$5:$E$9</c:f>
              <c:numCache>
                <c:formatCode>0.00</c:formatCode>
                <c:ptCount val="5"/>
                <c:pt idx="0">
                  <c:v>0.95555555555555549</c:v>
                </c:pt>
                <c:pt idx="1">
                  <c:v>0.9555555555555556</c:v>
                </c:pt>
                <c:pt idx="2">
                  <c:v>0.9555555555555556</c:v>
                </c:pt>
                <c:pt idx="3">
                  <c:v>0.95555555555555549</c:v>
                </c:pt>
                <c:pt idx="4">
                  <c:v>0.95555555555555549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42-4F3E-9A5B-6DC8A779B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6959967"/>
        <c:axId val="646956607"/>
      </c:barChart>
      <c:catAx>
        <c:axId val="6469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956607"/>
        <c:crosses val="autoZero"/>
        <c:auto val="1"/>
        <c:lblAlgn val="ctr"/>
        <c:lblOffset val="100"/>
        <c:noMultiLvlLbl val="0"/>
      </c:catAx>
      <c:valAx>
        <c:axId val="646956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95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Mean MLT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8.0459767603878518E-2"/>
                  <c:y val="-2.7849615002828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1A-44C1-B963-562B950A7E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'Historical statistics'!$B$5:$B$9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'Historical statistics'!$J$5:$J$9</c:f>
              <c:numCache>
                <c:formatCode>0.00</c:formatCode>
                <c:ptCount val="5"/>
                <c:pt idx="0">
                  <c:v>83.383500099182129</c:v>
                </c:pt>
                <c:pt idx="1">
                  <c:v>87.078283270200089</c:v>
                </c:pt>
                <c:pt idx="2">
                  <c:v>86.993983288606003</c:v>
                </c:pt>
                <c:pt idx="3">
                  <c:v>85.793394102769739</c:v>
                </c:pt>
                <c:pt idx="4">
                  <c:v>84.348438058580669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A-44C1-B963-562B950A7E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4329343"/>
        <c:axId val="454335583"/>
      </c:lineChart>
      <c:lineChart>
        <c:grouping val="standard"/>
        <c:varyColors val="0"/>
        <c:ser>
          <c:idx val="1"/>
          <c:order val="1"/>
          <c:tx>
            <c:v>Overall MLT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'Historical statistics'!$K$5:$K$9</c:f>
              <c:numCache>
                <c:formatCode>0.00</c:formatCode>
                <c:ptCount val="5"/>
                <c:pt idx="0">
                  <c:v>83.383500099182129</c:v>
                </c:pt>
                <c:pt idx="1">
                  <c:v>435.39141635100043</c:v>
                </c:pt>
                <c:pt idx="2">
                  <c:v>869.93983288606</c:v>
                </c:pt>
                <c:pt idx="3">
                  <c:v>1286.9009115415461</c:v>
                </c:pt>
                <c:pt idx="4">
                  <c:v>1686.9687611716133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A-44C1-B963-562B950A7E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4321183"/>
        <c:axId val="454320703"/>
      </c:lineChart>
      <c:catAx>
        <c:axId val="4543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35583"/>
        <c:crosses val="autoZero"/>
        <c:auto val="1"/>
        <c:lblAlgn val="ctr"/>
        <c:lblOffset val="100"/>
        <c:noMultiLvlLbl val="0"/>
      </c:catAx>
      <c:valAx>
        <c:axId val="4543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29343"/>
        <c:crosses val="autoZero"/>
        <c:crossBetween val="between"/>
      </c:valAx>
      <c:valAx>
        <c:axId val="454320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21183"/>
        <c:crosses val="max"/>
        <c:crossBetween val="between"/>
      </c:valAx>
      <c:catAx>
        <c:axId val="454321183"/>
        <c:scaling>
          <c:orientation val="minMax"/>
        </c:scaling>
        <c:delete val="1"/>
        <c:axPos val="b"/>
        <c:majorTickMark val="out"/>
        <c:minorTickMark val="none"/>
        <c:tickLblPos val="nextTo"/>
        <c:crossAx val="45432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Availability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Ref>
              <c:f>'Historical statistics (2)'!$C$5:$C$9</c:f>
              <c:numCache>
                <c:formatCode>0.00</c:formatCode>
                <c:ptCount val="5"/>
                <c:pt idx="0">
                  <c:v>0.93156260000000002</c:v>
                </c:pt>
                <c:pt idx="1">
                  <c:v>0.93600100040435785</c:v>
                </c:pt>
                <c:pt idx="2">
                  <c:v>0.89692692600000001</c:v>
                </c:pt>
                <c:pt idx="3">
                  <c:v>0.95191910000000002</c:v>
                </c:pt>
                <c:pt idx="4">
                  <c:v>0.95748414999999998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F43F-4355-82F7-BB951D1068BA}"/>
            </c:ext>
          </c:extLst>
        </c:ser>
        <c:ser>
          <c:idx val="0"/>
          <c:order val="1"/>
          <c:tx>
            <c:v>Performance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Ref>
              <c:f>'Historical statistics (2)'!$D$5:$D$9</c:f>
              <c:numCache>
                <c:formatCode>0.00</c:formatCode>
                <c:ptCount val="5"/>
                <c:pt idx="0">
                  <c:v>0.99125615099999997</c:v>
                </c:pt>
                <c:pt idx="1">
                  <c:v>0.98526421095195571</c:v>
                </c:pt>
                <c:pt idx="2">
                  <c:v>0.99256414000000004</c:v>
                </c:pt>
                <c:pt idx="3">
                  <c:v>0.99612961269</c:v>
                </c:pt>
                <c:pt idx="4">
                  <c:v>0.98215615000000001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F43F-4355-82F7-BB951D1068BA}"/>
            </c:ext>
          </c:extLst>
        </c:ser>
        <c:ser>
          <c:idx val="1"/>
          <c:order val="2"/>
          <c:tx>
            <c:v>Quality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F43F-4355-82F7-BB951D1068BA}"/>
            </c:ext>
          </c:extLst>
        </c:ser>
        <c:ser>
          <c:idx val="2"/>
          <c:order val="3"/>
          <c:tx>
            <c:v>OEE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Ref>
              <c:f>'Historical statistics (2)'!$E$5:$E$9</c:f>
              <c:numCache>
                <c:formatCode>0.00</c:formatCode>
                <c:ptCount val="5"/>
                <c:pt idx="0">
                  <c:v>0.95000000000000007</c:v>
                </c:pt>
                <c:pt idx="1">
                  <c:v>0.92228884797226718</c:v>
                </c:pt>
                <c:pt idx="2">
                  <c:v>0.94126259999999995</c:v>
                </c:pt>
                <c:pt idx="3">
                  <c:v>0.93625962600000001</c:v>
                </c:pt>
                <c:pt idx="4">
                  <c:v>0.93152615999999999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F43F-4355-82F7-BB951D106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6959967"/>
        <c:axId val="646956607"/>
      </c:barChart>
      <c:catAx>
        <c:axId val="6469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956607"/>
        <c:crosses val="autoZero"/>
        <c:auto val="1"/>
        <c:lblAlgn val="ctr"/>
        <c:lblOffset val="100"/>
        <c:noMultiLvlLbl val="0"/>
      </c:catAx>
      <c:valAx>
        <c:axId val="646956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95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Mean MLT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8.0459767603878518E-2"/>
                  <c:y val="-2.7849615002828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04-4E0B-A9C2-D353615446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(2)'!$K$5:$K$19</c15:sqref>
                  </c15:fullRef>
                </c:ext>
              </c:extLst>
              <c:f>'Historical statistics (2)'!$K$5:$K$9</c:f>
              <c:numCache>
                <c:formatCode>0.00</c:formatCode>
                <c:ptCount val="5"/>
                <c:pt idx="0">
                  <c:v>17.258914692099999</c:v>
                </c:pt>
                <c:pt idx="1">
                  <c:v>18.720020008087157</c:v>
                </c:pt>
                <c:pt idx="2">
                  <c:v>19.238616665204365</c:v>
                </c:pt>
                <c:pt idx="3">
                  <c:v>18.95146126925</c:v>
                </c:pt>
                <c:pt idx="4">
                  <c:v>19.594169913999998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04-4E0B-A9C2-D353615446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4329343"/>
        <c:axId val="454335583"/>
      </c:lineChart>
      <c:lineChart>
        <c:grouping val="standard"/>
        <c:varyColors val="0"/>
        <c:ser>
          <c:idx val="1"/>
          <c:order val="1"/>
          <c:tx>
            <c:v>Overall MLT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(2)'!$L$5:$L$19</c15:sqref>
                  </c15:fullRef>
                </c:ext>
              </c:extLst>
              <c:f>'Historical statistics (2)'!$L$5:$L$9</c:f>
              <c:numCache>
                <c:formatCode>0.00</c:formatCode>
                <c:ptCount val="5"/>
                <c:pt idx="0">
                  <c:v>17.258914692099999</c:v>
                </c:pt>
                <c:pt idx="1">
                  <c:v>93.600100040435791</c:v>
                </c:pt>
                <c:pt idx="2">
                  <c:v>192.38616665204364</c:v>
                </c:pt>
                <c:pt idx="3">
                  <c:v>284.27191903875001</c:v>
                </c:pt>
                <c:pt idx="4">
                  <c:v>391.88339827999994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04-4E0B-A9C2-D353615446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4321183"/>
        <c:axId val="454320703"/>
      </c:lineChart>
      <c:catAx>
        <c:axId val="4543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35583"/>
        <c:crosses val="autoZero"/>
        <c:auto val="1"/>
        <c:lblAlgn val="ctr"/>
        <c:lblOffset val="100"/>
        <c:noMultiLvlLbl val="0"/>
      </c:catAx>
      <c:valAx>
        <c:axId val="4543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29343"/>
        <c:crosses val="autoZero"/>
        <c:crossBetween val="between"/>
      </c:valAx>
      <c:valAx>
        <c:axId val="454320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21183"/>
        <c:crosses val="max"/>
        <c:crossBetween val="between"/>
      </c:valAx>
      <c:catAx>
        <c:axId val="454321183"/>
        <c:scaling>
          <c:orientation val="minMax"/>
        </c:scaling>
        <c:delete val="1"/>
        <c:axPos val="b"/>
        <c:majorTickMark val="out"/>
        <c:minorTickMark val="none"/>
        <c:tickLblPos val="nextTo"/>
        <c:crossAx val="45432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Manual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Ref>
              <c:f>'Historical statistics (2)'!$E$5:$E$9</c:f>
              <c:numCache>
                <c:formatCode>0.00</c:formatCode>
                <c:ptCount val="5"/>
                <c:pt idx="0">
                  <c:v>0.95000000000000007</c:v>
                </c:pt>
                <c:pt idx="1">
                  <c:v>0.92228884797226718</c:v>
                </c:pt>
                <c:pt idx="2">
                  <c:v>0.94126259999999995</c:v>
                </c:pt>
                <c:pt idx="3">
                  <c:v>0.93625962600000001</c:v>
                </c:pt>
                <c:pt idx="4">
                  <c:v>0.93152615999999999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9-4176-BBA7-6079E5617830}"/>
            </c:ext>
          </c:extLst>
        </c:ser>
        <c:ser>
          <c:idx val="0"/>
          <c:order val="1"/>
          <c:tx>
            <c:v>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Ref>
              <c:f>'Historical statistics (2)'!$E$10:$E$14</c:f>
              <c:numCache>
                <c:formatCode>0.00</c:formatCode>
                <c:ptCount val="5"/>
                <c:pt idx="0">
                  <c:v>0.95000000000000007</c:v>
                </c:pt>
                <c:pt idx="1">
                  <c:v>0.9</c:v>
                </c:pt>
                <c:pt idx="2">
                  <c:v>0.95</c:v>
                </c:pt>
                <c:pt idx="3">
                  <c:v>0.93625962600000001</c:v>
                </c:pt>
                <c:pt idx="4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49-4176-BBA7-6079E5617830}"/>
            </c:ext>
          </c:extLst>
        </c:ser>
        <c:ser>
          <c:idx val="1"/>
          <c:order val="2"/>
          <c:tx>
            <c:v>B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  <c:extLst/>
            </c:numRef>
          </c:cat>
          <c:val>
            <c:numRef>
              <c:f>'Historical statistics (2)'!$E$15:$E$19</c:f>
              <c:numCache>
                <c:formatCode>0.00</c:formatCode>
                <c:ptCount val="5"/>
                <c:pt idx="0">
                  <c:v>0.98</c:v>
                </c:pt>
                <c:pt idx="1">
                  <c:v>0.92228884797226718</c:v>
                </c:pt>
                <c:pt idx="2">
                  <c:v>0.94126259999999995</c:v>
                </c:pt>
                <c:pt idx="3">
                  <c:v>0.92</c:v>
                </c:pt>
                <c:pt idx="4">
                  <c:v>0.93152615999999999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49-4176-BBA7-6079E5617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6959967"/>
        <c:axId val="646956607"/>
      </c:barChart>
      <c:catAx>
        <c:axId val="6469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956607"/>
        <c:crosses val="autoZero"/>
        <c:auto val="1"/>
        <c:lblAlgn val="ctr"/>
        <c:lblOffset val="100"/>
        <c:noMultiLvlLbl val="0"/>
      </c:catAx>
      <c:valAx>
        <c:axId val="646956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95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Mean MLT manual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(2)'!$K$5:$K$19</c15:sqref>
                  </c15:fullRef>
                </c:ext>
              </c:extLst>
              <c:f>'Historical statistics (2)'!$K$5:$K$9</c:f>
              <c:numCache>
                <c:formatCode>0.00</c:formatCode>
                <c:ptCount val="5"/>
                <c:pt idx="0">
                  <c:v>17.258914692099999</c:v>
                </c:pt>
                <c:pt idx="1">
                  <c:v>18.720020008087157</c:v>
                </c:pt>
                <c:pt idx="2">
                  <c:v>19.238616665204365</c:v>
                </c:pt>
                <c:pt idx="3">
                  <c:v>18.95146126925</c:v>
                </c:pt>
                <c:pt idx="4">
                  <c:v>19.594169913999998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F-43F1-B528-39892FCD17DA}"/>
            </c:ext>
          </c:extLst>
        </c:ser>
        <c:ser>
          <c:idx val="2"/>
          <c:order val="1"/>
          <c:tx>
            <c:v>Mean MLT 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(2)'!$K$10:$K$14</c15:sqref>
                  </c15:fullRef>
                </c:ext>
              </c:extLst>
              <c:f>'Historical statistics (2)'!$K$10:$K$14</c:f>
              <c:numCache>
                <c:formatCode>0.00</c:formatCode>
                <c:ptCount val="5"/>
                <c:pt idx="0">
                  <c:v>19.594169913999998</c:v>
                </c:pt>
                <c:pt idx="1">
                  <c:v>18.55</c:v>
                </c:pt>
                <c:pt idx="2">
                  <c:v>19.594169913999998</c:v>
                </c:pt>
                <c:pt idx="3">
                  <c:v>19.594169913999998</c:v>
                </c:pt>
                <c:pt idx="4">
                  <c:v>19.594169913999998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BF-43F1-B528-39892FCD17DA}"/>
            </c:ext>
          </c:extLst>
        </c:ser>
        <c:ser>
          <c:idx val="4"/>
          <c:order val="2"/>
          <c:tx>
            <c:v>Mean MLT B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(2)'!$K$15:$K$19</c15:sqref>
                  </c15:fullRef>
                </c:ext>
              </c:extLst>
              <c:f>'Historical statistics (2)'!$K$15:$K$19</c:f>
              <c:numCache>
                <c:formatCode>0.00</c:formatCode>
                <c:ptCount val="5"/>
                <c:pt idx="0">
                  <c:v>19.594169913999998</c:v>
                </c:pt>
                <c:pt idx="1">
                  <c:v>19.594169913999998</c:v>
                </c:pt>
                <c:pt idx="2">
                  <c:v>19.594169913999998</c:v>
                </c:pt>
                <c:pt idx="3">
                  <c:v>17.2</c:v>
                </c:pt>
                <c:pt idx="4">
                  <c:v>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BF-43F1-B528-39892FCD1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329343"/>
        <c:axId val="454335583"/>
      </c:lineChart>
      <c:lineChart>
        <c:grouping val="standard"/>
        <c:varyColors val="0"/>
        <c:ser>
          <c:idx val="1"/>
          <c:order val="3"/>
          <c:tx>
            <c:v>Overall MLT manual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(2)'!$L$5:$L$19</c15:sqref>
                  </c15:fullRef>
                </c:ext>
              </c:extLst>
              <c:f>'Historical statistics (2)'!$L$5:$L$9</c:f>
              <c:numCache>
                <c:formatCode>0.00</c:formatCode>
                <c:ptCount val="5"/>
                <c:pt idx="0">
                  <c:v>17.258914692099999</c:v>
                </c:pt>
                <c:pt idx="1">
                  <c:v>93.600100040435791</c:v>
                </c:pt>
                <c:pt idx="2">
                  <c:v>192.38616665204364</c:v>
                </c:pt>
                <c:pt idx="3">
                  <c:v>284.27191903875001</c:v>
                </c:pt>
                <c:pt idx="4">
                  <c:v>391.88339827999994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BF-43F1-B528-39892FCD17DA}"/>
            </c:ext>
          </c:extLst>
        </c:ser>
        <c:ser>
          <c:idx val="3"/>
          <c:order val="4"/>
          <c:tx>
            <c:v>Overall MLT 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(2)'!$L$10:$L$14</c15:sqref>
                  </c15:fullRef>
                </c:ext>
              </c:extLst>
              <c:f>'Historical statistics (2)'!$L$10:$L$14</c:f>
              <c:numCache>
                <c:formatCode>0.00</c:formatCode>
                <c:ptCount val="5"/>
                <c:pt idx="0">
                  <c:v>19.594169913999998</c:v>
                </c:pt>
                <c:pt idx="1">
                  <c:v>92.75</c:v>
                </c:pt>
                <c:pt idx="2">
                  <c:v>195.94169913999997</c:v>
                </c:pt>
                <c:pt idx="3">
                  <c:v>293.91254870999995</c:v>
                </c:pt>
                <c:pt idx="4">
                  <c:v>391.88339827999994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BF-43F1-B528-39892FCD17DA}"/>
            </c:ext>
          </c:extLst>
        </c:ser>
        <c:ser>
          <c:idx val="5"/>
          <c:order val="5"/>
          <c:tx>
            <c:v>Overall MLT B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'Historical statistics (2)'!$B$5:$B$9</c15:sqref>
                  </c15:fullRef>
                </c:ext>
              </c:extLst>
              <c:f>'Historical statistics (2)'!$B$5:$B$9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'Historical statistics (2)'!$L$15:$L$19</c15:sqref>
                  </c15:fullRef>
                </c:ext>
              </c:extLst>
              <c:f>'Historical statistics (2)'!$L$15:$L$19</c:f>
              <c:numCache>
                <c:formatCode>0.00</c:formatCode>
                <c:ptCount val="5"/>
                <c:pt idx="0">
                  <c:v>19.594169913999998</c:v>
                </c:pt>
                <c:pt idx="1">
                  <c:v>97.970849569999984</c:v>
                </c:pt>
                <c:pt idx="2">
                  <c:v>195.94169913999997</c:v>
                </c:pt>
                <c:pt idx="3">
                  <c:v>258</c:v>
                </c:pt>
                <c:pt idx="4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BF-43F1-B528-39892FCD1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477328"/>
        <c:axId val="1455481648"/>
      </c:lineChart>
      <c:catAx>
        <c:axId val="45432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35583"/>
        <c:crosses val="autoZero"/>
        <c:auto val="1"/>
        <c:lblAlgn val="ctr"/>
        <c:lblOffset val="100"/>
        <c:noMultiLvlLbl val="0"/>
      </c:catAx>
      <c:valAx>
        <c:axId val="4543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29343"/>
        <c:crosses val="autoZero"/>
        <c:crossBetween val="between"/>
      </c:valAx>
      <c:valAx>
        <c:axId val="145548164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5477328"/>
        <c:crosses val="max"/>
        <c:crossBetween val="between"/>
      </c:valAx>
      <c:catAx>
        <c:axId val="1455477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5481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1</xdr:row>
      <xdr:rowOff>171450</xdr:rowOff>
    </xdr:from>
    <xdr:to>
      <xdr:col>14</xdr:col>
      <xdr:colOff>487680</xdr:colOff>
      <xdr:row>16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B41B3D-5B4B-975C-77BC-AB65EC6B5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350520</xdr:colOff>
      <xdr:row>1</xdr:row>
      <xdr:rowOff>133350</xdr:rowOff>
    </xdr:from>
    <xdr:to>
      <xdr:col>23</xdr:col>
      <xdr:colOff>45720</xdr:colOff>
      <xdr:row>15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4A166-5DA5-E002-FD26-7F23171B4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748665</xdr:colOff>
      <xdr:row>19</xdr:row>
      <xdr:rowOff>43815</xdr:rowOff>
    </xdr:from>
    <xdr:to>
      <xdr:col>8</xdr:col>
      <xdr:colOff>76200</xdr:colOff>
      <xdr:row>34</xdr:row>
      <xdr:rowOff>78105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3A3A84-C6E9-4B87-8F1C-BF864BF04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841057</xdr:colOff>
      <xdr:row>18</xdr:row>
      <xdr:rowOff>97155</xdr:rowOff>
    </xdr:from>
    <xdr:to>
      <xdr:col>14</xdr:col>
      <xdr:colOff>30480</xdr:colOff>
      <xdr:row>33</xdr:row>
      <xdr:rowOff>139065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DD3DE7-5EB4-0E70-2199-2288FEF7A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748665</xdr:colOff>
      <xdr:row>26</xdr:row>
      <xdr:rowOff>43815</xdr:rowOff>
    </xdr:from>
    <xdr:to>
      <xdr:col>8</xdr:col>
      <xdr:colOff>76200</xdr:colOff>
      <xdr:row>41</xdr:row>
      <xdr:rowOff>78105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3B1CE-F8C0-4833-9D8F-7BFCE1030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1054417</xdr:colOff>
      <xdr:row>26</xdr:row>
      <xdr:rowOff>43815</xdr:rowOff>
    </xdr:from>
    <xdr:to>
      <xdr:col>13</xdr:col>
      <xdr:colOff>482917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F042A-4206-4A0F-ADE7-970D40C0F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581025</xdr:colOff>
      <xdr:row>55</xdr:row>
      <xdr:rowOff>173355</xdr:rowOff>
    </xdr:from>
    <xdr:to>
      <xdr:col>7</xdr:col>
      <xdr:colOff>657225</xdr:colOff>
      <xdr:row>72</xdr:row>
      <xdr:rowOff>24765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124400-BE5A-463A-B002-EBFA27E6D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249555</xdr:colOff>
      <xdr:row>56</xdr:row>
      <xdr:rowOff>5716</xdr:rowOff>
    </xdr:from>
    <xdr:to>
      <xdr:col>15</xdr:col>
      <xdr:colOff>373380</xdr:colOff>
      <xdr:row>73</xdr:row>
      <xdr:rowOff>163831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1AB24B-424D-4357-8E5E-72D825748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68A0D7-DE62-4F21-9689-18457DFAB34D}" autoFormatId="16" applyNumberFormats="0" applyBorderFormats="0" applyFontFormats="0" applyPatternFormats="0" applyAlignmentFormats="0" applyWidthHeightFormats="0">
  <queryTableRefresh nextId="7">
    <queryTableFields count="3">
      <queryTableField id="4" name="AgentID" tableColumnId="4"/>
      <queryTableField id="5" name="Timestamp" tableColumnId="5"/>
      <queryTableField id="6" name="Descrip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347C381-AAC5-49BD-8B46-50D548E39D14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ACC0444-5EDB-4C8A-8112-C5E3CC1E43F6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F91D0174-F5B6-442B-9F23-210AD36A0123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579CF1CD-1F98-44E0-BB27-DF1C7A3CCA1C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E3194789-6ACD-4A09-B3FF-C3C96DA5CB5E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133C1AED-A647-4460-8728-B218D3CBF9EC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C691C6E-ACDA-4C04-BC1A-7B13E0CA32E0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Timestamp" tableColumnId="2"/>
      <queryTableField id="3" name="Description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EB662A-7100-4E63-8AAE-0F7AA5A38A77}" name="smia_cedri_industrial_robot_metrics" displayName="smia_cedri_industrial_robot_metrics" ref="A2:C10" tableType="queryTable" totalsRowShown="0">
  <autoFilter ref="A2:C10" xr:uid="{A9EB662A-7100-4E63-8AAE-0F7AA5A38A77}"/>
  <tableColumns count="3">
    <tableColumn id="4" xr3:uid="{3E1A5156-D803-4748-865F-BA58CAE27ED0}" uniqueName="4" name="AgentID" queryTableFieldId="4" dataDxfId="10"/>
    <tableColumn id="5" xr3:uid="{1A93FBF1-93A6-4FC3-8E7E-887EA5C974D6}" uniqueName="5" name="Timestamp" queryTableFieldId="5" dataDxfId="9"/>
    <tableColumn id="6" xr3:uid="{F4BA7A5E-76E3-412B-8EA6-34F947589B10}" uniqueName="6" name="Description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ACBDBF-FBA0-4DFA-BECB-D276196354EB}" name="smia_indexedline_a_metrics" displayName="smia_indexedline_a_metrics" ref="E2:G4" tableType="queryTable" totalsRowShown="0">
  <autoFilter ref="E2:G4" xr:uid="{F8ACBDBF-FBA0-4DFA-BECB-D276196354EB}"/>
  <tableColumns count="3">
    <tableColumn id="1" xr3:uid="{7FF745E2-1C43-4FF6-91D8-E14E1D9CE20A}" uniqueName="1" name="AgentID" queryTableFieldId="1" dataDxfId="53"/>
    <tableColumn id="2" xr3:uid="{66B76952-2606-4F39-9D3E-C18D1B4D42D7}" uniqueName="2" name="Timestamp" queryTableFieldId="2"/>
    <tableColumn id="3" xr3:uid="{3DB11EFD-F3A3-4B35-B5B3-0D333E5430D1}" uniqueName="3" name="Description" queryTableFieldId="3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50626-C45D-479D-98BC-5E2654C877CC}" name="smia_indexedline_b_metrics" displayName="smia_indexedline_b_metrics" ref="I2:K6" tableType="queryTable" totalsRowShown="0">
  <autoFilter ref="I2:K6" xr:uid="{39E50626-C45D-479D-98BC-5E2654C877CC}"/>
  <tableColumns count="3">
    <tableColumn id="1" xr3:uid="{471D461C-DA76-4A46-89CD-501A92E09FF4}" uniqueName="1" name="AgentID" queryTableFieldId="1" dataDxfId="7"/>
    <tableColumn id="2" xr3:uid="{72CB3FB7-F04C-46E4-8347-C5E1051EACDD}" uniqueName="2" name="Timestamp" queryTableFieldId="2" dataDxfId="6"/>
    <tableColumn id="3" xr3:uid="{B1077C6C-A5A6-4966-BCB1-222803ED2A2F}" uniqueName="3" name="Description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4A0B75-63BD-4667-81A0-47BBF8268E67}" name="smia_punchingmachine_a_metrics" displayName="smia_punchingmachine_a_metrics" ref="M2:O4" tableType="queryTable" totalsRowShown="0">
  <autoFilter ref="M2:O4" xr:uid="{DB4A0B75-63BD-4667-81A0-47BBF8268E67}"/>
  <tableColumns count="3">
    <tableColumn id="1" xr3:uid="{831BCEC6-FDC6-4D38-97AF-EAF3D91123D6}" uniqueName="1" name="AgentID" queryTableFieldId="1" dataDxfId="51"/>
    <tableColumn id="2" xr3:uid="{0FDEB27F-162B-456E-BA1E-D7BAA5F77AC7}" uniqueName="2" name="Timestamp" queryTableFieldId="2" dataDxfId="50"/>
    <tableColumn id="3" xr3:uid="{FF0EA634-9185-4CBB-B692-1B66CF2C0F55}" uniqueName="3" name="Description" queryTableFieldId="3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5BC091-7DA2-498C-B4FD-6F4313E0788C}" name="smia_punchingmachine_b_metrics" displayName="smia_punchingmachine_b_metrics" ref="Q2:S6" tableType="queryTable" totalsRowShown="0">
  <autoFilter ref="Q2:S6" xr:uid="{7D5BC091-7DA2-498C-B4FD-6F4313E0788C}"/>
  <tableColumns count="3">
    <tableColumn id="1" xr3:uid="{3DECC2DF-FDCB-42EE-BB9F-B76B73662873}" uniqueName="1" name="AgentID" queryTableFieldId="1" dataDxfId="4"/>
    <tableColumn id="2" xr3:uid="{04B1F7FE-A282-49B5-9FE2-E59BEFB2B3C4}" uniqueName="2" name="Timestamp" queryTableFieldId="2" dataDxfId="3"/>
    <tableColumn id="3" xr3:uid="{CF3E5BA4-3732-4FC6-89CB-155EE60AD3B1}" uniqueName="3" name="Description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3EBC5F-F62E-4FEF-B5D6-EA6A90268A37}" name="smia_ism_metrics" displayName="smia_ism_metrics" ref="Y2:AA9" tableType="queryTable" totalsRowShown="0">
  <autoFilter ref="Y2:AA9" xr:uid="{093EBC5F-F62E-4FEF-B5D6-EA6A90268A37}"/>
  <tableColumns count="3">
    <tableColumn id="1" xr3:uid="{80E6B1FD-E9F1-491B-B76C-605DADF30047}" uniqueName="1" name="AgentID" queryTableFieldId="1" dataDxfId="48"/>
    <tableColumn id="2" xr3:uid="{AE537C4E-F66D-445C-A160-C5F3133D3F99}" uniqueName="2" name="Timestamp" queryTableFieldId="2" dataDxfId="47"/>
    <tableColumn id="3" xr3:uid="{74EDDDCE-D9C5-4E41-A0C6-39F247017914}" uniqueName="3" name="Description" queryTableFieldId="3" dataDxfId="4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21638B-5E6C-478D-91B4-F8FAB12D2290}" name="smia_hi_operator_metrics" displayName="smia_hi_operator_metrics" ref="U2:W4" tableType="queryTable" totalsRowShown="0">
  <autoFilter ref="U2:W4" xr:uid="{AA21638B-5E6C-478D-91B4-F8FAB12D2290}"/>
  <tableColumns count="3">
    <tableColumn id="1" xr3:uid="{E58837E3-9A4E-4747-9776-73CF14D5A74B}" uniqueName="1" name="AgentID" queryTableFieldId="1" dataDxfId="45"/>
    <tableColumn id="2" xr3:uid="{D3E327D6-9DDA-4B93-A83F-A5E61B6305B9}" uniqueName="2" name="Timestamp" queryTableFieldId="2"/>
    <tableColumn id="3" xr3:uid="{6D34AA90-0900-4A73-96F0-F944F93FAA19}" uniqueName="3" name="Description" queryTableFieldId="3" dataDxfId="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4865D-4A60-4065-BAD2-609427502DCF}" name="smia_pe_metrics" displayName="smia_pe_metrics" ref="AC2:AE20" tableType="queryTable" totalsRowShown="0">
  <autoFilter ref="AC2:AE20" xr:uid="{AD84865D-4A60-4065-BAD2-609427502DCF}"/>
  <tableColumns count="3">
    <tableColumn id="1" xr3:uid="{CA7B4313-6150-482D-9D76-CCABC9AF4B9E}" uniqueName="1" name="AgentID" queryTableFieldId="1" dataDxfId="1"/>
    <tableColumn id="2" xr3:uid="{683E98CA-430A-4E26-923F-124527F6DE22}" uniqueName="2" name="Timestamp" queryTableFieldId="2"/>
    <tableColumn id="3" xr3:uid="{2D8BEA51-2225-436D-88A4-D35704AC4871}" uniqueName="3" name="Description" queryTableFieldId="3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A2DDEE-1E11-4C5D-98E7-49D7D4725241}" name="Table14" displayName="Table14" ref="B10:D16" totalsRowShown="0">
  <autoFilter ref="B10:D16" xr:uid="{C3A2DDEE-1E11-4C5D-98E7-49D7D4725241}"/>
  <tableColumns count="3">
    <tableColumn id="1" xr3:uid="{F8B35A55-AA2F-4E62-B2B6-AB3454B4D8C7}" name="SMIA instance"/>
    <tableColumn id="2" xr3:uid="{2731A402-62DF-4171-8B75-88F804BB87C1}" name="Self-configuration" dataDxfId="43"/>
    <tableColumn id="3" xr3:uid="{C67D042B-8D2D-468D-895E-C7937796365F}" name="Registration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55E929-C23D-4B51-B409-6EA7438C6997}" name="Table143" displayName="Table143" ref="B4:H9" totalsRowShown="0">
  <autoFilter ref="B4:H9" xr:uid="{1A55E929-C23D-4B51-B409-6EA7438C6997}"/>
  <tableColumns count="7">
    <tableColumn id="1" xr3:uid="{FA881EDA-488B-4203-BE39-25AD6CE1EA26}" name="Products"/>
    <tableColumn id="2" xr3:uid="{26AF5A48-9A3D-44F1-8C3A-334AF1B28CAF}" name="Availability" dataDxfId="41"/>
    <tableColumn id="3" xr3:uid="{261F4729-F0F7-479F-8283-F41952872DA9}" name="Performance" dataDxfId="40"/>
    <tableColumn id="11" xr3:uid="{1B7A82F0-3FED-43EC-86E0-79ADC06F8189}" name="OEE" dataDxfId="39"/>
    <tableColumn id="8" xr3:uid="{3873BA0C-9BF5-48E8-915F-7EED06BD0852}" name="A (%)" dataDxfId="38">
      <calculatedColumnFormula>Table143[[#This Row],[Availability]]*100</calculatedColumnFormula>
    </tableColumn>
    <tableColumn id="10" xr3:uid="{6F6B49DF-69A7-40A8-BA21-FB5A9E6060DE}" name="P (%)" dataDxfId="37">
      <calculatedColumnFormula>Table143[[#This Row],[Performance]]*100</calculatedColumnFormula>
    </tableColumn>
    <tableColumn id="4" xr3:uid="{738FFF69-800B-4665-B4B4-75002861B1E2}" name="OEE (%)" dataDxfId="36">
      <calculatedColumnFormula>Table143[[#This Row],[OEE]]*100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A2DFD7-226C-40E4-8E52-9733A195E5CA}" name="Table13" displayName="Table13" ref="R4:S7" totalsRowShown="0">
  <autoFilter ref="R4:S7" xr:uid="{13A2DFD7-226C-40E4-8E52-9733A195E5CA}"/>
  <tableColumns count="2">
    <tableColumn id="1" xr3:uid="{7FF939A7-51B6-4E6F-A111-46A7C2B88F5D}" name="Statistic"/>
    <tableColumn id="2" xr3:uid="{38624222-37B7-4850-A3EB-A73E6A4046CD}" name="Resul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2FF2C3-22B1-4D30-9231-9964051667E4}" name="Table10" displayName="Table10" ref="J4:K9" totalsRowShown="0" headerRowDxfId="35" dataDxfId="33" headerRowBorderDxfId="34" tableBorderDxfId="32" totalsRowBorderDxfId="31">
  <autoFilter ref="J4:K9" xr:uid="{322FF2C3-22B1-4D30-9231-9964051667E4}"/>
  <tableColumns count="2">
    <tableColumn id="1" xr3:uid="{5F2C02CD-7B2D-4C88-B600-B610ED114DFB}" name="MLT" dataDxfId="30"/>
    <tableColumn id="2" xr3:uid="{1B7A0D95-A97F-43CC-B746-8FB5C82557AA}" name="Total MLT" dataDxfId="29">
      <calculatedColumnFormula>Table143[[#This Row],[P (%)]]*Table143[[#This Row],[Products]]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8C8E53-3BB9-44CC-AC5D-DFF4C897D53A}" name="Table17" displayName="Table17" ref="M4:O9" totalsRowShown="0" dataDxfId="28" tableBorderDxfId="27">
  <autoFilter ref="M4:O9" xr:uid="{CF8C8E53-3BB9-44CC-AC5D-DFF4C897D53A}"/>
  <tableColumns count="3">
    <tableColumn id="1" xr3:uid="{05A6CA79-5F07-4D10-8525-599C8DD684BA}" name="EventTime" dataDxfId="26"/>
    <tableColumn id="2" xr3:uid="{55EFA22A-A428-43DD-BF6B-F11989831763}" name="DetectTime" dataDxfId="25"/>
    <tableColumn id="3" xr3:uid="{A110B691-B653-4F08-AFB3-FCA1854665AB}" name="ElapsedTime" dataDxfId="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55613E-5BF9-4EE4-8B13-18F264A3150A}" name="Table1436" displayName="Table1436" ref="B4:H19" totalsRowShown="0">
  <autoFilter ref="B4:H19" xr:uid="{1A55E929-C23D-4B51-B409-6EA7438C6997}"/>
  <tableColumns count="7">
    <tableColumn id="1" xr3:uid="{64FEADB5-2CDD-4177-B5B1-9DF0F2A0E0A9}" name="Products"/>
    <tableColumn id="2" xr3:uid="{1CDAE8CB-60AE-4B33-9F2F-AA1B511BFB2A}" name="Availability" dataDxfId="23"/>
    <tableColumn id="3" xr3:uid="{518A33D9-39D0-4DBD-8198-4CC1876F4B79}" name="Performance" dataDxfId="22"/>
    <tableColumn id="11" xr3:uid="{F0D8F5D6-EAAC-4266-A159-3B8AC136C896}" name="OEE" dataDxfId="21"/>
    <tableColumn id="8" xr3:uid="{313A7694-F04A-406B-A169-B0549198F464}" name="A (%)" dataDxfId="20">
      <calculatedColumnFormula>Table1436[[#This Row],[Availability]]*100</calculatedColumnFormula>
    </tableColumn>
    <tableColumn id="10" xr3:uid="{2118D144-DB45-4C31-897F-2504798BEC60}" name="P (%)" dataDxfId="19">
      <calculatedColumnFormula>Table1436[[#This Row],[Performance]]*100</calculatedColumnFormula>
    </tableColumn>
    <tableColumn id="4" xr3:uid="{05A722EE-F999-410F-8AF2-DC2A2C279568}" name="OEE (%)" dataDxfId="18">
      <calculatedColumnFormula>Table1436[[#This Row],[OEE]]*100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12A4F3-E5D1-4633-918D-4B1C773B509B}" name="Table1312" displayName="Table1312" ref="P4:Q7" totalsRowShown="0">
  <autoFilter ref="P4:Q7" xr:uid="{13A2DFD7-226C-40E4-8E52-9733A195E5CA}"/>
  <tableColumns count="2">
    <tableColumn id="1" xr3:uid="{6608EB6B-89CF-42CE-AA92-B0281543835D}" name="Statistic"/>
    <tableColumn id="2" xr3:uid="{411FA78A-70E6-4A71-B793-55FD5C0B2C23}" name="Resul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08B9BE-9E0A-43D4-90B7-48A1BFC3E117}" name="Table1013" displayName="Table1013" ref="K4:L19" totalsRowShown="0" headerRowDxfId="17" dataDxfId="15" headerRowBorderDxfId="16" tableBorderDxfId="14" totalsRowBorderDxfId="13">
  <autoFilter ref="K4:L19" xr:uid="{322FF2C3-22B1-4D30-9231-9964051667E4}"/>
  <tableColumns count="2">
    <tableColumn id="1" xr3:uid="{D740C4A6-0D56-4D86-A7B3-FFCFFFE29916}" name="MLT" dataDxfId="12"/>
    <tableColumn id="2" xr3:uid="{CB1BCCA9-736F-447B-9285-3371EA60DACA}" name="Total MLT" dataDxfId="11">
      <calculatedColumnFormula>Table1013[[#This Row],[MLT]]*Table1436[[#This Row],[Products]]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3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A59E-E044-4DBC-A274-DD8B435BC589}">
  <dimension ref="A1:AE20"/>
  <sheetViews>
    <sheetView topLeftCell="T2" workbookViewId="0">
      <selection activeCell="AC2" sqref="AC2:AE299"/>
    </sheetView>
  </sheetViews>
  <sheetFormatPr defaultRowHeight="14.4"/>
  <cols>
    <col min="1" max="1" width="23.109375" bestFit="1" customWidth="1"/>
    <col min="2" max="2" width="12.6640625" bestFit="1" customWidth="1"/>
    <col min="3" max="3" width="34.6640625" bestFit="1" customWidth="1"/>
    <col min="5" max="5" width="16.5546875" bestFit="1" customWidth="1"/>
    <col min="6" max="6" width="12.6640625" bestFit="1" customWidth="1"/>
    <col min="7" max="7" width="28.88671875" bestFit="1" customWidth="1"/>
    <col min="9" max="9" width="16.5546875" bestFit="1" customWidth="1"/>
    <col min="10" max="10" width="12.6640625" bestFit="1" customWidth="1"/>
    <col min="11" max="11" width="34.109375" bestFit="1" customWidth="1"/>
    <col min="13" max="13" width="22" bestFit="1" customWidth="1"/>
    <col min="14" max="14" width="12.6640625" bestFit="1" customWidth="1"/>
    <col min="15" max="15" width="28.88671875" bestFit="1" customWidth="1"/>
    <col min="17" max="17" width="22" bestFit="1" customWidth="1"/>
    <col min="18" max="18" width="12.6640625" bestFit="1" customWidth="1"/>
    <col min="19" max="19" width="35.44140625" bestFit="1" customWidth="1"/>
    <col min="21" max="21" width="14.77734375" bestFit="1" customWidth="1"/>
    <col min="22" max="22" width="12.6640625" bestFit="1" customWidth="1"/>
    <col min="23" max="23" width="28.88671875" bestFit="1" customWidth="1"/>
    <col min="25" max="25" width="9.6640625" bestFit="1" customWidth="1"/>
    <col min="26" max="26" width="12.6640625" bestFit="1" customWidth="1"/>
    <col min="27" max="27" width="31.77734375" bestFit="1" customWidth="1"/>
    <col min="29" max="29" width="9.6640625" bestFit="1" customWidth="1"/>
    <col min="30" max="30" width="12.6640625" bestFit="1" customWidth="1"/>
    <col min="31" max="31" width="80.88671875" bestFit="1" customWidth="1"/>
  </cols>
  <sheetData>
    <row r="1" spans="1:31" s="1" customFormat="1" ht="18">
      <c r="A1" s="21" t="s">
        <v>0</v>
      </c>
      <c r="B1" s="21"/>
      <c r="C1" s="21"/>
      <c r="E1" s="21" t="s">
        <v>1</v>
      </c>
      <c r="F1" s="21"/>
      <c r="G1" s="21"/>
      <c r="I1" s="21" t="s">
        <v>2</v>
      </c>
      <c r="J1" s="21"/>
      <c r="K1" s="21"/>
      <c r="M1" s="21" t="s">
        <v>3</v>
      </c>
      <c r="N1" s="21"/>
      <c r="O1" s="21"/>
      <c r="Q1" s="21" t="s">
        <v>4</v>
      </c>
      <c r="R1" s="21"/>
      <c r="S1" s="21"/>
      <c r="U1" s="21" t="s">
        <v>39</v>
      </c>
      <c r="V1" s="21"/>
      <c r="W1" s="21"/>
      <c r="Y1" s="21" t="s">
        <v>11</v>
      </c>
      <c r="Z1" s="21"/>
      <c r="AA1" s="21"/>
      <c r="AC1" s="21" t="s">
        <v>46</v>
      </c>
      <c r="AD1" s="21"/>
      <c r="AE1" s="21"/>
    </row>
    <row r="2" spans="1:31">
      <c r="A2" t="s">
        <v>5</v>
      </c>
      <c r="B2" t="s">
        <v>6</v>
      </c>
      <c r="C2" t="s">
        <v>7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5</v>
      </c>
      <c r="N2" t="s">
        <v>6</v>
      </c>
      <c r="O2" t="s">
        <v>7</v>
      </c>
      <c r="Q2" t="s">
        <v>5</v>
      </c>
      <c r="R2" t="s">
        <v>6</v>
      </c>
      <c r="S2" t="s">
        <v>7</v>
      </c>
      <c r="U2" t="s">
        <v>5</v>
      </c>
      <c r="V2" t="s">
        <v>6</v>
      </c>
      <c r="W2" t="s">
        <v>7</v>
      </c>
      <c r="Y2" t="s">
        <v>5</v>
      </c>
      <c r="Z2" t="s">
        <v>6</v>
      </c>
      <c r="AA2" t="s">
        <v>7</v>
      </c>
      <c r="AC2" t="s">
        <v>5</v>
      </c>
      <c r="AD2" t="s">
        <v>6</v>
      </c>
      <c r="AE2" t="s">
        <v>7</v>
      </c>
    </row>
    <row r="3" spans="1:31">
      <c r="A3" s="30" t="s">
        <v>8</v>
      </c>
      <c r="B3" s="30">
        <v>1753093273.7997999</v>
      </c>
      <c r="C3" s="30" t="s">
        <v>9</v>
      </c>
      <c r="E3" t="s">
        <v>12</v>
      </c>
      <c r="F3">
        <v>1753093277.9326999</v>
      </c>
      <c r="G3" t="s">
        <v>9</v>
      </c>
      <c r="I3" s="30" t="s">
        <v>13</v>
      </c>
      <c r="J3" s="30">
        <v>1753093274.2360001</v>
      </c>
      <c r="K3" s="30" t="s">
        <v>9</v>
      </c>
      <c r="M3" t="s">
        <v>14</v>
      </c>
      <c r="N3">
        <v>1753093278.1609001</v>
      </c>
      <c r="O3" t="s">
        <v>9</v>
      </c>
      <c r="Q3" s="30" t="s">
        <v>15</v>
      </c>
      <c r="R3" s="30">
        <v>1753093274.9356</v>
      </c>
      <c r="S3" s="30" t="s">
        <v>9</v>
      </c>
      <c r="U3" t="s">
        <v>31</v>
      </c>
      <c r="V3">
        <v>1753093277.9525001</v>
      </c>
      <c r="W3" t="s">
        <v>9</v>
      </c>
      <c r="Y3" t="s">
        <v>16</v>
      </c>
      <c r="Z3">
        <v>1753093279.2193</v>
      </c>
      <c r="AA3" t="s">
        <v>18</v>
      </c>
      <c r="AC3" s="30" t="s">
        <v>47</v>
      </c>
      <c r="AD3">
        <v>1753093278.6879001</v>
      </c>
      <c r="AE3" s="30" t="s">
        <v>9</v>
      </c>
    </row>
    <row r="4" spans="1:31">
      <c r="A4" s="30" t="s">
        <v>8</v>
      </c>
      <c r="B4" s="30">
        <v>1753093277.2351999</v>
      </c>
      <c r="C4" s="30" t="s">
        <v>10</v>
      </c>
      <c r="E4" t="s">
        <v>12</v>
      </c>
      <c r="F4">
        <v>1753093281.7337999</v>
      </c>
      <c r="G4" t="s">
        <v>10</v>
      </c>
      <c r="I4" s="30" t="s">
        <v>13</v>
      </c>
      <c r="J4" s="30">
        <v>1753093278.5149</v>
      </c>
      <c r="K4" s="30" t="s">
        <v>10</v>
      </c>
      <c r="M4" t="s">
        <v>14</v>
      </c>
      <c r="N4">
        <v>1753093281.8924999</v>
      </c>
      <c r="O4" t="s">
        <v>10</v>
      </c>
      <c r="Q4" s="30" t="s">
        <v>15</v>
      </c>
      <c r="R4" s="30">
        <v>1753093278.6164</v>
      </c>
      <c r="S4" s="30" t="s">
        <v>10</v>
      </c>
      <c r="U4" t="s">
        <v>31</v>
      </c>
      <c r="V4">
        <v>1753093282.1600001</v>
      </c>
      <c r="W4" t="s">
        <v>10</v>
      </c>
      <c r="Y4" t="s">
        <v>16</v>
      </c>
      <c r="Z4">
        <v>1753093280.7426</v>
      </c>
      <c r="AA4" t="s">
        <v>22</v>
      </c>
      <c r="AC4" s="30" t="s">
        <v>47</v>
      </c>
      <c r="AD4">
        <v>1753093280.8517001</v>
      </c>
      <c r="AE4" s="30" t="s">
        <v>10</v>
      </c>
    </row>
    <row r="5" spans="1:31">
      <c r="A5" s="30" t="s">
        <v>8</v>
      </c>
      <c r="B5" s="30">
        <v>1753093300.4865999</v>
      </c>
      <c r="C5" s="30" t="s">
        <v>105</v>
      </c>
      <c r="I5" s="30" t="s">
        <v>13</v>
      </c>
      <c r="J5" s="30">
        <v>1753093343.8315001</v>
      </c>
      <c r="K5" s="30" t="s">
        <v>111</v>
      </c>
      <c r="Q5" s="30" t="s">
        <v>15</v>
      </c>
      <c r="R5" s="30">
        <v>1753093316.8670001</v>
      </c>
      <c r="S5" s="30" t="s">
        <v>113</v>
      </c>
      <c r="Y5" t="s">
        <v>16</v>
      </c>
      <c r="Z5">
        <v>1753093280.997</v>
      </c>
      <c r="AA5" t="s">
        <v>23</v>
      </c>
      <c r="AC5" s="30" t="s">
        <v>47</v>
      </c>
      <c r="AD5">
        <v>1753093298.0518999</v>
      </c>
      <c r="AE5" s="30" t="s">
        <v>84</v>
      </c>
    </row>
    <row r="6" spans="1:31">
      <c r="A6" s="30" t="s">
        <v>8</v>
      </c>
      <c r="B6" s="30">
        <v>1753093316.5106001</v>
      </c>
      <c r="C6" s="30" t="s">
        <v>106</v>
      </c>
      <c r="I6" s="30" t="s">
        <v>13</v>
      </c>
      <c r="J6" s="30">
        <v>1753093369.7167001</v>
      </c>
      <c r="K6" s="30" t="s">
        <v>112</v>
      </c>
      <c r="Q6" s="30" t="s">
        <v>15</v>
      </c>
      <c r="R6" s="30">
        <v>1753093326.6385</v>
      </c>
      <c r="S6" s="30" t="s">
        <v>114</v>
      </c>
      <c r="Y6" t="s">
        <v>16</v>
      </c>
      <c r="Z6">
        <v>1753093282.8771</v>
      </c>
      <c r="AA6" t="s">
        <v>21</v>
      </c>
      <c r="AC6" s="30" t="s">
        <v>47</v>
      </c>
      <c r="AD6">
        <v>1753093300.0085001</v>
      </c>
      <c r="AE6" s="30" t="s">
        <v>77</v>
      </c>
    </row>
    <row r="7" spans="1:31">
      <c r="A7" s="30" t="s">
        <v>8</v>
      </c>
      <c r="B7" s="30">
        <v>1753093329.5420001</v>
      </c>
      <c r="C7" s="30" t="s">
        <v>107</v>
      </c>
      <c r="Y7" t="s">
        <v>16</v>
      </c>
      <c r="Z7">
        <v>1753093284.2256</v>
      </c>
      <c r="AA7" t="s">
        <v>17</v>
      </c>
      <c r="AC7" s="30" t="s">
        <v>47</v>
      </c>
      <c r="AD7">
        <v>1753093300.0116999</v>
      </c>
      <c r="AE7" s="30" t="s">
        <v>48</v>
      </c>
    </row>
    <row r="8" spans="1:31">
      <c r="A8" s="30" t="s">
        <v>8</v>
      </c>
      <c r="B8" s="30">
        <v>1753093343.5646</v>
      </c>
      <c r="C8" s="30" t="s">
        <v>108</v>
      </c>
      <c r="Y8" t="s">
        <v>16</v>
      </c>
      <c r="Z8">
        <v>1753093284.3311</v>
      </c>
      <c r="AA8" t="s">
        <v>20</v>
      </c>
      <c r="AC8" s="30" t="s">
        <v>47</v>
      </c>
      <c r="AD8">
        <v>1753093300.3076</v>
      </c>
      <c r="AE8" s="30" t="s">
        <v>115</v>
      </c>
    </row>
    <row r="9" spans="1:31">
      <c r="A9" s="30" t="s">
        <v>8</v>
      </c>
      <c r="B9" s="30">
        <v>1753093370.3353</v>
      </c>
      <c r="C9" s="30" t="s">
        <v>109</v>
      </c>
      <c r="Y9" t="s">
        <v>16</v>
      </c>
      <c r="Z9">
        <v>1753093284.6094999</v>
      </c>
      <c r="AA9" t="s">
        <v>19</v>
      </c>
      <c r="AC9" s="30" t="s">
        <v>47</v>
      </c>
      <c r="AD9">
        <v>1753093316.5650001</v>
      </c>
      <c r="AE9" s="30" t="s">
        <v>116</v>
      </c>
    </row>
    <row r="10" spans="1:31">
      <c r="A10" s="30" t="s">
        <v>8</v>
      </c>
      <c r="B10" s="30">
        <v>1753093383.3534999</v>
      </c>
      <c r="C10" s="30" t="s">
        <v>110</v>
      </c>
      <c r="AC10" s="30" t="s">
        <v>47</v>
      </c>
      <c r="AD10">
        <v>1753093316.5982001</v>
      </c>
      <c r="AE10" s="30" t="s">
        <v>117</v>
      </c>
    </row>
    <row r="11" spans="1:31">
      <c r="AC11" s="30" t="s">
        <v>47</v>
      </c>
      <c r="AD11">
        <v>1753093326.6833999</v>
      </c>
      <c r="AE11" s="30" t="s">
        <v>118</v>
      </c>
    </row>
    <row r="12" spans="1:31">
      <c r="AC12" s="30" t="s">
        <v>47</v>
      </c>
      <c r="AD12">
        <v>1753093329.3146</v>
      </c>
      <c r="AE12" s="30" t="s">
        <v>119</v>
      </c>
    </row>
    <row r="13" spans="1:31">
      <c r="AC13" s="30" t="s">
        <v>47</v>
      </c>
      <c r="AD13">
        <v>1753093343.5911</v>
      </c>
      <c r="AE13" s="30" t="s">
        <v>120</v>
      </c>
    </row>
    <row r="14" spans="1:31">
      <c r="AC14" s="30" t="s">
        <v>47</v>
      </c>
      <c r="AD14">
        <v>1753093343.6154001</v>
      </c>
      <c r="AE14" s="30" t="s">
        <v>121</v>
      </c>
    </row>
    <row r="15" spans="1:31">
      <c r="AC15" s="30" t="s">
        <v>47</v>
      </c>
      <c r="AD15">
        <v>1753093369.7785001</v>
      </c>
      <c r="AE15" s="30" t="s">
        <v>122</v>
      </c>
    </row>
    <row r="16" spans="1:31">
      <c r="AC16" s="30" t="s">
        <v>47</v>
      </c>
      <c r="AD16">
        <v>1753093370.1236</v>
      </c>
      <c r="AE16" s="30" t="s">
        <v>123</v>
      </c>
    </row>
    <row r="17" spans="29:31">
      <c r="AC17" s="30" t="s">
        <v>47</v>
      </c>
      <c r="AD17">
        <v>1753093383.3945</v>
      </c>
      <c r="AE17" s="30" t="s">
        <v>124</v>
      </c>
    </row>
    <row r="18" spans="29:31">
      <c r="AC18" s="30" t="s">
        <v>47</v>
      </c>
      <c r="AD18">
        <v>1753093383.3952</v>
      </c>
      <c r="AE18" s="30" t="s">
        <v>52</v>
      </c>
    </row>
    <row r="19" spans="29:31">
      <c r="AC19" s="30" t="s">
        <v>98</v>
      </c>
      <c r="AE19" s="30" t="s">
        <v>98</v>
      </c>
    </row>
    <row r="20" spans="29:31">
      <c r="AC20" s="30" t="s">
        <v>98</v>
      </c>
      <c r="AE20" s="30" t="s">
        <v>98</v>
      </c>
    </row>
  </sheetData>
  <mergeCells count="8">
    <mergeCell ref="AC1:AE1"/>
    <mergeCell ref="Y1:AA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2803-D178-4563-8EC4-D99F7EB865AC}">
  <dimension ref="B1:N10"/>
  <sheetViews>
    <sheetView workbookViewId="0">
      <selection activeCell="E13" sqref="E13"/>
    </sheetView>
  </sheetViews>
  <sheetFormatPr defaultRowHeight="14.4"/>
  <cols>
    <col min="2" max="2" width="12.6640625" bestFit="1" customWidth="1"/>
    <col min="3" max="3" width="11.77734375" bestFit="1" customWidth="1"/>
    <col min="4" max="5" width="14" bestFit="1" customWidth="1"/>
    <col min="6" max="6" width="11" bestFit="1" customWidth="1"/>
    <col min="7" max="7" width="11.77734375" bestFit="1" customWidth="1"/>
    <col min="8" max="8" width="12.44140625" customWidth="1"/>
  </cols>
  <sheetData>
    <row r="1" spans="2:14" ht="18" thickBot="1">
      <c r="B1" s="25" t="s">
        <v>25</v>
      </c>
      <c r="C1" s="25"/>
      <c r="D1" s="25" t="str">
        <f>'Extracted data'!$A$3</f>
        <v>smia-cedri-industrial-robot</v>
      </c>
      <c r="E1" s="25"/>
      <c r="F1" s="25"/>
    </row>
    <row r="2" spans="2:14" ht="15" thickTop="1"/>
    <row r="3" spans="2:14" ht="18">
      <c r="B3" s="22" t="s">
        <v>24</v>
      </c>
      <c r="C3" s="23"/>
      <c r="D3" s="24"/>
      <c r="F3" s="22" t="s">
        <v>30</v>
      </c>
      <c r="G3" s="23"/>
      <c r="H3" s="24"/>
    </row>
    <row r="4" spans="2:14">
      <c r="C4" s="4" t="s">
        <v>32</v>
      </c>
      <c r="D4" s="7" cm="1">
        <f t="array" ref="D4">AVERAGE(_xlfn._xlws.FILTER(D7:D1048576, D7:D1048576 &lt;&gt; ""))</f>
        <v>3.4354000091552734</v>
      </c>
      <c r="G4" s="4" t="s">
        <v>32</v>
      </c>
      <c r="H4" s="7" cm="1">
        <f t="array" ref="H4">AVERAGE(_xlfn._xlws.FILTER(H7:H1048576, H7:H1048576 &lt;&gt; ""))</f>
        <v>5.4195001125335693</v>
      </c>
      <c r="N4" s="3"/>
    </row>
    <row r="5" spans="2:14">
      <c r="N5" s="3"/>
    </row>
    <row r="6" spans="2:14" ht="15" thickBot="1">
      <c r="B6" s="5" t="s">
        <v>28</v>
      </c>
      <c r="C6" s="5" t="s">
        <v>29</v>
      </c>
      <c r="D6" s="6" t="s">
        <v>27</v>
      </c>
      <c r="F6" s="5" t="s">
        <v>28</v>
      </c>
      <c r="G6" s="5" t="s">
        <v>29</v>
      </c>
      <c r="H6" s="6" t="s">
        <v>27</v>
      </c>
    </row>
    <row r="7" spans="2:14">
      <c r="B7" cm="1">
        <f t="array" ref="B7:D7">_xlfn.LET(
    _xlpm.started, _xlfn._xlws.FILTER(smia_cedri_industrial_robot_metrics[Timestamp], smia_cedri_industrial_robot_metrics[Description]="SMIA started"),
    _xlpm.finished, _xlfn._xlws.FILTER(smia_cedri_industrial_robot_metrics[Timestamp], smia_cedri_industrial_robot_metrics[Description]="SMIA self-configuration completed"),
    _xlpm.duration, _xlpm.finished - _xlpm.started,
    _xlfn.HSTACK(_xlpm.started, _xlpm.finished, _xlpm.duration)
)</f>
        <v>1753093273.7997999</v>
      </c>
      <c r="C7">
        <v>1753093277.2351999</v>
      </c>
      <c r="D7" s="3">
        <v>3.4354000091552734</v>
      </c>
      <c r="F7" cm="1">
        <f t="array" ref="F7:H7">_xlfn.LET(
    _xlpm.started, _xlfn._xlws.FILTER(smia_cedri_industrial_robot_metrics[Timestamp], smia_cedri_industrial_robot_metrics[Description]="SMIA started"),
    _xlpm.finished, _xlfn._xlws.FILTER(smia_ism_metrics[Timestamp], smia_ism_metrics[Description]=D1 &amp; " registered"),
    _xlpm.duration, _xlpm.finished - _xlpm.started,
    _xlfn.HSTACK(_xlpm.started, _xlpm.finished, _xlpm.duration)
)</f>
        <v>1753093273.7997999</v>
      </c>
      <c r="G7">
        <v>1753093279.2193</v>
      </c>
      <c r="H7" s="3">
        <v>5.4195001125335693</v>
      </c>
    </row>
    <row r="8" spans="2:14">
      <c r="D8" s="3"/>
      <c r="H8" s="3"/>
    </row>
    <row r="9" spans="2:14">
      <c r="D9" s="3"/>
      <c r="H9" s="3"/>
    </row>
    <row r="10" spans="2:14">
      <c r="B10" s="2"/>
      <c r="D10" s="3"/>
      <c r="F10" s="2"/>
      <c r="H10" s="3"/>
    </row>
  </sheetData>
  <mergeCells count="4">
    <mergeCell ref="B3:D3"/>
    <mergeCell ref="F3:H3"/>
    <mergeCell ref="B1:C1"/>
    <mergeCell ref="D1:F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A2F3-6F31-45FF-8885-47930F810E51}">
  <dimension ref="B1:N10"/>
  <sheetViews>
    <sheetView workbookViewId="0">
      <selection activeCell="F22" sqref="F22"/>
    </sheetView>
  </sheetViews>
  <sheetFormatPr defaultRowHeight="14.4"/>
  <cols>
    <col min="2" max="2" width="12.6640625" bestFit="1" customWidth="1"/>
    <col min="3" max="3" width="11.77734375" bestFit="1" customWidth="1"/>
    <col min="4" max="5" width="14" bestFit="1" customWidth="1"/>
    <col min="6" max="6" width="11" bestFit="1" customWidth="1"/>
    <col min="7" max="7" width="11.77734375" bestFit="1" customWidth="1"/>
    <col min="8" max="8" width="12.44140625" customWidth="1"/>
  </cols>
  <sheetData>
    <row r="1" spans="2:14" ht="18" thickBot="1">
      <c r="B1" s="25" t="s">
        <v>25</v>
      </c>
      <c r="C1" s="25"/>
      <c r="D1" s="25" t="str">
        <f>'Extracted data'!E3</f>
        <v>smia-indexedline-a</v>
      </c>
      <c r="E1" s="25"/>
      <c r="F1" s="25"/>
    </row>
    <row r="2" spans="2:14" ht="15" thickTop="1"/>
    <row r="3" spans="2:14" ht="18">
      <c r="B3" s="22" t="s">
        <v>24</v>
      </c>
      <c r="C3" s="23"/>
      <c r="D3" s="24"/>
      <c r="F3" s="22" t="s">
        <v>30</v>
      </c>
      <c r="G3" s="23"/>
      <c r="H3" s="24"/>
    </row>
    <row r="4" spans="2:14">
      <c r="C4" s="4" t="s">
        <v>32</v>
      </c>
      <c r="D4" s="7" cm="1">
        <f t="array" ref="D4">AVERAGE(_xlfn._xlws.FILTER(D7:D1048576, D7:D1048576 &lt;&gt; ""))</f>
        <v>3.8011000156402588</v>
      </c>
      <c r="G4" s="4" t="s">
        <v>32</v>
      </c>
      <c r="H4" s="7" cm="1">
        <f t="array" ref="H4">AVERAGE(_xlfn._xlws.FILTER(H7:H1048576, H7:H1048576 &lt;&gt; ""))</f>
        <v>6.2929000854492188</v>
      </c>
      <c r="N4" s="3"/>
    </row>
    <row r="5" spans="2:14">
      <c r="N5" s="3"/>
    </row>
    <row r="6" spans="2:14" ht="15" thickBot="1">
      <c r="B6" s="5" t="s">
        <v>28</v>
      </c>
      <c r="C6" s="5" t="s">
        <v>29</v>
      </c>
      <c r="D6" s="6" t="s">
        <v>27</v>
      </c>
      <c r="F6" s="5" t="s">
        <v>28</v>
      </c>
      <c r="G6" s="5" t="s">
        <v>29</v>
      </c>
      <c r="H6" s="6" t="s">
        <v>27</v>
      </c>
    </row>
    <row r="7" spans="2:14">
      <c r="B7" cm="1">
        <f t="array" ref="B7:D7">_xlfn.LET(
    _xlpm.started, _xlfn._xlws.FILTER(smia_indexedline_a_metrics[Timestamp], smia_indexedline_a_metrics[Description]="SMIA started"),
    _xlpm.finished, _xlfn._xlws.FILTER(smia_indexedline_a_metrics[Timestamp], smia_indexedline_a_metrics[Description]="SMIA self-configuration completed"),
    _xlpm.duration, _xlpm.finished - _xlpm.started,
    _xlfn.HSTACK(_xlpm.started, _xlpm.finished, _xlpm.duration)
)</f>
        <v>1753093277.9326999</v>
      </c>
      <c r="C7">
        <v>1753093281.7337999</v>
      </c>
      <c r="D7" s="3">
        <v>3.8011000156402588</v>
      </c>
      <c r="F7" cm="1">
        <f t="array" ref="F7:H7">_xlfn.LET(
    _xlpm.started, _xlfn._xlws.FILTER(smia_indexedline_a_metrics[Timestamp], smia_indexedline_a_metrics[Description]="SMIA started"),
    _xlpm.finished, _xlfn._xlws.FILTER(smia_ism_metrics[Timestamp], smia_ism_metrics[Description]=D1 &amp; " registered"),
    _xlpm.duration, _xlpm.finished - _xlpm.started,
    _xlfn.HSTACK(_xlpm.started, _xlpm.finished, _xlpm.duration)
)</f>
        <v>1753093277.9326999</v>
      </c>
      <c r="G7">
        <v>1753093284.2256</v>
      </c>
      <c r="H7" s="3">
        <v>6.2929000854492188</v>
      </c>
    </row>
    <row r="8" spans="2:14">
      <c r="D8" s="3"/>
      <c r="H8" s="3"/>
    </row>
    <row r="9" spans="2:14">
      <c r="D9" s="3"/>
      <c r="H9" s="3"/>
    </row>
    <row r="10" spans="2:14">
      <c r="B10" s="2"/>
      <c r="D10" s="3"/>
      <c r="F10" s="2"/>
      <c r="H10" s="3"/>
    </row>
  </sheetData>
  <mergeCells count="4">
    <mergeCell ref="B1:C1"/>
    <mergeCell ref="D1:F1"/>
    <mergeCell ref="B3:D3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D15C-B652-47CE-BB49-A1C678FA8359}">
  <dimension ref="B1:N10"/>
  <sheetViews>
    <sheetView workbookViewId="0">
      <selection activeCell="F13" sqref="F13"/>
    </sheetView>
  </sheetViews>
  <sheetFormatPr defaultRowHeight="14.4"/>
  <cols>
    <col min="2" max="2" width="12.6640625" bestFit="1" customWidth="1"/>
    <col min="3" max="3" width="11.77734375" bestFit="1" customWidth="1"/>
    <col min="4" max="5" width="14" bestFit="1" customWidth="1"/>
    <col min="6" max="6" width="11" bestFit="1" customWidth="1"/>
    <col min="7" max="7" width="11.77734375" bestFit="1" customWidth="1"/>
    <col min="8" max="8" width="12.44140625" customWidth="1"/>
  </cols>
  <sheetData>
    <row r="1" spans="2:14" ht="18" thickBot="1">
      <c r="B1" s="25" t="s">
        <v>25</v>
      </c>
      <c r="C1" s="25"/>
      <c r="D1" s="25" t="str">
        <f>'Extracted data'!I3</f>
        <v>smia-indexedline-b</v>
      </c>
      <c r="E1" s="25"/>
      <c r="F1" s="25"/>
    </row>
    <row r="2" spans="2:14" ht="15" thickTop="1"/>
    <row r="3" spans="2:14" ht="18">
      <c r="B3" s="22" t="s">
        <v>24</v>
      </c>
      <c r="C3" s="23"/>
      <c r="D3" s="24"/>
      <c r="F3" s="22" t="s">
        <v>30</v>
      </c>
      <c r="G3" s="23"/>
      <c r="H3" s="24"/>
    </row>
    <row r="4" spans="2:14">
      <c r="C4" s="4" t="s">
        <v>32</v>
      </c>
      <c r="D4" s="7" cm="1">
        <f t="array" ref="D4">AVERAGE(_xlfn._xlws.FILTER(D7:D1048576, D7:D1048576 &lt;&gt; ""))</f>
        <v>4.2788999080657959</v>
      </c>
      <c r="G4" s="4" t="s">
        <v>32</v>
      </c>
      <c r="H4" s="7" cm="1">
        <f t="array" ref="H4">AVERAGE(_xlfn._xlws.FILTER(H7:H1048576, H7:H1048576 &lt;&gt; ""))</f>
        <v>6.5065999031066895</v>
      </c>
      <c r="N4" s="3"/>
    </row>
    <row r="5" spans="2:14">
      <c r="N5" s="3"/>
    </row>
    <row r="6" spans="2:14" ht="15" thickBot="1">
      <c r="B6" s="5" t="s">
        <v>28</v>
      </c>
      <c r="C6" s="5" t="s">
        <v>29</v>
      </c>
      <c r="D6" s="6" t="s">
        <v>27</v>
      </c>
      <c r="F6" s="5" t="s">
        <v>28</v>
      </c>
      <c r="G6" s="5" t="s">
        <v>29</v>
      </c>
      <c r="H6" s="6" t="s">
        <v>27</v>
      </c>
    </row>
    <row r="7" spans="2:14">
      <c r="B7" cm="1">
        <f t="array" ref="B7:D7">_xlfn.LET(
    _xlpm.started, _xlfn._xlws.FILTER(smia_indexedline_b_metrics[Timestamp], smia_indexedline_b_metrics[Description]="SMIA started"),
    _xlpm.finished, _xlfn._xlws.FILTER(smia_indexedline_b_metrics[Timestamp], smia_indexedline_b_metrics[Description]="SMIA self-configuration completed"),
    _xlpm.duration, _xlpm.finished - _xlpm.started,
    _xlfn.HSTACK(_xlpm.started, _xlpm.finished, _xlpm.duration)
)</f>
        <v>1753093274.2360001</v>
      </c>
      <c r="C7">
        <v>1753093278.5149</v>
      </c>
      <c r="D7" s="3">
        <v>4.2788999080657959</v>
      </c>
      <c r="F7" cm="1">
        <f t="array" ref="F7:H7">_xlfn.LET(
    _xlpm.started, _xlfn._xlws.FILTER(smia_indexedline_b_metrics[Timestamp], smia_indexedline_b_metrics[Description]="SMIA started"),
    _xlpm.finished, _xlfn._xlws.FILTER(smia_ism_metrics[Timestamp], smia_ism_metrics[Description]=D1 &amp; " registered"),
    _xlpm.duration, _xlpm.finished - _xlpm.started,
    _xlfn.HSTACK(_xlpm.started, _xlpm.finished, _xlpm.duration)
)</f>
        <v>1753093274.2360001</v>
      </c>
      <c r="G7">
        <v>1753093280.7426</v>
      </c>
      <c r="H7" s="3">
        <v>6.5065999031066895</v>
      </c>
    </row>
    <row r="8" spans="2:14">
      <c r="D8" s="3"/>
      <c r="H8" s="3"/>
    </row>
    <row r="9" spans="2:14">
      <c r="D9" s="3"/>
      <c r="H9" s="3"/>
    </row>
    <row r="10" spans="2:14">
      <c r="B10" s="2"/>
      <c r="D10" s="3"/>
      <c r="F10" s="2"/>
      <c r="H10" s="3"/>
    </row>
  </sheetData>
  <mergeCells count="4">
    <mergeCell ref="B1:C1"/>
    <mergeCell ref="D1:F1"/>
    <mergeCell ref="B3:D3"/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3433-322F-48CA-BF7A-A12FAC2C9435}">
  <dimension ref="B1:N10"/>
  <sheetViews>
    <sheetView workbookViewId="0">
      <selection activeCell="H4" activeCellId="1" sqref="D4 H4"/>
    </sheetView>
  </sheetViews>
  <sheetFormatPr defaultRowHeight="14.4"/>
  <cols>
    <col min="2" max="2" width="12.6640625" bestFit="1" customWidth="1"/>
    <col min="3" max="3" width="11.77734375" bestFit="1" customWidth="1"/>
    <col min="4" max="5" width="14" bestFit="1" customWidth="1"/>
    <col min="6" max="6" width="11" bestFit="1" customWidth="1"/>
    <col min="7" max="7" width="11.77734375" bestFit="1" customWidth="1"/>
    <col min="8" max="8" width="12.44140625" customWidth="1"/>
  </cols>
  <sheetData>
    <row r="1" spans="2:14" ht="18" thickBot="1">
      <c r="B1" s="25" t="s">
        <v>25</v>
      </c>
      <c r="C1" s="25"/>
      <c r="D1" s="25" t="str">
        <f>'Extracted data'!M3</f>
        <v>smia-punchingmachine-a</v>
      </c>
      <c r="E1" s="25"/>
      <c r="F1" s="25"/>
    </row>
    <row r="2" spans="2:14" ht="15" thickTop="1"/>
    <row r="3" spans="2:14" ht="18">
      <c r="B3" s="22" t="s">
        <v>24</v>
      </c>
      <c r="C3" s="23"/>
      <c r="D3" s="24"/>
      <c r="F3" s="22" t="s">
        <v>30</v>
      </c>
      <c r="G3" s="23"/>
      <c r="H3" s="24"/>
    </row>
    <row r="4" spans="2:14">
      <c r="C4" s="4" t="s">
        <v>32</v>
      </c>
      <c r="D4" s="7" cm="1">
        <f t="array" ref="D4">AVERAGE(_xlfn._xlws.FILTER(D7:D1048576, D7:D1048576 &lt;&gt; ""))</f>
        <v>3.7315998077392578</v>
      </c>
      <c r="G4" s="4" t="s">
        <v>32</v>
      </c>
      <c r="H4" s="7" cm="1">
        <f t="array" ref="H4">AVERAGE(_xlfn._xlws.FILTER(H7:H1048576, H7:H1048576 &lt;&gt; ""))</f>
        <v>6.1701998710632324</v>
      </c>
      <c r="N4" s="3"/>
    </row>
    <row r="5" spans="2:14">
      <c r="N5" s="3"/>
    </row>
    <row r="6" spans="2:14" ht="15" thickBot="1">
      <c r="B6" s="5" t="s">
        <v>28</v>
      </c>
      <c r="C6" s="5" t="s">
        <v>29</v>
      </c>
      <c r="D6" s="6" t="s">
        <v>27</v>
      </c>
      <c r="F6" s="5" t="s">
        <v>28</v>
      </c>
      <c r="G6" s="5" t="s">
        <v>29</v>
      </c>
      <c r="H6" s="6" t="s">
        <v>27</v>
      </c>
    </row>
    <row r="7" spans="2:14">
      <c r="B7" cm="1">
        <f t="array" ref="B7:D7">_xlfn.LET(
    _xlpm.started, _xlfn._xlws.FILTER(smia_punchingmachine_a_metrics[Timestamp], smia_punchingmachine_a_metrics[Description]="SMIA started"),
    _xlpm.finished, _xlfn._xlws.FILTER(smia_punchingmachine_a_metrics[Timestamp], smia_punchingmachine_a_metrics[Description]="SMIA self-configuration completed"),
    _xlpm.duration, _xlpm.finished - _xlpm.started,
    _xlfn.HSTACK(_xlpm.started, _xlpm.finished, _xlpm.duration)
)</f>
        <v>1753093278.1609001</v>
      </c>
      <c r="C7">
        <v>1753093281.8924999</v>
      </c>
      <c r="D7" s="3">
        <v>3.7315998077392578</v>
      </c>
      <c r="F7" cm="1">
        <f t="array" ref="F7:H7">_xlfn.LET(
    _xlpm.started, _xlfn._xlws.FILTER(smia_punchingmachine_a_metrics[Timestamp], smia_punchingmachine_a_metrics[Description]="SMIA started"),
    _xlpm.finished, _xlfn._xlws.FILTER(smia_ism_metrics[Timestamp], smia_ism_metrics[Description]=D1 &amp; " registered"),
    _xlpm.duration, _xlpm.finished - _xlpm.started,
    _xlfn.HSTACK(_xlpm.started, _xlpm.finished, _xlpm.duration)
)</f>
        <v>1753093278.1609001</v>
      </c>
      <c r="G7">
        <v>1753093284.3311</v>
      </c>
      <c r="H7" s="3">
        <v>6.1701998710632324</v>
      </c>
    </row>
    <row r="8" spans="2:14">
      <c r="D8" s="3"/>
      <c r="H8" s="3"/>
    </row>
    <row r="9" spans="2:14">
      <c r="D9" s="3"/>
      <c r="H9" s="3"/>
    </row>
    <row r="10" spans="2:14">
      <c r="B10" s="2"/>
      <c r="D10" s="3"/>
      <c r="F10" s="2"/>
      <c r="H10" s="3"/>
    </row>
  </sheetData>
  <mergeCells count="4">
    <mergeCell ref="B1:C1"/>
    <mergeCell ref="D1:F1"/>
    <mergeCell ref="B3:D3"/>
    <mergeCell ref="F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68A-8139-47EA-98E2-CDD74B42124C}">
  <dimension ref="B1:N10"/>
  <sheetViews>
    <sheetView workbookViewId="0">
      <selection activeCell="H17" sqref="H17"/>
    </sheetView>
  </sheetViews>
  <sheetFormatPr defaultRowHeight="14.4"/>
  <cols>
    <col min="2" max="2" width="12.6640625" bestFit="1" customWidth="1"/>
    <col min="3" max="3" width="11.77734375" bestFit="1" customWidth="1"/>
    <col min="4" max="5" width="14" bestFit="1" customWidth="1"/>
    <col min="6" max="6" width="11" bestFit="1" customWidth="1"/>
    <col min="7" max="7" width="11.77734375" bestFit="1" customWidth="1"/>
    <col min="8" max="8" width="12.44140625" customWidth="1"/>
  </cols>
  <sheetData>
    <row r="1" spans="2:14" ht="18" thickBot="1">
      <c r="B1" s="25" t="s">
        <v>25</v>
      </c>
      <c r="C1" s="25"/>
      <c r="D1" s="25" t="str">
        <f>'Extracted data'!Q3</f>
        <v>smia-punchingmachine-b</v>
      </c>
      <c r="E1" s="25"/>
      <c r="F1" s="25"/>
    </row>
    <row r="2" spans="2:14" ht="15" thickTop="1"/>
    <row r="3" spans="2:14" ht="18">
      <c r="B3" s="22" t="s">
        <v>24</v>
      </c>
      <c r="C3" s="23"/>
      <c r="D3" s="24"/>
      <c r="F3" s="22" t="s">
        <v>30</v>
      </c>
      <c r="G3" s="23"/>
      <c r="H3" s="24"/>
    </row>
    <row r="4" spans="2:14">
      <c r="C4" s="4" t="s">
        <v>32</v>
      </c>
      <c r="D4" s="7" cm="1">
        <f t="array" ref="D4">AVERAGE(_xlfn._xlws.FILTER(D7:D1048576, D7:D1048576 &lt;&gt; ""))</f>
        <v>3.6807999610900879</v>
      </c>
      <c r="G4" s="4" t="s">
        <v>32</v>
      </c>
      <c r="H4" s="7" cm="1">
        <f t="array" ref="H4">AVERAGE(_xlfn._xlws.FILTER(H7:H1048576, H7:H1048576 &lt;&gt; ""))</f>
        <v>6.0613999366760254</v>
      </c>
      <c r="N4" s="3"/>
    </row>
    <row r="5" spans="2:14">
      <c r="N5" s="3"/>
    </row>
    <row r="6" spans="2:14" ht="15" thickBot="1">
      <c r="B6" s="5" t="s">
        <v>28</v>
      </c>
      <c r="C6" s="5" t="s">
        <v>29</v>
      </c>
      <c r="D6" s="6" t="s">
        <v>27</v>
      </c>
      <c r="F6" s="5" t="s">
        <v>28</v>
      </c>
      <c r="G6" s="5" t="s">
        <v>29</v>
      </c>
      <c r="H6" s="6" t="s">
        <v>27</v>
      </c>
    </row>
    <row r="7" spans="2:14">
      <c r="B7" cm="1">
        <f t="array" ref="B7:D7">_xlfn.LET(
    _xlpm.started, _xlfn._xlws.FILTER(smia_punchingmachine_b_metrics[Timestamp], smia_punchingmachine_b_metrics[Description]="SMIA started"),
    _xlpm.finished, _xlfn._xlws.FILTER(smia_punchingmachine_b_metrics[Timestamp], smia_punchingmachine_b_metrics[Description]="SMIA self-configuration completed"),
    _xlpm.duration, _xlpm.finished - _xlpm.started,
    _xlfn.HSTACK(_xlpm.started, _xlpm.finished, _xlpm.duration)
)</f>
        <v>1753093274.9356</v>
      </c>
      <c r="C7">
        <v>1753093278.6164</v>
      </c>
      <c r="D7" s="3">
        <v>3.6807999610900879</v>
      </c>
      <c r="F7" cm="1">
        <f t="array" ref="F7:H7">_xlfn.LET(
    _xlpm.started, _xlfn._xlws.FILTER(smia_punchingmachine_b_metrics[Timestamp], smia_punchingmachine_b_metrics[Description]="SMIA started"),
    _xlpm.finished, _xlfn._xlws.FILTER(smia_ism_metrics[Timestamp], smia_ism_metrics[Description]=D1 &amp; " registered"),
    _xlpm.duration, _xlpm.finished - _xlpm.started,
    _xlfn.HSTACK(_xlpm.started, _xlpm.finished, _xlpm.duration)
)</f>
        <v>1753093274.9356</v>
      </c>
      <c r="G7">
        <v>1753093280.997</v>
      </c>
      <c r="H7" s="3">
        <v>6.0613999366760254</v>
      </c>
    </row>
    <row r="8" spans="2:14">
      <c r="D8" s="3"/>
      <c r="H8" s="3"/>
    </row>
    <row r="9" spans="2:14">
      <c r="D9" s="3"/>
      <c r="H9" s="3"/>
    </row>
    <row r="10" spans="2:14">
      <c r="B10" s="2"/>
      <c r="D10" s="3"/>
      <c r="F10" s="2"/>
      <c r="H10" s="3"/>
    </row>
  </sheetData>
  <mergeCells count="4">
    <mergeCell ref="B1:C1"/>
    <mergeCell ref="D1:F1"/>
    <mergeCell ref="B3:D3"/>
    <mergeCell ref="F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960B-D327-48E6-98B5-73A1604EC6FA}">
  <dimension ref="B1:N10"/>
  <sheetViews>
    <sheetView workbookViewId="0">
      <selection activeCell="F7" sqref="F7"/>
    </sheetView>
  </sheetViews>
  <sheetFormatPr defaultRowHeight="14.4"/>
  <cols>
    <col min="2" max="2" width="12.6640625" bestFit="1" customWidth="1"/>
    <col min="3" max="3" width="11.77734375" bestFit="1" customWidth="1"/>
    <col min="4" max="5" width="14" bestFit="1" customWidth="1"/>
    <col min="6" max="6" width="11" bestFit="1" customWidth="1"/>
    <col min="7" max="7" width="11.77734375" bestFit="1" customWidth="1"/>
    <col min="8" max="8" width="12.44140625" customWidth="1"/>
  </cols>
  <sheetData>
    <row r="1" spans="2:14" ht="18" thickBot="1">
      <c r="B1" s="25" t="s">
        <v>25</v>
      </c>
      <c r="C1" s="25"/>
      <c r="D1" s="25" t="str">
        <f>'Extracted data'!U3</f>
        <v>smia-hi-operator</v>
      </c>
      <c r="E1" s="25"/>
      <c r="F1" s="25"/>
    </row>
    <row r="2" spans="2:14" ht="15" thickTop="1"/>
    <row r="3" spans="2:14" ht="18">
      <c r="B3" s="22" t="s">
        <v>24</v>
      </c>
      <c r="C3" s="23"/>
      <c r="D3" s="24"/>
      <c r="F3" s="22" t="s">
        <v>30</v>
      </c>
      <c r="G3" s="23"/>
      <c r="H3" s="24"/>
    </row>
    <row r="4" spans="2:14">
      <c r="C4" s="4" t="s">
        <v>32</v>
      </c>
      <c r="D4" s="7" cm="1">
        <f t="array" ref="D4">AVERAGE(_xlfn._xlws.FILTER(D7:D1048576, D7:D1048576 &lt;&gt; ""))</f>
        <v>4.2074999809265137</v>
      </c>
      <c r="G4" s="4" t="s">
        <v>32</v>
      </c>
      <c r="H4" s="7" cm="1">
        <f t="array" ref="H4">AVERAGE(_xlfn._xlws.FILTER(H7:H1048576, H7:H1048576 &lt;&gt; ""))</f>
        <v>6.6569998264312744</v>
      </c>
      <c r="N4" s="3"/>
    </row>
    <row r="5" spans="2:14">
      <c r="N5" s="3"/>
    </row>
    <row r="6" spans="2:14" ht="15" thickBot="1">
      <c r="B6" s="5" t="s">
        <v>28</v>
      </c>
      <c r="C6" s="5" t="s">
        <v>29</v>
      </c>
      <c r="D6" s="6" t="s">
        <v>27</v>
      </c>
      <c r="F6" s="5" t="s">
        <v>28</v>
      </c>
      <c r="G6" s="5" t="s">
        <v>29</v>
      </c>
      <c r="H6" s="6" t="s">
        <v>27</v>
      </c>
    </row>
    <row r="7" spans="2:14">
      <c r="B7" cm="1">
        <f t="array" ref="B7:D7">_xlfn.LET(
    _xlpm.started, _xlfn._xlws.FILTER(smia_hi_operator_metrics[Timestamp], smia_hi_operator_metrics[Description]="SMIA started"),
    _xlpm.finished, _xlfn._xlws.FILTER(smia_hi_operator_metrics[Timestamp], smia_hi_operator_metrics[Description]="SMIA self-configuration completed"),
    _xlpm.duration, _xlpm.finished - _xlpm.started,
    _xlfn.HSTACK(_xlpm.started, _xlpm.finished, _xlpm.duration)
)</f>
        <v>1753093277.9525001</v>
      </c>
      <c r="C7">
        <v>1753093282.1600001</v>
      </c>
      <c r="D7" s="3">
        <v>4.2074999809265137</v>
      </c>
      <c r="F7" cm="1">
        <f t="array" ref="F7:H7">_xlfn.LET(
    _xlpm.started, _xlfn._xlws.FILTER(smia_hi_operator_metrics[Timestamp], smia_hi_operator_metrics[Description]="SMIA started"),
    _xlpm.finished, _xlfn._xlws.FILTER(smia_ism_metrics[Timestamp], smia_ism_metrics[Description]=D1 &amp; " registered"),
    _xlpm.duration, _xlpm.finished - _xlpm.started,
    _xlfn.HSTACK(_xlpm.started, _xlpm.finished, _xlpm.duration)
)</f>
        <v>1753093277.9525001</v>
      </c>
      <c r="G7">
        <v>1753093284.6094999</v>
      </c>
      <c r="H7" s="3">
        <v>6.6569998264312744</v>
      </c>
    </row>
    <row r="8" spans="2:14">
      <c r="D8" s="3"/>
      <c r="H8" s="3"/>
    </row>
    <row r="9" spans="2:14">
      <c r="D9" s="3"/>
      <c r="H9" s="3"/>
    </row>
    <row r="10" spans="2:14">
      <c r="B10" s="2"/>
      <c r="D10" s="3"/>
      <c r="F10" s="2"/>
      <c r="H10" s="3"/>
    </row>
  </sheetData>
  <mergeCells count="4">
    <mergeCell ref="B1:C1"/>
    <mergeCell ref="D1:F1"/>
    <mergeCell ref="B3:D3"/>
    <mergeCell ref="F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DBBC-6FF0-4D92-BA59-0466905EA05A}">
  <dimension ref="B3:X173"/>
  <sheetViews>
    <sheetView topLeftCell="D1" workbookViewId="0">
      <selection activeCell="L2" sqref="L2"/>
    </sheetView>
  </sheetViews>
  <sheetFormatPr defaultRowHeight="14.4"/>
  <cols>
    <col min="3" max="3" width="14.6640625" bestFit="1" customWidth="1"/>
    <col min="4" max="4" width="14.5546875" bestFit="1" customWidth="1"/>
    <col min="5" max="5" width="13.6640625" style="3" bestFit="1" customWidth="1"/>
    <col min="8" max="8" width="13.77734375" bestFit="1" customWidth="1"/>
    <col min="9" max="10" width="13.6640625" bestFit="1" customWidth="1"/>
    <col min="11" max="11" width="11.77734375" bestFit="1" customWidth="1"/>
    <col min="14" max="15" width="13.6640625" bestFit="1" customWidth="1"/>
    <col min="16" max="16" width="11.77734375" bestFit="1" customWidth="1"/>
    <col min="18" max="18" width="12.77734375" customWidth="1"/>
    <col min="19" max="19" width="14.33203125" bestFit="1" customWidth="1"/>
    <col min="22" max="23" width="13.6640625" bestFit="1" customWidth="1"/>
    <col min="24" max="24" width="12.21875" bestFit="1" customWidth="1"/>
  </cols>
  <sheetData>
    <row r="3" spans="2:24" ht="18">
      <c r="B3" s="22" t="s">
        <v>49</v>
      </c>
      <c r="C3" s="23"/>
      <c r="D3" s="23"/>
      <c r="E3" s="24"/>
      <c r="G3" s="22" t="s">
        <v>59</v>
      </c>
      <c r="H3" s="23"/>
      <c r="I3" s="23"/>
      <c r="J3" s="23"/>
      <c r="K3" s="24"/>
      <c r="M3" s="22" t="s">
        <v>50</v>
      </c>
      <c r="N3" s="23"/>
      <c r="O3" s="23"/>
      <c r="P3" s="23"/>
      <c r="Q3" s="23"/>
      <c r="R3" s="23"/>
      <c r="S3" s="24"/>
      <c r="U3" s="22" t="s">
        <v>83</v>
      </c>
      <c r="V3" s="23"/>
      <c r="W3" s="23"/>
      <c r="X3" s="24"/>
    </row>
    <row r="4" spans="2:24">
      <c r="E4"/>
      <c r="J4" s="4" t="s">
        <v>32</v>
      </c>
      <c r="K4" s="7" cm="1">
        <f t="array" ref="K4">AVERAGE(IF(ISNUMBER(K7:K1048576),K7:K1048576))</f>
        <v>16.010619974136354</v>
      </c>
      <c r="N4" s="26" t="s">
        <v>55</v>
      </c>
      <c r="O4" s="26"/>
      <c r="P4" s="7" cm="1">
        <f t="array" ref="P4">AVERAGE(IF(ISNUMBER(P7:P1048576),P7:P1048576))</f>
        <v>83.383500099182129</v>
      </c>
      <c r="Q4" s="26" t="s">
        <v>56</v>
      </c>
      <c r="R4" s="26"/>
      <c r="S4" s="7" cm="1">
        <f t="array" ref="S4">AVERAGE(IF(ISNUMBER(S7:S1048576),S7:S1048576))</f>
        <v>16.010619974136354</v>
      </c>
      <c r="W4" s="4" t="s">
        <v>32</v>
      </c>
      <c r="X4" s="7" cm="1">
        <f t="array" ref="X4">AVERAGE(IF(ISNUMBER(X7:X1048576),X7:X1048576))</f>
        <v>1.9566001892089844</v>
      </c>
    </row>
    <row r="6" spans="2:24" ht="15" thickBot="1">
      <c r="B6" s="5" t="s">
        <v>51</v>
      </c>
      <c r="C6" s="5" t="s">
        <v>53</v>
      </c>
      <c r="D6" s="5" t="s">
        <v>54</v>
      </c>
      <c r="E6" s="6" t="s">
        <v>6</v>
      </c>
      <c r="G6" s="8" t="s">
        <v>51</v>
      </c>
      <c r="H6" s="8" t="s">
        <v>54</v>
      </c>
      <c r="I6" s="8" t="s">
        <v>57</v>
      </c>
      <c r="J6" s="8" t="s">
        <v>58</v>
      </c>
      <c r="K6" s="8" t="s">
        <v>27</v>
      </c>
      <c r="M6" s="8" t="s">
        <v>51</v>
      </c>
      <c r="N6" s="8" t="s">
        <v>61</v>
      </c>
      <c r="O6" s="8" t="s">
        <v>62</v>
      </c>
      <c r="P6" s="8" t="s">
        <v>27</v>
      </c>
      <c r="R6" s="8" t="s">
        <v>51</v>
      </c>
      <c r="S6" s="8" t="s">
        <v>60</v>
      </c>
      <c r="U6" s="8" t="s">
        <v>51</v>
      </c>
      <c r="V6" s="8" t="s">
        <v>28</v>
      </c>
      <c r="W6" s="8" t="s">
        <v>29</v>
      </c>
      <c r="X6" s="8" t="s">
        <v>27</v>
      </c>
    </row>
    <row r="7" spans="2:24">
      <c r="B7" t="str" cm="1">
        <f t="array" ref="B7:B20">_xlfn._xlws.FILTER(IF(ISNUMBER(SEARCH("workflow [", smia_pe_metrics[Description])),
    _xlfn.TEXTBEFORE(_xlfn.TEXTAFTER(smia_pe_metrics[Description], "workflow [" ), "]"),
    ""), ISNUMBER(SEARCH("workflow [", smia_pe_metrics[Description])))</f>
        <v>wf-0</v>
      </c>
      <c r="C7" t="str" cm="1">
        <f t="array" ref="C7:C20">_xlfn._xlws.FILTER(IF(ISNUMBER(SEARCH("] started",smia_pe_metrics[Description])),"started",
IF(ISNUMBER(SEARCH("] analysis started",smia_pe_metrics[Description])),"analysis started",
IF(ISNUMBER(SEARCH("] analyzed",smia_pe_metrics[Description])),"analyzed",
IF(ISNUMBER(SEARCH("] completed",smia_pe_metrics[Description])),"completed",
IF(ISNUMBER(SEARCH("request",smia_pe_metrics[Description])),"request",
IF(ISNUMBER(SEARCH("Failure reply",smia_pe_metrics[Description])),"failure",
IF(ISNUMBER(SEARCH("reply",smia_pe_metrics[Description])),"reply",""))))))),ISNUMBER(SEARCH("workflow [",smia_pe_metrics[Description])))</f>
        <v>analysis started</v>
      </c>
      <c r="D7" t="e" cm="1">
        <f t="array" ref="D7:D20">_xlfn._xlws.FILTER(IF(OR(ISNUMBER(SEARCH("reply",smia_pe_metrics[Description])),ISNUMBER(SEARCH("request",smia_pe_metrics[Description]))),
_xlfn.TEXTBEFORE(_xlfn.TEXTAFTER(smia_pe_metrics[Description],"thread ["),"]"),
""),ISNUMBER(SEARCH("workflow [",smia_pe_metrics[Description])))</f>
        <v>#N/A</v>
      </c>
      <c r="E7" s="3" cm="1">
        <f t="array" ref="E7:E20">_xlfn._xlws.FILTER(IF(ISNUMBER(SEARCH("workflow [",smia_pe_metrics[Description])),smia_pe_metrics[Timestamp],""),ISNUMBER(SEARCH("workflow [",smia_pe_metrics[Description])))</f>
        <v>1753093298.0518999</v>
      </c>
      <c r="G7" t="str" cm="1">
        <f t="array" ref="G7:H11">_xlfn.UNIQUE(
    _xlfn.HSTACK(
        _xlfn._xlws.FILTER(B7:B1048575, C7:C1048575="request"),
        _xlfn._xlws.FILTER(D7:D1048575, C7:C1048575="request")
    )
)</f>
        <v>wf-0</v>
      </c>
      <c r="H7" t="str">
        <v>smia-pe-p4vkc</v>
      </c>
      <c r="I7" s="3" cm="1">
        <f t="array" ref="I7">_xlfn.XLOOKUP(
    1,
    ($B$7:$B$1048575=G7) * ($D$7:$D$1048575=H7) * ($C$7:$C$1048575="request"),
    $E$7:$E$1048575
)</f>
        <v>1753093300.3076</v>
      </c>
      <c r="J7" s="3" cm="1">
        <f t="array" ref="J7">_xlfn.XLOOKUP(
    1,
    ($B$7:$B$1048575=G7) * ($D$7:$D$1048575=H7) * ($C$7:$C$1048575="reply"),
    $E$7:$E$1048575
)</f>
        <v>1753093316.5650001</v>
      </c>
      <c r="K7" s="9">
        <f>J7-I7</f>
        <v>16.257400035858154</v>
      </c>
      <c r="M7" t="str" cm="1">
        <f t="array" ref="M7:M8">_xlfn.UNIQUE($B$7:$B$1048575)</f>
        <v>wf-0</v>
      </c>
      <c r="N7" s="3" cm="1">
        <f t="array" ref="N7">_xlfn.XLOOKUP("started", _xlfn._xlws.FILTER($C$7:$C$1048575, $B$7:$B$1048575=M7), _xlfn._xlws.FILTER($E$7:$E$1048575, $B$7:$B$1048575=M7))</f>
        <v>1753093300.0116999</v>
      </c>
      <c r="O7" s="3" cm="1">
        <f t="array" ref="O7">_xlfn.XLOOKUP("completed", _xlfn._xlws.FILTER($C$7:$C$1048575, $B$7:$B$1048575=M7), _xlfn._xlws.FILTER($E$7:$E$1048575, $B$7:$B$1048575=M7))</f>
        <v>1753093383.3952</v>
      </c>
      <c r="P7" s="3">
        <f>O7-N7</f>
        <v>83.383500099182129</v>
      </c>
      <c r="R7" t="str" cm="1">
        <f t="array" ref="R7:R8">_xlfn.UNIQUE($B$7:$B$1048575)</f>
        <v>wf-0</v>
      </c>
      <c r="S7" cm="1">
        <f t="array" ref="S7">AVERAGE(_xlfn._xlws.FILTER($K$7:$K$1048575, $G$7:$G$1048575=R7))</f>
        <v>16.010619974136354</v>
      </c>
      <c r="U7" t="str" cm="1">
        <f t="array" ref="U7:U8">_xlfn.UNIQUE($B$7:$B$1048575)</f>
        <v>wf-0</v>
      </c>
      <c r="V7" s="3" cm="1">
        <f t="array" ref="V7">_xlfn.XLOOKUP("analysis started", _xlfn._xlws.FILTER($C$7:$C$1048575, $B$7:$B$1048575=M7), _xlfn._xlws.FILTER($E$7:$E$1048575, $B$7:$B$1048575=M7))</f>
        <v>1753093298.0518999</v>
      </c>
      <c r="W7" s="3" cm="1">
        <f t="array" ref="W7">_xlfn.XLOOKUP("analyzed", _xlfn._xlws.FILTER($C$7:$C$1048575, $B$7:$B$1048575=M7), _xlfn._xlws.FILTER($E$7:$E$1048575, $B$7:$B$1048575=M7))</f>
        <v>1753093300.0085001</v>
      </c>
      <c r="X7" s="9">
        <f>W7-V7</f>
        <v>1.9566001892089844</v>
      </c>
    </row>
    <row r="8" spans="2:24">
      <c r="B8" t="str">
        <v>wf-0</v>
      </c>
      <c r="C8" t="str">
        <v>analyzed</v>
      </c>
      <c r="D8" t="e">
        <v>#N/A</v>
      </c>
      <c r="E8" s="3">
        <v>1753093300.0085001</v>
      </c>
      <c r="G8" t="str">
        <v>wf-0</v>
      </c>
      <c r="H8" t="str">
        <v>smia-pe-mmlad</v>
      </c>
      <c r="I8" s="3" cm="1">
        <f t="array" ref="I8">_xlfn.XLOOKUP(
    1,
    ($B$7:$B$1048575=G8) * ($D$7:$D$1048575=H8) * ($C$7:$C$1048575="request"),
    $E$7:$E$1048575
)</f>
        <v>1753093316.5982001</v>
      </c>
      <c r="J8" s="3" cm="1">
        <f t="array" ref="J8">_xlfn.XLOOKUP(
    1,
    ($B$7:$B$1048575=G8) * ($D$7:$D$1048575=H8) * ($C$7:$C$1048575="reply"),
    $E$7:$E$1048575
)</f>
        <v>1753093326.6833999</v>
      </c>
      <c r="K8" s="9">
        <f t="shared" ref="K8:K71" si="0">J8-I8</f>
        <v>10.08519983291626</v>
      </c>
      <c r="M8">
        <v>0</v>
      </c>
      <c r="N8" s="3" t="e" cm="1">
        <f t="array" ref="N8">_xlfn.XLOOKUP("started", _xlfn._xlws.FILTER($C$7:$C$1048575, $B$7:$B$1048575=M8), _xlfn._xlws.FILTER($E$7:$E$1048575, $B$7:$B$1048575=M8))</f>
        <v>#N/A</v>
      </c>
      <c r="O8" s="3" t="e" cm="1">
        <f t="array" ref="O8">_xlfn.XLOOKUP("completed", _xlfn._xlws.FILTER($C$7:$C$1048575, $B$7:$B$1048575=M8), _xlfn._xlws.FILTER($E$7:$E$1048575, $B$7:$B$1048575=M8))</f>
        <v>#N/A</v>
      </c>
      <c r="P8" s="3" t="e">
        <f t="shared" ref="P8:P27" si="1">O8-N8</f>
        <v>#N/A</v>
      </c>
      <c r="Q8" s="3"/>
      <c r="R8">
        <v>0</v>
      </c>
      <c r="S8" t="e" cm="1">
        <f t="array" ref="S8">AVERAGE(_xlfn._xlws.FILTER($K$7:$K$1048575, $G$7:$G$1048575=R8))</f>
        <v>#N/A</v>
      </c>
      <c r="U8">
        <v>0</v>
      </c>
      <c r="V8" s="3" t="e" cm="1">
        <f t="array" ref="V8">_xlfn.XLOOKUP("analysis started", _xlfn._xlws.FILTER($C$7:$C$1048575, $B$7:$B$1048575=M8), _xlfn._xlws.FILTER($E$7:$E$1048575, $B$7:$B$1048575=M8))</f>
        <v>#N/A</v>
      </c>
      <c r="W8" s="3" t="e" cm="1">
        <f t="array" ref="W8">_xlfn.XLOOKUP("analyzed", _xlfn._xlws.FILTER($C$7:$C$1048575, $B$7:$B$1048575=M8), _xlfn._xlws.FILTER($E$7:$E$1048575, $B$7:$B$1048575=M8))</f>
        <v>#N/A</v>
      </c>
      <c r="X8" s="9" t="e">
        <f t="shared" ref="X8:X27" si="2">W8-V8</f>
        <v>#N/A</v>
      </c>
    </row>
    <row r="9" spans="2:24">
      <c r="B9" t="str">
        <v>wf-0</v>
      </c>
      <c r="C9" t="str">
        <v>started</v>
      </c>
      <c r="D9" t="e">
        <v>#N/A</v>
      </c>
      <c r="E9" s="3">
        <v>1753093300.0116999</v>
      </c>
      <c r="G9" t="str">
        <v>wf-0</v>
      </c>
      <c r="H9" t="str">
        <v>smia-pe-vhd32</v>
      </c>
      <c r="I9" s="3" cm="1">
        <f t="array" ref="I9">_xlfn.XLOOKUP(
    1,
    ($B$7:$B$1048575=G9) * ($D$7:$D$1048575=H9) * ($C$7:$C$1048575="request"),
    $E$7:$E$1048575
)</f>
        <v>1753093329.3146</v>
      </c>
      <c r="J9" s="3" cm="1">
        <f t="array" ref="J9">_xlfn.XLOOKUP(
    1,
    ($B$7:$B$1048575=G9) * ($D$7:$D$1048575=H9) * ($C$7:$C$1048575="reply"),
    $E$7:$E$1048575
)</f>
        <v>1753093343.5911</v>
      </c>
      <c r="K9" s="9">
        <f t="shared" si="0"/>
        <v>14.27649998664856</v>
      </c>
      <c r="N9" s="3" t="e" cm="1">
        <f t="array" ref="N9">_xlfn.XLOOKUP("started", _xlfn._xlws.FILTER($C$7:$C$1048575, $B$7:$B$1048575=M9), _xlfn._xlws.FILTER($E$7:$E$1048575, $B$7:$B$1048575=M9))</f>
        <v>#N/A</v>
      </c>
      <c r="O9" s="3" t="e" cm="1">
        <f t="array" ref="O9">_xlfn.XLOOKUP("completed", _xlfn._xlws.FILTER($C$7:$C$1048575, $B$7:$B$1048575=M9), _xlfn._xlws.FILTER($E$7:$E$1048575, $B$7:$B$1048575=M9))</f>
        <v>#N/A</v>
      </c>
      <c r="P9" s="3" t="e">
        <f t="shared" si="1"/>
        <v>#N/A</v>
      </c>
      <c r="S9" t="e" cm="1">
        <f t="array" ref="S9">AVERAGE(_xlfn._xlws.FILTER($K$7:$K$1048575, $G$7:$G$1048575=R9))</f>
        <v>#N/A</v>
      </c>
      <c r="V9" s="3" t="e" cm="1">
        <f t="array" ref="V9">_xlfn.XLOOKUP("analysis started", _xlfn._xlws.FILTER($C$7:$C$1048575, $B$7:$B$1048575=M9), _xlfn._xlws.FILTER($E$7:$E$1048575, $B$7:$B$1048575=M9))</f>
        <v>#N/A</v>
      </c>
      <c r="W9" s="3" t="e" cm="1">
        <f t="array" ref="W9">_xlfn.XLOOKUP("analyzed", _xlfn._xlws.FILTER($C$7:$C$1048575, $B$7:$B$1048575=M9), _xlfn._xlws.FILTER($E$7:$E$1048575, $B$7:$B$1048575=M9))</f>
        <v>#N/A</v>
      </c>
      <c r="X9" s="9" t="e">
        <f t="shared" si="2"/>
        <v>#N/A</v>
      </c>
    </row>
    <row r="10" spans="2:24">
      <c r="B10" t="str">
        <v>wf-0</v>
      </c>
      <c r="C10" t="str">
        <v>request</v>
      </c>
      <c r="D10" t="str">
        <v>smia-pe-p4vkc</v>
      </c>
      <c r="E10" s="3">
        <v>1753093300.3076</v>
      </c>
      <c r="G10" t="str">
        <v>wf-0</v>
      </c>
      <c r="H10" t="str">
        <v>smia-pe-or2t1</v>
      </c>
      <c r="I10" s="3" cm="1">
        <f t="array" ref="I10">_xlfn.XLOOKUP(
    1,
    ($B$7:$B$1048575=G10) * ($D$7:$D$1048575=H10) * ($C$7:$C$1048575="request"),
    $E$7:$E$1048575
)</f>
        <v>1753093343.6154001</v>
      </c>
      <c r="J10" s="3" cm="1">
        <f t="array" ref="J10">_xlfn.XLOOKUP(
    1,
    ($B$7:$B$1048575=G10) * ($D$7:$D$1048575=H10) * ($C$7:$C$1048575="reply"),
    $E$7:$E$1048575
)</f>
        <v>1753093369.7785001</v>
      </c>
      <c r="K10" s="9">
        <f t="shared" si="0"/>
        <v>26.163100004196167</v>
      </c>
      <c r="N10" s="3" t="e" cm="1">
        <f t="array" ref="N10">_xlfn.XLOOKUP("started", _xlfn._xlws.FILTER($C$7:$C$1048575, $B$7:$B$1048575=M10), _xlfn._xlws.FILTER($E$7:$E$1048575, $B$7:$B$1048575=M10))</f>
        <v>#N/A</v>
      </c>
      <c r="O10" s="3" t="e" cm="1">
        <f t="array" ref="O10">_xlfn.XLOOKUP("completed", _xlfn._xlws.FILTER($C$7:$C$1048575, $B$7:$B$1048575=M10), _xlfn._xlws.FILTER($E$7:$E$1048575, $B$7:$B$1048575=M10))</f>
        <v>#N/A</v>
      </c>
      <c r="P10" s="3" t="e">
        <f t="shared" si="1"/>
        <v>#N/A</v>
      </c>
      <c r="S10" t="e" cm="1">
        <f t="array" ref="S10">AVERAGE(_xlfn._xlws.FILTER($K$7:$K$1048575, $G$7:$G$1048575=R10))</f>
        <v>#N/A</v>
      </c>
      <c r="V10" s="3" t="e" cm="1">
        <f t="array" ref="V10">_xlfn.XLOOKUP("analysis started", _xlfn._xlws.FILTER($C$7:$C$1048575, $B$7:$B$1048575=M10), _xlfn._xlws.FILTER($E$7:$E$1048575, $B$7:$B$1048575=M10))</f>
        <v>#N/A</v>
      </c>
      <c r="W10" s="3" t="e" cm="1">
        <f t="array" ref="W10">_xlfn.XLOOKUP("analyzed", _xlfn._xlws.FILTER($C$7:$C$1048575, $B$7:$B$1048575=M10), _xlfn._xlws.FILTER($E$7:$E$1048575, $B$7:$B$1048575=M10))</f>
        <v>#N/A</v>
      </c>
      <c r="X10" s="9" t="e">
        <f t="shared" si="2"/>
        <v>#N/A</v>
      </c>
    </row>
    <row r="11" spans="2:24">
      <c r="B11" t="str">
        <v>wf-0</v>
      </c>
      <c r="C11" t="str">
        <v>reply</v>
      </c>
      <c r="D11" t="str">
        <v>smia-pe-p4vkc</v>
      </c>
      <c r="E11" s="3">
        <v>1753093316.5650001</v>
      </c>
      <c r="G11" t="str">
        <v>wf-0</v>
      </c>
      <c r="H11" t="str">
        <v>smia-pe-6prh8</v>
      </c>
      <c r="I11" s="3" cm="1">
        <f t="array" ref="I11">_xlfn.XLOOKUP(
    1,
    ($B$7:$B$1048575=G11) * ($D$7:$D$1048575=H11) * ($C$7:$C$1048575="request"),
    $E$7:$E$1048575
)</f>
        <v>1753093370.1236</v>
      </c>
      <c r="J11" s="3" cm="1">
        <f t="array" ref="J11">_xlfn.XLOOKUP(
    1,
    ($B$7:$B$1048575=G11) * ($D$7:$D$1048575=H11) * ($C$7:$C$1048575="reply"),
    $E$7:$E$1048575
)</f>
        <v>1753093383.3945</v>
      </c>
      <c r="K11" s="9">
        <f t="shared" si="0"/>
        <v>13.270900011062622</v>
      </c>
      <c r="N11" s="3" t="e" cm="1">
        <f t="array" ref="N11">_xlfn.XLOOKUP("started", _xlfn._xlws.FILTER($C$7:$C$1048575, $B$7:$B$1048575=M11), _xlfn._xlws.FILTER($E$7:$E$1048575, $B$7:$B$1048575=M11))</f>
        <v>#N/A</v>
      </c>
      <c r="O11" s="3" t="e" cm="1">
        <f t="array" ref="O11">_xlfn.XLOOKUP("completed", _xlfn._xlws.FILTER($C$7:$C$1048575, $B$7:$B$1048575=M11), _xlfn._xlws.FILTER($E$7:$E$1048575, $B$7:$B$1048575=M11))</f>
        <v>#N/A</v>
      </c>
      <c r="P11" s="3" t="e">
        <f t="shared" si="1"/>
        <v>#N/A</v>
      </c>
      <c r="S11" t="e" cm="1">
        <f t="array" ref="S11">AVERAGE(_xlfn._xlws.FILTER($K$7:$K$1048575, $G$7:$G$1048575=R11))</f>
        <v>#N/A</v>
      </c>
      <c r="V11" s="3" t="e" cm="1">
        <f t="array" ref="V11">_xlfn.XLOOKUP("analysis started", _xlfn._xlws.FILTER($C$7:$C$1048575, $B$7:$B$1048575=M11), _xlfn._xlws.FILTER($E$7:$E$1048575, $B$7:$B$1048575=M11))</f>
        <v>#N/A</v>
      </c>
      <c r="W11" s="3" t="e" cm="1">
        <f t="array" ref="W11">_xlfn.XLOOKUP("analyzed", _xlfn._xlws.FILTER($C$7:$C$1048575, $B$7:$B$1048575=M11), _xlfn._xlws.FILTER($E$7:$E$1048575, $B$7:$B$1048575=M11))</f>
        <v>#N/A</v>
      </c>
      <c r="X11" s="9" t="e">
        <f t="shared" si="2"/>
        <v>#N/A</v>
      </c>
    </row>
    <row r="12" spans="2:24">
      <c r="B12" t="str">
        <v>wf-0</v>
      </c>
      <c r="C12" t="str">
        <v>request</v>
      </c>
      <c r="D12" t="str">
        <v>smia-pe-mmlad</v>
      </c>
      <c r="E12" s="3">
        <v>1753093316.5982001</v>
      </c>
      <c r="I12" s="3" t="e" cm="1">
        <f t="array" ref="I12">_xlfn.XLOOKUP(
    1,
    ($B$7:$B$1048575=G12) * ($D$7:$D$1048575=H12) * ($C$7:$C$1048575="request"),
    $E$7:$E$1048575
)</f>
        <v>#N/A</v>
      </c>
      <c r="J12" s="3" t="e" cm="1">
        <f t="array" ref="J12">_xlfn.XLOOKUP(
    1,
    ($B$7:$B$1048575=G12) * ($D$7:$D$1048575=H12) * ($C$7:$C$1048575="reply"),
    $E$7:$E$1048575
)</f>
        <v>#N/A</v>
      </c>
      <c r="K12" s="9" t="e">
        <f t="shared" si="0"/>
        <v>#N/A</v>
      </c>
      <c r="N12" s="3" t="e" cm="1">
        <f t="array" ref="N12">_xlfn.XLOOKUP("started", _xlfn._xlws.FILTER($C$7:$C$1048575, $B$7:$B$1048575=M12), _xlfn._xlws.FILTER($E$7:$E$1048575, $B$7:$B$1048575=M12))</f>
        <v>#N/A</v>
      </c>
      <c r="O12" s="3" t="e" cm="1">
        <f t="array" ref="O12">_xlfn.XLOOKUP("completed", _xlfn._xlws.FILTER($C$7:$C$1048575, $B$7:$B$1048575=M12), _xlfn._xlws.FILTER($E$7:$E$1048575, $B$7:$B$1048575=M12))</f>
        <v>#N/A</v>
      </c>
      <c r="P12" s="3" t="e">
        <f t="shared" si="1"/>
        <v>#N/A</v>
      </c>
      <c r="S12" t="e" cm="1">
        <f t="array" ref="S12">AVERAGE(_xlfn._xlws.FILTER($K$7:$K$1048575, $G$7:$G$1048575=R12))</f>
        <v>#N/A</v>
      </c>
      <c r="V12" s="3" t="e" cm="1">
        <f t="array" ref="V12">_xlfn.XLOOKUP("analysis started", _xlfn._xlws.FILTER($C$7:$C$1048575, $B$7:$B$1048575=M12), _xlfn._xlws.FILTER($E$7:$E$1048575, $B$7:$B$1048575=M12))</f>
        <v>#N/A</v>
      </c>
      <c r="W12" s="3" t="e" cm="1">
        <f t="array" ref="W12">_xlfn.XLOOKUP("analyzed", _xlfn._xlws.FILTER($C$7:$C$1048575, $B$7:$B$1048575=M12), _xlfn._xlws.FILTER($E$7:$E$1048575, $B$7:$B$1048575=M12))</f>
        <v>#N/A</v>
      </c>
      <c r="X12" s="9" t="e">
        <f t="shared" si="2"/>
        <v>#N/A</v>
      </c>
    </row>
    <row r="13" spans="2:24">
      <c r="B13" t="str">
        <v>wf-0</v>
      </c>
      <c r="C13" t="str">
        <v>reply</v>
      </c>
      <c r="D13" t="str">
        <v>smia-pe-mmlad</v>
      </c>
      <c r="E13" s="3">
        <v>1753093326.6833999</v>
      </c>
      <c r="I13" s="3" t="e" cm="1">
        <f t="array" ref="I13">_xlfn.XLOOKUP(
    1,
    ($B$7:$B$1048575=G13) * ($D$7:$D$1048575=H13) * ($C$7:$C$1048575="request"),
    $E$7:$E$1048575
)</f>
        <v>#N/A</v>
      </c>
      <c r="J13" s="3" t="e" cm="1">
        <f t="array" ref="J13">_xlfn.XLOOKUP(
    1,
    ($B$7:$B$1048575=G13) * ($D$7:$D$1048575=H13) * ($C$7:$C$1048575="reply"),
    $E$7:$E$1048575
)</f>
        <v>#N/A</v>
      </c>
      <c r="K13" s="9" t="e">
        <f t="shared" si="0"/>
        <v>#N/A</v>
      </c>
      <c r="N13" s="3" t="e" cm="1">
        <f t="array" ref="N13">_xlfn.XLOOKUP("started", _xlfn._xlws.FILTER($C$7:$C$1048575, $B$7:$B$1048575=M13), _xlfn._xlws.FILTER($E$7:$E$1048575, $B$7:$B$1048575=M13))</f>
        <v>#N/A</v>
      </c>
      <c r="O13" s="3" t="e" cm="1">
        <f t="array" ref="O13">_xlfn.XLOOKUP("completed", _xlfn._xlws.FILTER($C$7:$C$1048575, $B$7:$B$1048575=M13), _xlfn._xlws.FILTER($E$7:$E$1048575, $B$7:$B$1048575=M13))</f>
        <v>#N/A</v>
      </c>
      <c r="P13" s="3" t="e">
        <f t="shared" si="1"/>
        <v>#N/A</v>
      </c>
      <c r="S13" t="e" cm="1">
        <f t="array" ref="S13">AVERAGE(_xlfn._xlws.FILTER($K$7:$K$1048575, $G$7:$G$1048575=R13))</f>
        <v>#N/A</v>
      </c>
      <c r="V13" s="3" t="e" cm="1">
        <f t="array" ref="V13">_xlfn.XLOOKUP("analysis started", _xlfn._xlws.FILTER($C$7:$C$1048575, $B$7:$B$1048575=M13), _xlfn._xlws.FILTER($E$7:$E$1048575, $B$7:$B$1048575=M13))</f>
        <v>#N/A</v>
      </c>
      <c r="W13" s="3" t="e" cm="1">
        <f t="array" ref="W13">_xlfn.XLOOKUP("analyzed", _xlfn._xlws.FILTER($C$7:$C$1048575, $B$7:$B$1048575=M13), _xlfn._xlws.FILTER($E$7:$E$1048575, $B$7:$B$1048575=M13))</f>
        <v>#N/A</v>
      </c>
      <c r="X13" s="9" t="e">
        <f t="shared" si="2"/>
        <v>#N/A</v>
      </c>
    </row>
    <row r="14" spans="2:24">
      <c r="B14" t="str">
        <v>wf-0</v>
      </c>
      <c r="C14" t="str">
        <v>request</v>
      </c>
      <c r="D14" t="str">
        <v>smia-pe-vhd32</v>
      </c>
      <c r="E14" s="3">
        <v>1753093329.3146</v>
      </c>
      <c r="I14" s="3" t="e" cm="1">
        <f t="array" ref="I14">_xlfn.XLOOKUP(
    1,
    ($B$7:$B$1048575=G14) * ($D$7:$D$1048575=H14) * ($C$7:$C$1048575="request"),
    $E$7:$E$1048575
)</f>
        <v>#N/A</v>
      </c>
      <c r="J14" s="3" t="e" cm="1">
        <f t="array" ref="J14">_xlfn.XLOOKUP(
    1,
    ($B$7:$B$1048575=G14) * ($D$7:$D$1048575=H14) * ($C$7:$C$1048575="reply"),
    $E$7:$E$1048575
)</f>
        <v>#N/A</v>
      </c>
      <c r="K14" s="9" t="e">
        <f t="shared" si="0"/>
        <v>#N/A</v>
      </c>
      <c r="N14" s="3" t="e" cm="1">
        <f t="array" ref="N14">_xlfn.XLOOKUP("started", _xlfn._xlws.FILTER($C$7:$C$1048575, $B$7:$B$1048575=M14), _xlfn._xlws.FILTER($E$7:$E$1048575, $B$7:$B$1048575=M14))</f>
        <v>#N/A</v>
      </c>
      <c r="O14" s="3" t="e" cm="1">
        <f t="array" ref="O14">_xlfn.XLOOKUP("completed", _xlfn._xlws.FILTER($C$7:$C$1048575, $B$7:$B$1048575=M14), _xlfn._xlws.FILTER($E$7:$E$1048575, $B$7:$B$1048575=M14))</f>
        <v>#N/A</v>
      </c>
      <c r="P14" s="3" t="e">
        <f t="shared" si="1"/>
        <v>#N/A</v>
      </c>
      <c r="S14" t="e" cm="1">
        <f t="array" ref="S14">AVERAGE(_xlfn._xlws.FILTER($K$7:$K$1048575, $G$7:$G$1048575=R14))</f>
        <v>#N/A</v>
      </c>
      <c r="V14" s="3" t="e" cm="1">
        <f t="array" ref="V14">_xlfn.XLOOKUP("analysis started", _xlfn._xlws.FILTER($C$7:$C$1048575, $B$7:$B$1048575=M14), _xlfn._xlws.FILTER($E$7:$E$1048575, $B$7:$B$1048575=M14))</f>
        <v>#N/A</v>
      </c>
      <c r="W14" s="3" t="e" cm="1">
        <f t="array" ref="W14">_xlfn.XLOOKUP("analyzed", _xlfn._xlws.FILTER($C$7:$C$1048575, $B$7:$B$1048575=M14), _xlfn._xlws.FILTER($E$7:$E$1048575, $B$7:$B$1048575=M14))</f>
        <v>#N/A</v>
      </c>
      <c r="X14" s="9" t="e">
        <f t="shared" si="2"/>
        <v>#N/A</v>
      </c>
    </row>
    <row r="15" spans="2:24">
      <c r="B15" t="str">
        <v>wf-0</v>
      </c>
      <c r="C15" t="str">
        <v>reply</v>
      </c>
      <c r="D15" t="str">
        <v>smia-pe-vhd32</v>
      </c>
      <c r="E15" s="3">
        <v>1753093343.5911</v>
      </c>
      <c r="I15" s="3" t="e" cm="1">
        <f t="array" ref="I15">_xlfn.XLOOKUP(
    1,
    ($B$7:$B$1048575=G15) * ($D$7:$D$1048575=H15) * ($C$7:$C$1048575="request"),
    $E$7:$E$1048575
)</f>
        <v>#N/A</v>
      </c>
      <c r="J15" s="3" t="e" cm="1">
        <f t="array" ref="J15">_xlfn.XLOOKUP(
    1,
    ($B$7:$B$1048575=G15) * ($D$7:$D$1048575=H15) * ($C$7:$C$1048575="reply"),
    $E$7:$E$1048575
)</f>
        <v>#N/A</v>
      </c>
      <c r="K15" s="9" t="e">
        <f t="shared" si="0"/>
        <v>#N/A</v>
      </c>
      <c r="N15" s="3" t="e" cm="1">
        <f t="array" ref="N15">_xlfn.XLOOKUP("started", _xlfn._xlws.FILTER($C$7:$C$1048575, $B$7:$B$1048575=M15), _xlfn._xlws.FILTER($E$7:$E$1048575, $B$7:$B$1048575=M15))</f>
        <v>#N/A</v>
      </c>
      <c r="O15" s="3" t="e" cm="1">
        <f t="array" ref="O15">_xlfn.XLOOKUP("completed", _xlfn._xlws.FILTER($C$7:$C$1048575, $B$7:$B$1048575=M15), _xlfn._xlws.FILTER($E$7:$E$1048575, $B$7:$B$1048575=M15))</f>
        <v>#N/A</v>
      </c>
      <c r="P15" s="3" t="e">
        <f t="shared" si="1"/>
        <v>#N/A</v>
      </c>
      <c r="S15" t="e" cm="1">
        <f t="array" ref="S15">AVERAGE(_xlfn._xlws.FILTER($K$7:$K$1048575, $G$7:$G$1048575=R15))</f>
        <v>#N/A</v>
      </c>
      <c r="V15" s="3" t="e" cm="1">
        <f t="array" ref="V15">_xlfn.XLOOKUP("analysis started", _xlfn._xlws.FILTER($C$7:$C$1048575, $B$7:$B$1048575=M15), _xlfn._xlws.FILTER($E$7:$E$1048575, $B$7:$B$1048575=M15))</f>
        <v>#N/A</v>
      </c>
      <c r="W15" s="3" t="e" cm="1">
        <f t="array" ref="W15">_xlfn.XLOOKUP("analyzed", _xlfn._xlws.FILTER($C$7:$C$1048575, $B$7:$B$1048575=M15), _xlfn._xlws.FILTER($E$7:$E$1048575, $B$7:$B$1048575=M15))</f>
        <v>#N/A</v>
      </c>
      <c r="X15" s="9" t="e">
        <f t="shared" si="2"/>
        <v>#N/A</v>
      </c>
    </row>
    <row r="16" spans="2:24">
      <c r="B16" t="str">
        <v>wf-0</v>
      </c>
      <c r="C16" t="str">
        <v>request</v>
      </c>
      <c r="D16" t="str">
        <v>smia-pe-or2t1</v>
      </c>
      <c r="E16" s="3">
        <v>1753093343.6154001</v>
      </c>
      <c r="I16" s="3" t="e" cm="1">
        <f t="array" ref="I16">_xlfn.XLOOKUP(
    1,
    ($B$7:$B$1048575=G16) * ($D$7:$D$1048575=H16) * ($C$7:$C$1048575="request"),
    $E$7:$E$1048575
)</f>
        <v>#N/A</v>
      </c>
      <c r="J16" s="3" t="e" cm="1">
        <f t="array" ref="J16">_xlfn.XLOOKUP(
    1,
    ($B$7:$B$1048575=G16) * ($D$7:$D$1048575=H16) * ($C$7:$C$1048575="reply"),
    $E$7:$E$1048575
)</f>
        <v>#N/A</v>
      </c>
      <c r="K16" s="9" t="e">
        <f t="shared" si="0"/>
        <v>#N/A</v>
      </c>
      <c r="N16" s="3" t="e" cm="1">
        <f t="array" ref="N16">_xlfn.XLOOKUP("started", _xlfn._xlws.FILTER($C$7:$C$1048575, $B$7:$B$1048575=M16), _xlfn._xlws.FILTER($E$7:$E$1048575, $B$7:$B$1048575=M16))</f>
        <v>#N/A</v>
      </c>
      <c r="O16" s="3" t="e" cm="1">
        <f t="array" ref="O16">_xlfn.XLOOKUP("completed", _xlfn._xlws.FILTER($C$7:$C$1048575, $B$7:$B$1048575=M16), _xlfn._xlws.FILTER($E$7:$E$1048575, $B$7:$B$1048575=M16))</f>
        <v>#N/A</v>
      </c>
      <c r="P16" s="3" t="e">
        <f t="shared" si="1"/>
        <v>#N/A</v>
      </c>
      <c r="S16" t="e" cm="1">
        <f t="array" ref="S16">AVERAGE(_xlfn._xlws.FILTER($K$7:$K$1048575, $G$7:$G$1048575=R16))</f>
        <v>#N/A</v>
      </c>
      <c r="V16" s="3" t="e" cm="1">
        <f t="array" ref="V16">_xlfn.XLOOKUP("analysis started", _xlfn._xlws.FILTER($C$7:$C$1048575, $B$7:$B$1048575=M16), _xlfn._xlws.FILTER($E$7:$E$1048575, $B$7:$B$1048575=M16))</f>
        <v>#N/A</v>
      </c>
      <c r="W16" s="3" t="e" cm="1">
        <f t="array" ref="W16">_xlfn.XLOOKUP("analyzed", _xlfn._xlws.FILTER($C$7:$C$1048575, $B$7:$B$1048575=M16), _xlfn._xlws.FILTER($E$7:$E$1048575, $B$7:$B$1048575=M16))</f>
        <v>#N/A</v>
      </c>
      <c r="X16" s="9" t="e">
        <f t="shared" si="2"/>
        <v>#N/A</v>
      </c>
    </row>
    <row r="17" spans="2:24">
      <c r="B17" t="str">
        <v>wf-0</v>
      </c>
      <c r="C17" t="str">
        <v>reply</v>
      </c>
      <c r="D17" t="str">
        <v>smia-pe-or2t1</v>
      </c>
      <c r="E17" s="3">
        <v>1753093369.7785001</v>
      </c>
      <c r="I17" s="3" t="e" cm="1">
        <f t="array" ref="I17">_xlfn.XLOOKUP(
    1,
    ($B$7:$B$1048575=G17) * ($D$7:$D$1048575=H17) * ($C$7:$C$1048575="request"),
    $E$7:$E$1048575
)</f>
        <v>#N/A</v>
      </c>
      <c r="J17" s="3" t="e" cm="1">
        <f t="array" ref="J17">_xlfn.XLOOKUP(
    1,
    ($B$7:$B$1048575=G17) * ($D$7:$D$1048575=H17) * ($C$7:$C$1048575="reply"),
    $E$7:$E$1048575
)</f>
        <v>#N/A</v>
      </c>
      <c r="K17" s="9" t="e">
        <f t="shared" si="0"/>
        <v>#N/A</v>
      </c>
      <c r="N17" s="3" t="e" cm="1">
        <f t="array" ref="N17">_xlfn.XLOOKUP("started", _xlfn._xlws.FILTER($C$7:$C$1048575, $B$7:$B$1048575=M17), _xlfn._xlws.FILTER($E$7:$E$1048575, $B$7:$B$1048575=M17))</f>
        <v>#N/A</v>
      </c>
      <c r="O17" s="3" t="e" cm="1">
        <f t="array" ref="O17">_xlfn.XLOOKUP("completed", _xlfn._xlws.FILTER($C$7:$C$1048575, $B$7:$B$1048575=M17), _xlfn._xlws.FILTER($E$7:$E$1048575, $B$7:$B$1048575=M17))</f>
        <v>#N/A</v>
      </c>
      <c r="P17" s="3" t="e">
        <f t="shared" si="1"/>
        <v>#N/A</v>
      </c>
      <c r="S17" t="e" cm="1">
        <f t="array" ref="S17">AVERAGE(_xlfn._xlws.FILTER($K$7:$K$1048575, $G$7:$G$1048575=R17))</f>
        <v>#N/A</v>
      </c>
      <c r="V17" s="3" t="e" cm="1">
        <f t="array" ref="V17">_xlfn.XLOOKUP("analysis started", _xlfn._xlws.FILTER($C$7:$C$1048575, $B$7:$B$1048575=M17), _xlfn._xlws.FILTER($E$7:$E$1048575, $B$7:$B$1048575=M17))</f>
        <v>#N/A</v>
      </c>
      <c r="W17" s="3" t="e" cm="1">
        <f t="array" ref="W17">_xlfn.XLOOKUP("analyzed", _xlfn._xlws.FILTER($C$7:$C$1048575, $B$7:$B$1048575=M17), _xlfn._xlws.FILTER($E$7:$E$1048575, $B$7:$B$1048575=M17))</f>
        <v>#N/A</v>
      </c>
      <c r="X17" s="9" t="e">
        <f t="shared" si="2"/>
        <v>#N/A</v>
      </c>
    </row>
    <row r="18" spans="2:24">
      <c r="B18" t="str">
        <v>wf-0</v>
      </c>
      <c r="C18" t="str">
        <v>request</v>
      </c>
      <c r="D18" t="str">
        <v>smia-pe-6prh8</v>
      </c>
      <c r="E18" s="3">
        <v>1753093370.1236</v>
      </c>
      <c r="I18" s="3" t="e" cm="1">
        <f t="array" ref="I18">_xlfn.XLOOKUP(
    1,
    ($B$7:$B$1048575=G18) * ($D$7:$D$1048575=H18) * ($C$7:$C$1048575="request"),
    $E$7:$E$1048575
)</f>
        <v>#N/A</v>
      </c>
      <c r="J18" s="3" t="e" cm="1">
        <f t="array" ref="J18">_xlfn.XLOOKUP(
    1,
    ($B$7:$B$1048575=G18) * ($D$7:$D$1048575=H18) * ($C$7:$C$1048575="reply"),
    $E$7:$E$1048575
)</f>
        <v>#N/A</v>
      </c>
      <c r="K18" s="9" t="e">
        <f t="shared" si="0"/>
        <v>#N/A</v>
      </c>
      <c r="N18" s="3" t="e" cm="1">
        <f t="array" ref="N18">_xlfn.XLOOKUP("started", _xlfn._xlws.FILTER($C$7:$C$1048575, $B$7:$B$1048575=M18), _xlfn._xlws.FILTER($E$7:$E$1048575, $B$7:$B$1048575=M18))</f>
        <v>#N/A</v>
      </c>
      <c r="O18" s="3" t="e" cm="1">
        <f t="array" ref="O18">_xlfn.XLOOKUP("completed", _xlfn._xlws.FILTER($C$7:$C$1048575, $B$7:$B$1048575=M18), _xlfn._xlws.FILTER($E$7:$E$1048575, $B$7:$B$1048575=M18))</f>
        <v>#N/A</v>
      </c>
      <c r="P18" s="3" t="e">
        <f t="shared" si="1"/>
        <v>#N/A</v>
      </c>
      <c r="S18" t="e" cm="1">
        <f t="array" ref="S18">AVERAGE(_xlfn._xlws.FILTER($K$7:$K$1048575, $G$7:$G$1048575=R18))</f>
        <v>#N/A</v>
      </c>
      <c r="V18" s="3" t="e" cm="1">
        <f t="array" ref="V18">_xlfn.XLOOKUP("analysis started", _xlfn._xlws.FILTER($C$7:$C$1048575, $B$7:$B$1048575=M18), _xlfn._xlws.FILTER($E$7:$E$1048575, $B$7:$B$1048575=M18))</f>
        <v>#N/A</v>
      </c>
      <c r="W18" s="3" t="e" cm="1">
        <f t="array" ref="W18">_xlfn.XLOOKUP("analyzed", _xlfn._xlws.FILTER($C$7:$C$1048575, $B$7:$B$1048575=M18), _xlfn._xlws.FILTER($E$7:$E$1048575, $B$7:$B$1048575=M18))</f>
        <v>#N/A</v>
      </c>
      <c r="X18" s="9" t="e">
        <f t="shared" si="2"/>
        <v>#N/A</v>
      </c>
    </row>
    <row r="19" spans="2:24">
      <c r="B19" t="str">
        <v>wf-0</v>
      </c>
      <c r="C19" t="str">
        <v>reply</v>
      </c>
      <c r="D19" t="str">
        <v>smia-pe-6prh8</v>
      </c>
      <c r="E19" s="3">
        <v>1753093383.3945</v>
      </c>
      <c r="I19" s="3" t="e" cm="1">
        <f t="array" ref="I19">_xlfn.XLOOKUP(
    1,
    ($B$7:$B$1048575=G19) * ($D$7:$D$1048575=H19) * ($C$7:$C$1048575="request"),
    $E$7:$E$1048575
)</f>
        <v>#N/A</v>
      </c>
      <c r="J19" s="3" t="e" cm="1">
        <f t="array" ref="J19">_xlfn.XLOOKUP(
    1,
    ($B$7:$B$1048575=G19) * ($D$7:$D$1048575=H19) * ($C$7:$C$1048575="reply"),
    $E$7:$E$1048575
)</f>
        <v>#N/A</v>
      </c>
      <c r="K19" s="9" t="e">
        <f t="shared" si="0"/>
        <v>#N/A</v>
      </c>
      <c r="N19" s="3" t="e" cm="1">
        <f t="array" ref="N19">_xlfn.XLOOKUP("started", _xlfn._xlws.FILTER($C$7:$C$1048575, $B$7:$B$1048575=M19), _xlfn._xlws.FILTER($E$7:$E$1048575, $B$7:$B$1048575=M19))</f>
        <v>#N/A</v>
      </c>
      <c r="O19" s="3" t="e" cm="1">
        <f t="array" ref="O19">_xlfn.XLOOKUP("completed", _xlfn._xlws.FILTER($C$7:$C$1048575, $B$7:$B$1048575=M19), _xlfn._xlws.FILTER($E$7:$E$1048575, $B$7:$B$1048575=M19))</f>
        <v>#N/A</v>
      </c>
      <c r="P19" s="3" t="e">
        <f t="shared" si="1"/>
        <v>#N/A</v>
      </c>
      <c r="S19" t="e" cm="1">
        <f t="array" ref="S19">AVERAGE(_xlfn._xlws.FILTER($K$7:$K$1048575, $G$7:$G$1048575=R19))</f>
        <v>#N/A</v>
      </c>
      <c r="V19" s="3" t="e" cm="1">
        <f t="array" ref="V19">_xlfn.XLOOKUP("analysis started", _xlfn._xlws.FILTER($C$7:$C$1048575, $B$7:$B$1048575=M19), _xlfn._xlws.FILTER($E$7:$E$1048575, $B$7:$B$1048575=M19))</f>
        <v>#N/A</v>
      </c>
      <c r="W19" s="3" t="e" cm="1">
        <f t="array" ref="W19">_xlfn.XLOOKUP("analyzed", _xlfn._xlws.FILTER($C$7:$C$1048575, $B$7:$B$1048575=M19), _xlfn._xlws.FILTER($E$7:$E$1048575, $B$7:$B$1048575=M19))</f>
        <v>#N/A</v>
      </c>
      <c r="X19" s="9" t="e">
        <f t="shared" si="2"/>
        <v>#N/A</v>
      </c>
    </row>
    <row r="20" spans="2:24">
      <c r="B20" t="str">
        <v>wf-0</v>
      </c>
      <c r="C20" t="str">
        <v>completed</v>
      </c>
      <c r="D20" t="e">
        <v>#N/A</v>
      </c>
      <c r="E20" s="3">
        <v>1753093383.3952</v>
      </c>
      <c r="I20" s="3" t="e" cm="1">
        <f t="array" ref="I20">_xlfn.XLOOKUP(
    1,
    ($B$7:$B$1048575=G20) * ($D$7:$D$1048575=H20) * ($C$7:$C$1048575="request"),
    $E$7:$E$1048575
)</f>
        <v>#N/A</v>
      </c>
      <c r="J20" s="3" t="e" cm="1">
        <f t="array" ref="J20">_xlfn.XLOOKUP(
    1,
    ($B$7:$B$1048575=G20) * ($D$7:$D$1048575=H20) * ($C$7:$C$1048575="reply"),
    $E$7:$E$1048575
)</f>
        <v>#N/A</v>
      </c>
      <c r="K20" s="9" t="e">
        <f t="shared" si="0"/>
        <v>#N/A</v>
      </c>
      <c r="N20" s="3" t="e" cm="1">
        <f t="array" ref="N20">_xlfn.XLOOKUP("started", _xlfn._xlws.FILTER($C$7:$C$1048575, $B$7:$B$1048575=M20), _xlfn._xlws.FILTER($E$7:$E$1048575, $B$7:$B$1048575=M20))</f>
        <v>#N/A</v>
      </c>
      <c r="O20" s="3" t="e" cm="1">
        <f t="array" ref="O20">_xlfn.XLOOKUP("completed", _xlfn._xlws.FILTER($C$7:$C$1048575, $B$7:$B$1048575=M20), _xlfn._xlws.FILTER($E$7:$E$1048575, $B$7:$B$1048575=M20))</f>
        <v>#N/A</v>
      </c>
      <c r="P20" s="3" t="e">
        <f t="shared" si="1"/>
        <v>#N/A</v>
      </c>
      <c r="S20" t="e" cm="1">
        <f t="array" ref="S20">AVERAGE(_xlfn._xlws.FILTER($K$7:$K$1048575, $G$7:$G$1048575=R20))</f>
        <v>#N/A</v>
      </c>
      <c r="V20" s="3" t="e" cm="1">
        <f t="array" ref="V20">_xlfn.XLOOKUP("analysis started", _xlfn._xlws.FILTER($C$7:$C$1048575, $B$7:$B$1048575=M20), _xlfn._xlws.FILTER($E$7:$E$1048575, $B$7:$B$1048575=M20))</f>
        <v>#N/A</v>
      </c>
      <c r="W20" s="3" t="e" cm="1">
        <f t="array" ref="W20">_xlfn.XLOOKUP("analyzed", _xlfn._xlws.FILTER($C$7:$C$1048575, $B$7:$B$1048575=M20), _xlfn._xlws.FILTER($E$7:$E$1048575, $B$7:$B$1048575=M20))</f>
        <v>#N/A</v>
      </c>
      <c r="X20" s="9" t="e">
        <f t="shared" si="2"/>
        <v>#N/A</v>
      </c>
    </row>
    <row r="21" spans="2:24">
      <c r="I21" s="3" t="e" cm="1">
        <f t="array" ref="I21">_xlfn.XLOOKUP(
    1,
    ($B$7:$B$1048575=G21) * ($D$7:$D$1048575=H21) * ($C$7:$C$1048575="request"),
    $E$7:$E$1048575
)</f>
        <v>#N/A</v>
      </c>
      <c r="J21" s="3" t="e" cm="1">
        <f t="array" ref="J21">_xlfn.XLOOKUP(
    1,
    ($B$7:$B$1048575=G21) * ($D$7:$D$1048575=H21) * ($C$7:$C$1048575="reply"),
    $E$7:$E$1048575
)</f>
        <v>#N/A</v>
      </c>
      <c r="K21" s="9" t="e">
        <f t="shared" si="0"/>
        <v>#N/A</v>
      </c>
      <c r="N21" s="3" t="e" cm="1">
        <f t="array" ref="N21">_xlfn.XLOOKUP("started", _xlfn._xlws.FILTER($C$7:$C$1048575, $B$7:$B$1048575=M21), _xlfn._xlws.FILTER($E$7:$E$1048575, $B$7:$B$1048575=M21))</f>
        <v>#N/A</v>
      </c>
      <c r="O21" s="3" t="e" cm="1">
        <f t="array" ref="O21">_xlfn.XLOOKUP("completed", _xlfn._xlws.FILTER($C$7:$C$1048575, $B$7:$B$1048575=M21), _xlfn._xlws.FILTER($E$7:$E$1048575, $B$7:$B$1048575=M21))</f>
        <v>#N/A</v>
      </c>
      <c r="P21" s="3" t="e">
        <f t="shared" si="1"/>
        <v>#N/A</v>
      </c>
      <c r="S21" t="e" cm="1">
        <f t="array" ref="S21">AVERAGE(_xlfn._xlws.FILTER($K$7:$K$1048575, $G$7:$G$1048575=R21))</f>
        <v>#N/A</v>
      </c>
      <c r="V21" s="3" t="e" cm="1">
        <f t="array" ref="V21">_xlfn.XLOOKUP("analysis started", _xlfn._xlws.FILTER($C$7:$C$1048575, $B$7:$B$1048575=M21), _xlfn._xlws.FILTER($E$7:$E$1048575, $B$7:$B$1048575=M21))</f>
        <v>#N/A</v>
      </c>
      <c r="W21" s="3" t="e" cm="1">
        <f t="array" ref="W21">_xlfn.XLOOKUP("analyzed", _xlfn._xlws.FILTER($C$7:$C$1048575, $B$7:$B$1048575=M21), _xlfn._xlws.FILTER($E$7:$E$1048575, $B$7:$B$1048575=M21))</f>
        <v>#N/A</v>
      </c>
      <c r="X21" s="9" t="e">
        <f t="shared" si="2"/>
        <v>#N/A</v>
      </c>
    </row>
    <row r="22" spans="2:24">
      <c r="I22" s="3" t="e" cm="1">
        <f t="array" ref="I22">_xlfn.XLOOKUP(
    1,
    ($B$7:$B$1048575=G22) * ($D$7:$D$1048575=H22) * ($C$7:$C$1048575="request"),
    $E$7:$E$1048575
)</f>
        <v>#N/A</v>
      </c>
      <c r="J22" s="3" t="e" cm="1">
        <f t="array" ref="J22">_xlfn.XLOOKUP(
    1,
    ($B$7:$B$1048575=G22) * ($D$7:$D$1048575=H22) * ($C$7:$C$1048575="reply"),
    $E$7:$E$1048575
)</f>
        <v>#N/A</v>
      </c>
      <c r="K22" s="9" t="e">
        <f t="shared" si="0"/>
        <v>#N/A</v>
      </c>
      <c r="N22" s="3" t="e" cm="1">
        <f t="array" ref="N22">_xlfn.XLOOKUP("started", _xlfn._xlws.FILTER($C$7:$C$1048575, $B$7:$B$1048575=M22), _xlfn._xlws.FILTER($E$7:$E$1048575, $B$7:$B$1048575=M22))</f>
        <v>#N/A</v>
      </c>
      <c r="O22" s="3" t="e" cm="1">
        <f t="array" ref="O22">_xlfn.XLOOKUP("completed", _xlfn._xlws.FILTER($C$7:$C$1048575, $B$7:$B$1048575=M22), _xlfn._xlws.FILTER($E$7:$E$1048575, $B$7:$B$1048575=M22))</f>
        <v>#N/A</v>
      </c>
      <c r="P22" s="3" t="e">
        <f t="shared" si="1"/>
        <v>#N/A</v>
      </c>
      <c r="S22" t="e" cm="1">
        <f t="array" ref="S22">AVERAGE(_xlfn._xlws.FILTER($K$7:$K$1048575, $G$7:$G$1048575=R22))</f>
        <v>#N/A</v>
      </c>
      <c r="V22" s="3" t="e" cm="1">
        <f t="array" ref="V22">_xlfn.XLOOKUP("analysis started", _xlfn._xlws.FILTER($C$7:$C$1048575, $B$7:$B$1048575=M22), _xlfn._xlws.FILTER($E$7:$E$1048575, $B$7:$B$1048575=M22))</f>
        <v>#N/A</v>
      </c>
      <c r="W22" s="3" t="e" cm="1">
        <f t="array" ref="W22">_xlfn.XLOOKUP("analyzed", _xlfn._xlws.FILTER($C$7:$C$1048575, $B$7:$B$1048575=M22), _xlfn._xlws.FILTER($E$7:$E$1048575, $B$7:$B$1048575=M22))</f>
        <v>#N/A</v>
      </c>
      <c r="X22" s="9" t="e">
        <f t="shared" si="2"/>
        <v>#N/A</v>
      </c>
    </row>
    <row r="23" spans="2:24">
      <c r="I23" s="3" t="e" cm="1">
        <f t="array" ref="I23">_xlfn.XLOOKUP(
    1,
    ($B$7:$B$1048575=G23) * ($D$7:$D$1048575=H23) * ($C$7:$C$1048575="request"),
    $E$7:$E$1048575
)</f>
        <v>#N/A</v>
      </c>
      <c r="J23" s="3" t="e" cm="1">
        <f t="array" ref="J23">_xlfn.XLOOKUP(
    1,
    ($B$7:$B$1048575=G23) * ($D$7:$D$1048575=H23) * ($C$7:$C$1048575="reply"),
    $E$7:$E$1048575
)</f>
        <v>#N/A</v>
      </c>
      <c r="K23" s="9" t="e">
        <f t="shared" si="0"/>
        <v>#N/A</v>
      </c>
      <c r="N23" s="3" t="e" cm="1">
        <f t="array" ref="N23">_xlfn.XLOOKUP("started", _xlfn._xlws.FILTER($C$7:$C$1048575, $B$7:$B$1048575=M23), _xlfn._xlws.FILTER($E$7:$E$1048575, $B$7:$B$1048575=M23))</f>
        <v>#N/A</v>
      </c>
      <c r="O23" s="3" t="e" cm="1">
        <f t="array" ref="O23">_xlfn.XLOOKUP("completed", _xlfn._xlws.FILTER($C$7:$C$1048575, $B$7:$B$1048575=M23), _xlfn._xlws.FILTER($E$7:$E$1048575, $B$7:$B$1048575=M23))</f>
        <v>#N/A</v>
      </c>
      <c r="P23" s="3" t="e">
        <f t="shared" si="1"/>
        <v>#N/A</v>
      </c>
      <c r="S23" t="e" cm="1">
        <f t="array" ref="S23">AVERAGE(_xlfn._xlws.FILTER($K$7:$K$1048575, $G$7:$G$1048575=R23))</f>
        <v>#N/A</v>
      </c>
      <c r="V23" s="3" t="e" cm="1">
        <f t="array" ref="V23">_xlfn.XLOOKUP("analysis started", _xlfn._xlws.FILTER($C$7:$C$1048575, $B$7:$B$1048575=M23), _xlfn._xlws.FILTER($E$7:$E$1048575, $B$7:$B$1048575=M23))</f>
        <v>#N/A</v>
      </c>
      <c r="W23" s="3" t="e" cm="1">
        <f t="array" ref="W23">_xlfn.XLOOKUP("analyzed", _xlfn._xlws.FILTER($C$7:$C$1048575, $B$7:$B$1048575=M23), _xlfn._xlws.FILTER($E$7:$E$1048575, $B$7:$B$1048575=M23))</f>
        <v>#N/A</v>
      </c>
      <c r="X23" s="9" t="e">
        <f t="shared" si="2"/>
        <v>#N/A</v>
      </c>
    </row>
    <row r="24" spans="2:24">
      <c r="I24" s="3" t="e" cm="1">
        <f t="array" ref="I24">_xlfn.XLOOKUP(
    1,
    ($B$7:$B$1048575=G24) * ($D$7:$D$1048575=H24) * ($C$7:$C$1048575="request"),
    $E$7:$E$1048575
)</f>
        <v>#N/A</v>
      </c>
      <c r="J24" s="3" t="e" cm="1">
        <f t="array" ref="J24">_xlfn.XLOOKUP(
    1,
    ($B$7:$B$1048575=G24) * ($D$7:$D$1048575=H24) * ($C$7:$C$1048575="reply"),
    $E$7:$E$1048575
)</f>
        <v>#N/A</v>
      </c>
      <c r="K24" s="9" t="e">
        <f t="shared" si="0"/>
        <v>#N/A</v>
      </c>
      <c r="N24" s="3" t="e" cm="1">
        <f t="array" ref="N24">_xlfn.XLOOKUP("started", _xlfn._xlws.FILTER($C$7:$C$1048575, $B$7:$B$1048575=M24), _xlfn._xlws.FILTER($E$7:$E$1048575, $B$7:$B$1048575=M24))</f>
        <v>#N/A</v>
      </c>
      <c r="O24" s="3" t="e" cm="1">
        <f t="array" ref="O24">_xlfn.XLOOKUP("completed", _xlfn._xlws.FILTER($C$7:$C$1048575, $B$7:$B$1048575=M24), _xlfn._xlws.FILTER($E$7:$E$1048575, $B$7:$B$1048575=M24))</f>
        <v>#N/A</v>
      </c>
      <c r="P24" s="3" t="e">
        <f t="shared" si="1"/>
        <v>#N/A</v>
      </c>
      <c r="S24" t="e" cm="1">
        <f t="array" ref="S24">AVERAGE(_xlfn._xlws.FILTER($K$7:$K$1048575, $G$7:$G$1048575=R24))</f>
        <v>#N/A</v>
      </c>
      <c r="V24" s="3" t="e" cm="1">
        <f t="array" ref="V24">_xlfn.XLOOKUP("analysis started", _xlfn._xlws.FILTER($C$7:$C$1048575, $B$7:$B$1048575=M24), _xlfn._xlws.FILTER($E$7:$E$1048575, $B$7:$B$1048575=M24))</f>
        <v>#N/A</v>
      </c>
      <c r="W24" s="3" t="e" cm="1">
        <f t="array" ref="W24">_xlfn.XLOOKUP("analyzed", _xlfn._xlws.FILTER($C$7:$C$1048575, $B$7:$B$1048575=M24), _xlfn._xlws.FILTER($E$7:$E$1048575, $B$7:$B$1048575=M24))</f>
        <v>#N/A</v>
      </c>
      <c r="X24" s="9" t="e">
        <f t="shared" si="2"/>
        <v>#N/A</v>
      </c>
    </row>
    <row r="25" spans="2:24">
      <c r="I25" s="3" t="e" cm="1">
        <f t="array" ref="I25">_xlfn.XLOOKUP(
    1,
    ($B$7:$B$1048575=G25) * ($D$7:$D$1048575=H25) * ($C$7:$C$1048575="request"),
    $E$7:$E$1048575
)</f>
        <v>#N/A</v>
      </c>
      <c r="J25" s="3" t="e" cm="1">
        <f t="array" ref="J25">_xlfn.XLOOKUP(
    1,
    ($B$7:$B$1048575=G25) * ($D$7:$D$1048575=H25) * ($C$7:$C$1048575="reply"),
    $E$7:$E$1048575
)</f>
        <v>#N/A</v>
      </c>
      <c r="K25" s="9" t="e">
        <f t="shared" si="0"/>
        <v>#N/A</v>
      </c>
      <c r="N25" s="3" t="e" cm="1">
        <f t="array" ref="N25">_xlfn.XLOOKUP("started", _xlfn._xlws.FILTER($C$7:$C$1048575, $B$7:$B$1048575=M25), _xlfn._xlws.FILTER($E$7:$E$1048575, $B$7:$B$1048575=M25))</f>
        <v>#N/A</v>
      </c>
      <c r="O25" s="3" t="e" cm="1">
        <f t="array" ref="O25">_xlfn.XLOOKUP("completed", _xlfn._xlws.FILTER($C$7:$C$1048575, $B$7:$B$1048575=M25), _xlfn._xlws.FILTER($E$7:$E$1048575, $B$7:$B$1048575=M25))</f>
        <v>#N/A</v>
      </c>
      <c r="P25" s="3" t="e">
        <f t="shared" si="1"/>
        <v>#N/A</v>
      </c>
      <c r="S25" t="e" cm="1">
        <f t="array" ref="S25">AVERAGE(_xlfn._xlws.FILTER($K$7:$K$1048575, $G$7:$G$1048575=R25))</f>
        <v>#N/A</v>
      </c>
      <c r="V25" s="3" t="e" cm="1">
        <f t="array" ref="V25">_xlfn.XLOOKUP("analysis started", _xlfn._xlws.FILTER($C$7:$C$1048575, $B$7:$B$1048575=M25), _xlfn._xlws.FILTER($E$7:$E$1048575, $B$7:$B$1048575=M25))</f>
        <v>#N/A</v>
      </c>
      <c r="W25" s="3" t="e" cm="1">
        <f t="array" ref="W25">_xlfn.XLOOKUP("analyzed", _xlfn._xlws.FILTER($C$7:$C$1048575, $B$7:$B$1048575=M25), _xlfn._xlws.FILTER($E$7:$E$1048575, $B$7:$B$1048575=M25))</f>
        <v>#N/A</v>
      </c>
      <c r="X25" s="9" t="e">
        <f t="shared" si="2"/>
        <v>#N/A</v>
      </c>
    </row>
    <row r="26" spans="2:24">
      <c r="I26" s="3" t="e" cm="1">
        <f t="array" ref="I26">_xlfn.XLOOKUP(
    1,
    ($B$7:$B$1048575=G26) * ($D$7:$D$1048575=H26) * ($C$7:$C$1048575="request"),
    $E$7:$E$1048575
)</f>
        <v>#N/A</v>
      </c>
      <c r="J26" s="3" t="e" cm="1">
        <f t="array" ref="J26">_xlfn.XLOOKUP(
    1,
    ($B$7:$B$1048575=G26) * ($D$7:$D$1048575=H26) * ($C$7:$C$1048575="reply"),
    $E$7:$E$1048575
)</f>
        <v>#N/A</v>
      </c>
      <c r="K26" s="9" t="e">
        <f t="shared" si="0"/>
        <v>#N/A</v>
      </c>
      <c r="N26" s="3" t="e" cm="1">
        <f t="array" ref="N26">_xlfn.XLOOKUP("started", _xlfn._xlws.FILTER($C$7:$C$1048575, $B$7:$B$1048575=M26), _xlfn._xlws.FILTER($E$7:$E$1048575, $B$7:$B$1048575=M26))</f>
        <v>#N/A</v>
      </c>
      <c r="O26" s="3" t="e" cm="1">
        <f t="array" ref="O26">_xlfn.XLOOKUP("completed", _xlfn._xlws.FILTER($C$7:$C$1048575, $B$7:$B$1048575=M26), _xlfn._xlws.FILTER($E$7:$E$1048575, $B$7:$B$1048575=M26))</f>
        <v>#N/A</v>
      </c>
      <c r="P26" s="3" t="e">
        <f t="shared" si="1"/>
        <v>#N/A</v>
      </c>
      <c r="S26" t="e" cm="1">
        <f t="array" ref="S26">AVERAGE(_xlfn._xlws.FILTER($K$7:$K$1048575, $G$7:$G$1048575=R26))</f>
        <v>#N/A</v>
      </c>
      <c r="V26" s="3" t="e" cm="1">
        <f t="array" ref="V26">_xlfn.XLOOKUP("analysis started", _xlfn._xlws.FILTER($C$7:$C$1048575, $B$7:$B$1048575=M26), _xlfn._xlws.FILTER($E$7:$E$1048575, $B$7:$B$1048575=M26))</f>
        <v>#N/A</v>
      </c>
      <c r="W26" s="3" t="e" cm="1">
        <f t="array" ref="W26">_xlfn.XLOOKUP("analyzed", _xlfn._xlws.FILTER($C$7:$C$1048575, $B$7:$B$1048575=M26), _xlfn._xlws.FILTER($E$7:$E$1048575, $B$7:$B$1048575=M26))</f>
        <v>#N/A</v>
      </c>
      <c r="X26" s="9" t="e">
        <f t="shared" si="2"/>
        <v>#N/A</v>
      </c>
    </row>
    <row r="27" spans="2:24">
      <c r="I27" s="3" t="e" cm="1">
        <f t="array" ref="I27">_xlfn.XLOOKUP(
    1,
    ($B$7:$B$1048575=G27) * ($D$7:$D$1048575=H27) * ($C$7:$C$1048575="request"),
    $E$7:$E$1048575
)</f>
        <v>#N/A</v>
      </c>
      <c r="J27" s="3" t="e" cm="1">
        <f t="array" ref="J27">_xlfn.XLOOKUP(
    1,
    ($B$7:$B$1048575=G27) * ($D$7:$D$1048575=H27) * ($C$7:$C$1048575="reply"),
    $E$7:$E$1048575
)</f>
        <v>#N/A</v>
      </c>
      <c r="K27" s="9" t="e">
        <f t="shared" si="0"/>
        <v>#N/A</v>
      </c>
      <c r="N27" s="3" t="e" cm="1">
        <f t="array" ref="N27">_xlfn.XLOOKUP("started", _xlfn._xlws.FILTER($C$7:$C$1048575, $B$7:$B$1048575=M27), _xlfn._xlws.FILTER($E$7:$E$1048575, $B$7:$B$1048575=M27))</f>
        <v>#N/A</v>
      </c>
      <c r="O27" s="3" t="e" cm="1">
        <f t="array" ref="O27">_xlfn.XLOOKUP("completed", _xlfn._xlws.FILTER($C$7:$C$1048575, $B$7:$B$1048575=M27), _xlfn._xlws.FILTER($E$7:$E$1048575, $B$7:$B$1048575=M27))</f>
        <v>#N/A</v>
      </c>
      <c r="P27" s="3" t="e">
        <f t="shared" si="1"/>
        <v>#N/A</v>
      </c>
      <c r="S27" t="e" cm="1">
        <f t="array" ref="S27">AVERAGE(_xlfn._xlws.FILTER($K$7:$K$1048575, $G$7:$G$1048575=R27))</f>
        <v>#N/A</v>
      </c>
      <c r="V27" s="3" t="e" cm="1">
        <f t="array" ref="V27">_xlfn.XLOOKUP("analysis started", _xlfn._xlws.FILTER($C$7:$C$1048575, $B$7:$B$1048575=M27), _xlfn._xlws.FILTER($E$7:$E$1048575, $B$7:$B$1048575=M27))</f>
        <v>#N/A</v>
      </c>
      <c r="W27" s="3" t="e" cm="1">
        <f t="array" ref="W27">_xlfn.XLOOKUP("analyzed", _xlfn._xlws.FILTER($C$7:$C$1048575, $B$7:$B$1048575=M27), _xlfn._xlws.FILTER($E$7:$E$1048575, $B$7:$B$1048575=M27))</f>
        <v>#N/A</v>
      </c>
      <c r="X27" s="9" t="e">
        <f t="shared" si="2"/>
        <v>#N/A</v>
      </c>
    </row>
    <row r="28" spans="2:24">
      <c r="I28" s="3" t="e" cm="1">
        <f t="array" ref="I28">_xlfn.XLOOKUP(
    1,
    ($B$7:$B$1048575=G28) * ($D$7:$D$1048575=H28) * ($C$7:$C$1048575="request"),
    $E$7:$E$1048575
)</f>
        <v>#N/A</v>
      </c>
      <c r="J28" s="3" t="e" cm="1">
        <f t="array" ref="J28">_xlfn.XLOOKUP(
    1,
    ($B$7:$B$1048575=G28) * ($D$7:$D$1048575=H28) * ($C$7:$C$1048575="reply"),
    $E$7:$E$1048575
)</f>
        <v>#N/A</v>
      </c>
      <c r="K28" s="9" t="e">
        <f t="shared" si="0"/>
        <v>#N/A</v>
      </c>
      <c r="P28" s="3"/>
    </row>
    <row r="29" spans="2:24">
      <c r="I29" s="3" t="e" cm="1">
        <f t="array" ref="I29">_xlfn.XLOOKUP(
    1,
    ($B$7:$B$1048575=G29) * ($D$7:$D$1048575=H29) * ($C$7:$C$1048575="request"),
    $E$7:$E$1048575
)</f>
        <v>#N/A</v>
      </c>
      <c r="J29" s="3" t="e" cm="1">
        <f t="array" ref="J29">_xlfn.XLOOKUP(
    1,
    ($B$7:$B$1048575=G29) * ($D$7:$D$1048575=H29) * ($C$7:$C$1048575="reply"),
    $E$7:$E$1048575
)</f>
        <v>#N/A</v>
      </c>
      <c r="K29" s="9" t="e">
        <f t="shared" si="0"/>
        <v>#N/A</v>
      </c>
      <c r="P29" s="3"/>
    </row>
    <row r="30" spans="2:24">
      <c r="I30" s="3" t="e" cm="1">
        <f t="array" ref="I30">_xlfn.XLOOKUP(
    1,
    ($B$7:$B$1048575=G30) * ($D$7:$D$1048575=H30) * ($C$7:$C$1048575="request"),
    $E$7:$E$1048575
)</f>
        <v>#N/A</v>
      </c>
      <c r="J30" s="3" t="e" cm="1">
        <f t="array" ref="J30">_xlfn.XLOOKUP(
    1,
    ($B$7:$B$1048575=G30) * ($D$7:$D$1048575=H30) * ($C$7:$C$1048575="reply"),
    $E$7:$E$1048575
)</f>
        <v>#N/A</v>
      </c>
      <c r="K30" s="9" t="e">
        <f t="shared" si="0"/>
        <v>#N/A</v>
      </c>
    </row>
    <row r="31" spans="2:24">
      <c r="I31" s="3" t="e" cm="1">
        <f t="array" ref="I31">_xlfn.XLOOKUP(
    1,
    ($B$7:$B$1048575=G31) * ($D$7:$D$1048575=H31) * ($C$7:$C$1048575="request"),
    $E$7:$E$1048575
)</f>
        <v>#N/A</v>
      </c>
      <c r="J31" s="3" t="e" cm="1">
        <f t="array" ref="J31">_xlfn.XLOOKUP(
    1,
    ($B$7:$B$1048575=G31) * ($D$7:$D$1048575=H31) * ($C$7:$C$1048575="reply"),
    $E$7:$E$1048575
)</f>
        <v>#N/A</v>
      </c>
      <c r="K31" s="9" t="e">
        <f t="shared" si="0"/>
        <v>#N/A</v>
      </c>
    </row>
    <row r="32" spans="2:24">
      <c r="I32" s="3" t="e" cm="1">
        <f t="array" ref="I32">_xlfn.XLOOKUP(
    1,
    ($B$7:$B$1048575=G32) * ($D$7:$D$1048575=H32) * ($C$7:$C$1048575="request"),
    $E$7:$E$1048575
)</f>
        <v>#N/A</v>
      </c>
      <c r="J32" s="3" t="e" cm="1">
        <f t="array" ref="J32">_xlfn.XLOOKUP(
    1,
    ($B$7:$B$1048575=G32) * ($D$7:$D$1048575=H32) * ($C$7:$C$1048575="reply"),
    $E$7:$E$1048575
)</f>
        <v>#N/A</v>
      </c>
      <c r="K32" s="9" t="e">
        <f t="shared" si="0"/>
        <v>#N/A</v>
      </c>
    </row>
    <row r="33" spans="9:11">
      <c r="I33" s="3" t="e" cm="1">
        <f t="array" ref="I33">_xlfn.XLOOKUP(
    1,
    ($B$7:$B$1048575=G33) * ($D$7:$D$1048575=H33) * ($C$7:$C$1048575="request"),
    $E$7:$E$1048575
)</f>
        <v>#N/A</v>
      </c>
      <c r="J33" s="3" t="e" cm="1">
        <f t="array" ref="J33">_xlfn.XLOOKUP(
    1,
    ($B$7:$B$1048575=G33) * ($D$7:$D$1048575=H33) * ($C$7:$C$1048575="reply"),
    $E$7:$E$1048575
)</f>
        <v>#N/A</v>
      </c>
      <c r="K33" s="9" t="e">
        <f t="shared" si="0"/>
        <v>#N/A</v>
      </c>
    </row>
    <row r="34" spans="9:11">
      <c r="I34" s="3" t="e" cm="1">
        <f t="array" ref="I34">_xlfn.XLOOKUP(
    1,
    ($B$7:$B$1048575=G34) * ($D$7:$D$1048575=H34) * ($C$7:$C$1048575="request"),
    $E$7:$E$1048575
)</f>
        <v>#N/A</v>
      </c>
      <c r="J34" s="3" t="e" cm="1">
        <f t="array" ref="J34">_xlfn.XLOOKUP(
    1,
    ($B$7:$B$1048575=G34) * ($D$7:$D$1048575=H34) * ($C$7:$C$1048575="reply"),
    $E$7:$E$1048575
)</f>
        <v>#N/A</v>
      </c>
      <c r="K34" s="9" t="e">
        <f t="shared" si="0"/>
        <v>#N/A</v>
      </c>
    </row>
    <row r="35" spans="9:11">
      <c r="I35" s="3" t="e" cm="1">
        <f t="array" ref="I35">_xlfn.XLOOKUP(
    1,
    ($B$7:$B$1048575=G35) * ($D$7:$D$1048575=H35) * ($C$7:$C$1048575="request"),
    $E$7:$E$1048575
)</f>
        <v>#N/A</v>
      </c>
      <c r="J35" s="3" t="e" cm="1">
        <f t="array" ref="J35">_xlfn.XLOOKUP(
    1,
    ($B$7:$B$1048575=G35) * ($D$7:$D$1048575=H35) * ($C$7:$C$1048575="reply"),
    $E$7:$E$1048575
)</f>
        <v>#N/A</v>
      </c>
      <c r="K35" s="9" t="e">
        <f t="shared" si="0"/>
        <v>#N/A</v>
      </c>
    </row>
    <row r="36" spans="9:11">
      <c r="I36" s="3" t="e" cm="1">
        <f t="array" ref="I36">_xlfn.XLOOKUP(
    1,
    ($B$7:$B$1048575=G36) * ($D$7:$D$1048575=H36) * ($C$7:$C$1048575="request"),
    $E$7:$E$1048575
)</f>
        <v>#N/A</v>
      </c>
      <c r="J36" s="3" t="e" cm="1">
        <f t="array" ref="J36">_xlfn.XLOOKUP(
    1,
    ($B$7:$B$1048575=G36) * ($D$7:$D$1048575=H36) * ($C$7:$C$1048575="reply"),
    $E$7:$E$1048575
)</f>
        <v>#N/A</v>
      </c>
      <c r="K36" s="9" t="e">
        <f t="shared" si="0"/>
        <v>#N/A</v>
      </c>
    </row>
    <row r="37" spans="9:11">
      <c r="I37" s="3" t="e" cm="1">
        <f t="array" ref="I37">_xlfn.XLOOKUP(
    1,
    ($B$7:$B$1048575=G37) * ($D$7:$D$1048575=H37) * ($C$7:$C$1048575="request"),
    $E$7:$E$1048575
)</f>
        <v>#N/A</v>
      </c>
      <c r="J37" s="3" t="e" cm="1">
        <f t="array" ref="J37">_xlfn.XLOOKUP(
    1,
    ($B$7:$B$1048575=G37) * ($D$7:$D$1048575=H37) * ($C$7:$C$1048575="reply"),
    $E$7:$E$1048575
)</f>
        <v>#N/A</v>
      </c>
      <c r="K37" s="9" t="e">
        <f t="shared" si="0"/>
        <v>#N/A</v>
      </c>
    </row>
    <row r="38" spans="9:11">
      <c r="I38" s="3" t="e" cm="1">
        <f t="array" ref="I38">_xlfn.XLOOKUP(
    1,
    ($B$7:$B$1048575=G38) * ($D$7:$D$1048575=H38) * ($C$7:$C$1048575="request"),
    $E$7:$E$1048575
)</f>
        <v>#N/A</v>
      </c>
      <c r="J38" s="3" t="e" cm="1">
        <f t="array" ref="J38">_xlfn.XLOOKUP(
    1,
    ($B$7:$B$1048575=G38) * ($D$7:$D$1048575=H38) * ($C$7:$C$1048575="reply"),
    $E$7:$E$1048575
)</f>
        <v>#N/A</v>
      </c>
      <c r="K38" s="9" t="e">
        <f t="shared" si="0"/>
        <v>#N/A</v>
      </c>
    </row>
    <row r="39" spans="9:11">
      <c r="I39" s="3" t="e" cm="1">
        <f t="array" ref="I39">_xlfn.XLOOKUP(
    1,
    ($B$7:$B$1048575=G39) * ($D$7:$D$1048575=H39) * ($C$7:$C$1048575="request"),
    $E$7:$E$1048575
)</f>
        <v>#N/A</v>
      </c>
      <c r="J39" s="3" t="e" cm="1">
        <f t="array" ref="J39">_xlfn.XLOOKUP(
    1,
    ($B$7:$B$1048575=G39) * ($D$7:$D$1048575=H39) * ($C$7:$C$1048575="reply"),
    $E$7:$E$1048575
)</f>
        <v>#N/A</v>
      </c>
      <c r="K39" s="9" t="e">
        <f t="shared" si="0"/>
        <v>#N/A</v>
      </c>
    </row>
    <row r="40" spans="9:11">
      <c r="I40" s="3" t="e" cm="1">
        <f t="array" ref="I40">_xlfn.XLOOKUP(
    1,
    ($B$7:$B$1048575=G40) * ($D$7:$D$1048575=H40) * ($C$7:$C$1048575="request"),
    $E$7:$E$1048575
)</f>
        <v>#N/A</v>
      </c>
      <c r="J40" s="3" t="e" cm="1">
        <f t="array" ref="J40">_xlfn.XLOOKUP(
    1,
    ($B$7:$B$1048575=G40) * ($D$7:$D$1048575=H40) * ($C$7:$C$1048575="reply"),
    $E$7:$E$1048575
)</f>
        <v>#N/A</v>
      </c>
      <c r="K40" s="9" t="e">
        <f t="shared" si="0"/>
        <v>#N/A</v>
      </c>
    </row>
    <row r="41" spans="9:11">
      <c r="I41" s="3" t="e" cm="1">
        <f t="array" ref="I41">_xlfn.XLOOKUP(
    1,
    ($B$7:$B$1048575=G41) * ($D$7:$D$1048575=H41) * ($C$7:$C$1048575="request"),
    $E$7:$E$1048575
)</f>
        <v>#N/A</v>
      </c>
      <c r="J41" s="3" t="e" cm="1">
        <f t="array" ref="J41">_xlfn.XLOOKUP(
    1,
    ($B$7:$B$1048575=G41) * ($D$7:$D$1048575=H41) * ($C$7:$C$1048575="reply"),
    $E$7:$E$1048575
)</f>
        <v>#N/A</v>
      </c>
      <c r="K41" s="9" t="e">
        <f t="shared" si="0"/>
        <v>#N/A</v>
      </c>
    </row>
    <row r="42" spans="9:11">
      <c r="I42" s="3" t="e" cm="1">
        <f t="array" ref="I42">_xlfn.XLOOKUP(
    1,
    ($B$7:$B$1048575=G42) * ($D$7:$D$1048575=H42) * ($C$7:$C$1048575="request"),
    $E$7:$E$1048575
)</f>
        <v>#N/A</v>
      </c>
      <c r="J42" s="3" t="e" cm="1">
        <f t="array" ref="J42">_xlfn.XLOOKUP(
    1,
    ($B$7:$B$1048575=G42) * ($D$7:$D$1048575=H42) * ($C$7:$C$1048575="reply"),
    $E$7:$E$1048575
)</f>
        <v>#N/A</v>
      </c>
      <c r="K42" s="9" t="e">
        <f t="shared" si="0"/>
        <v>#N/A</v>
      </c>
    </row>
    <row r="43" spans="9:11">
      <c r="I43" s="3" t="e" cm="1">
        <f t="array" ref="I43">_xlfn.XLOOKUP(
    1,
    ($B$7:$B$1048575=G43) * ($D$7:$D$1048575=H43) * ($C$7:$C$1048575="request"),
    $E$7:$E$1048575
)</f>
        <v>#N/A</v>
      </c>
      <c r="J43" s="3" t="e" cm="1">
        <f t="array" ref="J43">_xlfn.XLOOKUP(
    1,
    ($B$7:$B$1048575=G43) * ($D$7:$D$1048575=H43) * ($C$7:$C$1048575="reply"),
    $E$7:$E$1048575
)</f>
        <v>#N/A</v>
      </c>
      <c r="K43" s="9" t="e">
        <f t="shared" si="0"/>
        <v>#N/A</v>
      </c>
    </row>
    <row r="44" spans="9:11">
      <c r="I44" s="3" t="e" cm="1">
        <f t="array" ref="I44">_xlfn.XLOOKUP(
    1,
    ($B$7:$B$1048575=G44) * ($D$7:$D$1048575=H44) * ($C$7:$C$1048575="request"),
    $E$7:$E$1048575
)</f>
        <v>#N/A</v>
      </c>
      <c r="J44" s="3" t="e" cm="1">
        <f t="array" ref="J44">_xlfn.XLOOKUP(
    1,
    ($B$7:$B$1048575=G44) * ($D$7:$D$1048575=H44) * ($C$7:$C$1048575="reply"),
    $E$7:$E$1048575
)</f>
        <v>#N/A</v>
      </c>
      <c r="K44" s="9" t="e">
        <f t="shared" si="0"/>
        <v>#N/A</v>
      </c>
    </row>
    <row r="45" spans="9:11">
      <c r="I45" s="3" t="e" cm="1">
        <f t="array" ref="I45">_xlfn.XLOOKUP(
    1,
    ($B$7:$B$1048575=G45) * ($D$7:$D$1048575=H45) * ($C$7:$C$1048575="request"),
    $E$7:$E$1048575
)</f>
        <v>#N/A</v>
      </c>
      <c r="J45" s="3" t="e" cm="1">
        <f t="array" ref="J45">_xlfn.XLOOKUP(
    1,
    ($B$7:$B$1048575=G45) * ($D$7:$D$1048575=H45) * ($C$7:$C$1048575="reply"),
    $E$7:$E$1048575
)</f>
        <v>#N/A</v>
      </c>
      <c r="K45" s="9" t="e">
        <f t="shared" si="0"/>
        <v>#N/A</v>
      </c>
    </row>
    <row r="46" spans="9:11">
      <c r="I46" s="3" t="e" cm="1">
        <f t="array" ref="I46">_xlfn.XLOOKUP(
    1,
    ($B$7:$B$1048575=G46) * ($D$7:$D$1048575=H46) * ($C$7:$C$1048575="request"),
    $E$7:$E$1048575
)</f>
        <v>#N/A</v>
      </c>
      <c r="J46" s="3" t="e" cm="1">
        <f t="array" ref="J46">_xlfn.XLOOKUP(
    1,
    ($B$7:$B$1048575=G46) * ($D$7:$D$1048575=H46) * ($C$7:$C$1048575="reply"),
    $E$7:$E$1048575
)</f>
        <v>#N/A</v>
      </c>
      <c r="K46" s="9" t="e">
        <f t="shared" si="0"/>
        <v>#N/A</v>
      </c>
    </row>
    <row r="47" spans="9:11">
      <c r="I47" s="3" t="e" cm="1">
        <f t="array" ref="I47">_xlfn.XLOOKUP(
    1,
    ($B$7:$B$1048575=G47) * ($D$7:$D$1048575=H47) * ($C$7:$C$1048575="request"),
    $E$7:$E$1048575
)</f>
        <v>#N/A</v>
      </c>
      <c r="J47" s="3" t="e" cm="1">
        <f t="array" ref="J47">_xlfn.XLOOKUP(
    1,
    ($B$7:$B$1048575=G47) * ($D$7:$D$1048575=H47) * ($C$7:$C$1048575="reply"),
    $E$7:$E$1048575
)</f>
        <v>#N/A</v>
      </c>
      <c r="K47" s="9" t="e">
        <f t="shared" si="0"/>
        <v>#N/A</v>
      </c>
    </row>
    <row r="48" spans="9:11">
      <c r="I48" s="3" t="e" cm="1">
        <f t="array" ref="I48">_xlfn.XLOOKUP(
    1,
    ($B$7:$B$1048575=G48) * ($D$7:$D$1048575=H48) * ($C$7:$C$1048575="request"),
    $E$7:$E$1048575
)</f>
        <v>#N/A</v>
      </c>
      <c r="J48" s="3" t="e" cm="1">
        <f t="array" ref="J48">_xlfn.XLOOKUP(
    1,
    ($B$7:$B$1048575=G48) * ($D$7:$D$1048575=H48) * ($C$7:$C$1048575="reply"),
    $E$7:$E$1048575
)</f>
        <v>#N/A</v>
      </c>
      <c r="K48" s="9" t="e">
        <f t="shared" si="0"/>
        <v>#N/A</v>
      </c>
    </row>
    <row r="49" spans="9:11">
      <c r="I49" s="3" t="e" cm="1">
        <f t="array" ref="I49">_xlfn.XLOOKUP(
    1,
    ($B$7:$B$1048575=G49) * ($D$7:$D$1048575=H49) * ($C$7:$C$1048575="request"),
    $E$7:$E$1048575
)</f>
        <v>#N/A</v>
      </c>
      <c r="J49" s="3" t="e" cm="1">
        <f t="array" ref="J49">_xlfn.XLOOKUP(
    1,
    ($B$7:$B$1048575=G49) * ($D$7:$D$1048575=H49) * ($C$7:$C$1048575="reply"),
    $E$7:$E$1048575
)</f>
        <v>#N/A</v>
      </c>
      <c r="K49" s="9" t="e">
        <f t="shared" si="0"/>
        <v>#N/A</v>
      </c>
    </row>
    <row r="50" spans="9:11">
      <c r="I50" s="3" t="e" cm="1">
        <f t="array" ref="I50">_xlfn.XLOOKUP(
    1,
    ($B$7:$B$1048575=G50) * ($D$7:$D$1048575=H50) * ($C$7:$C$1048575="request"),
    $E$7:$E$1048575
)</f>
        <v>#N/A</v>
      </c>
      <c r="J50" s="3" t="e" cm="1">
        <f t="array" ref="J50">_xlfn.XLOOKUP(
    1,
    ($B$7:$B$1048575=G50) * ($D$7:$D$1048575=H50) * ($C$7:$C$1048575="reply"),
    $E$7:$E$1048575
)</f>
        <v>#N/A</v>
      </c>
      <c r="K50" s="9" t="e">
        <f t="shared" si="0"/>
        <v>#N/A</v>
      </c>
    </row>
    <row r="51" spans="9:11">
      <c r="I51" s="3" t="e" cm="1">
        <f t="array" ref="I51">_xlfn.XLOOKUP(
    1,
    ($B$7:$B$1048575=G51) * ($D$7:$D$1048575=H51) * ($C$7:$C$1048575="request"),
    $E$7:$E$1048575
)</f>
        <v>#N/A</v>
      </c>
      <c r="J51" s="3" t="e" cm="1">
        <f t="array" ref="J51">_xlfn.XLOOKUP(
    1,
    ($B$7:$B$1048575=G51) * ($D$7:$D$1048575=H51) * ($C$7:$C$1048575="reply"),
    $E$7:$E$1048575
)</f>
        <v>#N/A</v>
      </c>
      <c r="K51" s="9" t="e">
        <f t="shared" si="0"/>
        <v>#N/A</v>
      </c>
    </row>
    <row r="52" spans="9:11">
      <c r="I52" s="3" t="e" cm="1">
        <f t="array" ref="I52">_xlfn.XLOOKUP(
    1,
    ($B$7:$B$1048575=G52) * ($D$7:$D$1048575=H52) * ($C$7:$C$1048575="request"),
    $E$7:$E$1048575
)</f>
        <v>#N/A</v>
      </c>
      <c r="J52" s="3" t="e" cm="1">
        <f t="array" ref="J52">_xlfn.XLOOKUP(
    1,
    ($B$7:$B$1048575=G52) * ($D$7:$D$1048575=H52) * ($C$7:$C$1048575="reply"),
    $E$7:$E$1048575
)</f>
        <v>#N/A</v>
      </c>
      <c r="K52" s="9" t="e">
        <f t="shared" si="0"/>
        <v>#N/A</v>
      </c>
    </row>
    <row r="53" spans="9:11">
      <c r="I53" s="3" t="e" cm="1">
        <f t="array" ref="I53">_xlfn.XLOOKUP(
    1,
    ($B$7:$B$1048575=G53) * ($D$7:$D$1048575=H53) * ($C$7:$C$1048575="request"),
    $E$7:$E$1048575
)</f>
        <v>#N/A</v>
      </c>
      <c r="J53" s="3" t="e" cm="1">
        <f t="array" ref="J53">_xlfn.XLOOKUP(
    1,
    ($B$7:$B$1048575=G53) * ($D$7:$D$1048575=H53) * ($C$7:$C$1048575="reply"),
    $E$7:$E$1048575
)</f>
        <v>#N/A</v>
      </c>
      <c r="K53" s="9" t="e">
        <f t="shared" si="0"/>
        <v>#N/A</v>
      </c>
    </row>
    <row r="54" spans="9:11">
      <c r="I54" s="3" t="e" cm="1">
        <f t="array" ref="I54">_xlfn.XLOOKUP(
    1,
    ($B$7:$B$1048575=G54) * ($D$7:$D$1048575=H54) * ($C$7:$C$1048575="request"),
    $E$7:$E$1048575
)</f>
        <v>#N/A</v>
      </c>
      <c r="J54" s="3" t="e" cm="1">
        <f t="array" ref="J54">_xlfn.XLOOKUP(
    1,
    ($B$7:$B$1048575=G54) * ($D$7:$D$1048575=H54) * ($C$7:$C$1048575="reply"),
    $E$7:$E$1048575
)</f>
        <v>#N/A</v>
      </c>
      <c r="K54" s="9" t="e">
        <f t="shared" si="0"/>
        <v>#N/A</v>
      </c>
    </row>
    <row r="55" spans="9:11">
      <c r="I55" s="3" t="e" cm="1">
        <f t="array" ref="I55">_xlfn.XLOOKUP(
    1,
    ($B$7:$B$1048575=G55) * ($D$7:$D$1048575=H55) * ($C$7:$C$1048575="request"),
    $E$7:$E$1048575
)</f>
        <v>#N/A</v>
      </c>
      <c r="J55" s="3" t="e" cm="1">
        <f t="array" ref="J55">_xlfn.XLOOKUP(
    1,
    ($B$7:$B$1048575=G55) * ($D$7:$D$1048575=H55) * ($C$7:$C$1048575="reply"),
    $E$7:$E$1048575
)</f>
        <v>#N/A</v>
      </c>
      <c r="K55" s="9" t="e">
        <f t="shared" si="0"/>
        <v>#N/A</v>
      </c>
    </row>
    <row r="56" spans="9:11">
      <c r="I56" s="3" t="e" cm="1">
        <f t="array" ref="I56">_xlfn.XLOOKUP(
    1,
    ($B$7:$B$1048575=G56) * ($D$7:$D$1048575=H56) * ($C$7:$C$1048575="request"),
    $E$7:$E$1048575
)</f>
        <v>#N/A</v>
      </c>
      <c r="J56" s="3" t="e" cm="1">
        <f t="array" ref="J56">_xlfn.XLOOKUP(
    1,
    ($B$7:$B$1048575=G56) * ($D$7:$D$1048575=H56) * ($C$7:$C$1048575="reply"),
    $E$7:$E$1048575
)</f>
        <v>#N/A</v>
      </c>
      <c r="K56" s="9" t="e">
        <f t="shared" si="0"/>
        <v>#N/A</v>
      </c>
    </row>
    <row r="57" spans="9:11">
      <c r="I57" s="3" t="e" cm="1">
        <f t="array" ref="I57">_xlfn.XLOOKUP(
    1,
    ($B$7:$B$1048575=G57) * ($D$7:$D$1048575=H57) * ($C$7:$C$1048575="request"),
    $E$7:$E$1048575
)</f>
        <v>#N/A</v>
      </c>
      <c r="J57" s="3" t="e" cm="1">
        <f t="array" ref="J57">_xlfn.XLOOKUP(
    1,
    ($B$7:$B$1048575=G57) * ($D$7:$D$1048575=H57) * ($C$7:$C$1048575="reply"),
    $E$7:$E$1048575
)</f>
        <v>#N/A</v>
      </c>
      <c r="K57" s="9" t="e">
        <f t="shared" si="0"/>
        <v>#N/A</v>
      </c>
    </row>
    <row r="58" spans="9:11">
      <c r="I58" s="3" t="e" cm="1">
        <f t="array" ref="I58">_xlfn.XLOOKUP(
    1,
    ($B$7:$B$1048575=G58) * ($D$7:$D$1048575=H58) * ($C$7:$C$1048575="request"),
    $E$7:$E$1048575
)</f>
        <v>#N/A</v>
      </c>
      <c r="J58" s="3" t="e" cm="1">
        <f t="array" ref="J58">_xlfn.XLOOKUP(
    1,
    ($B$7:$B$1048575=G58) * ($D$7:$D$1048575=H58) * ($C$7:$C$1048575="reply"),
    $E$7:$E$1048575
)</f>
        <v>#N/A</v>
      </c>
      <c r="K58" s="9" t="e">
        <f t="shared" si="0"/>
        <v>#N/A</v>
      </c>
    </row>
    <row r="59" spans="9:11">
      <c r="I59" s="3" t="e" cm="1">
        <f t="array" ref="I59">_xlfn.XLOOKUP(
    1,
    ($B$7:$B$1048575=G59) * ($D$7:$D$1048575=H59) * ($C$7:$C$1048575="request"),
    $E$7:$E$1048575
)</f>
        <v>#N/A</v>
      </c>
      <c r="J59" s="3" t="e" cm="1">
        <f t="array" ref="J59">_xlfn.XLOOKUP(
    1,
    ($B$7:$B$1048575=G59) * ($D$7:$D$1048575=H59) * ($C$7:$C$1048575="reply"),
    $E$7:$E$1048575
)</f>
        <v>#N/A</v>
      </c>
      <c r="K59" s="9" t="e">
        <f t="shared" si="0"/>
        <v>#N/A</v>
      </c>
    </row>
    <row r="60" spans="9:11">
      <c r="I60" s="3" t="e" cm="1">
        <f t="array" ref="I60">_xlfn.XLOOKUP(
    1,
    ($B$7:$B$1048575=G60) * ($D$7:$D$1048575=H60) * ($C$7:$C$1048575="request"),
    $E$7:$E$1048575
)</f>
        <v>#N/A</v>
      </c>
      <c r="J60" s="3" t="e" cm="1">
        <f t="array" ref="J60">_xlfn.XLOOKUP(
    1,
    ($B$7:$B$1048575=G60) * ($D$7:$D$1048575=H60) * ($C$7:$C$1048575="reply"),
    $E$7:$E$1048575
)</f>
        <v>#N/A</v>
      </c>
      <c r="K60" s="9" t="e">
        <f t="shared" si="0"/>
        <v>#N/A</v>
      </c>
    </row>
    <row r="61" spans="9:11">
      <c r="I61" s="3" t="e" cm="1">
        <f t="array" ref="I61">_xlfn.XLOOKUP(
    1,
    ($B$7:$B$1048575=G61) * ($D$7:$D$1048575=H61) * ($C$7:$C$1048575="request"),
    $E$7:$E$1048575
)</f>
        <v>#N/A</v>
      </c>
      <c r="J61" s="3" t="e" cm="1">
        <f t="array" ref="J61">_xlfn.XLOOKUP(
    1,
    ($B$7:$B$1048575=G61) * ($D$7:$D$1048575=H61) * ($C$7:$C$1048575="reply"),
    $E$7:$E$1048575
)</f>
        <v>#N/A</v>
      </c>
      <c r="K61" s="9" t="e">
        <f t="shared" si="0"/>
        <v>#N/A</v>
      </c>
    </row>
    <row r="62" spans="9:11">
      <c r="I62" s="3" t="e" cm="1">
        <f t="array" ref="I62">_xlfn.XLOOKUP(
    1,
    ($B$7:$B$1048575=G62) * ($D$7:$D$1048575=H62) * ($C$7:$C$1048575="request"),
    $E$7:$E$1048575
)</f>
        <v>#N/A</v>
      </c>
      <c r="J62" s="3" t="e" cm="1">
        <f t="array" ref="J62">_xlfn.XLOOKUP(
    1,
    ($B$7:$B$1048575=G62) * ($D$7:$D$1048575=H62) * ($C$7:$C$1048575="reply"),
    $E$7:$E$1048575
)</f>
        <v>#N/A</v>
      </c>
      <c r="K62" s="9" t="e">
        <f t="shared" si="0"/>
        <v>#N/A</v>
      </c>
    </row>
    <row r="63" spans="9:11">
      <c r="I63" s="3" t="e" cm="1">
        <f t="array" ref="I63">_xlfn.XLOOKUP(
    1,
    ($B$7:$B$1048575=G63) * ($D$7:$D$1048575=H63) * ($C$7:$C$1048575="request"),
    $E$7:$E$1048575
)</f>
        <v>#N/A</v>
      </c>
      <c r="J63" s="3" t="e" cm="1">
        <f t="array" ref="J63">_xlfn.XLOOKUP(
    1,
    ($B$7:$B$1048575=G63) * ($D$7:$D$1048575=H63) * ($C$7:$C$1048575="reply"),
    $E$7:$E$1048575
)</f>
        <v>#N/A</v>
      </c>
      <c r="K63" s="9" t="e">
        <f t="shared" si="0"/>
        <v>#N/A</v>
      </c>
    </row>
    <row r="64" spans="9:11">
      <c r="I64" s="3" t="e" cm="1">
        <f t="array" ref="I64">_xlfn.XLOOKUP(
    1,
    ($B$7:$B$1048575=G64) * ($D$7:$D$1048575=H64) * ($C$7:$C$1048575="request"),
    $E$7:$E$1048575
)</f>
        <v>#N/A</v>
      </c>
      <c r="J64" s="3" t="e" cm="1">
        <f t="array" ref="J64">_xlfn.XLOOKUP(
    1,
    ($B$7:$B$1048575=G64) * ($D$7:$D$1048575=H64) * ($C$7:$C$1048575="reply"),
    $E$7:$E$1048575
)</f>
        <v>#N/A</v>
      </c>
      <c r="K64" s="9" t="e">
        <f t="shared" si="0"/>
        <v>#N/A</v>
      </c>
    </row>
    <row r="65" spans="9:11">
      <c r="I65" s="3" t="e" cm="1">
        <f t="array" ref="I65">_xlfn.XLOOKUP(
    1,
    ($B$7:$B$1048575=G65) * ($D$7:$D$1048575=H65) * ($C$7:$C$1048575="request"),
    $E$7:$E$1048575
)</f>
        <v>#N/A</v>
      </c>
      <c r="J65" s="3" t="e" cm="1">
        <f t="array" ref="J65">_xlfn.XLOOKUP(
    1,
    ($B$7:$B$1048575=G65) * ($D$7:$D$1048575=H65) * ($C$7:$C$1048575="reply"),
    $E$7:$E$1048575
)</f>
        <v>#N/A</v>
      </c>
      <c r="K65" s="9" t="e">
        <f t="shared" si="0"/>
        <v>#N/A</v>
      </c>
    </row>
    <row r="66" spans="9:11">
      <c r="I66" s="3" t="e" cm="1">
        <f t="array" ref="I66">_xlfn.XLOOKUP(
    1,
    ($B$7:$B$1048575=G66) * ($D$7:$D$1048575=H66) * ($C$7:$C$1048575="request"),
    $E$7:$E$1048575
)</f>
        <v>#N/A</v>
      </c>
      <c r="J66" s="3" t="e" cm="1">
        <f t="array" ref="J66">_xlfn.XLOOKUP(
    1,
    ($B$7:$B$1048575=G66) * ($D$7:$D$1048575=H66) * ($C$7:$C$1048575="reply"),
    $E$7:$E$1048575
)</f>
        <v>#N/A</v>
      </c>
      <c r="K66" s="9" t="e">
        <f t="shared" si="0"/>
        <v>#N/A</v>
      </c>
    </row>
    <row r="67" spans="9:11">
      <c r="I67" s="3" t="e" cm="1">
        <f t="array" ref="I67">_xlfn.XLOOKUP(
    1,
    ($B$7:$B$1048575=G67) * ($D$7:$D$1048575=H67) * ($C$7:$C$1048575="request"),
    $E$7:$E$1048575
)</f>
        <v>#N/A</v>
      </c>
      <c r="J67" s="3" t="e" cm="1">
        <f t="array" ref="J67">_xlfn.XLOOKUP(
    1,
    ($B$7:$B$1048575=G67) * ($D$7:$D$1048575=H67) * ($C$7:$C$1048575="reply"),
    $E$7:$E$1048575
)</f>
        <v>#N/A</v>
      </c>
      <c r="K67" s="9" t="e">
        <f t="shared" si="0"/>
        <v>#N/A</v>
      </c>
    </row>
    <row r="68" spans="9:11">
      <c r="I68" s="3" t="e" cm="1">
        <f t="array" ref="I68">_xlfn.XLOOKUP(
    1,
    ($B$7:$B$1048575=G68) * ($D$7:$D$1048575=H68) * ($C$7:$C$1048575="request"),
    $E$7:$E$1048575
)</f>
        <v>#N/A</v>
      </c>
      <c r="J68" s="3" t="e" cm="1">
        <f t="array" ref="J68">_xlfn.XLOOKUP(
    1,
    ($B$7:$B$1048575=G68) * ($D$7:$D$1048575=H68) * ($C$7:$C$1048575="reply"),
    $E$7:$E$1048575
)</f>
        <v>#N/A</v>
      </c>
      <c r="K68" s="9" t="e">
        <f t="shared" si="0"/>
        <v>#N/A</v>
      </c>
    </row>
    <row r="69" spans="9:11">
      <c r="I69" s="3" t="e" cm="1">
        <f t="array" ref="I69">_xlfn.XLOOKUP(
    1,
    ($B$7:$B$1048575=G69) * ($D$7:$D$1048575=H69) * ($C$7:$C$1048575="request"),
    $E$7:$E$1048575
)</f>
        <v>#N/A</v>
      </c>
      <c r="J69" s="3" t="e" cm="1">
        <f t="array" ref="J69">_xlfn.XLOOKUP(
    1,
    ($B$7:$B$1048575=G69) * ($D$7:$D$1048575=H69) * ($C$7:$C$1048575="reply"),
    $E$7:$E$1048575
)</f>
        <v>#N/A</v>
      </c>
      <c r="K69" s="9" t="e">
        <f t="shared" si="0"/>
        <v>#N/A</v>
      </c>
    </row>
    <row r="70" spans="9:11">
      <c r="I70" s="3" t="e" cm="1">
        <f t="array" ref="I70">_xlfn.XLOOKUP(
    1,
    ($B$7:$B$1048575=G70) * ($D$7:$D$1048575=H70) * ($C$7:$C$1048575="request"),
    $E$7:$E$1048575
)</f>
        <v>#N/A</v>
      </c>
      <c r="J70" s="3" t="e" cm="1">
        <f t="array" ref="J70">_xlfn.XLOOKUP(
    1,
    ($B$7:$B$1048575=G70) * ($D$7:$D$1048575=H70) * ($C$7:$C$1048575="reply"),
    $E$7:$E$1048575
)</f>
        <v>#N/A</v>
      </c>
      <c r="K70" s="9" t="e">
        <f t="shared" si="0"/>
        <v>#N/A</v>
      </c>
    </row>
    <row r="71" spans="9:11">
      <c r="I71" s="3" t="e" cm="1">
        <f t="array" ref="I71">_xlfn.XLOOKUP(
    1,
    ($B$7:$B$1048575=G71) * ($D$7:$D$1048575=H71) * ($C$7:$C$1048575="request"),
    $E$7:$E$1048575
)</f>
        <v>#N/A</v>
      </c>
      <c r="J71" s="3" t="e" cm="1">
        <f t="array" ref="J71">_xlfn.XLOOKUP(
    1,
    ($B$7:$B$1048575=G71) * ($D$7:$D$1048575=H71) * ($C$7:$C$1048575="reply"),
    $E$7:$E$1048575
)</f>
        <v>#N/A</v>
      </c>
      <c r="K71" s="9" t="e">
        <f t="shared" si="0"/>
        <v>#N/A</v>
      </c>
    </row>
    <row r="72" spans="9:11">
      <c r="I72" s="3" t="e" cm="1">
        <f t="array" ref="I72">_xlfn.XLOOKUP(
    1,
    ($B$7:$B$1048575=G72) * ($D$7:$D$1048575=H72) * ($C$7:$C$1048575="request"),
    $E$7:$E$1048575
)</f>
        <v>#N/A</v>
      </c>
      <c r="J72" s="3" t="e" cm="1">
        <f t="array" ref="J72">_xlfn.XLOOKUP(
    1,
    ($B$7:$B$1048575=G72) * ($D$7:$D$1048575=H72) * ($C$7:$C$1048575="reply"),
    $E$7:$E$1048575
)</f>
        <v>#N/A</v>
      </c>
      <c r="K72" s="9" t="e">
        <f t="shared" ref="K72:K135" si="3">J72-I72</f>
        <v>#N/A</v>
      </c>
    </row>
    <row r="73" spans="9:11">
      <c r="I73" s="3" t="e" cm="1">
        <f t="array" ref="I73">_xlfn.XLOOKUP(
    1,
    ($B$7:$B$1048575=G73) * ($D$7:$D$1048575=H73) * ($C$7:$C$1048575="request"),
    $E$7:$E$1048575
)</f>
        <v>#N/A</v>
      </c>
      <c r="J73" s="3" t="e" cm="1">
        <f t="array" ref="J73">_xlfn.XLOOKUP(
    1,
    ($B$7:$B$1048575=G73) * ($D$7:$D$1048575=H73) * ($C$7:$C$1048575="reply"),
    $E$7:$E$1048575
)</f>
        <v>#N/A</v>
      </c>
      <c r="K73" s="9" t="e">
        <f t="shared" si="3"/>
        <v>#N/A</v>
      </c>
    </row>
    <row r="74" spans="9:11">
      <c r="I74" s="3" t="e" cm="1">
        <f t="array" ref="I74">_xlfn.XLOOKUP(
    1,
    ($B$7:$B$1048575=G74) * ($D$7:$D$1048575=H74) * ($C$7:$C$1048575="request"),
    $E$7:$E$1048575
)</f>
        <v>#N/A</v>
      </c>
      <c r="J74" s="3" t="e" cm="1">
        <f t="array" ref="J74">_xlfn.XLOOKUP(
    1,
    ($B$7:$B$1048575=G74) * ($D$7:$D$1048575=H74) * ($C$7:$C$1048575="reply"),
    $E$7:$E$1048575
)</f>
        <v>#N/A</v>
      </c>
      <c r="K74" s="9" t="e">
        <f t="shared" si="3"/>
        <v>#N/A</v>
      </c>
    </row>
    <row r="75" spans="9:11">
      <c r="I75" s="3" t="e" cm="1">
        <f t="array" ref="I75">_xlfn.XLOOKUP(
    1,
    ($B$7:$B$1048575=G75) * ($D$7:$D$1048575=H75) * ($C$7:$C$1048575="request"),
    $E$7:$E$1048575
)</f>
        <v>#N/A</v>
      </c>
      <c r="J75" s="3" t="e" cm="1">
        <f t="array" ref="J75">_xlfn.XLOOKUP(
    1,
    ($B$7:$B$1048575=G75) * ($D$7:$D$1048575=H75) * ($C$7:$C$1048575="reply"),
    $E$7:$E$1048575
)</f>
        <v>#N/A</v>
      </c>
      <c r="K75" s="9" t="e">
        <f t="shared" si="3"/>
        <v>#N/A</v>
      </c>
    </row>
    <row r="76" spans="9:11">
      <c r="I76" s="3" t="e" cm="1">
        <f t="array" ref="I76">_xlfn.XLOOKUP(
    1,
    ($B$7:$B$1048575=G76) * ($D$7:$D$1048575=H76) * ($C$7:$C$1048575="request"),
    $E$7:$E$1048575
)</f>
        <v>#N/A</v>
      </c>
      <c r="J76" s="3" t="e" cm="1">
        <f t="array" ref="J76">_xlfn.XLOOKUP(
    1,
    ($B$7:$B$1048575=G76) * ($D$7:$D$1048575=H76) * ($C$7:$C$1048575="reply"),
    $E$7:$E$1048575
)</f>
        <v>#N/A</v>
      </c>
      <c r="K76" s="9" t="e">
        <f t="shared" si="3"/>
        <v>#N/A</v>
      </c>
    </row>
    <row r="77" spans="9:11">
      <c r="I77" s="3" t="e" cm="1">
        <f t="array" ref="I77">_xlfn.XLOOKUP(
    1,
    ($B$7:$B$1048575=G77) * ($D$7:$D$1048575=H77) * ($C$7:$C$1048575="request"),
    $E$7:$E$1048575
)</f>
        <v>#N/A</v>
      </c>
      <c r="J77" s="3" t="e" cm="1">
        <f t="array" ref="J77">_xlfn.XLOOKUP(
    1,
    ($B$7:$B$1048575=G77) * ($D$7:$D$1048575=H77) * ($C$7:$C$1048575="reply"),
    $E$7:$E$1048575
)</f>
        <v>#N/A</v>
      </c>
      <c r="K77" s="9" t="e">
        <f t="shared" si="3"/>
        <v>#N/A</v>
      </c>
    </row>
    <row r="78" spans="9:11">
      <c r="I78" s="3" t="e" cm="1">
        <f t="array" ref="I78">_xlfn.XLOOKUP(
    1,
    ($B$7:$B$1048575=G78) * ($D$7:$D$1048575=H78) * ($C$7:$C$1048575="request"),
    $E$7:$E$1048575
)</f>
        <v>#N/A</v>
      </c>
      <c r="J78" s="3" t="e" cm="1">
        <f t="array" ref="J78">_xlfn.XLOOKUP(
    1,
    ($B$7:$B$1048575=G78) * ($D$7:$D$1048575=H78) * ($C$7:$C$1048575="reply"),
    $E$7:$E$1048575
)</f>
        <v>#N/A</v>
      </c>
      <c r="K78" s="9" t="e">
        <f t="shared" si="3"/>
        <v>#N/A</v>
      </c>
    </row>
    <row r="79" spans="9:11">
      <c r="I79" s="3" t="e" cm="1">
        <f t="array" ref="I79">_xlfn.XLOOKUP(
    1,
    ($B$7:$B$1048575=G79) * ($D$7:$D$1048575=H79) * ($C$7:$C$1048575="request"),
    $E$7:$E$1048575
)</f>
        <v>#N/A</v>
      </c>
      <c r="J79" s="3" t="e" cm="1">
        <f t="array" ref="J79">_xlfn.XLOOKUP(
    1,
    ($B$7:$B$1048575=G79) * ($D$7:$D$1048575=H79) * ($C$7:$C$1048575="reply"),
    $E$7:$E$1048575
)</f>
        <v>#N/A</v>
      </c>
      <c r="K79" s="9" t="e">
        <f t="shared" si="3"/>
        <v>#N/A</v>
      </c>
    </row>
    <row r="80" spans="9:11">
      <c r="I80" s="3" t="e" cm="1">
        <f t="array" ref="I80">_xlfn.XLOOKUP(
    1,
    ($B$7:$B$1048575=G80) * ($D$7:$D$1048575=H80) * ($C$7:$C$1048575="request"),
    $E$7:$E$1048575
)</f>
        <v>#N/A</v>
      </c>
      <c r="J80" s="3" t="e" cm="1">
        <f t="array" ref="J80">_xlfn.XLOOKUP(
    1,
    ($B$7:$B$1048575=G80) * ($D$7:$D$1048575=H80) * ($C$7:$C$1048575="reply"),
    $E$7:$E$1048575
)</f>
        <v>#N/A</v>
      </c>
      <c r="K80" s="9" t="e">
        <f t="shared" si="3"/>
        <v>#N/A</v>
      </c>
    </row>
    <row r="81" spans="9:11">
      <c r="I81" s="3" t="e" cm="1">
        <f t="array" ref="I81">_xlfn.XLOOKUP(
    1,
    ($B$7:$B$1048575=G81) * ($D$7:$D$1048575=H81) * ($C$7:$C$1048575="request"),
    $E$7:$E$1048575
)</f>
        <v>#N/A</v>
      </c>
      <c r="J81" s="3" t="e" cm="1">
        <f t="array" ref="J81">_xlfn.XLOOKUP(
    1,
    ($B$7:$B$1048575=G81) * ($D$7:$D$1048575=H81) * ($C$7:$C$1048575="reply"),
    $E$7:$E$1048575
)</f>
        <v>#N/A</v>
      </c>
      <c r="K81" s="9" t="e">
        <f t="shared" si="3"/>
        <v>#N/A</v>
      </c>
    </row>
    <row r="82" spans="9:11">
      <c r="I82" s="3" t="e" cm="1">
        <f t="array" ref="I82">_xlfn.XLOOKUP(
    1,
    ($B$7:$B$1048575=G82) * ($D$7:$D$1048575=H82) * ($C$7:$C$1048575="request"),
    $E$7:$E$1048575
)</f>
        <v>#N/A</v>
      </c>
      <c r="J82" s="3" t="e" cm="1">
        <f t="array" ref="J82">_xlfn.XLOOKUP(
    1,
    ($B$7:$B$1048575=G82) * ($D$7:$D$1048575=H82) * ($C$7:$C$1048575="reply"),
    $E$7:$E$1048575
)</f>
        <v>#N/A</v>
      </c>
      <c r="K82" s="9" t="e">
        <f t="shared" si="3"/>
        <v>#N/A</v>
      </c>
    </row>
    <row r="83" spans="9:11">
      <c r="I83" s="3" t="e" cm="1">
        <f t="array" ref="I83">_xlfn.XLOOKUP(
    1,
    ($B$7:$B$1048575=G83) * ($D$7:$D$1048575=H83) * ($C$7:$C$1048575="request"),
    $E$7:$E$1048575
)</f>
        <v>#N/A</v>
      </c>
      <c r="J83" s="3" t="e" cm="1">
        <f t="array" ref="J83">_xlfn.XLOOKUP(
    1,
    ($B$7:$B$1048575=G83) * ($D$7:$D$1048575=H83) * ($C$7:$C$1048575="reply"),
    $E$7:$E$1048575
)</f>
        <v>#N/A</v>
      </c>
      <c r="K83" s="9" t="e">
        <f t="shared" si="3"/>
        <v>#N/A</v>
      </c>
    </row>
    <row r="84" spans="9:11">
      <c r="I84" s="3" t="e" cm="1">
        <f t="array" ref="I84">_xlfn.XLOOKUP(
    1,
    ($B$7:$B$1048575=G84) * ($D$7:$D$1048575=H84) * ($C$7:$C$1048575="request"),
    $E$7:$E$1048575
)</f>
        <v>#N/A</v>
      </c>
      <c r="J84" s="3" t="e" cm="1">
        <f t="array" ref="J84">_xlfn.XLOOKUP(
    1,
    ($B$7:$B$1048575=G84) * ($D$7:$D$1048575=H84) * ($C$7:$C$1048575="reply"),
    $E$7:$E$1048575
)</f>
        <v>#N/A</v>
      </c>
      <c r="K84" s="9" t="e">
        <f t="shared" si="3"/>
        <v>#N/A</v>
      </c>
    </row>
    <row r="85" spans="9:11">
      <c r="I85" s="3" t="e" cm="1">
        <f t="array" ref="I85">_xlfn.XLOOKUP(
    1,
    ($B$7:$B$1048575=G85) * ($D$7:$D$1048575=H85) * ($C$7:$C$1048575="request"),
    $E$7:$E$1048575
)</f>
        <v>#N/A</v>
      </c>
      <c r="J85" s="3" t="e" cm="1">
        <f t="array" ref="J85">_xlfn.XLOOKUP(
    1,
    ($B$7:$B$1048575=G85) * ($D$7:$D$1048575=H85) * ($C$7:$C$1048575="reply"),
    $E$7:$E$1048575
)</f>
        <v>#N/A</v>
      </c>
      <c r="K85" s="9" t="e">
        <f t="shared" si="3"/>
        <v>#N/A</v>
      </c>
    </row>
    <row r="86" spans="9:11">
      <c r="I86" s="3" t="e" cm="1">
        <f t="array" ref="I86">_xlfn.XLOOKUP(
    1,
    ($B$7:$B$1048575=G86) * ($D$7:$D$1048575=H86) * ($C$7:$C$1048575="request"),
    $E$7:$E$1048575
)</f>
        <v>#N/A</v>
      </c>
      <c r="J86" s="3" t="e" cm="1">
        <f t="array" ref="J86">_xlfn.XLOOKUP(
    1,
    ($B$7:$B$1048575=G86) * ($D$7:$D$1048575=H86) * ($C$7:$C$1048575="reply"),
    $E$7:$E$1048575
)</f>
        <v>#N/A</v>
      </c>
      <c r="K86" s="9" t="e">
        <f t="shared" si="3"/>
        <v>#N/A</v>
      </c>
    </row>
    <row r="87" spans="9:11">
      <c r="I87" s="3" t="e" cm="1">
        <f t="array" ref="I87">_xlfn.XLOOKUP(
    1,
    ($B$7:$B$1048575=G87) * ($D$7:$D$1048575=H87) * ($C$7:$C$1048575="request"),
    $E$7:$E$1048575
)</f>
        <v>#N/A</v>
      </c>
      <c r="J87" s="3" t="e" cm="1">
        <f t="array" ref="J87">_xlfn.XLOOKUP(
    1,
    ($B$7:$B$1048575=G87) * ($D$7:$D$1048575=H87) * ($C$7:$C$1048575="reply"),
    $E$7:$E$1048575
)</f>
        <v>#N/A</v>
      </c>
      <c r="K87" s="9" t="e">
        <f t="shared" si="3"/>
        <v>#N/A</v>
      </c>
    </row>
    <row r="88" spans="9:11">
      <c r="I88" s="3" t="e" cm="1">
        <f t="array" ref="I88">_xlfn.XLOOKUP(
    1,
    ($B$7:$B$1048575=G88) * ($D$7:$D$1048575=H88) * ($C$7:$C$1048575="request"),
    $E$7:$E$1048575
)</f>
        <v>#N/A</v>
      </c>
      <c r="J88" s="3" t="e" cm="1">
        <f t="array" ref="J88">_xlfn.XLOOKUP(
    1,
    ($B$7:$B$1048575=G88) * ($D$7:$D$1048575=H88) * ($C$7:$C$1048575="reply"),
    $E$7:$E$1048575
)</f>
        <v>#N/A</v>
      </c>
      <c r="K88" s="9" t="e">
        <f t="shared" si="3"/>
        <v>#N/A</v>
      </c>
    </row>
    <row r="89" spans="9:11">
      <c r="I89" s="3" t="e" cm="1">
        <f t="array" ref="I89">_xlfn.XLOOKUP(
    1,
    ($B$7:$B$1048575=G89) * ($D$7:$D$1048575=H89) * ($C$7:$C$1048575="request"),
    $E$7:$E$1048575
)</f>
        <v>#N/A</v>
      </c>
      <c r="J89" s="3" t="e" cm="1">
        <f t="array" ref="J89">_xlfn.XLOOKUP(
    1,
    ($B$7:$B$1048575=G89) * ($D$7:$D$1048575=H89) * ($C$7:$C$1048575="reply"),
    $E$7:$E$1048575
)</f>
        <v>#N/A</v>
      </c>
      <c r="K89" s="9" t="e">
        <f t="shared" si="3"/>
        <v>#N/A</v>
      </c>
    </row>
    <row r="90" spans="9:11">
      <c r="I90" s="3" t="e" cm="1">
        <f t="array" ref="I90">_xlfn.XLOOKUP(
    1,
    ($B$7:$B$1048575=G90) * ($D$7:$D$1048575=H90) * ($C$7:$C$1048575="request"),
    $E$7:$E$1048575
)</f>
        <v>#N/A</v>
      </c>
      <c r="J90" s="3" t="e" cm="1">
        <f t="array" ref="J90">_xlfn.XLOOKUP(
    1,
    ($B$7:$B$1048575=G90) * ($D$7:$D$1048575=H90) * ($C$7:$C$1048575="reply"),
    $E$7:$E$1048575
)</f>
        <v>#N/A</v>
      </c>
      <c r="K90" s="9" t="e">
        <f t="shared" si="3"/>
        <v>#N/A</v>
      </c>
    </row>
    <row r="91" spans="9:11">
      <c r="I91" s="3" t="e" cm="1">
        <f t="array" ref="I91">_xlfn.XLOOKUP(
    1,
    ($B$7:$B$1048575=G91) * ($D$7:$D$1048575=H91) * ($C$7:$C$1048575="request"),
    $E$7:$E$1048575
)</f>
        <v>#N/A</v>
      </c>
      <c r="J91" s="3" t="e" cm="1">
        <f t="array" ref="J91">_xlfn.XLOOKUP(
    1,
    ($B$7:$B$1048575=G91) * ($D$7:$D$1048575=H91) * ($C$7:$C$1048575="reply"),
    $E$7:$E$1048575
)</f>
        <v>#N/A</v>
      </c>
      <c r="K91" s="9" t="e">
        <f t="shared" si="3"/>
        <v>#N/A</v>
      </c>
    </row>
    <row r="92" spans="9:11">
      <c r="I92" s="3" t="e" cm="1">
        <f t="array" ref="I92">_xlfn.XLOOKUP(
    1,
    ($B$7:$B$1048575=G92) * ($D$7:$D$1048575=H92) * ($C$7:$C$1048575="request"),
    $E$7:$E$1048575
)</f>
        <v>#N/A</v>
      </c>
      <c r="J92" s="3" t="e" cm="1">
        <f t="array" ref="J92">_xlfn.XLOOKUP(
    1,
    ($B$7:$B$1048575=G92) * ($D$7:$D$1048575=H92) * ($C$7:$C$1048575="reply"),
    $E$7:$E$1048575
)</f>
        <v>#N/A</v>
      </c>
      <c r="K92" s="9" t="e">
        <f t="shared" si="3"/>
        <v>#N/A</v>
      </c>
    </row>
    <row r="93" spans="9:11">
      <c r="I93" s="3" t="e" cm="1">
        <f t="array" ref="I93">_xlfn.XLOOKUP(
    1,
    ($B$7:$B$1048575=G93) * ($D$7:$D$1048575=H93) * ($C$7:$C$1048575="request"),
    $E$7:$E$1048575
)</f>
        <v>#N/A</v>
      </c>
      <c r="J93" s="3" t="e" cm="1">
        <f t="array" ref="J93">_xlfn.XLOOKUP(
    1,
    ($B$7:$B$1048575=G93) * ($D$7:$D$1048575=H93) * ($C$7:$C$1048575="reply"),
    $E$7:$E$1048575
)</f>
        <v>#N/A</v>
      </c>
      <c r="K93" s="9" t="e">
        <f t="shared" si="3"/>
        <v>#N/A</v>
      </c>
    </row>
    <row r="94" spans="9:11">
      <c r="I94" s="3" t="e" cm="1">
        <f t="array" ref="I94">_xlfn.XLOOKUP(
    1,
    ($B$7:$B$1048575=G94) * ($D$7:$D$1048575=H94) * ($C$7:$C$1048575="request"),
    $E$7:$E$1048575
)</f>
        <v>#N/A</v>
      </c>
      <c r="J94" s="3" t="e" cm="1">
        <f t="array" ref="J94">_xlfn.XLOOKUP(
    1,
    ($B$7:$B$1048575=G94) * ($D$7:$D$1048575=H94) * ($C$7:$C$1048575="reply"),
    $E$7:$E$1048575
)</f>
        <v>#N/A</v>
      </c>
      <c r="K94" s="9" t="e">
        <f t="shared" si="3"/>
        <v>#N/A</v>
      </c>
    </row>
    <row r="95" spans="9:11">
      <c r="I95" s="3" t="e" cm="1">
        <f t="array" ref="I95">_xlfn.XLOOKUP(
    1,
    ($B$7:$B$1048575=G95) * ($D$7:$D$1048575=H95) * ($C$7:$C$1048575="request"),
    $E$7:$E$1048575
)</f>
        <v>#N/A</v>
      </c>
      <c r="J95" s="3" t="e" cm="1">
        <f t="array" ref="J95">_xlfn.XLOOKUP(
    1,
    ($B$7:$B$1048575=G95) * ($D$7:$D$1048575=H95) * ($C$7:$C$1048575="reply"),
    $E$7:$E$1048575
)</f>
        <v>#N/A</v>
      </c>
      <c r="K95" s="9" t="e">
        <f t="shared" si="3"/>
        <v>#N/A</v>
      </c>
    </row>
    <row r="96" spans="9:11">
      <c r="I96" s="3" t="e" cm="1">
        <f t="array" ref="I96">_xlfn.XLOOKUP(
    1,
    ($B$7:$B$1048575=G96) * ($D$7:$D$1048575=H96) * ($C$7:$C$1048575="request"),
    $E$7:$E$1048575
)</f>
        <v>#N/A</v>
      </c>
      <c r="J96" s="3" t="e" cm="1">
        <f t="array" ref="J96">_xlfn.XLOOKUP(
    1,
    ($B$7:$B$1048575=G96) * ($D$7:$D$1048575=H96) * ($C$7:$C$1048575="reply"),
    $E$7:$E$1048575
)</f>
        <v>#N/A</v>
      </c>
      <c r="K96" s="9" t="e">
        <f t="shared" si="3"/>
        <v>#N/A</v>
      </c>
    </row>
    <row r="97" spans="9:11">
      <c r="I97" s="3" t="e" cm="1">
        <f t="array" ref="I97">_xlfn.XLOOKUP(
    1,
    ($B$7:$B$1048575=G97) * ($D$7:$D$1048575=H97) * ($C$7:$C$1048575="request"),
    $E$7:$E$1048575
)</f>
        <v>#N/A</v>
      </c>
      <c r="J97" s="3" t="e" cm="1">
        <f t="array" ref="J97">_xlfn.XLOOKUP(
    1,
    ($B$7:$B$1048575=G97) * ($D$7:$D$1048575=H97) * ($C$7:$C$1048575="reply"),
    $E$7:$E$1048575
)</f>
        <v>#N/A</v>
      </c>
      <c r="K97" s="9" t="e">
        <f t="shared" si="3"/>
        <v>#N/A</v>
      </c>
    </row>
    <row r="98" spans="9:11">
      <c r="I98" s="3" t="e" cm="1">
        <f t="array" ref="I98">_xlfn.XLOOKUP(
    1,
    ($B$7:$B$1048575=G98) * ($D$7:$D$1048575=H98) * ($C$7:$C$1048575="request"),
    $E$7:$E$1048575
)</f>
        <v>#N/A</v>
      </c>
      <c r="J98" s="3" t="e" cm="1">
        <f t="array" ref="J98">_xlfn.XLOOKUP(
    1,
    ($B$7:$B$1048575=G98) * ($D$7:$D$1048575=H98) * ($C$7:$C$1048575="reply"),
    $E$7:$E$1048575
)</f>
        <v>#N/A</v>
      </c>
      <c r="K98" s="9" t="e">
        <f t="shared" si="3"/>
        <v>#N/A</v>
      </c>
    </row>
    <row r="99" spans="9:11">
      <c r="I99" s="3" t="e" cm="1">
        <f t="array" ref="I99">_xlfn.XLOOKUP(
    1,
    ($B$7:$B$1048575=G99) * ($D$7:$D$1048575=H99) * ($C$7:$C$1048575="request"),
    $E$7:$E$1048575
)</f>
        <v>#N/A</v>
      </c>
      <c r="J99" s="3" t="e" cm="1">
        <f t="array" ref="J99">_xlfn.XLOOKUP(
    1,
    ($B$7:$B$1048575=G99) * ($D$7:$D$1048575=H99) * ($C$7:$C$1048575="reply"),
    $E$7:$E$1048575
)</f>
        <v>#N/A</v>
      </c>
      <c r="K99" s="9" t="e">
        <f t="shared" si="3"/>
        <v>#N/A</v>
      </c>
    </row>
    <row r="100" spans="9:11">
      <c r="I100" s="3" t="e" cm="1">
        <f t="array" ref="I100">_xlfn.XLOOKUP(
    1,
    ($B$7:$B$1048575=G100) * ($D$7:$D$1048575=H100) * ($C$7:$C$1048575="request"),
    $E$7:$E$1048575
)</f>
        <v>#N/A</v>
      </c>
      <c r="J100" s="3" t="e" cm="1">
        <f t="array" ref="J100">_xlfn.XLOOKUP(
    1,
    ($B$7:$B$1048575=G100) * ($D$7:$D$1048575=H100) * ($C$7:$C$1048575="reply"),
    $E$7:$E$1048575
)</f>
        <v>#N/A</v>
      </c>
      <c r="K100" s="9" t="e">
        <f t="shared" si="3"/>
        <v>#N/A</v>
      </c>
    </row>
    <row r="101" spans="9:11">
      <c r="I101" s="3" t="e" cm="1">
        <f t="array" ref="I101">_xlfn.XLOOKUP(
    1,
    ($B$7:$B$1048575=G101) * ($D$7:$D$1048575=H101) * ($C$7:$C$1048575="request"),
    $E$7:$E$1048575
)</f>
        <v>#N/A</v>
      </c>
      <c r="J101" s="3" t="e" cm="1">
        <f t="array" ref="J101">_xlfn.XLOOKUP(
    1,
    ($B$7:$B$1048575=G101) * ($D$7:$D$1048575=H101) * ($C$7:$C$1048575="reply"),
    $E$7:$E$1048575
)</f>
        <v>#N/A</v>
      </c>
      <c r="K101" s="9" t="e">
        <f t="shared" si="3"/>
        <v>#N/A</v>
      </c>
    </row>
    <row r="102" spans="9:11">
      <c r="I102" s="3" t="e" cm="1">
        <f t="array" ref="I102">_xlfn.XLOOKUP(
    1,
    ($B$7:$B$1048575=G102) * ($D$7:$D$1048575=H102) * ($C$7:$C$1048575="request"),
    $E$7:$E$1048575
)</f>
        <v>#N/A</v>
      </c>
      <c r="J102" s="3" t="e" cm="1">
        <f t="array" ref="J102">_xlfn.XLOOKUP(
    1,
    ($B$7:$B$1048575=G102) * ($D$7:$D$1048575=H102) * ($C$7:$C$1048575="reply"),
    $E$7:$E$1048575
)</f>
        <v>#N/A</v>
      </c>
      <c r="K102" s="9" t="e">
        <f t="shared" si="3"/>
        <v>#N/A</v>
      </c>
    </row>
    <row r="103" spans="9:11">
      <c r="I103" s="3" t="e" cm="1">
        <f t="array" ref="I103">_xlfn.XLOOKUP(
    1,
    ($B$7:$B$1048575=G103) * ($D$7:$D$1048575=H103) * ($C$7:$C$1048575="request"),
    $E$7:$E$1048575
)</f>
        <v>#N/A</v>
      </c>
      <c r="J103" s="3" t="e" cm="1">
        <f t="array" ref="J103">_xlfn.XLOOKUP(
    1,
    ($B$7:$B$1048575=G103) * ($D$7:$D$1048575=H103) * ($C$7:$C$1048575="reply"),
    $E$7:$E$1048575
)</f>
        <v>#N/A</v>
      </c>
      <c r="K103" s="9" t="e">
        <f t="shared" si="3"/>
        <v>#N/A</v>
      </c>
    </row>
    <row r="104" spans="9:11">
      <c r="I104" s="3" t="e" cm="1">
        <f t="array" ref="I104">_xlfn.XLOOKUP(
    1,
    ($B$7:$B$1048575=G104) * ($D$7:$D$1048575=H104) * ($C$7:$C$1048575="request"),
    $E$7:$E$1048575
)</f>
        <v>#N/A</v>
      </c>
      <c r="J104" s="3" t="e" cm="1">
        <f t="array" ref="J104">_xlfn.XLOOKUP(
    1,
    ($B$7:$B$1048575=G104) * ($D$7:$D$1048575=H104) * ($C$7:$C$1048575="reply"),
    $E$7:$E$1048575
)</f>
        <v>#N/A</v>
      </c>
      <c r="K104" s="9" t="e">
        <f t="shared" si="3"/>
        <v>#N/A</v>
      </c>
    </row>
    <row r="105" spans="9:11">
      <c r="I105" s="3" t="e" cm="1">
        <f t="array" ref="I105">_xlfn.XLOOKUP(
    1,
    ($B$7:$B$1048575=G105) * ($D$7:$D$1048575=H105) * ($C$7:$C$1048575="request"),
    $E$7:$E$1048575
)</f>
        <v>#N/A</v>
      </c>
      <c r="J105" s="3" t="e" cm="1">
        <f t="array" ref="J105">_xlfn.XLOOKUP(
    1,
    ($B$7:$B$1048575=G105) * ($D$7:$D$1048575=H105) * ($C$7:$C$1048575="reply"),
    $E$7:$E$1048575
)</f>
        <v>#N/A</v>
      </c>
      <c r="K105" s="9" t="e">
        <f t="shared" si="3"/>
        <v>#N/A</v>
      </c>
    </row>
    <row r="106" spans="9:11">
      <c r="I106" s="3" t="e" cm="1">
        <f t="array" ref="I106">_xlfn.XLOOKUP(
    1,
    ($B$7:$B$1048575=G106) * ($D$7:$D$1048575=H106) * ($C$7:$C$1048575="request"),
    $E$7:$E$1048575
)</f>
        <v>#N/A</v>
      </c>
      <c r="J106" s="3" t="e" cm="1">
        <f t="array" ref="J106">_xlfn.XLOOKUP(
    1,
    ($B$7:$B$1048575=G106) * ($D$7:$D$1048575=H106) * ($C$7:$C$1048575="reply"),
    $E$7:$E$1048575
)</f>
        <v>#N/A</v>
      </c>
      <c r="K106" s="9" t="e">
        <f t="shared" si="3"/>
        <v>#N/A</v>
      </c>
    </row>
    <row r="107" spans="9:11">
      <c r="I107" s="3" t="e" cm="1">
        <f t="array" ref="I107">_xlfn.XLOOKUP(
    1,
    ($B$7:$B$1048575=G107) * ($D$7:$D$1048575=H107) * ($C$7:$C$1048575="request"),
    $E$7:$E$1048575
)</f>
        <v>#N/A</v>
      </c>
      <c r="J107" s="3" t="e" cm="1">
        <f t="array" ref="J107">_xlfn.XLOOKUP(
    1,
    ($B$7:$B$1048575=G107) * ($D$7:$D$1048575=H107) * ($C$7:$C$1048575="reply"),
    $E$7:$E$1048575
)</f>
        <v>#N/A</v>
      </c>
      <c r="K107" s="9" t="e">
        <f t="shared" si="3"/>
        <v>#N/A</v>
      </c>
    </row>
    <row r="108" spans="9:11">
      <c r="I108" s="3" t="e" cm="1">
        <f t="array" ref="I108">_xlfn.XLOOKUP(
    1,
    ($B$7:$B$1048575=G108) * ($D$7:$D$1048575=H108) * ($C$7:$C$1048575="request"),
    $E$7:$E$1048575
)</f>
        <v>#N/A</v>
      </c>
      <c r="J108" s="3" t="e" cm="1">
        <f t="array" ref="J108">_xlfn.XLOOKUP(
    1,
    ($B$7:$B$1048575=G108) * ($D$7:$D$1048575=H108) * ($C$7:$C$1048575="reply"),
    $E$7:$E$1048575
)</f>
        <v>#N/A</v>
      </c>
      <c r="K108" s="9" t="e">
        <f t="shared" si="3"/>
        <v>#N/A</v>
      </c>
    </row>
    <row r="109" spans="9:11">
      <c r="I109" s="3" t="e" cm="1">
        <f t="array" ref="I109">_xlfn.XLOOKUP(
    1,
    ($B$7:$B$1048575=G109) * ($D$7:$D$1048575=H109) * ($C$7:$C$1048575="request"),
    $E$7:$E$1048575
)</f>
        <v>#N/A</v>
      </c>
      <c r="J109" s="3" t="e" cm="1">
        <f t="array" ref="J109">_xlfn.XLOOKUP(
    1,
    ($B$7:$B$1048575=G109) * ($D$7:$D$1048575=H109) * ($C$7:$C$1048575="reply"),
    $E$7:$E$1048575
)</f>
        <v>#N/A</v>
      </c>
      <c r="K109" s="9" t="e">
        <f t="shared" si="3"/>
        <v>#N/A</v>
      </c>
    </row>
    <row r="110" spans="9:11">
      <c r="I110" s="3" t="e" cm="1">
        <f t="array" ref="I110">_xlfn.XLOOKUP(
    1,
    ($B$7:$B$1048575=G110) * ($D$7:$D$1048575=H110) * ($C$7:$C$1048575="request"),
    $E$7:$E$1048575
)</f>
        <v>#N/A</v>
      </c>
      <c r="J110" s="3" t="e" cm="1">
        <f t="array" ref="J110">_xlfn.XLOOKUP(
    1,
    ($B$7:$B$1048575=G110) * ($D$7:$D$1048575=H110) * ($C$7:$C$1048575="reply"),
    $E$7:$E$1048575
)</f>
        <v>#N/A</v>
      </c>
      <c r="K110" s="9" t="e">
        <f t="shared" si="3"/>
        <v>#N/A</v>
      </c>
    </row>
    <row r="111" spans="9:11">
      <c r="I111" s="3" t="e" cm="1">
        <f t="array" ref="I111">_xlfn.XLOOKUP(
    1,
    ($B$7:$B$1048575=G111) * ($D$7:$D$1048575=H111) * ($C$7:$C$1048575="request"),
    $E$7:$E$1048575
)</f>
        <v>#N/A</v>
      </c>
      <c r="J111" s="3" t="e" cm="1">
        <f t="array" ref="J111">_xlfn.XLOOKUP(
    1,
    ($B$7:$B$1048575=G111) * ($D$7:$D$1048575=H111) * ($C$7:$C$1048575="reply"),
    $E$7:$E$1048575
)</f>
        <v>#N/A</v>
      </c>
      <c r="K111" s="9" t="e">
        <f t="shared" si="3"/>
        <v>#N/A</v>
      </c>
    </row>
    <row r="112" spans="9:11">
      <c r="I112" s="3" t="e" cm="1">
        <f t="array" ref="I112">_xlfn.XLOOKUP(
    1,
    ($B$7:$B$1048575=G112) * ($D$7:$D$1048575=H112) * ($C$7:$C$1048575="request"),
    $E$7:$E$1048575
)</f>
        <v>#N/A</v>
      </c>
      <c r="J112" s="3" t="e" cm="1">
        <f t="array" ref="J112">_xlfn.XLOOKUP(
    1,
    ($B$7:$B$1048575=G112) * ($D$7:$D$1048575=H112) * ($C$7:$C$1048575="reply"),
    $E$7:$E$1048575
)</f>
        <v>#N/A</v>
      </c>
      <c r="K112" s="9" t="e">
        <f t="shared" si="3"/>
        <v>#N/A</v>
      </c>
    </row>
    <row r="113" spans="9:11">
      <c r="I113" s="3" t="e" cm="1">
        <f t="array" ref="I113">_xlfn.XLOOKUP(
    1,
    ($B$7:$B$1048575=G113) * ($D$7:$D$1048575=H113) * ($C$7:$C$1048575="request"),
    $E$7:$E$1048575
)</f>
        <v>#N/A</v>
      </c>
      <c r="J113" s="3" t="e" cm="1">
        <f t="array" ref="J113">_xlfn.XLOOKUP(
    1,
    ($B$7:$B$1048575=G113) * ($D$7:$D$1048575=H113) * ($C$7:$C$1048575="reply"),
    $E$7:$E$1048575
)</f>
        <v>#N/A</v>
      </c>
      <c r="K113" s="9" t="e">
        <f t="shared" si="3"/>
        <v>#N/A</v>
      </c>
    </row>
    <row r="114" spans="9:11">
      <c r="I114" s="3" t="e" cm="1">
        <f t="array" ref="I114">_xlfn.XLOOKUP(
    1,
    ($B$7:$B$1048575=G114) * ($D$7:$D$1048575=H114) * ($C$7:$C$1048575="request"),
    $E$7:$E$1048575
)</f>
        <v>#N/A</v>
      </c>
      <c r="J114" s="3" t="e" cm="1">
        <f t="array" ref="J114">_xlfn.XLOOKUP(
    1,
    ($B$7:$B$1048575=G114) * ($D$7:$D$1048575=H114) * ($C$7:$C$1048575="reply"),
    $E$7:$E$1048575
)</f>
        <v>#N/A</v>
      </c>
      <c r="K114" s="9" t="e">
        <f t="shared" si="3"/>
        <v>#N/A</v>
      </c>
    </row>
    <row r="115" spans="9:11">
      <c r="I115" s="3" t="e" cm="1">
        <f t="array" ref="I115">_xlfn.XLOOKUP(
    1,
    ($B$7:$B$1048575=G115) * ($D$7:$D$1048575=H115) * ($C$7:$C$1048575="request"),
    $E$7:$E$1048575
)</f>
        <v>#N/A</v>
      </c>
      <c r="J115" s="3" t="e" cm="1">
        <f t="array" ref="J115">_xlfn.XLOOKUP(
    1,
    ($B$7:$B$1048575=G115) * ($D$7:$D$1048575=H115) * ($C$7:$C$1048575="reply"),
    $E$7:$E$1048575
)</f>
        <v>#N/A</v>
      </c>
      <c r="K115" s="9" t="e">
        <f t="shared" si="3"/>
        <v>#N/A</v>
      </c>
    </row>
    <row r="116" spans="9:11">
      <c r="I116" s="3" t="e" cm="1">
        <f t="array" ref="I116">_xlfn.XLOOKUP(
    1,
    ($B$7:$B$1048575=G116) * ($D$7:$D$1048575=H116) * ($C$7:$C$1048575="request"),
    $E$7:$E$1048575
)</f>
        <v>#N/A</v>
      </c>
      <c r="J116" s="3" t="e" cm="1">
        <f t="array" ref="J116">_xlfn.XLOOKUP(
    1,
    ($B$7:$B$1048575=G116) * ($D$7:$D$1048575=H116) * ($C$7:$C$1048575="reply"),
    $E$7:$E$1048575
)</f>
        <v>#N/A</v>
      </c>
      <c r="K116" s="9" t="e">
        <f t="shared" si="3"/>
        <v>#N/A</v>
      </c>
    </row>
    <row r="117" spans="9:11">
      <c r="I117" s="3" t="e" cm="1">
        <f t="array" ref="I117">_xlfn.XLOOKUP(
    1,
    ($B$7:$B$1048575=G117) * ($D$7:$D$1048575=H117) * ($C$7:$C$1048575="request"),
    $E$7:$E$1048575
)</f>
        <v>#N/A</v>
      </c>
      <c r="J117" s="3" t="e" cm="1">
        <f t="array" ref="J117">_xlfn.XLOOKUP(
    1,
    ($B$7:$B$1048575=G117) * ($D$7:$D$1048575=H117) * ($C$7:$C$1048575="reply"),
    $E$7:$E$1048575
)</f>
        <v>#N/A</v>
      </c>
      <c r="K117" s="9" t="e">
        <f t="shared" si="3"/>
        <v>#N/A</v>
      </c>
    </row>
    <row r="118" spans="9:11">
      <c r="I118" s="3" t="e" cm="1">
        <f t="array" ref="I118">_xlfn.XLOOKUP(
    1,
    ($B$7:$B$1048575=G118) * ($D$7:$D$1048575=H118) * ($C$7:$C$1048575="request"),
    $E$7:$E$1048575
)</f>
        <v>#N/A</v>
      </c>
      <c r="J118" s="3" t="e" cm="1">
        <f t="array" ref="J118">_xlfn.XLOOKUP(
    1,
    ($B$7:$B$1048575=G118) * ($D$7:$D$1048575=H118) * ($C$7:$C$1048575="reply"),
    $E$7:$E$1048575
)</f>
        <v>#N/A</v>
      </c>
      <c r="K118" s="9" t="e">
        <f t="shared" si="3"/>
        <v>#N/A</v>
      </c>
    </row>
    <row r="119" spans="9:11">
      <c r="I119" s="3" t="e" cm="1">
        <f t="array" ref="I119">_xlfn.XLOOKUP(
    1,
    ($B$7:$B$1048575=G119) * ($D$7:$D$1048575=H119) * ($C$7:$C$1048575="request"),
    $E$7:$E$1048575
)</f>
        <v>#N/A</v>
      </c>
      <c r="J119" s="3" t="e" cm="1">
        <f t="array" ref="J119">_xlfn.XLOOKUP(
    1,
    ($B$7:$B$1048575=G119) * ($D$7:$D$1048575=H119) * ($C$7:$C$1048575="reply"),
    $E$7:$E$1048575
)</f>
        <v>#N/A</v>
      </c>
      <c r="K119" s="9" t="e">
        <f t="shared" si="3"/>
        <v>#N/A</v>
      </c>
    </row>
    <row r="120" spans="9:11">
      <c r="I120" s="3" t="e" cm="1">
        <f t="array" ref="I120">_xlfn.XLOOKUP(
    1,
    ($B$7:$B$1048575=G120) * ($D$7:$D$1048575=H120) * ($C$7:$C$1048575="request"),
    $E$7:$E$1048575
)</f>
        <v>#N/A</v>
      </c>
      <c r="J120" s="3" t="e" cm="1">
        <f t="array" ref="J120">_xlfn.XLOOKUP(
    1,
    ($B$7:$B$1048575=G120) * ($D$7:$D$1048575=H120) * ($C$7:$C$1048575="reply"),
    $E$7:$E$1048575
)</f>
        <v>#N/A</v>
      </c>
      <c r="K120" s="9" t="e">
        <f t="shared" si="3"/>
        <v>#N/A</v>
      </c>
    </row>
    <row r="121" spans="9:11">
      <c r="I121" s="3" t="e" cm="1">
        <f t="array" ref="I121">_xlfn.XLOOKUP(
    1,
    ($B$7:$B$1048575=G121) * ($D$7:$D$1048575=H121) * ($C$7:$C$1048575="request"),
    $E$7:$E$1048575
)</f>
        <v>#N/A</v>
      </c>
      <c r="J121" s="3" t="e" cm="1">
        <f t="array" ref="J121">_xlfn.XLOOKUP(
    1,
    ($B$7:$B$1048575=G121) * ($D$7:$D$1048575=H121) * ($C$7:$C$1048575="reply"),
    $E$7:$E$1048575
)</f>
        <v>#N/A</v>
      </c>
      <c r="K121" s="9" t="e">
        <f t="shared" si="3"/>
        <v>#N/A</v>
      </c>
    </row>
    <row r="122" spans="9:11">
      <c r="I122" s="3" t="e" cm="1">
        <f t="array" ref="I122">_xlfn.XLOOKUP(
    1,
    ($B$7:$B$1048575=G122) * ($D$7:$D$1048575=H122) * ($C$7:$C$1048575="request"),
    $E$7:$E$1048575
)</f>
        <v>#N/A</v>
      </c>
      <c r="J122" s="3" t="e" cm="1">
        <f t="array" ref="J122">_xlfn.XLOOKUP(
    1,
    ($B$7:$B$1048575=G122) * ($D$7:$D$1048575=H122) * ($C$7:$C$1048575="reply"),
    $E$7:$E$1048575
)</f>
        <v>#N/A</v>
      </c>
      <c r="K122" s="9" t="e">
        <f t="shared" si="3"/>
        <v>#N/A</v>
      </c>
    </row>
    <row r="123" spans="9:11">
      <c r="I123" s="3" t="e" cm="1">
        <f t="array" ref="I123">_xlfn.XLOOKUP(
    1,
    ($B$7:$B$1048575=G123) * ($D$7:$D$1048575=H123) * ($C$7:$C$1048575="request"),
    $E$7:$E$1048575
)</f>
        <v>#N/A</v>
      </c>
      <c r="J123" s="3" t="e" cm="1">
        <f t="array" ref="J123">_xlfn.XLOOKUP(
    1,
    ($B$7:$B$1048575=G123) * ($D$7:$D$1048575=H123) * ($C$7:$C$1048575="reply"),
    $E$7:$E$1048575
)</f>
        <v>#N/A</v>
      </c>
      <c r="K123" s="9" t="e">
        <f t="shared" si="3"/>
        <v>#N/A</v>
      </c>
    </row>
    <row r="124" spans="9:11">
      <c r="I124" s="3" t="e" cm="1">
        <f t="array" ref="I124">_xlfn.XLOOKUP(
    1,
    ($B$7:$B$1048575=G124) * ($D$7:$D$1048575=H124) * ($C$7:$C$1048575="request"),
    $E$7:$E$1048575
)</f>
        <v>#N/A</v>
      </c>
      <c r="J124" s="3" t="e" cm="1">
        <f t="array" ref="J124">_xlfn.XLOOKUP(
    1,
    ($B$7:$B$1048575=G124) * ($D$7:$D$1048575=H124) * ($C$7:$C$1048575="reply"),
    $E$7:$E$1048575
)</f>
        <v>#N/A</v>
      </c>
      <c r="K124" s="9" t="e">
        <f t="shared" si="3"/>
        <v>#N/A</v>
      </c>
    </row>
    <row r="125" spans="9:11">
      <c r="I125" s="3" t="e" cm="1">
        <f t="array" ref="I125">_xlfn.XLOOKUP(
    1,
    ($B$7:$B$1048575=G125) * ($D$7:$D$1048575=H125) * ($C$7:$C$1048575="request"),
    $E$7:$E$1048575
)</f>
        <v>#N/A</v>
      </c>
      <c r="J125" s="3" t="e" cm="1">
        <f t="array" ref="J125">_xlfn.XLOOKUP(
    1,
    ($B$7:$B$1048575=G125) * ($D$7:$D$1048575=H125) * ($C$7:$C$1048575="reply"),
    $E$7:$E$1048575
)</f>
        <v>#N/A</v>
      </c>
      <c r="K125" s="9" t="e">
        <f t="shared" si="3"/>
        <v>#N/A</v>
      </c>
    </row>
    <row r="126" spans="9:11">
      <c r="I126" s="3" t="e" cm="1">
        <f t="array" ref="I126">_xlfn.XLOOKUP(
    1,
    ($B$7:$B$1048575=G126) * ($D$7:$D$1048575=H126) * ($C$7:$C$1048575="request"),
    $E$7:$E$1048575
)</f>
        <v>#N/A</v>
      </c>
      <c r="J126" s="3" t="e" cm="1">
        <f t="array" ref="J126">_xlfn.XLOOKUP(
    1,
    ($B$7:$B$1048575=G126) * ($D$7:$D$1048575=H126) * ($C$7:$C$1048575="reply"),
    $E$7:$E$1048575
)</f>
        <v>#N/A</v>
      </c>
      <c r="K126" s="9" t="e">
        <f t="shared" si="3"/>
        <v>#N/A</v>
      </c>
    </row>
    <row r="127" spans="9:11">
      <c r="I127" s="3" t="e" cm="1">
        <f t="array" ref="I127">_xlfn.XLOOKUP(
    1,
    ($B$7:$B$1048575=G127) * ($D$7:$D$1048575=H127) * ($C$7:$C$1048575="request"),
    $E$7:$E$1048575
)</f>
        <v>#N/A</v>
      </c>
      <c r="J127" s="3" t="e" cm="1">
        <f t="array" ref="J127">_xlfn.XLOOKUP(
    1,
    ($B$7:$B$1048575=G127) * ($D$7:$D$1048575=H127) * ($C$7:$C$1048575="reply"),
    $E$7:$E$1048575
)</f>
        <v>#N/A</v>
      </c>
      <c r="K127" s="9" t="e">
        <f t="shared" si="3"/>
        <v>#N/A</v>
      </c>
    </row>
    <row r="128" spans="9:11">
      <c r="I128" s="3" t="e" cm="1">
        <f t="array" ref="I128">_xlfn.XLOOKUP(
    1,
    ($B$7:$B$1048575=G128) * ($D$7:$D$1048575=H128) * ($C$7:$C$1048575="request"),
    $E$7:$E$1048575
)</f>
        <v>#N/A</v>
      </c>
      <c r="J128" s="3" t="e" cm="1">
        <f t="array" ref="J128">_xlfn.XLOOKUP(
    1,
    ($B$7:$B$1048575=G128) * ($D$7:$D$1048575=H128) * ($C$7:$C$1048575="reply"),
    $E$7:$E$1048575
)</f>
        <v>#N/A</v>
      </c>
      <c r="K128" s="9" t="e">
        <f t="shared" si="3"/>
        <v>#N/A</v>
      </c>
    </row>
    <row r="129" spans="9:11">
      <c r="I129" s="3" t="e" cm="1">
        <f t="array" ref="I129">_xlfn.XLOOKUP(
    1,
    ($B$7:$B$1048575=G129) * ($D$7:$D$1048575=H129) * ($C$7:$C$1048575="request"),
    $E$7:$E$1048575
)</f>
        <v>#N/A</v>
      </c>
      <c r="J129" s="3" t="e" cm="1">
        <f t="array" ref="J129">_xlfn.XLOOKUP(
    1,
    ($B$7:$B$1048575=G129) * ($D$7:$D$1048575=H129) * ($C$7:$C$1048575="reply"),
    $E$7:$E$1048575
)</f>
        <v>#N/A</v>
      </c>
      <c r="K129" s="9" t="e">
        <f t="shared" si="3"/>
        <v>#N/A</v>
      </c>
    </row>
    <row r="130" spans="9:11">
      <c r="I130" s="3" t="e" cm="1">
        <f t="array" ref="I130">_xlfn.XLOOKUP(
    1,
    ($B$7:$B$1048575=G130) * ($D$7:$D$1048575=H130) * ($C$7:$C$1048575="request"),
    $E$7:$E$1048575
)</f>
        <v>#N/A</v>
      </c>
      <c r="J130" s="3" t="e" cm="1">
        <f t="array" ref="J130">_xlfn.XLOOKUP(
    1,
    ($B$7:$B$1048575=G130) * ($D$7:$D$1048575=H130) * ($C$7:$C$1048575="reply"),
    $E$7:$E$1048575
)</f>
        <v>#N/A</v>
      </c>
      <c r="K130" s="9" t="e">
        <f t="shared" si="3"/>
        <v>#N/A</v>
      </c>
    </row>
    <row r="131" spans="9:11">
      <c r="I131" s="3" t="e" cm="1">
        <f t="array" ref="I131">_xlfn.XLOOKUP(
    1,
    ($B$7:$B$1048575=G131) * ($D$7:$D$1048575=H131) * ($C$7:$C$1048575="request"),
    $E$7:$E$1048575
)</f>
        <v>#N/A</v>
      </c>
      <c r="J131" s="3" t="e" cm="1">
        <f t="array" ref="J131">_xlfn.XLOOKUP(
    1,
    ($B$7:$B$1048575=G131) * ($D$7:$D$1048575=H131) * ($C$7:$C$1048575="reply"),
    $E$7:$E$1048575
)</f>
        <v>#N/A</v>
      </c>
      <c r="K131" s="9" t="e">
        <f t="shared" si="3"/>
        <v>#N/A</v>
      </c>
    </row>
    <row r="132" spans="9:11">
      <c r="I132" s="3" t="e" cm="1">
        <f t="array" ref="I132">_xlfn.XLOOKUP(
    1,
    ($B$7:$B$1048575=G132) * ($D$7:$D$1048575=H132) * ($C$7:$C$1048575="request"),
    $E$7:$E$1048575
)</f>
        <v>#N/A</v>
      </c>
      <c r="J132" s="3" t="e" cm="1">
        <f t="array" ref="J132">_xlfn.XLOOKUP(
    1,
    ($B$7:$B$1048575=G132) * ($D$7:$D$1048575=H132) * ($C$7:$C$1048575="reply"),
    $E$7:$E$1048575
)</f>
        <v>#N/A</v>
      </c>
      <c r="K132" s="9" t="e">
        <f t="shared" si="3"/>
        <v>#N/A</v>
      </c>
    </row>
    <row r="133" spans="9:11">
      <c r="I133" s="3" t="e" cm="1">
        <f t="array" ref="I133">_xlfn.XLOOKUP(
    1,
    ($B$7:$B$1048575=G133) * ($D$7:$D$1048575=H133) * ($C$7:$C$1048575="request"),
    $E$7:$E$1048575
)</f>
        <v>#N/A</v>
      </c>
      <c r="J133" s="3" t="e" cm="1">
        <f t="array" ref="J133">_xlfn.XLOOKUP(
    1,
    ($B$7:$B$1048575=G133) * ($D$7:$D$1048575=H133) * ($C$7:$C$1048575="reply"),
    $E$7:$E$1048575
)</f>
        <v>#N/A</v>
      </c>
      <c r="K133" s="9" t="e">
        <f t="shared" si="3"/>
        <v>#N/A</v>
      </c>
    </row>
    <row r="134" spans="9:11">
      <c r="I134" s="3" t="e" cm="1">
        <f t="array" ref="I134">_xlfn.XLOOKUP(
    1,
    ($B$7:$B$1048575=G134) * ($D$7:$D$1048575=H134) * ($C$7:$C$1048575="request"),
    $E$7:$E$1048575
)</f>
        <v>#N/A</v>
      </c>
      <c r="J134" s="3" t="e" cm="1">
        <f t="array" ref="J134">_xlfn.XLOOKUP(
    1,
    ($B$7:$B$1048575=G134) * ($D$7:$D$1048575=H134) * ($C$7:$C$1048575="reply"),
    $E$7:$E$1048575
)</f>
        <v>#N/A</v>
      </c>
      <c r="K134" s="9" t="e">
        <f t="shared" si="3"/>
        <v>#N/A</v>
      </c>
    </row>
    <row r="135" spans="9:11">
      <c r="I135" s="3" t="e" cm="1">
        <f t="array" ref="I135">_xlfn.XLOOKUP(
    1,
    ($B$7:$B$1048575=G135) * ($D$7:$D$1048575=H135) * ($C$7:$C$1048575="request"),
    $E$7:$E$1048575
)</f>
        <v>#N/A</v>
      </c>
      <c r="J135" s="3" t="e" cm="1">
        <f t="array" ref="J135">_xlfn.XLOOKUP(
    1,
    ($B$7:$B$1048575=G135) * ($D$7:$D$1048575=H135) * ($C$7:$C$1048575="reply"),
    $E$7:$E$1048575
)</f>
        <v>#N/A</v>
      </c>
      <c r="K135" s="9" t="e">
        <f t="shared" si="3"/>
        <v>#N/A</v>
      </c>
    </row>
    <row r="136" spans="9:11">
      <c r="I136" s="3" t="e" cm="1">
        <f t="array" ref="I136">_xlfn.XLOOKUP(
    1,
    ($B$7:$B$1048575=G136) * ($D$7:$D$1048575=H136) * ($C$7:$C$1048575="request"),
    $E$7:$E$1048575
)</f>
        <v>#N/A</v>
      </c>
      <c r="J136" s="3" t="e" cm="1">
        <f t="array" ref="J136">_xlfn.XLOOKUP(
    1,
    ($B$7:$B$1048575=G136) * ($D$7:$D$1048575=H136) * ($C$7:$C$1048575="reply"),
    $E$7:$E$1048575
)</f>
        <v>#N/A</v>
      </c>
      <c r="K136" s="9" t="e">
        <f t="shared" ref="K136:K173" si="4">J136-I136</f>
        <v>#N/A</v>
      </c>
    </row>
    <row r="137" spans="9:11">
      <c r="I137" s="3" t="e" cm="1">
        <f t="array" ref="I137">_xlfn.XLOOKUP(
    1,
    ($B$7:$B$1048575=G137) * ($D$7:$D$1048575=H137) * ($C$7:$C$1048575="request"),
    $E$7:$E$1048575
)</f>
        <v>#N/A</v>
      </c>
      <c r="J137" s="3" t="e" cm="1">
        <f t="array" ref="J137">_xlfn.XLOOKUP(
    1,
    ($B$7:$B$1048575=G137) * ($D$7:$D$1048575=H137) * ($C$7:$C$1048575="reply"),
    $E$7:$E$1048575
)</f>
        <v>#N/A</v>
      </c>
      <c r="K137" s="9" t="e">
        <f t="shared" si="4"/>
        <v>#N/A</v>
      </c>
    </row>
    <row r="138" spans="9:11">
      <c r="I138" s="3" t="e" cm="1">
        <f t="array" ref="I138">_xlfn.XLOOKUP(
    1,
    ($B$7:$B$1048575=G138) * ($D$7:$D$1048575=H138) * ($C$7:$C$1048575="request"),
    $E$7:$E$1048575
)</f>
        <v>#N/A</v>
      </c>
      <c r="J138" s="3" t="e" cm="1">
        <f t="array" ref="J138">_xlfn.XLOOKUP(
    1,
    ($B$7:$B$1048575=G138) * ($D$7:$D$1048575=H138) * ($C$7:$C$1048575="reply"),
    $E$7:$E$1048575
)</f>
        <v>#N/A</v>
      </c>
      <c r="K138" s="9" t="e">
        <f t="shared" si="4"/>
        <v>#N/A</v>
      </c>
    </row>
    <row r="139" spans="9:11">
      <c r="I139" s="3" t="e" cm="1">
        <f t="array" ref="I139">_xlfn.XLOOKUP(
    1,
    ($B$7:$B$1048575=G139) * ($D$7:$D$1048575=H139) * ($C$7:$C$1048575="request"),
    $E$7:$E$1048575
)</f>
        <v>#N/A</v>
      </c>
      <c r="J139" s="3" t="e" cm="1">
        <f t="array" ref="J139">_xlfn.XLOOKUP(
    1,
    ($B$7:$B$1048575=G139) * ($D$7:$D$1048575=H139) * ($C$7:$C$1048575="reply"),
    $E$7:$E$1048575
)</f>
        <v>#N/A</v>
      </c>
      <c r="K139" s="9" t="e">
        <f t="shared" si="4"/>
        <v>#N/A</v>
      </c>
    </row>
    <row r="140" spans="9:11">
      <c r="I140" s="3" t="e" cm="1">
        <f t="array" ref="I140">_xlfn.XLOOKUP(
    1,
    ($B$7:$B$1048575=G140) * ($D$7:$D$1048575=H140) * ($C$7:$C$1048575="request"),
    $E$7:$E$1048575
)</f>
        <v>#N/A</v>
      </c>
      <c r="J140" s="3" t="e" cm="1">
        <f t="array" ref="J140">_xlfn.XLOOKUP(
    1,
    ($B$7:$B$1048575=G140) * ($D$7:$D$1048575=H140) * ($C$7:$C$1048575="reply"),
    $E$7:$E$1048575
)</f>
        <v>#N/A</v>
      </c>
      <c r="K140" s="9" t="e">
        <f t="shared" si="4"/>
        <v>#N/A</v>
      </c>
    </row>
    <row r="141" spans="9:11">
      <c r="I141" s="3" t="e" cm="1">
        <f t="array" ref="I141">_xlfn.XLOOKUP(
    1,
    ($B$7:$B$1048575=G141) * ($D$7:$D$1048575=H141) * ($C$7:$C$1048575="request"),
    $E$7:$E$1048575
)</f>
        <v>#N/A</v>
      </c>
      <c r="J141" s="3" t="e" cm="1">
        <f t="array" ref="J141">_xlfn.XLOOKUP(
    1,
    ($B$7:$B$1048575=G141) * ($D$7:$D$1048575=H141) * ($C$7:$C$1048575="reply"),
    $E$7:$E$1048575
)</f>
        <v>#N/A</v>
      </c>
      <c r="K141" s="9" t="e">
        <f t="shared" si="4"/>
        <v>#N/A</v>
      </c>
    </row>
    <row r="142" spans="9:11">
      <c r="I142" s="3" t="e" cm="1">
        <f t="array" ref="I142">_xlfn.XLOOKUP(
    1,
    ($B$7:$B$1048575=G142) * ($D$7:$D$1048575=H142) * ($C$7:$C$1048575="request"),
    $E$7:$E$1048575
)</f>
        <v>#N/A</v>
      </c>
      <c r="J142" s="3" t="e" cm="1">
        <f t="array" ref="J142">_xlfn.XLOOKUP(
    1,
    ($B$7:$B$1048575=G142) * ($D$7:$D$1048575=H142) * ($C$7:$C$1048575="reply"),
    $E$7:$E$1048575
)</f>
        <v>#N/A</v>
      </c>
      <c r="K142" s="9" t="e">
        <f t="shared" si="4"/>
        <v>#N/A</v>
      </c>
    </row>
    <row r="143" spans="9:11">
      <c r="I143" s="3" t="e" cm="1">
        <f t="array" ref="I143">_xlfn.XLOOKUP(
    1,
    ($B$7:$B$1048575=G143) * ($D$7:$D$1048575=H143) * ($C$7:$C$1048575="request"),
    $E$7:$E$1048575
)</f>
        <v>#N/A</v>
      </c>
      <c r="J143" s="3" t="e" cm="1">
        <f t="array" ref="J143">_xlfn.XLOOKUP(
    1,
    ($B$7:$B$1048575=G143) * ($D$7:$D$1048575=H143) * ($C$7:$C$1048575="reply"),
    $E$7:$E$1048575
)</f>
        <v>#N/A</v>
      </c>
      <c r="K143" s="9" t="e">
        <f t="shared" si="4"/>
        <v>#N/A</v>
      </c>
    </row>
    <row r="144" spans="9:11">
      <c r="I144" s="3" t="e" cm="1">
        <f t="array" ref="I144">_xlfn.XLOOKUP(
    1,
    ($B$7:$B$1048575=G144) * ($D$7:$D$1048575=H144) * ($C$7:$C$1048575="request"),
    $E$7:$E$1048575
)</f>
        <v>#N/A</v>
      </c>
      <c r="J144" s="3" t="e" cm="1">
        <f t="array" ref="J144">_xlfn.XLOOKUP(
    1,
    ($B$7:$B$1048575=G144) * ($D$7:$D$1048575=H144) * ($C$7:$C$1048575="reply"),
    $E$7:$E$1048575
)</f>
        <v>#N/A</v>
      </c>
      <c r="K144" s="9" t="e">
        <f t="shared" si="4"/>
        <v>#N/A</v>
      </c>
    </row>
    <row r="145" spans="9:11">
      <c r="I145" s="3" t="e" cm="1">
        <f t="array" ref="I145">_xlfn.XLOOKUP(
    1,
    ($B$7:$B$1048575=G145) * ($D$7:$D$1048575=H145) * ($C$7:$C$1048575="request"),
    $E$7:$E$1048575
)</f>
        <v>#N/A</v>
      </c>
      <c r="J145" s="3" t="e" cm="1">
        <f t="array" ref="J145">_xlfn.XLOOKUP(
    1,
    ($B$7:$B$1048575=G145) * ($D$7:$D$1048575=H145) * ($C$7:$C$1048575="reply"),
    $E$7:$E$1048575
)</f>
        <v>#N/A</v>
      </c>
      <c r="K145" s="9" t="e">
        <f t="shared" si="4"/>
        <v>#N/A</v>
      </c>
    </row>
    <row r="146" spans="9:11">
      <c r="I146" s="3" t="e" cm="1">
        <f t="array" ref="I146">_xlfn.XLOOKUP(
    1,
    ($B$7:$B$1048575=G146) * ($D$7:$D$1048575=H146) * ($C$7:$C$1048575="request"),
    $E$7:$E$1048575
)</f>
        <v>#N/A</v>
      </c>
      <c r="J146" s="3" t="e" cm="1">
        <f t="array" ref="J146">_xlfn.XLOOKUP(
    1,
    ($B$7:$B$1048575=G146) * ($D$7:$D$1048575=H146) * ($C$7:$C$1048575="reply"),
    $E$7:$E$1048575
)</f>
        <v>#N/A</v>
      </c>
      <c r="K146" s="9" t="e">
        <f t="shared" si="4"/>
        <v>#N/A</v>
      </c>
    </row>
    <row r="147" spans="9:11">
      <c r="I147" s="3" t="e" cm="1">
        <f t="array" ref="I147">_xlfn.XLOOKUP(
    1,
    ($B$7:$B$1048575=G147) * ($D$7:$D$1048575=H147) * ($C$7:$C$1048575="request"),
    $E$7:$E$1048575
)</f>
        <v>#N/A</v>
      </c>
      <c r="J147" s="3" t="e" cm="1">
        <f t="array" ref="J147">_xlfn.XLOOKUP(
    1,
    ($B$7:$B$1048575=G147) * ($D$7:$D$1048575=H147) * ($C$7:$C$1048575="reply"),
    $E$7:$E$1048575
)</f>
        <v>#N/A</v>
      </c>
      <c r="K147" s="9" t="e">
        <f t="shared" si="4"/>
        <v>#N/A</v>
      </c>
    </row>
    <row r="148" spans="9:11">
      <c r="I148" s="3" t="e" cm="1">
        <f t="array" ref="I148">_xlfn.XLOOKUP(
    1,
    ($B$7:$B$1048575=G148) * ($D$7:$D$1048575=H148) * ($C$7:$C$1048575="request"),
    $E$7:$E$1048575
)</f>
        <v>#N/A</v>
      </c>
      <c r="J148" s="3" t="e" cm="1">
        <f t="array" ref="J148">_xlfn.XLOOKUP(
    1,
    ($B$7:$B$1048575=G148) * ($D$7:$D$1048575=H148) * ($C$7:$C$1048575="reply"),
    $E$7:$E$1048575
)</f>
        <v>#N/A</v>
      </c>
      <c r="K148" s="9" t="e">
        <f t="shared" si="4"/>
        <v>#N/A</v>
      </c>
    </row>
    <row r="149" spans="9:11">
      <c r="I149" s="3" t="e" cm="1">
        <f t="array" ref="I149">_xlfn.XLOOKUP(
    1,
    ($B$7:$B$1048575=G149) * ($D$7:$D$1048575=H149) * ($C$7:$C$1048575="request"),
    $E$7:$E$1048575
)</f>
        <v>#N/A</v>
      </c>
      <c r="J149" s="3" t="e" cm="1">
        <f t="array" ref="J149">_xlfn.XLOOKUP(
    1,
    ($B$7:$B$1048575=G149) * ($D$7:$D$1048575=H149) * ($C$7:$C$1048575="reply"),
    $E$7:$E$1048575
)</f>
        <v>#N/A</v>
      </c>
      <c r="K149" s="9" t="e">
        <f t="shared" si="4"/>
        <v>#N/A</v>
      </c>
    </row>
    <row r="150" spans="9:11">
      <c r="I150" s="3" t="e" cm="1">
        <f t="array" ref="I150">_xlfn.XLOOKUP(
    1,
    ($B$7:$B$1048575=G150) * ($D$7:$D$1048575=H150) * ($C$7:$C$1048575="request"),
    $E$7:$E$1048575
)</f>
        <v>#N/A</v>
      </c>
      <c r="J150" s="3" t="e" cm="1">
        <f t="array" ref="J150">_xlfn.XLOOKUP(
    1,
    ($B$7:$B$1048575=G150) * ($D$7:$D$1048575=H150) * ($C$7:$C$1048575="reply"),
    $E$7:$E$1048575
)</f>
        <v>#N/A</v>
      </c>
      <c r="K150" s="9" t="e">
        <f t="shared" si="4"/>
        <v>#N/A</v>
      </c>
    </row>
    <row r="151" spans="9:11">
      <c r="I151" s="3" t="e" cm="1">
        <f t="array" ref="I151">_xlfn.XLOOKUP(
    1,
    ($B$7:$B$1048575=G151) * ($D$7:$D$1048575=H151) * ($C$7:$C$1048575="request"),
    $E$7:$E$1048575
)</f>
        <v>#N/A</v>
      </c>
      <c r="J151" s="3" t="e" cm="1">
        <f t="array" ref="J151">_xlfn.XLOOKUP(
    1,
    ($B$7:$B$1048575=G151) * ($D$7:$D$1048575=H151) * ($C$7:$C$1048575="reply"),
    $E$7:$E$1048575
)</f>
        <v>#N/A</v>
      </c>
      <c r="K151" s="9" t="e">
        <f t="shared" si="4"/>
        <v>#N/A</v>
      </c>
    </row>
    <row r="152" spans="9:11">
      <c r="I152" s="3" t="e" cm="1">
        <f t="array" ref="I152">_xlfn.XLOOKUP(
    1,
    ($B$7:$B$1048575=G152) * ($D$7:$D$1048575=H152) * ($C$7:$C$1048575="request"),
    $E$7:$E$1048575
)</f>
        <v>#N/A</v>
      </c>
      <c r="J152" s="3" t="e" cm="1">
        <f t="array" ref="J152">_xlfn.XLOOKUP(
    1,
    ($B$7:$B$1048575=G152) * ($D$7:$D$1048575=H152) * ($C$7:$C$1048575="reply"),
    $E$7:$E$1048575
)</f>
        <v>#N/A</v>
      </c>
      <c r="K152" s="9" t="e">
        <f t="shared" si="4"/>
        <v>#N/A</v>
      </c>
    </row>
    <row r="153" spans="9:11">
      <c r="I153" s="3" t="e" cm="1">
        <f t="array" ref="I153">_xlfn.XLOOKUP(
    1,
    ($B$7:$B$1048575=G153) * ($D$7:$D$1048575=H153) * ($C$7:$C$1048575="request"),
    $E$7:$E$1048575
)</f>
        <v>#N/A</v>
      </c>
      <c r="J153" s="3" t="e" cm="1">
        <f t="array" ref="J153">_xlfn.XLOOKUP(
    1,
    ($B$7:$B$1048575=G153) * ($D$7:$D$1048575=H153) * ($C$7:$C$1048575="reply"),
    $E$7:$E$1048575
)</f>
        <v>#N/A</v>
      </c>
      <c r="K153" s="9" t="e">
        <f t="shared" si="4"/>
        <v>#N/A</v>
      </c>
    </row>
    <row r="154" spans="9:11">
      <c r="I154" s="3" t="e" cm="1">
        <f t="array" ref="I154">_xlfn.XLOOKUP(
    1,
    ($B$7:$B$1048575=G154) * ($D$7:$D$1048575=H154) * ($C$7:$C$1048575="request"),
    $E$7:$E$1048575
)</f>
        <v>#N/A</v>
      </c>
      <c r="J154" s="3" t="e" cm="1">
        <f t="array" ref="J154">_xlfn.XLOOKUP(
    1,
    ($B$7:$B$1048575=G154) * ($D$7:$D$1048575=H154) * ($C$7:$C$1048575="reply"),
    $E$7:$E$1048575
)</f>
        <v>#N/A</v>
      </c>
      <c r="K154" s="9" t="e">
        <f t="shared" si="4"/>
        <v>#N/A</v>
      </c>
    </row>
    <row r="155" spans="9:11">
      <c r="I155" s="3" t="e" cm="1">
        <f t="array" ref="I155">_xlfn.XLOOKUP(
    1,
    ($B$7:$B$1048575=G155) * ($D$7:$D$1048575=H155) * ($C$7:$C$1048575="request"),
    $E$7:$E$1048575
)</f>
        <v>#N/A</v>
      </c>
      <c r="J155" s="3" t="e" cm="1">
        <f t="array" ref="J155">_xlfn.XLOOKUP(
    1,
    ($B$7:$B$1048575=G155) * ($D$7:$D$1048575=H155) * ($C$7:$C$1048575="reply"),
    $E$7:$E$1048575
)</f>
        <v>#N/A</v>
      </c>
      <c r="K155" s="9" t="e">
        <f t="shared" si="4"/>
        <v>#N/A</v>
      </c>
    </row>
    <row r="156" spans="9:11">
      <c r="I156" s="3" t="e" cm="1">
        <f t="array" ref="I156">_xlfn.XLOOKUP(
    1,
    ($B$7:$B$1048575=G156) * ($D$7:$D$1048575=H156) * ($C$7:$C$1048575="request"),
    $E$7:$E$1048575
)</f>
        <v>#N/A</v>
      </c>
      <c r="J156" s="3" t="e" cm="1">
        <f t="array" ref="J156">_xlfn.XLOOKUP(
    1,
    ($B$7:$B$1048575=G156) * ($D$7:$D$1048575=H156) * ($C$7:$C$1048575="reply"),
    $E$7:$E$1048575
)</f>
        <v>#N/A</v>
      </c>
      <c r="K156" s="9" t="e">
        <f t="shared" si="4"/>
        <v>#N/A</v>
      </c>
    </row>
    <row r="157" spans="9:11">
      <c r="I157" s="3" t="e" cm="1">
        <f t="array" ref="I157">_xlfn.XLOOKUP(
    1,
    ($B$7:$B$1048575=G157) * ($D$7:$D$1048575=H157) * ($C$7:$C$1048575="request"),
    $E$7:$E$1048575
)</f>
        <v>#N/A</v>
      </c>
      <c r="J157" s="3" t="e" cm="1">
        <f t="array" ref="J157">_xlfn.XLOOKUP(
    1,
    ($B$7:$B$1048575=G157) * ($D$7:$D$1048575=H157) * ($C$7:$C$1048575="reply"),
    $E$7:$E$1048575
)</f>
        <v>#N/A</v>
      </c>
      <c r="K157" s="9" t="e">
        <f t="shared" si="4"/>
        <v>#N/A</v>
      </c>
    </row>
    <row r="158" spans="9:11">
      <c r="I158" s="3" t="e" cm="1">
        <f t="array" ref="I158">_xlfn.XLOOKUP(
    1,
    ($B$7:$B$1048575=G158) * ($D$7:$D$1048575=H158) * ($C$7:$C$1048575="request"),
    $E$7:$E$1048575
)</f>
        <v>#N/A</v>
      </c>
      <c r="J158" s="3" t="e" cm="1">
        <f t="array" ref="J158">_xlfn.XLOOKUP(
    1,
    ($B$7:$B$1048575=G158) * ($D$7:$D$1048575=H158) * ($C$7:$C$1048575="reply"),
    $E$7:$E$1048575
)</f>
        <v>#N/A</v>
      </c>
      <c r="K158" s="9" t="e">
        <f t="shared" si="4"/>
        <v>#N/A</v>
      </c>
    </row>
    <row r="159" spans="9:11">
      <c r="I159" s="3" t="e" cm="1">
        <f t="array" ref="I159">_xlfn.XLOOKUP(
    1,
    ($B$7:$B$1048575=G159) * ($D$7:$D$1048575=H159) * ($C$7:$C$1048575="request"),
    $E$7:$E$1048575
)</f>
        <v>#N/A</v>
      </c>
      <c r="J159" s="3" t="e" cm="1">
        <f t="array" ref="J159">_xlfn.XLOOKUP(
    1,
    ($B$7:$B$1048575=G159) * ($D$7:$D$1048575=H159) * ($C$7:$C$1048575="reply"),
    $E$7:$E$1048575
)</f>
        <v>#N/A</v>
      </c>
      <c r="K159" s="9" t="e">
        <f t="shared" si="4"/>
        <v>#N/A</v>
      </c>
    </row>
    <row r="160" spans="9:11">
      <c r="I160" s="3" t="e" cm="1">
        <f t="array" ref="I160">_xlfn.XLOOKUP(
    1,
    ($B$7:$B$1048575=G160) * ($D$7:$D$1048575=H160) * ($C$7:$C$1048575="request"),
    $E$7:$E$1048575
)</f>
        <v>#N/A</v>
      </c>
      <c r="J160" s="3" t="e" cm="1">
        <f t="array" ref="J160">_xlfn.XLOOKUP(
    1,
    ($B$7:$B$1048575=G160) * ($D$7:$D$1048575=H160) * ($C$7:$C$1048575="reply"),
    $E$7:$E$1048575
)</f>
        <v>#N/A</v>
      </c>
      <c r="K160" s="9" t="e">
        <f t="shared" si="4"/>
        <v>#N/A</v>
      </c>
    </row>
    <row r="161" spans="9:11">
      <c r="I161" s="3" t="e" cm="1">
        <f t="array" ref="I161">_xlfn.XLOOKUP(
    1,
    ($B$7:$B$1048575=G161) * ($D$7:$D$1048575=H161) * ($C$7:$C$1048575="request"),
    $E$7:$E$1048575
)</f>
        <v>#N/A</v>
      </c>
      <c r="J161" s="3" t="e" cm="1">
        <f t="array" ref="J161">_xlfn.XLOOKUP(
    1,
    ($B$7:$B$1048575=G161) * ($D$7:$D$1048575=H161) * ($C$7:$C$1048575="reply"),
    $E$7:$E$1048575
)</f>
        <v>#N/A</v>
      </c>
      <c r="K161" s="9" t="e">
        <f t="shared" si="4"/>
        <v>#N/A</v>
      </c>
    </row>
    <row r="162" spans="9:11">
      <c r="I162" s="3" t="e" cm="1">
        <f t="array" ref="I162">_xlfn.XLOOKUP(
    1,
    ($B$7:$B$1048575=G162) * ($D$7:$D$1048575=H162) * ($C$7:$C$1048575="request"),
    $E$7:$E$1048575
)</f>
        <v>#N/A</v>
      </c>
      <c r="J162" s="3" t="e" cm="1">
        <f t="array" ref="J162">_xlfn.XLOOKUP(
    1,
    ($B$7:$B$1048575=G162) * ($D$7:$D$1048575=H162) * ($C$7:$C$1048575="reply"),
    $E$7:$E$1048575
)</f>
        <v>#N/A</v>
      </c>
      <c r="K162" s="9" t="e">
        <f t="shared" si="4"/>
        <v>#N/A</v>
      </c>
    </row>
    <row r="163" spans="9:11">
      <c r="I163" s="3" t="e" cm="1">
        <f t="array" ref="I163">_xlfn.XLOOKUP(
    1,
    ($B$7:$B$1048575=G163) * ($D$7:$D$1048575=H163) * ($C$7:$C$1048575="request"),
    $E$7:$E$1048575
)</f>
        <v>#N/A</v>
      </c>
      <c r="J163" s="3" t="e" cm="1">
        <f t="array" ref="J163">_xlfn.XLOOKUP(
    1,
    ($B$7:$B$1048575=G163) * ($D$7:$D$1048575=H163) * ($C$7:$C$1048575="reply"),
    $E$7:$E$1048575
)</f>
        <v>#N/A</v>
      </c>
      <c r="K163" s="9" t="e">
        <f t="shared" si="4"/>
        <v>#N/A</v>
      </c>
    </row>
    <row r="164" spans="9:11">
      <c r="I164" s="3" t="e" cm="1">
        <f t="array" ref="I164">_xlfn.XLOOKUP(
    1,
    ($B$7:$B$1048575=G164) * ($D$7:$D$1048575=H164) * ($C$7:$C$1048575="request"),
    $E$7:$E$1048575
)</f>
        <v>#N/A</v>
      </c>
      <c r="J164" s="3" t="e" cm="1">
        <f t="array" ref="J164">_xlfn.XLOOKUP(
    1,
    ($B$7:$B$1048575=G164) * ($D$7:$D$1048575=H164) * ($C$7:$C$1048575="reply"),
    $E$7:$E$1048575
)</f>
        <v>#N/A</v>
      </c>
      <c r="K164" s="9" t="e">
        <f t="shared" si="4"/>
        <v>#N/A</v>
      </c>
    </row>
    <row r="165" spans="9:11">
      <c r="I165" s="3" t="e" cm="1">
        <f t="array" ref="I165">_xlfn.XLOOKUP(
    1,
    ($B$7:$B$1048575=G165) * ($D$7:$D$1048575=H165) * ($C$7:$C$1048575="request"),
    $E$7:$E$1048575
)</f>
        <v>#N/A</v>
      </c>
      <c r="J165" s="3" t="e" cm="1">
        <f t="array" ref="J165">_xlfn.XLOOKUP(
    1,
    ($B$7:$B$1048575=G165) * ($D$7:$D$1048575=H165) * ($C$7:$C$1048575="reply"),
    $E$7:$E$1048575
)</f>
        <v>#N/A</v>
      </c>
      <c r="K165" s="9" t="e">
        <f t="shared" si="4"/>
        <v>#N/A</v>
      </c>
    </row>
    <row r="166" spans="9:11">
      <c r="I166" s="3" t="e" cm="1">
        <f t="array" ref="I166">_xlfn.XLOOKUP(
    1,
    ($B$7:$B$1048575=G166) * ($D$7:$D$1048575=H166) * ($C$7:$C$1048575="request"),
    $E$7:$E$1048575
)</f>
        <v>#N/A</v>
      </c>
      <c r="J166" s="3" t="e" cm="1">
        <f t="array" ref="J166">_xlfn.XLOOKUP(
    1,
    ($B$7:$B$1048575=G166) * ($D$7:$D$1048575=H166) * ($C$7:$C$1048575="reply"),
    $E$7:$E$1048575
)</f>
        <v>#N/A</v>
      </c>
      <c r="K166" s="9" t="e">
        <f t="shared" si="4"/>
        <v>#N/A</v>
      </c>
    </row>
    <row r="167" spans="9:11">
      <c r="I167" s="3" t="e" cm="1">
        <f t="array" ref="I167">_xlfn.XLOOKUP(
    1,
    ($B$7:$B$1048575=G167) * ($D$7:$D$1048575=H167) * ($C$7:$C$1048575="request"),
    $E$7:$E$1048575
)</f>
        <v>#N/A</v>
      </c>
      <c r="J167" s="3" t="e" cm="1">
        <f t="array" ref="J167">_xlfn.XLOOKUP(
    1,
    ($B$7:$B$1048575=G167) * ($D$7:$D$1048575=H167) * ($C$7:$C$1048575="reply"),
    $E$7:$E$1048575
)</f>
        <v>#N/A</v>
      </c>
      <c r="K167" s="9" t="e">
        <f t="shared" si="4"/>
        <v>#N/A</v>
      </c>
    </row>
    <row r="168" spans="9:11">
      <c r="I168" s="3" t="e" cm="1">
        <f t="array" ref="I168">_xlfn.XLOOKUP(
    1,
    ($B$7:$B$1048575=G168) * ($D$7:$D$1048575=H168) * ($C$7:$C$1048575="request"),
    $E$7:$E$1048575
)</f>
        <v>#N/A</v>
      </c>
      <c r="J168" s="3" t="e" cm="1">
        <f t="array" ref="J168">_xlfn.XLOOKUP(
    1,
    ($B$7:$B$1048575=G168) * ($D$7:$D$1048575=H168) * ($C$7:$C$1048575="reply"),
    $E$7:$E$1048575
)</f>
        <v>#N/A</v>
      </c>
      <c r="K168" s="9" t="e">
        <f t="shared" si="4"/>
        <v>#N/A</v>
      </c>
    </row>
    <row r="169" spans="9:11">
      <c r="I169" s="3" t="e" cm="1">
        <f t="array" ref="I169">_xlfn.XLOOKUP(
    1,
    ($B$7:$B$1048575=G169) * ($D$7:$D$1048575=H169) * ($C$7:$C$1048575="request"),
    $E$7:$E$1048575
)</f>
        <v>#N/A</v>
      </c>
      <c r="J169" s="3" t="e" cm="1">
        <f t="array" ref="J169">_xlfn.XLOOKUP(
    1,
    ($B$7:$B$1048575=G169) * ($D$7:$D$1048575=H169) * ($C$7:$C$1048575="reply"),
    $E$7:$E$1048575
)</f>
        <v>#N/A</v>
      </c>
      <c r="K169" s="9" t="e">
        <f t="shared" si="4"/>
        <v>#N/A</v>
      </c>
    </row>
    <row r="170" spans="9:11">
      <c r="I170" s="3" t="e" cm="1">
        <f t="array" ref="I170">_xlfn.XLOOKUP(
    1,
    ($B$7:$B$1048575=G170) * ($D$7:$D$1048575=H170) * ($C$7:$C$1048575="request"),
    $E$7:$E$1048575
)</f>
        <v>#N/A</v>
      </c>
      <c r="J170" s="3" t="e" cm="1">
        <f t="array" ref="J170">_xlfn.XLOOKUP(
    1,
    ($B$7:$B$1048575=G170) * ($D$7:$D$1048575=H170) * ($C$7:$C$1048575="reply"),
    $E$7:$E$1048575
)</f>
        <v>#N/A</v>
      </c>
      <c r="K170" s="9" t="e">
        <f t="shared" si="4"/>
        <v>#N/A</v>
      </c>
    </row>
    <row r="171" spans="9:11">
      <c r="I171" s="3" t="e" cm="1">
        <f t="array" ref="I171">_xlfn.XLOOKUP(
    1,
    ($B$7:$B$1048575=G171) * ($D$7:$D$1048575=H171) * ($C$7:$C$1048575="request"),
    $E$7:$E$1048575
)</f>
        <v>#N/A</v>
      </c>
      <c r="J171" s="3" t="e" cm="1">
        <f t="array" ref="J171">_xlfn.XLOOKUP(
    1,
    ($B$7:$B$1048575=G171) * ($D$7:$D$1048575=H171) * ($C$7:$C$1048575="reply"),
    $E$7:$E$1048575
)</f>
        <v>#N/A</v>
      </c>
      <c r="K171" s="9" t="e">
        <f t="shared" si="4"/>
        <v>#N/A</v>
      </c>
    </row>
    <row r="172" spans="9:11">
      <c r="I172" s="3" t="e" cm="1">
        <f t="array" ref="I172">_xlfn.XLOOKUP(
    1,
    ($B$7:$B$1048575=G172) * ($D$7:$D$1048575=H172) * ($C$7:$C$1048575="request"),
    $E$7:$E$1048575
)</f>
        <v>#N/A</v>
      </c>
      <c r="J172" s="3" t="e" cm="1">
        <f t="array" ref="J172">_xlfn.XLOOKUP(
    1,
    ($B$7:$B$1048575=G172) * ($D$7:$D$1048575=H172) * ($C$7:$C$1048575="reply"),
    $E$7:$E$1048575
)</f>
        <v>#N/A</v>
      </c>
      <c r="K172" s="9" t="e">
        <f t="shared" si="4"/>
        <v>#N/A</v>
      </c>
    </row>
    <row r="173" spans="9:11">
      <c r="I173" s="3" t="e" cm="1">
        <f t="array" ref="I173">_xlfn.XLOOKUP(
    1,
    ($B$7:$B$1048575=G173) * ($D$7:$D$1048575=H173) * ($C$7:$C$1048575="request"),
    $E$7:$E$1048575
)</f>
        <v>#N/A</v>
      </c>
      <c r="J173" s="3" t="e" cm="1">
        <f t="array" ref="J173">_xlfn.XLOOKUP(
    1,
    ($B$7:$B$1048575=G173) * ($D$7:$D$1048575=H173) * ($C$7:$C$1048575="reply"),
    $E$7:$E$1048575
)</f>
        <v>#N/A</v>
      </c>
      <c r="K173" s="9" t="e">
        <f t="shared" si="4"/>
        <v>#N/A</v>
      </c>
    </row>
  </sheetData>
  <mergeCells count="6">
    <mergeCell ref="Q4:R4"/>
    <mergeCell ref="N4:O4"/>
    <mergeCell ref="U3:X3"/>
    <mergeCell ref="B3:E3"/>
    <mergeCell ref="G3:K3"/>
    <mergeCell ref="M3:S3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52EF-ED1C-4E3A-97AE-5FD7D7D9906C}">
  <dimension ref="B9:Z46"/>
  <sheetViews>
    <sheetView topLeftCell="B10" zoomScaleNormal="100" workbookViewId="0">
      <selection activeCell="P23" sqref="P23"/>
    </sheetView>
  </sheetViews>
  <sheetFormatPr defaultRowHeight="14.4"/>
  <cols>
    <col min="2" max="2" width="26.21875" bestFit="1" customWidth="1"/>
    <col min="3" max="3" width="18.109375" bestFit="1" customWidth="1"/>
    <col min="4" max="4" width="16.109375" bestFit="1" customWidth="1"/>
    <col min="5" max="5" width="10" customWidth="1"/>
    <col min="9" max="9" width="11.88671875" bestFit="1" customWidth="1"/>
    <col min="15" max="15" width="11.77734375" bestFit="1" customWidth="1"/>
    <col min="18" max="18" width="11.109375" bestFit="1" customWidth="1"/>
    <col min="20" max="20" width="8.88671875" customWidth="1"/>
    <col min="23" max="23" width="12.109375" bestFit="1" customWidth="1"/>
    <col min="24" max="26" width="13.6640625" bestFit="1" customWidth="1"/>
  </cols>
  <sheetData>
    <row r="9" spans="2:4" ht="20.399999999999999" thickBot="1">
      <c r="B9" s="27" t="s">
        <v>71</v>
      </c>
      <c r="C9" s="27"/>
    </row>
    <row r="10" spans="2:4" ht="15" thickTop="1">
      <c r="B10" t="s">
        <v>25</v>
      </c>
      <c r="C10" t="s">
        <v>37</v>
      </c>
      <c r="D10" t="s">
        <v>38</v>
      </c>
    </row>
    <row r="11" spans="2:4">
      <c r="B11" t="s">
        <v>40</v>
      </c>
      <c r="C11" s="3">
        <f>'IR analysis'!$D$4</f>
        <v>3.4354000091552734</v>
      </c>
      <c r="D11" s="3">
        <f>'IR analysis'!$H$4</f>
        <v>5.4195001125335693</v>
      </c>
    </row>
    <row r="12" spans="2:4">
      <c r="B12" t="s">
        <v>41</v>
      </c>
      <c r="C12" s="3">
        <f>'ILA analysis'!$D$4</f>
        <v>3.8011000156402588</v>
      </c>
      <c r="D12" s="3">
        <f>'ILA analysis'!$H$4</f>
        <v>6.2929000854492188</v>
      </c>
    </row>
    <row r="13" spans="2:4">
      <c r="B13" t="s">
        <v>42</v>
      </c>
      <c r="C13" s="3">
        <f>'ILB analysis'!$D$4</f>
        <v>4.2788999080657959</v>
      </c>
      <c r="D13" s="3">
        <f>'ILB analysis'!$H$4</f>
        <v>6.5065999031066895</v>
      </c>
    </row>
    <row r="14" spans="2:4">
      <c r="B14" t="s">
        <v>43</v>
      </c>
      <c r="C14" s="3">
        <f>'PMA analysis'!$D$4</f>
        <v>3.7315998077392578</v>
      </c>
      <c r="D14" s="3">
        <f>'PMA analysis'!$H$4</f>
        <v>6.1701998710632324</v>
      </c>
    </row>
    <row r="15" spans="2:4">
      <c r="B15" t="s">
        <v>44</v>
      </c>
      <c r="C15" s="3">
        <f>'PMB analysis'!$D$4</f>
        <v>3.6807999610900879</v>
      </c>
      <c r="D15" s="3">
        <f>'PMB analysis'!$H$4</f>
        <v>6.0613999366760254</v>
      </c>
    </row>
    <row r="16" spans="2:4">
      <c r="B16" t="s">
        <v>45</v>
      </c>
      <c r="C16" s="3">
        <f>'Operator analysis'!$D$4</f>
        <v>4.2074999809265137</v>
      </c>
      <c r="D16" s="3">
        <f>'Operator analysis'!$H$4</f>
        <v>6.6569998264312744</v>
      </c>
    </row>
    <row r="19" spans="2:26">
      <c r="D19" s="12" t="s">
        <v>76</v>
      </c>
      <c r="E19" s="12">
        <v>90</v>
      </c>
      <c r="R19" s="20" t="s">
        <v>101</v>
      </c>
    </row>
    <row r="20" spans="2:26">
      <c r="D20" s="12" t="s">
        <v>64</v>
      </c>
      <c r="E20" s="12">
        <v>86</v>
      </c>
      <c r="G20" t="s">
        <v>81</v>
      </c>
      <c r="H20" t="s">
        <v>88</v>
      </c>
    </row>
    <row r="21" spans="2:26" ht="20.399999999999999" thickBot="1">
      <c r="B21" s="27" t="s">
        <v>63</v>
      </c>
      <c r="C21" s="27"/>
      <c r="L21" s="27" t="s">
        <v>73</v>
      </c>
      <c r="M21" s="27"/>
      <c r="R21" s="27" t="s">
        <v>99</v>
      </c>
      <c r="S21" s="27"/>
      <c r="V21" s="27" t="s">
        <v>102</v>
      </c>
      <c r="W21" s="27"/>
    </row>
    <row r="22" spans="2:26" ht="15.6" thickTop="1" thickBot="1">
      <c r="B22" s="5" t="s">
        <v>51</v>
      </c>
      <c r="C22" s="5" t="s">
        <v>65</v>
      </c>
      <c r="D22" s="5" t="s">
        <v>66</v>
      </c>
      <c r="E22" s="5" t="s">
        <v>67</v>
      </c>
      <c r="F22" s="5" t="s">
        <v>68</v>
      </c>
      <c r="G22" s="8" t="s">
        <v>69</v>
      </c>
      <c r="L22" s="8" t="s">
        <v>51</v>
      </c>
      <c r="M22" s="8" t="s">
        <v>72</v>
      </c>
      <c r="V22" s="5" t="s">
        <v>51</v>
      </c>
      <c r="W22" s="5" t="s">
        <v>54</v>
      </c>
      <c r="X22" s="5" t="s">
        <v>103</v>
      </c>
      <c r="Y22" s="5" t="s">
        <v>104</v>
      </c>
      <c r="Z22" s="5" t="s">
        <v>27</v>
      </c>
    </row>
    <row r="23" spans="2:26">
      <c r="B23" t="str" cm="1">
        <f t="array" ref="B23:B46">'SMIA PE analysis'!M7:M30</f>
        <v>wf-0</v>
      </c>
      <c r="C23">
        <f>_xlfn.XLOOKUP(B23,'SMIA PE analysis'!M7:M30,'SMIA PE analysis'!P7:P30)/$E$19</f>
        <v>0.92648333443535702</v>
      </c>
      <c r="D23">
        <f>($E$19/_xlfn.XLOOKUP(B23,'SMIA PE analysis'!M7:M30,'SMIA PE analysis'!P7:P30))/($E$19/$E$20)</f>
        <v>1.0313791085491208</v>
      </c>
      <c r="E23">
        <v>1</v>
      </c>
      <c r="F23">
        <f>C23*D23*E23</f>
        <v>0.95555555555555549</v>
      </c>
      <c r="G23">
        <f>F23*100</f>
        <v>95.555555555555543</v>
      </c>
      <c r="I23" s="10" t="s">
        <v>79</v>
      </c>
      <c r="J23" s="11" cm="1">
        <f t="array" ref="J23">AVERAGE(IF(ISNUMBER(C23:C1048576),C23:C1048576))</f>
        <v>0.92648333443535702</v>
      </c>
      <c r="L23" t="str" cm="1">
        <f t="array" ref="L23:L46">'SMIA PE analysis'!M7:M30</f>
        <v>wf-0</v>
      </c>
      <c r="M23" s="3" cm="1">
        <f t="array" ref="M23:M46">'SMIA PE analysis'!P7:P30</f>
        <v>83.383500099182129</v>
      </c>
      <c r="O23" s="10" t="s">
        <v>74</v>
      </c>
      <c r="P23" s="11">
        <f>'SMIA PE analysis'!P4</f>
        <v>83.383500099182129</v>
      </c>
      <c r="R23" s="10" t="s">
        <v>100</v>
      </c>
      <c r="S23" s="11">
        <f>AVERAGE(Table14[Registration])</f>
        <v>6.184599955876668</v>
      </c>
      <c r="V23" t="e" cm="1" vm="1">
        <f t="array" ref="V23">_xlfn.UNIQUE(
    _xlfn.HSTACK(
        _xlfn._xlws.FILTER('SMIA PE analysis'!B7:B1048575, 'SMIA PE analysis'!C7:C1048575="failure"),
        _xlfn._xlws.FILTER('SMIA PE analysis'!D7:D1048575, 'SMIA PE analysis'!C7:C1048575="failure")
    )
)</f>
        <v>#VALUE!</v>
      </c>
      <c r="X23" s="3">
        <v>1752763357.74825</v>
      </c>
      <c r="Y23" s="3" t="e" cm="1">
        <f t="array" ref="Y23">_xlfn.XLOOKUP(
    1,
    ('SMIA PE analysis'!$B$7:$B$1048575=V23) * ('SMIA PE analysis'!$D$7:$D$1048575=W23) * ('SMIA PE analysis'!$C$7:$C$1048575="failure"),
    'SMIA PE analysis'!$E$7:$E$1048575
)</f>
        <v>#N/A</v>
      </c>
      <c r="Z23" s="3" t="e">
        <f>Y23-X23</f>
        <v>#N/A</v>
      </c>
    </row>
    <row r="24" spans="2:26">
      <c r="B24">
        <v>0</v>
      </c>
      <c r="C24" t="e">
        <f>_xlfn.XLOOKUP(B24,'SMIA PE analysis'!M8:M31,'SMIA PE analysis'!P8:P31)/$E$19</f>
        <v>#N/A</v>
      </c>
      <c r="D24" t="e">
        <f>($E$19/_xlfn.XLOOKUP(B24,'SMIA PE analysis'!M8:M31,'SMIA PE analysis'!P8:P31))/($E$19/$E$20)</f>
        <v>#N/A</v>
      </c>
      <c r="E24">
        <v>1</v>
      </c>
      <c r="F24" t="e">
        <f t="shared" ref="F24:F46" si="0">C24*D24*E24</f>
        <v>#N/A</v>
      </c>
      <c r="G24" t="e">
        <f t="shared" ref="G24:G46" si="1">F24*100</f>
        <v>#N/A</v>
      </c>
      <c r="I24" s="10" t="s">
        <v>80</v>
      </c>
      <c r="J24" s="11" cm="1">
        <f t="array" ref="J24">AVERAGE(IF(ISNUMBER(D23:D1048576),D23:D1048576))</f>
        <v>1.0313791085491208</v>
      </c>
      <c r="L24">
        <v>0</v>
      </c>
      <c r="M24" s="3" t="e">
        <v>#N/A</v>
      </c>
      <c r="X24" s="3"/>
      <c r="Y24" s="3"/>
      <c r="Z24" s="3"/>
    </row>
    <row r="25" spans="2:26">
      <c r="B25">
        <v>0</v>
      </c>
      <c r="C25" t="e">
        <f>_xlfn.XLOOKUP(B25,'SMIA PE analysis'!M9:M32,'SMIA PE analysis'!P9:P32)/$E$19</f>
        <v>#N/A</v>
      </c>
      <c r="D25" t="e">
        <f>($E$19/_xlfn.XLOOKUP(B25,'SMIA PE analysis'!M9:M32,'SMIA PE analysis'!P9:P32))/($E$19/$E$20)</f>
        <v>#N/A</v>
      </c>
      <c r="E25">
        <v>1</v>
      </c>
      <c r="F25" t="e">
        <f>C25*D25*E25</f>
        <v>#N/A</v>
      </c>
      <c r="G25" t="e">
        <f t="shared" si="1"/>
        <v>#N/A</v>
      </c>
      <c r="I25" s="10" t="s">
        <v>78</v>
      </c>
      <c r="J25" s="11" cm="1">
        <f t="array" ref="J25">AVERAGE(IF(ISNUMBER(F23:F1048576),F23:F1048576))</f>
        <v>0.95555555555555549</v>
      </c>
      <c r="L25">
        <v>0</v>
      </c>
      <c r="M25" s="3" t="e">
        <v>#N/A</v>
      </c>
      <c r="X25" s="3"/>
      <c r="Y25" s="3"/>
      <c r="Z25" s="3"/>
    </row>
    <row r="26" spans="2:26">
      <c r="B26">
        <v>0</v>
      </c>
      <c r="C26" t="e">
        <f>_xlfn.XLOOKUP(B26,'SMIA PE analysis'!M10:M33,'SMIA PE analysis'!P10:P33)/$E$19</f>
        <v>#N/A</v>
      </c>
      <c r="D26" t="e">
        <f>($E$19/_xlfn.XLOOKUP(B26,'SMIA PE analysis'!M10:M33,'SMIA PE analysis'!P10:P33))/($E$19/$E$20)</f>
        <v>#N/A</v>
      </c>
      <c r="E26">
        <v>1</v>
      </c>
      <c r="F26" t="e">
        <f t="shared" si="0"/>
        <v>#N/A</v>
      </c>
      <c r="G26" t="e">
        <f t="shared" si="1"/>
        <v>#N/A</v>
      </c>
      <c r="L26">
        <v>0</v>
      </c>
      <c r="M26" s="3" t="e">
        <v>#N/A</v>
      </c>
      <c r="X26" s="3"/>
      <c r="Y26" s="3"/>
      <c r="Z26" s="3"/>
    </row>
    <row r="27" spans="2:26">
      <c r="B27">
        <v>0</v>
      </c>
      <c r="C27" t="e">
        <f>_xlfn.XLOOKUP(B27,'SMIA PE analysis'!M11:M34,'SMIA PE analysis'!P11:P34)/$E$19</f>
        <v>#N/A</v>
      </c>
      <c r="D27" t="e">
        <f>($E$19/_xlfn.XLOOKUP(B27,'SMIA PE analysis'!M11:M34,'SMIA PE analysis'!P11:P34))/($E$19/$E$20)</f>
        <v>#N/A</v>
      </c>
      <c r="E27">
        <v>1</v>
      </c>
      <c r="F27" t="e">
        <f t="shared" si="0"/>
        <v>#N/A</v>
      </c>
      <c r="G27" t="e">
        <f t="shared" si="1"/>
        <v>#N/A</v>
      </c>
      <c r="L27">
        <v>0</v>
      </c>
      <c r="M27" s="3" t="e">
        <v>#N/A</v>
      </c>
      <c r="X27" s="3"/>
      <c r="Y27" s="3"/>
      <c r="Z27" s="3"/>
    </row>
    <row r="28" spans="2:26">
      <c r="B28">
        <v>0</v>
      </c>
      <c r="C28" t="e">
        <f>_xlfn.XLOOKUP(B28,'SMIA PE analysis'!M12:M35,'SMIA PE analysis'!P12:P35)/$E$19</f>
        <v>#N/A</v>
      </c>
      <c r="D28" t="e">
        <f>($E$19/_xlfn.XLOOKUP(B28,'SMIA PE analysis'!M12:M35,'SMIA PE analysis'!P12:P35))/($E$19/$E$20)</f>
        <v>#N/A</v>
      </c>
      <c r="E28">
        <v>1</v>
      </c>
      <c r="F28" t="e">
        <f t="shared" si="0"/>
        <v>#N/A</v>
      </c>
      <c r="G28" t="e">
        <f t="shared" si="1"/>
        <v>#N/A</v>
      </c>
      <c r="L28">
        <v>0</v>
      </c>
      <c r="M28" s="3" t="e">
        <v>#N/A</v>
      </c>
      <c r="X28" s="3"/>
      <c r="Y28" s="3"/>
      <c r="Z28" s="3"/>
    </row>
    <row r="29" spans="2:26">
      <c r="B29">
        <v>0</v>
      </c>
      <c r="C29" t="e">
        <f>_xlfn.XLOOKUP(B29,'SMIA PE analysis'!M13:M36,'SMIA PE analysis'!P13:P36)/$E$19</f>
        <v>#N/A</v>
      </c>
      <c r="D29" t="e">
        <f>($E$19/_xlfn.XLOOKUP(B29,'SMIA PE analysis'!M13:M36,'SMIA PE analysis'!P13:P36))/($E$19/$E$20)</f>
        <v>#N/A</v>
      </c>
      <c r="E29">
        <v>1</v>
      </c>
      <c r="F29" t="e">
        <f t="shared" si="0"/>
        <v>#N/A</v>
      </c>
      <c r="G29" t="e">
        <f t="shared" si="1"/>
        <v>#N/A</v>
      </c>
      <c r="L29">
        <v>0</v>
      </c>
      <c r="M29" s="3" t="e">
        <v>#N/A</v>
      </c>
      <c r="X29" s="3"/>
      <c r="Y29" s="3"/>
      <c r="Z29" s="3"/>
    </row>
    <row r="30" spans="2:26">
      <c r="B30">
        <v>0</v>
      </c>
      <c r="C30" t="e">
        <f>_xlfn.XLOOKUP(B30,'SMIA PE analysis'!M14:M37,'SMIA PE analysis'!P14:P37)/$E$19</f>
        <v>#N/A</v>
      </c>
      <c r="D30" t="e">
        <f>($E$19/_xlfn.XLOOKUP(B30,'SMIA PE analysis'!M14:M37,'SMIA PE analysis'!P14:P37))/($E$19/$E$20)</f>
        <v>#N/A</v>
      </c>
      <c r="E30">
        <v>1</v>
      </c>
      <c r="F30" t="e">
        <f t="shared" si="0"/>
        <v>#N/A</v>
      </c>
      <c r="G30" t="e">
        <f t="shared" si="1"/>
        <v>#N/A</v>
      </c>
      <c r="L30">
        <v>0</v>
      </c>
      <c r="M30" s="3" t="e">
        <v>#N/A</v>
      </c>
      <c r="X30" s="3"/>
      <c r="Y30" s="3"/>
      <c r="Z30" s="3"/>
    </row>
    <row r="31" spans="2:26">
      <c r="B31">
        <v>0</v>
      </c>
      <c r="C31" t="e">
        <f>_xlfn.XLOOKUP(B31,'SMIA PE analysis'!M15:M38,'SMIA PE analysis'!P15:P38)/$E$19</f>
        <v>#N/A</v>
      </c>
      <c r="D31" t="e">
        <f>($E$19/_xlfn.XLOOKUP(B31,'SMIA PE analysis'!M15:M38,'SMIA PE analysis'!P15:P38))/($E$19/$E$20)</f>
        <v>#N/A</v>
      </c>
      <c r="E31">
        <v>1</v>
      </c>
      <c r="F31" t="e">
        <f t="shared" si="0"/>
        <v>#N/A</v>
      </c>
      <c r="G31" t="e">
        <f t="shared" si="1"/>
        <v>#N/A</v>
      </c>
      <c r="L31">
        <v>0</v>
      </c>
      <c r="M31" s="3" t="e">
        <v>#N/A</v>
      </c>
      <c r="T31" s="3"/>
      <c r="X31" s="3"/>
      <c r="Y31" s="3"/>
      <c r="Z31" s="3"/>
    </row>
    <row r="32" spans="2:26">
      <c r="B32">
        <v>0</v>
      </c>
      <c r="C32" t="e">
        <f>_xlfn.XLOOKUP(B32,'SMIA PE analysis'!M16:M39,'SMIA PE analysis'!P16:P39)/$E$19</f>
        <v>#N/A</v>
      </c>
      <c r="D32" t="e">
        <f>($E$19/_xlfn.XLOOKUP(B32,'SMIA PE analysis'!M16:M39,'SMIA PE analysis'!P16:P39))/($E$19/$E$20)</f>
        <v>#N/A</v>
      </c>
      <c r="E32">
        <v>1</v>
      </c>
      <c r="F32" t="e">
        <f t="shared" si="0"/>
        <v>#N/A</v>
      </c>
      <c r="G32" t="e">
        <f t="shared" si="1"/>
        <v>#N/A</v>
      </c>
      <c r="L32">
        <v>0</v>
      </c>
      <c r="M32" s="3" t="e">
        <v>#N/A</v>
      </c>
      <c r="X32" s="3"/>
      <c r="Y32" s="3"/>
      <c r="Z32" s="3"/>
    </row>
    <row r="33" spans="2:26">
      <c r="B33">
        <v>0</v>
      </c>
      <c r="C33" t="e">
        <f>_xlfn.XLOOKUP(B33,'SMIA PE analysis'!M17:M40,'SMIA PE analysis'!P17:P40)/$E$19</f>
        <v>#N/A</v>
      </c>
      <c r="D33" t="e">
        <f>($E$19/_xlfn.XLOOKUP(B33,'SMIA PE analysis'!M17:M40,'SMIA PE analysis'!P17:P40))/($E$19/$E$20)</f>
        <v>#N/A</v>
      </c>
      <c r="E33">
        <v>1</v>
      </c>
      <c r="F33" t="e">
        <f t="shared" si="0"/>
        <v>#N/A</v>
      </c>
      <c r="G33" t="e">
        <f t="shared" si="1"/>
        <v>#N/A</v>
      </c>
      <c r="L33">
        <v>0</v>
      </c>
      <c r="M33" s="3" t="e">
        <v>#N/A</v>
      </c>
      <c r="X33" s="3"/>
      <c r="Y33" s="3"/>
      <c r="Z33" s="3"/>
    </row>
    <row r="34" spans="2:26">
      <c r="B34">
        <v>0</v>
      </c>
      <c r="C34" t="e">
        <f>_xlfn.XLOOKUP(B34,'SMIA PE analysis'!M18:M41,'SMIA PE analysis'!P18:P41)/$E$19</f>
        <v>#N/A</v>
      </c>
      <c r="D34" t="e">
        <f>($E$19/_xlfn.XLOOKUP(B34,'SMIA PE analysis'!M18:M41,'SMIA PE analysis'!P18:P41))/($E$19/$E$20)</f>
        <v>#N/A</v>
      </c>
      <c r="E34">
        <v>1</v>
      </c>
      <c r="F34" t="e">
        <f t="shared" si="0"/>
        <v>#N/A</v>
      </c>
      <c r="G34" t="e">
        <f t="shared" si="1"/>
        <v>#N/A</v>
      </c>
      <c r="L34">
        <v>0</v>
      </c>
      <c r="M34" s="3" t="e">
        <v>#N/A</v>
      </c>
      <c r="X34" s="3"/>
      <c r="Y34" s="3"/>
      <c r="Z34" s="3"/>
    </row>
    <row r="35" spans="2:26">
      <c r="B35">
        <v>0</v>
      </c>
      <c r="C35" t="e">
        <f>_xlfn.XLOOKUP(B35,'SMIA PE analysis'!M19:M42,'SMIA PE analysis'!P19:P42)/$E$19</f>
        <v>#N/A</v>
      </c>
      <c r="D35" t="e">
        <f>($E$19/_xlfn.XLOOKUP(B35,'SMIA PE analysis'!M19:M42,'SMIA PE analysis'!P19:P42))/($E$19/$E$20)</f>
        <v>#N/A</v>
      </c>
      <c r="E35">
        <v>1</v>
      </c>
      <c r="F35" t="e">
        <f t="shared" si="0"/>
        <v>#N/A</v>
      </c>
      <c r="G35" t="e">
        <f t="shared" si="1"/>
        <v>#N/A</v>
      </c>
      <c r="L35">
        <v>0</v>
      </c>
      <c r="M35" s="3" t="e">
        <v>#N/A</v>
      </c>
      <c r="X35" s="3"/>
      <c r="Y35" s="3"/>
      <c r="Z35" s="3"/>
    </row>
    <row r="36" spans="2:26">
      <c r="B36">
        <v>0</v>
      </c>
      <c r="C36" t="e">
        <f>_xlfn.XLOOKUP(B36,'SMIA PE analysis'!M20:M43,'SMIA PE analysis'!P20:P43)/$E$19</f>
        <v>#N/A</v>
      </c>
      <c r="D36" t="e">
        <f>($E$19/_xlfn.XLOOKUP(B36,'SMIA PE analysis'!M20:M43,'SMIA PE analysis'!P20:P43))/($E$19/$E$20)</f>
        <v>#N/A</v>
      </c>
      <c r="E36">
        <v>1</v>
      </c>
      <c r="F36" t="e">
        <f t="shared" si="0"/>
        <v>#N/A</v>
      </c>
      <c r="G36" t="e">
        <f t="shared" si="1"/>
        <v>#N/A</v>
      </c>
      <c r="L36">
        <v>0</v>
      </c>
      <c r="M36" s="3" t="e">
        <v>#N/A</v>
      </c>
      <c r="X36" s="3"/>
      <c r="Y36" s="3"/>
      <c r="Z36" s="3"/>
    </row>
    <row r="37" spans="2:26">
      <c r="B37">
        <v>0</v>
      </c>
      <c r="C37" t="e">
        <f>_xlfn.XLOOKUP(B37,'SMIA PE analysis'!M21:M44,'SMIA PE analysis'!P21:P44)/$E$19</f>
        <v>#N/A</v>
      </c>
      <c r="D37" t="e">
        <f>($E$19/_xlfn.XLOOKUP(B37,'SMIA PE analysis'!M21:M44,'SMIA PE analysis'!P21:P44))/($E$19/$E$20)</f>
        <v>#N/A</v>
      </c>
      <c r="E37">
        <v>1</v>
      </c>
      <c r="F37" t="e">
        <f t="shared" si="0"/>
        <v>#N/A</v>
      </c>
      <c r="G37" t="e">
        <f t="shared" si="1"/>
        <v>#N/A</v>
      </c>
      <c r="L37">
        <v>0</v>
      </c>
      <c r="M37" s="3" t="e">
        <v>#N/A</v>
      </c>
      <c r="X37" s="3"/>
      <c r="Y37" s="3"/>
      <c r="Z37" s="3"/>
    </row>
    <row r="38" spans="2:26">
      <c r="B38">
        <v>0</v>
      </c>
      <c r="C38" t="e">
        <f>_xlfn.XLOOKUP(B38,'SMIA PE analysis'!M22:M45,'SMIA PE analysis'!P22:P45)/$E$19</f>
        <v>#N/A</v>
      </c>
      <c r="D38" t="e">
        <f>($E$19/_xlfn.XLOOKUP(B38,'SMIA PE analysis'!M22:M45,'SMIA PE analysis'!P22:P45))/($E$19/$E$20)</f>
        <v>#N/A</v>
      </c>
      <c r="E38">
        <v>1</v>
      </c>
      <c r="F38" t="e">
        <f t="shared" si="0"/>
        <v>#N/A</v>
      </c>
      <c r="G38" t="e">
        <f t="shared" si="1"/>
        <v>#N/A</v>
      </c>
      <c r="L38">
        <v>0</v>
      </c>
      <c r="M38" t="e">
        <v>#N/A</v>
      </c>
    </row>
    <row r="39" spans="2:26">
      <c r="B39">
        <v>0</v>
      </c>
      <c r="C39" t="e">
        <f>_xlfn.XLOOKUP(B39,'SMIA PE analysis'!M23:M46,'SMIA PE analysis'!P23:P46)/$E$19</f>
        <v>#N/A</v>
      </c>
      <c r="D39" t="e">
        <f>($E$19/_xlfn.XLOOKUP(B39,'SMIA PE analysis'!M23:M46,'SMIA PE analysis'!P23:P46))/($E$19/$E$20)</f>
        <v>#N/A</v>
      </c>
      <c r="E39">
        <v>1</v>
      </c>
      <c r="F39" t="e">
        <f t="shared" si="0"/>
        <v>#N/A</v>
      </c>
      <c r="G39" t="e">
        <f t="shared" si="1"/>
        <v>#N/A</v>
      </c>
      <c r="L39">
        <v>0</v>
      </c>
      <c r="M39" t="e">
        <v>#N/A</v>
      </c>
    </row>
    <row r="40" spans="2:26">
      <c r="B40">
        <v>0</v>
      </c>
      <c r="C40" t="e">
        <f>_xlfn.XLOOKUP(B40,'SMIA PE analysis'!M24:M47,'SMIA PE analysis'!P24:P47)/$E$19</f>
        <v>#N/A</v>
      </c>
      <c r="D40" t="e">
        <f>($E$19/_xlfn.XLOOKUP(B40,'SMIA PE analysis'!M24:M47,'SMIA PE analysis'!P24:P47))/($E$19/$E$20)</f>
        <v>#N/A</v>
      </c>
      <c r="E40">
        <v>1</v>
      </c>
      <c r="F40" t="e">
        <f t="shared" si="0"/>
        <v>#N/A</v>
      </c>
      <c r="G40" t="e">
        <f t="shared" si="1"/>
        <v>#N/A</v>
      </c>
      <c r="L40">
        <v>0</v>
      </c>
      <c r="M40" t="e">
        <v>#N/A</v>
      </c>
    </row>
    <row r="41" spans="2:26">
      <c r="B41">
        <v>0</v>
      </c>
      <c r="C41" t="e">
        <f>_xlfn.XLOOKUP(B41,'SMIA PE analysis'!M25:M48,'SMIA PE analysis'!P25:P48)/$E$19</f>
        <v>#N/A</v>
      </c>
      <c r="D41" t="e">
        <f>($E$19/_xlfn.XLOOKUP(B41,'SMIA PE analysis'!M25:M48,'SMIA PE analysis'!P25:P48))/($E$19/$E$20)</f>
        <v>#N/A</v>
      </c>
      <c r="E41">
        <v>1</v>
      </c>
      <c r="F41" t="e">
        <f t="shared" si="0"/>
        <v>#N/A</v>
      </c>
      <c r="G41" t="e">
        <f t="shared" si="1"/>
        <v>#N/A</v>
      </c>
      <c r="L41">
        <v>0</v>
      </c>
      <c r="M41" t="e">
        <v>#N/A</v>
      </c>
    </row>
    <row r="42" spans="2:26">
      <c r="B42">
        <v>0</v>
      </c>
      <c r="C42" t="e">
        <f>_xlfn.XLOOKUP(B42,'SMIA PE analysis'!M26:M49,'SMIA PE analysis'!P26:P49)/$E$19</f>
        <v>#N/A</v>
      </c>
      <c r="D42" t="e">
        <f>($E$19/_xlfn.XLOOKUP(B42,'SMIA PE analysis'!M26:M49,'SMIA PE analysis'!P26:P49))/($E$19/$E$20)</f>
        <v>#N/A</v>
      </c>
      <c r="E42">
        <v>1</v>
      </c>
      <c r="F42" t="e">
        <f t="shared" si="0"/>
        <v>#N/A</v>
      </c>
      <c r="G42" t="e">
        <f t="shared" si="1"/>
        <v>#N/A</v>
      </c>
      <c r="L42">
        <v>0</v>
      </c>
      <c r="M42" t="e">
        <v>#N/A</v>
      </c>
    </row>
    <row r="43" spans="2:26">
      <c r="B43">
        <v>0</v>
      </c>
      <c r="C43" t="e">
        <f>_xlfn.XLOOKUP(B43,'SMIA PE analysis'!M27:M50,'SMIA PE analysis'!P27:P50)/$E$19</f>
        <v>#N/A</v>
      </c>
      <c r="D43" t="e">
        <f>($E$19/_xlfn.XLOOKUP(B43,'SMIA PE analysis'!M27:M50,'SMIA PE analysis'!P27:P50))/($E$19/$E$20)</f>
        <v>#N/A</v>
      </c>
      <c r="E43">
        <v>1</v>
      </c>
      <c r="F43" t="e">
        <f t="shared" si="0"/>
        <v>#N/A</v>
      </c>
      <c r="G43" t="e">
        <f t="shared" si="1"/>
        <v>#N/A</v>
      </c>
      <c r="L43">
        <v>0</v>
      </c>
      <c r="M43" t="e">
        <v>#N/A</v>
      </c>
    </row>
    <row r="44" spans="2:26">
      <c r="B44">
        <v>0</v>
      </c>
      <c r="C44" t="e">
        <f>_xlfn.XLOOKUP(B44,'SMIA PE analysis'!M28:M51,'SMIA PE analysis'!P28:P51)/$E$19</f>
        <v>#N/A</v>
      </c>
      <c r="D44" t="e">
        <f>($E$19/_xlfn.XLOOKUP(B44,'SMIA PE analysis'!M28:M51,'SMIA PE analysis'!P28:P51))/($E$19/$E$20)</f>
        <v>#N/A</v>
      </c>
      <c r="E44">
        <v>1</v>
      </c>
      <c r="F44" t="e">
        <f t="shared" si="0"/>
        <v>#N/A</v>
      </c>
      <c r="G44" t="e">
        <f t="shared" si="1"/>
        <v>#N/A</v>
      </c>
      <c r="L44">
        <v>0</v>
      </c>
      <c r="M44">
        <v>0</v>
      </c>
    </row>
    <row r="45" spans="2:26">
      <c r="B45">
        <v>0</v>
      </c>
      <c r="C45" t="e">
        <f>_xlfn.XLOOKUP(B45,'SMIA PE analysis'!M29:M52,'SMIA PE analysis'!P29:P52)/$E$19</f>
        <v>#N/A</v>
      </c>
      <c r="D45" t="e">
        <f>($E$19/_xlfn.XLOOKUP(B45,'SMIA PE analysis'!M29:M52,'SMIA PE analysis'!P29:P52))/($E$19/$E$20)</f>
        <v>#N/A</v>
      </c>
      <c r="E45">
        <v>1</v>
      </c>
      <c r="F45" t="e">
        <f t="shared" si="0"/>
        <v>#N/A</v>
      </c>
      <c r="G45" t="e">
        <f t="shared" si="1"/>
        <v>#N/A</v>
      </c>
      <c r="L45">
        <v>0</v>
      </c>
      <c r="M45">
        <v>0</v>
      </c>
    </row>
    <row r="46" spans="2:26">
      <c r="B46">
        <v>0</v>
      </c>
      <c r="C46" t="e">
        <f>_xlfn.XLOOKUP(B46,'SMIA PE analysis'!M30:M53,'SMIA PE analysis'!P30:P53)/$E$19</f>
        <v>#N/A</v>
      </c>
      <c r="D46" t="e">
        <f>($E$19/_xlfn.XLOOKUP(B46,'SMIA PE analysis'!M30:M53,'SMIA PE analysis'!P30:P53))/($E$19/$E$20)</f>
        <v>#N/A</v>
      </c>
      <c r="E46">
        <v>1</v>
      </c>
      <c r="F46" t="e">
        <f t="shared" si="0"/>
        <v>#N/A</v>
      </c>
      <c r="G46" t="e">
        <f t="shared" si="1"/>
        <v>#N/A</v>
      </c>
      <c r="L46">
        <v>0</v>
      </c>
      <c r="M46">
        <v>0</v>
      </c>
    </row>
  </sheetData>
  <mergeCells count="5">
    <mergeCell ref="V21:W21"/>
    <mergeCell ref="B9:C9"/>
    <mergeCell ref="B21:C21"/>
    <mergeCell ref="L21:M21"/>
    <mergeCell ref="R21:S2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9F83-0CCC-4EDD-AF58-9E8E663B800F}">
  <dimension ref="B1:S16"/>
  <sheetViews>
    <sheetView tabSelected="1" zoomScaleNormal="100" workbookViewId="0">
      <selection activeCell="B12" sqref="B12"/>
    </sheetView>
  </sheetViews>
  <sheetFormatPr defaultRowHeight="14.4"/>
  <cols>
    <col min="2" max="2" width="14.88671875" bestFit="1" customWidth="1"/>
    <col min="3" max="3" width="12.6640625" bestFit="1" customWidth="1"/>
    <col min="4" max="4" width="13.88671875" bestFit="1" customWidth="1"/>
    <col min="5" max="5" width="6.5546875" bestFit="1" customWidth="1"/>
    <col min="6" max="7" width="8.88671875" customWidth="1"/>
    <col min="8" max="8" width="10.88671875" bestFit="1" customWidth="1"/>
    <col min="9" max="9" width="18.109375" bestFit="1" customWidth="1"/>
    <col min="10" max="10" width="8.77734375" customWidth="1"/>
    <col min="11" max="11" width="11.109375" customWidth="1"/>
    <col min="13" max="14" width="13.6640625" bestFit="1" customWidth="1"/>
    <col min="15" max="15" width="14.109375" bestFit="1" customWidth="1"/>
    <col min="18" max="18" width="28.21875" bestFit="1" customWidth="1"/>
  </cols>
  <sheetData>
    <row r="1" spans="2:19">
      <c r="N1" s="10" t="s">
        <v>32</v>
      </c>
      <c r="O1" s="10" cm="1">
        <f t="array" ref="O1">AVERAGE(IF(ISNUMBER(Table17[ElapsedTime]),Table17[ElapsedTime]))</f>
        <v>0.74836401939392094</v>
      </c>
    </row>
    <row r="3" spans="2:19" ht="20.399999999999999" thickBot="1">
      <c r="B3" s="27" t="s">
        <v>63</v>
      </c>
      <c r="C3" s="27"/>
      <c r="J3" s="27" t="s">
        <v>73</v>
      </c>
      <c r="K3" s="27"/>
      <c r="M3" s="28" t="s">
        <v>102</v>
      </c>
      <c r="N3" s="28"/>
      <c r="O3" s="19"/>
      <c r="R3" s="27" t="s">
        <v>36</v>
      </c>
      <c r="S3" s="27"/>
    </row>
    <row r="4" spans="2:19" ht="15" thickTop="1">
      <c r="B4" t="s">
        <v>70</v>
      </c>
      <c r="C4" t="s">
        <v>65</v>
      </c>
      <c r="D4" t="s">
        <v>66</v>
      </c>
      <c r="E4" t="s">
        <v>68</v>
      </c>
      <c r="F4" t="s">
        <v>86</v>
      </c>
      <c r="G4" t="s">
        <v>87</v>
      </c>
      <c r="H4" t="s">
        <v>69</v>
      </c>
      <c r="J4" s="16" t="s">
        <v>72</v>
      </c>
      <c r="K4" s="16" t="s">
        <v>75</v>
      </c>
      <c r="M4" t="s">
        <v>103</v>
      </c>
      <c r="N4" t="s">
        <v>104</v>
      </c>
      <c r="O4" t="s">
        <v>27</v>
      </c>
      <c r="R4" t="s">
        <v>35</v>
      </c>
      <c r="S4" t="s">
        <v>26</v>
      </c>
    </row>
    <row r="5" spans="2:19">
      <c r="B5">
        <v>1</v>
      </c>
      <c r="C5" s="3">
        <v>0.92648333443535702</v>
      </c>
      <c r="D5" s="3">
        <v>1.0313791085491208</v>
      </c>
      <c r="E5" s="3">
        <v>0.95555555555555549</v>
      </c>
      <c r="F5" s="3">
        <f>Table143[[#This Row],[Availability]]*100</f>
        <v>92.648333443535705</v>
      </c>
      <c r="G5" s="3">
        <f>Table143[[#This Row],[Performance]]*100</f>
        <v>103.13791085491208</v>
      </c>
      <c r="H5" s="3">
        <f>Table143[[#This Row],[OEE]]*100</f>
        <v>95.555555555555543</v>
      </c>
      <c r="J5" s="14">
        <v>83.383500099182129</v>
      </c>
      <c r="K5" s="14">
        <f>Table10[[#This Row],[MLT]]*Table143[[#This Row],[Products]]</f>
        <v>83.383500099182129</v>
      </c>
      <c r="M5" s="3">
        <v>1752762136.88831</v>
      </c>
      <c r="N5" s="3">
        <v>1752762137.4603</v>
      </c>
      <c r="O5" s="3">
        <v>0.57199001312255859</v>
      </c>
      <c r="R5" t="s">
        <v>33</v>
      </c>
      <c r="S5" s="3">
        <f>AVERAGE('IR analysis'!D4,'ILA analysis'!D4,'ILB analysis'!D4,'PMA analysis'!D4,'PMB analysis'!D4)</f>
        <v>3.7855599403381346</v>
      </c>
    </row>
    <row r="6" spans="2:19">
      <c r="B6" s="31">
        <v>5</v>
      </c>
      <c r="C6" s="3">
        <v>0.9675364807800011</v>
      </c>
      <c r="D6" s="3">
        <v>0.98777269382607435</v>
      </c>
      <c r="E6" s="3">
        <v>0.9555555555555556</v>
      </c>
      <c r="F6" s="3">
        <f>Table143[[#This Row],[Availability]]*100</f>
        <v>96.753648078000111</v>
      </c>
      <c r="G6" s="3">
        <f>Table143[[#This Row],[Performance]]*100</f>
        <v>98.777269382607429</v>
      </c>
      <c r="H6" s="3">
        <f>Table143[[#This Row],[OEE]]*100</f>
        <v>95.555555555555557</v>
      </c>
      <c r="J6" s="15">
        <v>87.078283270200089</v>
      </c>
      <c r="K6" s="15">
        <f>Table10[[#This Row],[MLT]]*Table143[[#This Row],[Products]]</f>
        <v>435.39141635100043</v>
      </c>
      <c r="M6" s="3">
        <v>1752761864.5141201</v>
      </c>
      <c r="N6" s="3">
        <v>1752761865.1375</v>
      </c>
      <c r="O6" s="3">
        <v>0.62337994575500488</v>
      </c>
      <c r="R6" t="s">
        <v>34</v>
      </c>
      <c r="S6" s="3">
        <f>AVERAGE('IR analysis'!H4,'ILA analysis'!H4,'ILB analysis'!H4,'PMA analysis'!H4,'PMB analysis'!H4)</f>
        <v>6.0901199817657474</v>
      </c>
    </row>
    <row r="7" spans="2:19">
      <c r="B7" s="31">
        <v>10</v>
      </c>
      <c r="C7" s="3">
        <v>0.9665998143178447</v>
      </c>
      <c r="D7" s="3">
        <v>0.98931397208219407</v>
      </c>
      <c r="E7" s="3">
        <v>0.9555555555555556</v>
      </c>
      <c r="F7" s="3">
        <f>Table143[[#This Row],[Availability]]*100</f>
        <v>96.659981431784473</v>
      </c>
      <c r="G7" s="3">
        <f>Table143[[#This Row],[Performance]]*100</f>
        <v>98.931397208219408</v>
      </c>
      <c r="H7" s="3">
        <f>Table143[[#This Row],[OEE]]*100</f>
        <v>95.555555555555557</v>
      </c>
      <c r="J7" s="14">
        <v>86.993983288606003</v>
      </c>
      <c r="K7" s="15">
        <f>Table10[[#This Row],[MLT]]*Table143[[#This Row],[Products]]</f>
        <v>869.93983288606</v>
      </c>
      <c r="M7" s="3">
        <v>1752763357.74825</v>
      </c>
      <c r="N7" s="3">
        <v>1752763358.2539001</v>
      </c>
      <c r="O7" s="3">
        <v>0.50565004348754883</v>
      </c>
      <c r="R7" t="s">
        <v>85</v>
      </c>
      <c r="S7" s="3">
        <f>'SMIA PE analysis'!X4</f>
        <v>1.9566001892089844</v>
      </c>
    </row>
    <row r="8" spans="2:19">
      <c r="B8" s="31">
        <v>15</v>
      </c>
      <c r="C8" s="3">
        <v>0.95325993447521928</v>
      </c>
      <c r="D8" s="3">
        <v>1.0028755096113946</v>
      </c>
      <c r="E8" s="3">
        <v>0.95555555555555549</v>
      </c>
      <c r="F8" s="3">
        <f>Table143[[#This Row],[Availability]]*100</f>
        <v>95.325993447521924</v>
      </c>
      <c r="G8" s="3">
        <f>Table143[[#This Row],[Performance]]*100</f>
        <v>100.28755096113946</v>
      </c>
      <c r="H8" s="3">
        <f>Table143[[#This Row],[OEE]]*100</f>
        <v>95.555555555555543</v>
      </c>
      <c r="J8" s="15">
        <v>85.793394102769739</v>
      </c>
      <c r="K8" s="15">
        <f>Table10[[#This Row],[MLT]]*Table143[[#This Row],[Products]]</f>
        <v>1286.9009115415461</v>
      </c>
      <c r="M8" s="3">
        <v>1752762783.50771</v>
      </c>
      <c r="N8" s="3">
        <v>1752762784.0122001</v>
      </c>
      <c r="O8" s="3">
        <v>0.50449013710021973</v>
      </c>
    </row>
    <row r="9" spans="2:19">
      <c r="B9">
        <v>20</v>
      </c>
      <c r="C9" s="3">
        <v>0.89460464607585588</v>
      </c>
      <c r="D9" s="3">
        <v>1.0199189095307151</v>
      </c>
      <c r="E9" s="3">
        <v>0.95555555555555549</v>
      </c>
      <c r="F9" s="3">
        <f>Table143[[#This Row],[Availability]]*100</f>
        <v>89.460464607585592</v>
      </c>
      <c r="G9" s="3">
        <f>Table143[[#This Row],[Performance]]*100</f>
        <v>101.9918909530715</v>
      </c>
      <c r="H9" s="3">
        <f>Table143[[#This Row],[OEE]]*100</f>
        <v>95.555555555555543</v>
      </c>
      <c r="J9" s="17">
        <v>84.348438058580669</v>
      </c>
      <c r="K9" s="15">
        <f>Table10[[#This Row],[MLT]]*Table143[[#This Row],[Products]]</f>
        <v>1686.9687611716133</v>
      </c>
      <c r="M9" s="3">
        <v>1752763095.0966899</v>
      </c>
      <c r="N9" s="3">
        <v>1752763096.6329999</v>
      </c>
      <c r="O9" s="3">
        <v>1.5363099575042725</v>
      </c>
    </row>
    <row r="10" spans="2:19">
      <c r="C10" s="3"/>
      <c r="D10" s="3"/>
      <c r="E10" s="3"/>
      <c r="F10" s="3"/>
      <c r="G10" s="3"/>
    </row>
    <row r="16" spans="2:19">
      <c r="D16" s="13" t="s">
        <v>81</v>
      </c>
      <c r="E16" s="13" t="s">
        <v>82</v>
      </c>
    </row>
  </sheetData>
  <mergeCells count="4">
    <mergeCell ref="B3:C3"/>
    <mergeCell ref="R3:S3"/>
    <mergeCell ref="J3:K3"/>
    <mergeCell ref="M3:N3"/>
  </mergeCells>
  <phoneticPr fontId="10" type="noConversion"/>
  <pageMargins left="0.7" right="0.7" top="0.75" bottom="0.75" header="0.3" footer="0.3"/>
  <ignoredErrors>
    <ignoredError sqref="F5:G5 K5:K6 K7:K9" calculatedColumn="1"/>
  </ignoredErrors>
  <drawing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AD66-E401-4C6D-BFE1-2B4779AF0681}">
  <dimension ref="A3:Q52"/>
  <sheetViews>
    <sheetView zoomScaleNormal="100" workbookViewId="0">
      <selection activeCell="A55" sqref="A55"/>
    </sheetView>
  </sheetViews>
  <sheetFormatPr defaultRowHeight="14.4"/>
  <cols>
    <col min="1" max="1" width="22.33203125" customWidth="1"/>
    <col min="2" max="2" width="14.88671875" bestFit="1" customWidth="1"/>
    <col min="3" max="3" width="12.6640625" bestFit="1" customWidth="1"/>
    <col min="4" max="4" width="13.88671875" bestFit="1" customWidth="1"/>
    <col min="5" max="5" width="6.5546875" bestFit="1" customWidth="1"/>
    <col min="6" max="7" width="8.88671875" customWidth="1"/>
    <col min="8" max="8" width="10.88671875" bestFit="1" customWidth="1"/>
    <col min="9" max="9" width="18.109375" bestFit="1" customWidth="1"/>
    <col min="10" max="10" width="28" bestFit="1" customWidth="1"/>
    <col min="12" max="12" width="11.109375" customWidth="1"/>
    <col min="16" max="16" width="28.21875" bestFit="1" customWidth="1"/>
  </cols>
  <sheetData>
    <row r="3" spans="1:17" ht="20.399999999999999" thickBot="1">
      <c r="B3" s="27" t="s">
        <v>63</v>
      </c>
      <c r="C3" s="27"/>
      <c r="K3" s="27" t="s">
        <v>73</v>
      </c>
      <c r="L3" s="27"/>
      <c r="P3" s="27" t="s">
        <v>36</v>
      </c>
      <c r="Q3" s="27"/>
    </row>
    <row r="4" spans="1:17" ht="15" thickTop="1">
      <c r="B4" t="s">
        <v>70</v>
      </c>
      <c r="C4" t="s">
        <v>65</v>
      </c>
      <c r="D4" t="s">
        <v>66</v>
      </c>
      <c r="E4" t="s">
        <v>68</v>
      </c>
      <c r="F4" t="s">
        <v>86</v>
      </c>
      <c r="G4" t="s">
        <v>87</v>
      </c>
      <c r="H4" t="s">
        <v>69</v>
      </c>
      <c r="K4" s="16" t="s">
        <v>72</v>
      </c>
      <c r="L4" s="16" t="s">
        <v>75</v>
      </c>
      <c r="P4" t="s">
        <v>35</v>
      </c>
      <c r="Q4" t="s">
        <v>26</v>
      </c>
    </row>
    <row r="5" spans="1:17">
      <c r="A5" s="29" t="s">
        <v>89</v>
      </c>
      <c r="B5">
        <v>1</v>
      </c>
      <c r="C5" s="3">
        <v>0.93156260000000002</v>
      </c>
      <c r="D5" s="3">
        <v>0.99125615099999997</v>
      </c>
      <c r="E5" s="3">
        <v>0.95000000000000007</v>
      </c>
      <c r="F5" s="3">
        <f>Table1436[[#This Row],[Availability]]*100</f>
        <v>93.156260000000003</v>
      </c>
      <c r="G5" s="3">
        <f>Table1436[[#This Row],[Performance]]*100</f>
        <v>99.125615100000005</v>
      </c>
      <c r="H5" s="3">
        <f>Table1436[[#This Row],[OEE]]*100</f>
        <v>95</v>
      </c>
      <c r="J5" s="29" t="s">
        <v>89</v>
      </c>
      <c r="K5" s="14">
        <v>17.258914692099999</v>
      </c>
      <c r="L5" s="14">
        <f>Table1013[[#This Row],[MLT]]*Table1436[[#This Row],[Products]]</f>
        <v>17.258914692099999</v>
      </c>
      <c r="P5" t="s">
        <v>33</v>
      </c>
      <c r="Q5" s="3">
        <f>AVERAGE('IR analysis'!D4,'ILA analysis'!D4,'ILB analysis'!D4,'PMA analysis'!D4,'PMB analysis'!D4)</f>
        <v>3.7855599403381346</v>
      </c>
    </row>
    <row r="6" spans="1:17">
      <c r="A6" s="29"/>
      <c r="B6">
        <v>5</v>
      </c>
      <c r="C6" s="3">
        <v>0.93600100040435785</v>
      </c>
      <c r="D6" s="3">
        <v>0.98526421095195571</v>
      </c>
      <c r="E6" s="3">
        <v>0.92228884797226718</v>
      </c>
      <c r="F6" s="3">
        <f>Table1436[[#This Row],[Availability]]*100</f>
        <v>93.600100040435791</v>
      </c>
      <c r="G6" s="3">
        <f>Table1436[[#This Row],[Performance]]*100</f>
        <v>98.526421095195573</v>
      </c>
      <c r="H6" s="3">
        <f>Table1436[[#This Row],[OEE]]*100</f>
        <v>92.228884797226712</v>
      </c>
      <c r="J6" s="29"/>
      <c r="K6" s="15">
        <v>18.720020008087157</v>
      </c>
      <c r="L6" s="15">
        <f>Table1013[[#This Row],[MLT]]*Table1436[[#This Row],[Products]]</f>
        <v>93.600100040435791</v>
      </c>
      <c r="P6" t="s">
        <v>34</v>
      </c>
      <c r="Q6" s="3">
        <f>AVERAGE('IR analysis'!H4,'ILA analysis'!H4,'ILB analysis'!H4,'PMA analysis'!H4,'PMB analysis'!H4)</f>
        <v>6.0901199817657474</v>
      </c>
    </row>
    <row r="7" spans="1:17">
      <c r="A7" s="29"/>
      <c r="B7">
        <v>10</v>
      </c>
      <c r="C7" s="3">
        <v>0.89692692600000001</v>
      </c>
      <c r="D7" s="3">
        <v>0.99256414000000004</v>
      </c>
      <c r="E7" s="3">
        <v>0.94126259999999995</v>
      </c>
      <c r="F7" s="3">
        <f>Table1436[[#This Row],[Availability]]*100</f>
        <v>89.692692600000001</v>
      </c>
      <c r="G7" s="3">
        <f>Table1436[[#This Row],[Performance]]*100</f>
        <v>99.256414000000007</v>
      </c>
      <c r="H7" s="3">
        <f>Table1436[[#This Row],[OEE]]*100</f>
        <v>94.126260000000002</v>
      </c>
      <c r="J7" s="29"/>
      <c r="K7" s="14">
        <v>19.238616665204365</v>
      </c>
      <c r="L7" s="15">
        <f>Table1013[[#This Row],[MLT]]*Table1436[[#This Row],[Products]]</f>
        <v>192.38616665204364</v>
      </c>
      <c r="P7" t="s">
        <v>85</v>
      </c>
      <c r="Q7" s="3">
        <f>'SMIA PE analysis'!X4</f>
        <v>1.9566001892089844</v>
      </c>
    </row>
    <row r="8" spans="1:17">
      <c r="A8" s="29"/>
      <c r="B8">
        <v>15</v>
      </c>
      <c r="C8" s="3">
        <v>0.95191910000000002</v>
      </c>
      <c r="D8" s="3">
        <v>0.99612961269</v>
      </c>
      <c r="E8" s="3">
        <v>0.93625962600000001</v>
      </c>
      <c r="F8" s="3">
        <f>Table1436[[#This Row],[Availability]]*100</f>
        <v>95.191910000000007</v>
      </c>
      <c r="G8" s="3">
        <f>Table1436[[#This Row],[Performance]]*100</f>
        <v>99.612961268999996</v>
      </c>
      <c r="H8" s="3">
        <f>Table1436[[#This Row],[OEE]]*100</f>
        <v>93.625962600000008</v>
      </c>
      <c r="J8" s="29"/>
      <c r="K8" s="15">
        <v>18.95146126925</v>
      </c>
      <c r="L8" s="15">
        <f>Table1013[[#This Row],[MLT]]*Table1436[[#This Row],[Products]]</f>
        <v>284.27191903875001</v>
      </c>
    </row>
    <row r="9" spans="1:17">
      <c r="A9" s="29"/>
      <c r="B9">
        <v>20</v>
      </c>
      <c r="C9" s="3">
        <v>0.95748414999999998</v>
      </c>
      <c r="D9" s="3">
        <v>0.98215615000000001</v>
      </c>
      <c r="E9" s="3">
        <v>0.93152615999999999</v>
      </c>
      <c r="F9" s="3">
        <f>Table1436[[#This Row],[Availability]]*100</f>
        <v>95.748414999999994</v>
      </c>
      <c r="G9" s="3">
        <f>Table1436[[#This Row],[Performance]]*100</f>
        <v>98.215615</v>
      </c>
      <c r="H9" s="3">
        <f>Table1436[[#This Row],[OEE]]*100</f>
        <v>93.152615999999995</v>
      </c>
      <c r="J9" s="29"/>
      <c r="K9" s="17">
        <v>19.594169913999998</v>
      </c>
      <c r="L9" s="15">
        <f>Table1013[[#This Row],[MLT]]*Table1436[[#This Row],[Products]]</f>
        <v>391.88339827999994</v>
      </c>
    </row>
    <row r="10" spans="1:17">
      <c r="A10" s="29" t="s">
        <v>90</v>
      </c>
      <c r="B10">
        <v>1</v>
      </c>
      <c r="C10" s="3">
        <v>0.93156260000000002</v>
      </c>
      <c r="D10" s="3">
        <v>0.99125615099999997</v>
      </c>
      <c r="E10" s="3">
        <v>0.95000000000000007</v>
      </c>
      <c r="F10" s="3">
        <f>Table1436[[#This Row],[Availability]]*100</f>
        <v>93.156260000000003</v>
      </c>
      <c r="G10" s="3">
        <f>Table1436[[#This Row],[Performance]]*100</f>
        <v>99.125615100000005</v>
      </c>
      <c r="H10" s="3">
        <f>Table1436[[#This Row],[OEE]]*100</f>
        <v>95</v>
      </c>
      <c r="J10" s="29" t="s">
        <v>90</v>
      </c>
      <c r="K10" s="15">
        <v>19.594169913999998</v>
      </c>
      <c r="L10" s="15">
        <f>Table1013[[#This Row],[MLT]]*Table1436[[#This Row],[Products]]</f>
        <v>19.594169913999998</v>
      </c>
    </row>
    <row r="11" spans="1:17">
      <c r="A11" s="29"/>
      <c r="B11">
        <v>5</v>
      </c>
      <c r="C11" s="3">
        <v>0.93600100040435785</v>
      </c>
      <c r="D11" s="3">
        <v>0.98526421095195571</v>
      </c>
      <c r="E11" s="3">
        <v>0.9</v>
      </c>
      <c r="F11" s="3">
        <f>Table1436[[#This Row],[Availability]]*100</f>
        <v>93.600100040435791</v>
      </c>
      <c r="G11" s="3">
        <f>Table1436[[#This Row],[Performance]]*100</f>
        <v>98.526421095195573</v>
      </c>
      <c r="H11" s="3">
        <f>Table1436[[#This Row],[OEE]]*100</f>
        <v>90</v>
      </c>
      <c r="J11" s="29"/>
      <c r="K11" s="15">
        <v>18.55</v>
      </c>
      <c r="L11" s="15">
        <f>Table1013[[#This Row],[MLT]]*Table1436[[#This Row],[Products]]</f>
        <v>92.75</v>
      </c>
    </row>
    <row r="12" spans="1:17">
      <c r="A12" s="29"/>
      <c r="B12">
        <v>10</v>
      </c>
      <c r="C12" s="3">
        <v>0.89692692600000001</v>
      </c>
      <c r="D12" s="3">
        <v>0.99256414000000004</v>
      </c>
      <c r="E12" s="3">
        <v>0.95</v>
      </c>
      <c r="F12" s="3">
        <f>Table1436[[#This Row],[Availability]]*100</f>
        <v>89.692692600000001</v>
      </c>
      <c r="G12" s="3">
        <f>Table1436[[#This Row],[Performance]]*100</f>
        <v>99.256414000000007</v>
      </c>
      <c r="H12" s="3">
        <f>Table1436[[#This Row],[OEE]]*100</f>
        <v>95</v>
      </c>
      <c r="J12" s="29"/>
      <c r="K12" s="15">
        <v>19.594169913999998</v>
      </c>
      <c r="L12" s="15">
        <f>Table1013[[#This Row],[MLT]]*Table1436[[#This Row],[Products]]</f>
        <v>195.94169913999997</v>
      </c>
    </row>
    <row r="13" spans="1:17">
      <c r="A13" s="29"/>
      <c r="B13">
        <v>15</v>
      </c>
      <c r="C13" s="3">
        <v>0.95191910000000002</v>
      </c>
      <c r="D13" s="3">
        <v>0.92400000000000004</v>
      </c>
      <c r="E13" s="3">
        <v>0.93625962600000001</v>
      </c>
      <c r="F13" s="3">
        <f>Table1436[[#This Row],[Availability]]*100</f>
        <v>95.191910000000007</v>
      </c>
      <c r="G13" s="3">
        <f>Table1436[[#This Row],[Performance]]*100</f>
        <v>92.4</v>
      </c>
      <c r="H13" s="3">
        <f>Table1436[[#This Row],[OEE]]*100</f>
        <v>93.625962600000008</v>
      </c>
      <c r="J13" s="29"/>
      <c r="K13" s="15">
        <v>19.594169913999998</v>
      </c>
      <c r="L13" s="15">
        <f>Table1013[[#This Row],[MLT]]*Table1436[[#This Row],[Products]]</f>
        <v>293.91254870999995</v>
      </c>
    </row>
    <row r="14" spans="1:17">
      <c r="A14" s="29"/>
      <c r="B14">
        <v>20</v>
      </c>
      <c r="C14" s="3">
        <v>0.95748414999999998</v>
      </c>
      <c r="D14" s="3">
        <v>0.98215615000000001</v>
      </c>
      <c r="E14" s="3">
        <v>0.96</v>
      </c>
      <c r="F14" s="3">
        <f>Table1436[[#This Row],[Availability]]*100</f>
        <v>95.748414999999994</v>
      </c>
      <c r="G14" s="3">
        <f>Table1436[[#This Row],[Performance]]*100</f>
        <v>98.215615</v>
      </c>
      <c r="H14" s="3">
        <f>Table1436[[#This Row],[OEE]]*100</f>
        <v>96</v>
      </c>
      <c r="J14" s="29"/>
      <c r="K14" s="15">
        <v>19.594169913999998</v>
      </c>
      <c r="L14" s="15">
        <f>Table1013[[#This Row],[MLT]]*Table1436[[#This Row],[Products]]</f>
        <v>391.88339827999994</v>
      </c>
    </row>
    <row r="15" spans="1:17">
      <c r="A15" s="29" t="s">
        <v>91</v>
      </c>
      <c r="B15">
        <v>1</v>
      </c>
      <c r="C15" s="3">
        <v>0.93156260000000002</v>
      </c>
      <c r="D15" s="3">
        <v>0.99125615099999997</v>
      </c>
      <c r="E15" s="3">
        <v>0.98</v>
      </c>
      <c r="F15" s="3">
        <f>Table1436[[#This Row],[Availability]]*100</f>
        <v>93.156260000000003</v>
      </c>
      <c r="G15" s="3">
        <f>Table1436[[#This Row],[Performance]]*100</f>
        <v>99.125615100000005</v>
      </c>
      <c r="H15" s="3">
        <f>Table1436[[#This Row],[OEE]]*100</f>
        <v>98</v>
      </c>
      <c r="J15" s="29" t="s">
        <v>91</v>
      </c>
      <c r="K15" s="15">
        <v>19.594169913999998</v>
      </c>
      <c r="L15" s="15">
        <f>Table1013[[#This Row],[MLT]]*Table1436[[#This Row],[Products]]</f>
        <v>19.594169913999998</v>
      </c>
    </row>
    <row r="16" spans="1:17">
      <c r="A16" s="29"/>
      <c r="B16">
        <v>5</v>
      </c>
      <c r="C16" s="3">
        <v>0.93600100040435785</v>
      </c>
      <c r="D16" s="3">
        <v>0.98526421095195571</v>
      </c>
      <c r="E16" s="3">
        <v>0.92228884797226718</v>
      </c>
      <c r="F16" s="3">
        <f>Table1436[[#This Row],[Availability]]*100</f>
        <v>93.600100040435791</v>
      </c>
      <c r="G16" s="3">
        <f>Table1436[[#This Row],[Performance]]*100</f>
        <v>98.526421095195573</v>
      </c>
      <c r="H16" s="3">
        <f>Table1436[[#This Row],[OEE]]*100</f>
        <v>92.228884797226712</v>
      </c>
      <c r="J16" s="29"/>
      <c r="K16" s="15">
        <v>19.594169913999998</v>
      </c>
      <c r="L16" s="15">
        <f>Table1013[[#This Row],[MLT]]*Table1436[[#This Row],[Products]]</f>
        <v>97.970849569999984</v>
      </c>
    </row>
    <row r="17" spans="1:12">
      <c r="A17" s="29"/>
      <c r="B17">
        <v>10</v>
      </c>
      <c r="C17" s="3">
        <v>0.89692692600000001</v>
      </c>
      <c r="D17" s="3">
        <v>0.99256414000000004</v>
      </c>
      <c r="E17" s="3">
        <v>0.94126259999999995</v>
      </c>
      <c r="F17" s="3">
        <f>Table1436[[#This Row],[Availability]]*100</f>
        <v>89.692692600000001</v>
      </c>
      <c r="G17" s="3">
        <f>Table1436[[#This Row],[Performance]]*100</f>
        <v>99.256414000000007</v>
      </c>
      <c r="H17" s="3">
        <f>Table1436[[#This Row],[OEE]]*100</f>
        <v>94.126260000000002</v>
      </c>
      <c r="J17" s="29"/>
      <c r="K17" s="15">
        <v>19.594169913999998</v>
      </c>
      <c r="L17" s="15">
        <f>Table1013[[#This Row],[MLT]]*Table1436[[#This Row],[Products]]</f>
        <v>195.94169913999997</v>
      </c>
    </row>
    <row r="18" spans="1:12">
      <c r="A18" s="29"/>
      <c r="B18">
        <v>15</v>
      </c>
      <c r="C18" s="3">
        <v>0.91</v>
      </c>
      <c r="D18" s="3">
        <v>0.94</v>
      </c>
      <c r="E18" s="3">
        <v>0.92</v>
      </c>
      <c r="F18" s="3">
        <f>Table1436[[#This Row],[Availability]]*100</f>
        <v>91</v>
      </c>
      <c r="G18" s="3">
        <f>Table1436[[#This Row],[Performance]]*100</f>
        <v>94</v>
      </c>
      <c r="H18" s="3">
        <f>Table1436[[#This Row],[OEE]]*100</f>
        <v>92</v>
      </c>
      <c r="J18" s="29"/>
      <c r="K18" s="15">
        <v>17.2</v>
      </c>
      <c r="L18" s="15">
        <f>Table1013[[#This Row],[MLT]]*Table1436[[#This Row],[Products]]</f>
        <v>258</v>
      </c>
    </row>
    <row r="19" spans="1:12">
      <c r="A19" s="29"/>
      <c r="B19">
        <v>20</v>
      </c>
      <c r="C19" s="3">
        <v>0.95748414999999998</v>
      </c>
      <c r="D19" s="3">
        <v>0.98215615000000001</v>
      </c>
      <c r="E19" s="3">
        <v>0.93152615999999999</v>
      </c>
      <c r="F19" s="3">
        <f>Table1436[[#This Row],[Availability]]*100</f>
        <v>95.748414999999994</v>
      </c>
      <c r="G19" s="3">
        <f>Table1436[[#This Row],[Performance]]*100</f>
        <v>98.215615</v>
      </c>
      <c r="H19" s="3">
        <f>Table1436[[#This Row],[OEE]]*100</f>
        <v>93.152615999999995</v>
      </c>
      <c r="J19" s="29"/>
      <c r="K19" s="15">
        <v>22.7</v>
      </c>
      <c r="L19" s="15">
        <f>Table1013[[#This Row],[MLT]]*Table1436[[#This Row],[Products]]</f>
        <v>454</v>
      </c>
    </row>
    <row r="20" spans="1:12">
      <c r="A20" s="18"/>
      <c r="C20" s="3"/>
      <c r="D20" s="3"/>
      <c r="E20" s="3"/>
      <c r="F20" s="3"/>
      <c r="G20" s="3"/>
      <c r="H20" s="3"/>
    </row>
    <row r="21" spans="1:12">
      <c r="A21" s="18"/>
      <c r="C21" s="3"/>
      <c r="D21" s="3"/>
      <c r="E21" s="3"/>
      <c r="F21" s="3"/>
      <c r="G21" s="3"/>
      <c r="H21" s="3"/>
    </row>
    <row r="23" spans="1:12">
      <c r="D23" s="13" t="s">
        <v>81</v>
      </c>
      <c r="E23" s="13" t="s">
        <v>82</v>
      </c>
    </row>
    <row r="48" spans="3:10">
      <c r="C48" s="2" t="s">
        <v>92</v>
      </c>
      <c r="J48" s="2" t="s">
        <v>94</v>
      </c>
    </row>
    <row r="49" spans="3:10">
      <c r="C49" s="2" t="s">
        <v>93</v>
      </c>
      <c r="J49" s="2" t="s">
        <v>95</v>
      </c>
    </row>
    <row r="50" spans="3:10">
      <c r="C50" s="2"/>
      <c r="J50" s="2"/>
    </row>
    <row r="51" spans="3:10">
      <c r="C51" s="2" t="s">
        <v>96</v>
      </c>
      <c r="J51" s="2"/>
    </row>
    <row r="52" spans="3:10">
      <c r="C52" s="2" t="s">
        <v>97</v>
      </c>
    </row>
  </sheetData>
  <mergeCells count="9">
    <mergeCell ref="K3:L3"/>
    <mergeCell ref="P3:Q3"/>
    <mergeCell ref="A5:A9"/>
    <mergeCell ref="A10:A14"/>
    <mergeCell ref="A15:A19"/>
    <mergeCell ref="J5:J9"/>
    <mergeCell ref="J10:J14"/>
    <mergeCell ref="J15:J19"/>
    <mergeCell ref="B3:C3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4919A-A945-4F8B-95AD-462E3D39D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Extracted data</vt:lpstr>
      <vt:lpstr>IR analysis</vt:lpstr>
      <vt:lpstr>ILA analysis</vt:lpstr>
      <vt:lpstr>ILB analysis</vt:lpstr>
      <vt:lpstr>PMA analysis</vt:lpstr>
      <vt:lpstr>PMB analysis</vt:lpstr>
      <vt:lpstr>Operator analysis</vt:lpstr>
      <vt:lpstr>SMIA PE analysis</vt:lpstr>
      <vt:lpstr>Statistics</vt:lpstr>
      <vt:lpstr>Historical statistics</vt:lpstr>
      <vt:lpstr>Historical statistics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EKAITZ HURTADO PANDO</dc:creator>
  <cp:lastModifiedBy>EKAITZ HURTADO PANDO</cp:lastModifiedBy>
  <dcterms:created xsi:type="dcterms:W3CDTF">2025-07-08T13:04:44Z</dcterms:created>
  <dcterms:modified xsi:type="dcterms:W3CDTF">2025-07-21T10:59:44Z</dcterms:modified>
</cp:coreProperties>
</file>