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GOOGL/"/>
    </mc:Choice>
  </mc:AlternateContent>
  <xr:revisionPtr revIDLastSave="0" documentId="13_ncr:1_{E8446D3C-F70D-C142-9C5F-74EB5429B845}" xr6:coauthVersionLast="47" xr6:coauthVersionMax="47" xr10:uidLastSave="{00000000-0000-0000-0000-000000000000}"/>
  <bookViews>
    <workbookView xWindow="1440" yWindow="780" windowWidth="25940" windowHeight="15140" activeTab="1" xr2:uid="{7BE21583-5D16-4846-9B49-7381C2CD4ADE}"/>
  </bookViews>
  <sheets>
    <sheet name="查詢網站" sheetId="5" r:id="rId1"/>
    <sheet name="輸入" sheetId="8" r:id="rId2"/>
    <sheet name="工作表1" sheetId="12" r:id="rId3"/>
    <sheet name="現金流量折現法(PE+EPS)" sheetId="4" r:id="rId4"/>
    <sheet name="EPS &amp; PE 成長率法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8" l="1"/>
  <c r="K5" i="8"/>
  <c r="Q13" i="8"/>
  <c r="P13" i="8"/>
  <c r="U36" i="8" l="1"/>
  <c r="W34" i="8"/>
  <c r="L17" i="8" l="1"/>
  <c r="N14" i="8"/>
  <c r="B9" i="8" s="1"/>
  <c r="H59" i="12"/>
  <c r="H11" i="12"/>
  <c r="H15" i="12"/>
  <c r="H19" i="12"/>
  <c r="H23" i="12"/>
  <c r="H27" i="12"/>
  <c r="H31" i="12"/>
  <c r="H35" i="12"/>
  <c r="H39" i="12"/>
  <c r="H43" i="12"/>
  <c r="H47" i="12"/>
  <c r="H51" i="12"/>
  <c r="H55" i="12"/>
  <c r="G17" i="11" l="1"/>
  <c r="G16" i="11"/>
  <c r="I16" i="11"/>
  <c r="G20" i="11" s="1"/>
  <c r="H16" i="11"/>
  <c r="H17" i="11"/>
  <c r="I20" i="11" l="1"/>
  <c r="H20" i="11"/>
  <c r="B3" i="11"/>
  <c r="B4" i="11"/>
  <c r="B5" i="11"/>
  <c r="B6" i="11"/>
  <c r="B7" i="11"/>
  <c r="B8" i="11"/>
  <c r="B9" i="11"/>
  <c r="B10" i="11"/>
  <c r="B11" i="11"/>
  <c r="B12" i="11"/>
  <c r="B13" i="11"/>
  <c r="B14" i="11"/>
  <c r="B2" i="11"/>
  <c r="D2" i="11" l="1"/>
  <c r="O2" i="8" s="1"/>
  <c r="D5" i="11"/>
  <c r="G2" i="11"/>
  <c r="L20" i="8" s="1"/>
  <c r="D3" i="11"/>
  <c r="G4" i="11"/>
  <c r="G3" i="11"/>
  <c r="L21" i="8" s="1"/>
  <c r="G10" i="11"/>
  <c r="L28" i="8" s="1"/>
  <c r="G11" i="11"/>
  <c r="L29" i="8" s="1"/>
  <c r="G9" i="11"/>
  <c r="L27" i="8" s="1"/>
  <c r="I7" i="11"/>
  <c r="N25" i="8" s="1"/>
  <c r="I6" i="11"/>
  <c r="I9" i="11"/>
  <c r="N27" i="8" s="1"/>
  <c r="J9" i="11"/>
  <c r="O27" i="8" s="1"/>
  <c r="H9" i="11"/>
  <c r="M27" i="8" s="1"/>
  <c r="I8" i="11"/>
  <c r="N26" i="8" s="1"/>
  <c r="J8" i="11"/>
  <c r="O26" i="8" s="1"/>
  <c r="K8" i="11"/>
  <c r="P26" i="8" s="1"/>
  <c r="H8" i="11"/>
  <c r="M26" i="8" s="1"/>
  <c r="G8" i="11"/>
  <c r="L26" i="8" s="1"/>
  <c r="J7" i="11"/>
  <c r="O25" i="8" s="1"/>
  <c r="H7" i="11"/>
  <c r="M25" i="8" s="1"/>
  <c r="G7" i="11"/>
  <c r="L25" i="8" s="1"/>
  <c r="L7" i="11"/>
  <c r="Q25" i="8" s="1"/>
  <c r="K7" i="11"/>
  <c r="P25" i="8" s="1"/>
  <c r="H5" i="11"/>
  <c r="M23" i="8" s="1"/>
  <c r="G5" i="11"/>
  <c r="L23" i="8" s="1"/>
  <c r="J5" i="11"/>
  <c r="O23" i="8" s="1"/>
  <c r="L5" i="11"/>
  <c r="Q23" i="8" s="1"/>
  <c r="I5" i="11"/>
  <c r="N23" i="8" s="1"/>
  <c r="M5" i="11"/>
  <c r="R23" i="8" s="1"/>
  <c r="N5" i="11"/>
  <c r="S23" i="8" s="1"/>
  <c r="K5" i="11"/>
  <c r="P23" i="8" s="1"/>
  <c r="G12" i="11"/>
  <c r="L30" i="8" s="1"/>
  <c r="N4" i="11"/>
  <c r="K4" i="11"/>
  <c r="P22" i="8" s="1"/>
  <c r="M4" i="11"/>
  <c r="R22" i="8" s="1"/>
  <c r="H4" i="11"/>
  <c r="M22" i="8" s="1"/>
  <c r="L4" i="11"/>
  <c r="Q22" i="8" s="1"/>
  <c r="I4" i="11"/>
  <c r="N22" i="8" s="1"/>
  <c r="J4" i="11"/>
  <c r="O22" i="8" s="1"/>
  <c r="I10" i="11"/>
  <c r="N28" i="8" s="1"/>
  <c r="H10" i="11"/>
  <c r="M28" i="8" s="1"/>
  <c r="M2" i="11"/>
  <c r="R20" i="8" s="1"/>
  <c r="N2" i="11"/>
  <c r="I2" i="11"/>
  <c r="K2" i="11"/>
  <c r="P20" i="8" s="1"/>
  <c r="J2" i="11"/>
  <c r="O20" i="8" s="1"/>
  <c r="L2" i="11"/>
  <c r="Q20" i="8" s="1"/>
  <c r="H2" i="11"/>
  <c r="M20" i="8" s="1"/>
  <c r="M6" i="11"/>
  <c r="R24" i="8" s="1"/>
  <c r="J6" i="11"/>
  <c r="O24" i="8" s="1"/>
  <c r="H6" i="11"/>
  <c r="M24" i="8" s="1"/>
  <c r="G6" i="11"/>
  <c r="K6" i="11"/>
  <c r="P24" i="8" s="1"/>
  <c r="L6" i="11"/>
  <c r="Q24" i="8" s="1"/>
  <c r="H11" i="11"/>
  <c r="M29" i="8" s="1"/>
  <c r="N3" i="11"/>
  <c r="S21" i="8" s="1"/>
  <c r="K3" i="11"/>
  <c r="P21" i="8" s="1"/>
  <c r="L3" i="11"/>
  <c r="Q21" i="8" s="1"/>
  <c r="I3" i="11"/>
  <c r="N21" i="8" s="1"/>
  <c r="M3" i="11"/>
  <c r="R21" i="8" s="1"/>
  <c r="J3" i="11"/>
  <c r="O21" i="8" s="1"/>
  <c r="H3" i="11"/>
  <c r="M21" i="8" s="1"/>
  <c r="O5" i="8"/>
  <c r="O3" i="8"/>
  <c r="D7" i="11"/>
  <c r="O7" i="8" s="1"/>
  <c r="D8" i="11"/>
  <c r="O8" i="8" s="1"/>
  <c r="D10" i="11"/>
  <c r="D12" i="11"/>
  <c r="D6" i="11"/>
  <c r="O6" i="8" s="1"/>
  <c r="D11" i="11"/>
  <c r="D4" i="11"/>
  <c r="O4" i="8" s="1"/>
  <c r="D9" i="11"/>
  <c r="O9" i="8" s="1"/>
  <c r="B11" i="4"/>
  <c r="B12" i="4"/>
  <c r="B10" i="4"/>
  <c r="C2" i="8"/>
  <c r="C4" i="8"/>
  <c r="C7" i="8"/>
  <c r="C3" i="8"/>
  <c r="C10" i="8"/>
  <c r="C9" i="8"/>
  <c r="B9" i="4"/>
  <c r="C9" i="4" s="1"/>
  <c r="B8" i="4"/>
  <c r="B7" i="4"/>
  <c r="B6" i="4"/>
  <c r="B5" i="4"/>
  <c r="B4" i="4"/>
  <c r="H18" i="4" s="1"/>
  <c r="B3" i="4"/>
  <c r="I17" i="4" s="1"/>
  <c r="B2" i="4"/>
  <c r="I16" i="4" s="1"/>
  <c r="B1" i="4"/>
  <c r="H19" i="11" l="1"/>
  <c r="G19" i="11"/>
  <c r="I19" i="11"/>
  <c r="G27" i="11" s="1"/>
  <c r="B20" i="4"/>
  <c r="E18" i="4"/>
  <c r="G17" i="4"/>
  <c r="D16" i="4"/>
  <c r="H17" i="4"/>
  <c r="B16" i="4"/>
  <c r="B18" i="4"/>
  <c r="I18" i="4"/>
  <c r="G18" i="4"/>
  <c r="F18" i="4"/>
  <c r="D20" i="4"/>
  <c r="B17" i="4"/>
  <c r="D18" i="4"/>
  <c r="E17" i="4"/>
  <c r="K18" i="4"/>
  <c r="D17" i="4"/>
  <c r="F17" i="4"/>
  <c r="C18" i="4"/>
  <c r="J18" i="4"/>
  <c r="K17" i="4"/>
  <c r="C17" i="4"/>
  <c r="J17" i="4"/>
  <c r="E16" i="4"/>
  <c r="K16" i="4"/>
  <c r="C16" i="4"/>
  <c r="J16" i="4"/>
  <c r="H16" i="4"/>
  <c r="G16" i="4"/>
  <c r="F16" i="4"/>
  <c r="J20" i="4"/>
  <c r="I20" i="4"/>
  <c r="H20" i="4"/>
  <c r="G20" i="4"/>
  <c r="F20" i="4"/>
  <c r="E20" i="4"/>
  <c r="C20" i="4"/>
  <c r="K20" i="4"/>
  <c r="I21" i="11" l="1"/>
  <c r="D25" i="8" s="1"/>
  <c r="I27" i="11"/>
  <c r="J27" i="11" s="1"/>
  <c r="B24" i="8"/>
  <c r="H27" i="11"/>
  <c r="G28" i="11" s="1"/>
  <c r="C24" i="8"/>
  <c r="I22" i="11"/>
  <c r="I23" i="11" s="1"/>
  <c r="D26" i="8" s="1"/>
  <c r="D24" i="8"/>
  <c r="H21" i="11"/>
  <c r="H22" i="11"/>
  <c r="H23" i="11" s="1"/>
  <c r="G21" i="11"/>
  <c r="B25" i="8" s="1"/>
  <c r="G22" i="11"/>
  <c r="G23" i="11" s="1"/>
  <c r="B26" i="8" s="1"/>
  <c r="B30" i="4"/>
  <c r="B18" i="8" s="1"/>
  <c r="C31" i="4"/>
  <c r="C19" i="8" s="1"/>
  <c r="D30" i="4"/>
  <c r="D18" i="8" s="1"/>
  <c r="C30" i="4"/>
  <c r="C18" i="8" s="1"/>
  <c r="D31" i="4"/>
  <c r="D19" i="8" s="1"/>
  <c r="D32" i="4"/>
  <c r="D20" i="8" s="1"/>
  <c r="B31" i="4"/>
  <c r="B19" i="8" s="1"/>
  <c r="C32" i="4"/>
  <c r="C20" i="8" s="1"/>
  <c r="B32" i="4"/>
  <c r="B20" i="8" s="1"/>
  <c r="C7" i="4"/>
  <c r="F19" i="4" s="1"/>
  <c r="H29" i="11" l="1"/>
  <c r="C26" i="8"/>
  <c r="J29" i="11"/>
  <c r="C25" i="8"/>
  <c r="I28" i="11"/>
  <c r="F26" i="4"/>
  <c r="F24" i="4"/>
  <c r="F25" i="4"/>
  <c r="C19" i="4"/>
  <c r="B19" i="4"/>
  <c r="J19" i="4"/>
  <c r="H19" i="4"/>
  <c r="K19" i="4"/>
  <c r="I19" i="4"/>
  <c r="E19" i="4"/>
  <c r="G19" i="4"/>
  <c r="D19" i="4"/>
  <c r="K29" i="11" l="1"/>
  <c r="L30" i="11" s="1"/>
  <c r="N30" i="11" s="1"/>
  <c r="I24" i="4"/>
  <c r="I26" i="4"/>
  <c r="I25" i="4"/>
  <c r="H24" i="4"/>
  <c r="H25" i="4"/>
  <c r="H26" i="4"/>
  <c r="C24" i="4"/>
  <c r="C25" i="4"/>
  <c r="C26" i="4"/>
  <c r="E25" i="4"/>
  <c r="E26" i="4"/>
  <c r="E24" i="4"/>
  <c r="K25" i="4"/>
  <c r="K26" i="4"/>
  <c r="K24" i="4"/>
  <c r="J25" i="4"/>
  <c r="J24" i="4"/>
  <c r="J26" i="4"/>
  <c r="B24" i="4"/>
  <c r="B25" i="4"/>
  <c r="B26" i="4"/>
  <c r="D25" i="4"/>
  <c r="D26" i="4"/>
  <c r="D24" i="4"/>
  <c r="G25" i="4"/>
  <c r="G26" i="4"/>
  <c r="G24" i="4"/>
  <c r="P30" i="11" l="1"/>
  <c r="O30" i="11"/>
  <c r="Q30" i="11"/>
  <c r="D38" i="4"/>
  <c r="B38" i="4"/>
  <c r="C38" i="4"/>
  <c r="C37" i="4"/>
  <c r="B37" i="4"/>
  <c r="D37" i="4"/>
  <c r="D36" i="4"/>
  <c r="B36" i="4"/>
  <c r="C36" i="4"/>
</calcChain>
</file>

<file path=xl/sharedStrings.xml><?xml version="1.0" encoding="utf-8"?>
<sst xmlns="http://schemas.openxmlformats.org/spreadsheetml/2006/main" count="131" uniqueCount="88">
  <si>
    <t>10 年報酬率對應表</t>
    <phoneticPr fontId="2" type="noConversion"/>
  </si>
  <si>
    <t>便宜價的折現率(%)</t>
    <phoneticPr fontId="2" type="noConversion"/>
  </si>
  <si>
    <t>合理價的折現率(%)</t>
    <phoneticPr fontId="2" type="noConversion"/>
  </si>
  <si>
    <t>昂貴價的折現率(%)</t>
    <phoneticPr fontId="2" type="noConversion"/>
  </si>
  <si>
    <t>股利</t>
    <phoneticPr fontId="2" type="noConversion"/>
  </si>
  <si>
    <t>10 年股利對應表</t>
    <phoneticPr fontId="2" type="noConversion"/>
  </si>
  <si>
    <t>EPS</t>
    <phoneticPr fontId="2" type="noConversion"/>
  </si>
  <si>
    <t>預估最後報酬率 (%)_便宜價</t>
    <phoneticPr fontId="2" type="noConversion"/>
  </si>
  <si>
    <t>預估最後報酬率 (%)_合理價</t>
    <phoneticPr fontId="2" type="noConversion"/>
  </si>
  <si>
    <t>預估最後報酬率 (%)_昂貴價</t>
    <phoneticPr fontId="2" type="noConversion"/>
  </si>
  <si>
    <t>預估最後賣出時本益比(P/E)</t>
    <phoneticPr fontId="2" type="noConversion"/>
  </si>
  <si>
    <t>幾年後賣出</t>
    <phoneticPr fontId="2" type="noConversion"/>
  </si>
  <si>
    <t>目前便宜價(價格+股利)</t>
    <phoneticPr fontId="2" type="noConversion"/>
  </si>
  <si>
    <t>目前合理價(價格+股利)</t>
    <phoneticPr fontId="2" type="noConversion"/>
  </si>
  <si>
    <t>目前昂貴價(價格+股利)</t>
    <phoneticPr fontId="2" type="noConversion"/>
  </si>
  <si>
    <t>3年</t>
    <phoneticPr fontId="2" type="noConversion"/>
  </si>
  <si>
    <t>5年</t>
    <phoneticPr fontId="2" type="noConversion"/>
  </si>
  <si>
    <t>10年</t>
    <phoneticPr fontId="2" type="noConversion"/>
  </si>
  <si>
    <t>目前便宜價</t>
    <phoneticPr fontId="2" type="noConversion"/>
  </si>
  <si>
    <t>目前合理價</t>
    <phoneticPr fontId="2" type="noConversion"/>
  </si>
  <si>
    <t>目前昂貴價</t>
    <phoneticPr fontId="2" type="noConversion"/>
  </si>
  <si>
    <t>股息成長率</t>
    <phoneticPr fontId="2" type="noConversion"/>
  </si>
  <si>
    <t>現在股價</t>
    <phoneticPr fontId="2" type="noConversion"/>
  </si>
  <si>
    <t>年度</t>
    <phoneticPr fontId="2" type="noConversion"/>
  </si>
  <si>
    <t>EPS成長率 ( 預估)</t>
    <phoneticPr fontId="2" type="noConversion"/>
  </si>
  <si>
    <t>歷年股價</t>
    <phoneticPr fontId="2" type="noConversion"/>
  </si>
  <si>
    <t>https://strike.market/stocks/V</t>
    <phoneticPr fontId="2" type="noConversion"/>
  </si>
  <si>
    <t>名稱</t>
    <phoneticPr fontId="2" type="noConversion"/>
  </si>
  <si>
    <t>網址</t>
    <phoneticPr fontId="2" type="noConversion"/>
  </si>
  <si>
    <t>https://www.macrotrends.net/stocks/charts/V/visa/pe-ratio</t>
    <phoneticPr fontId="2" type="noConversion"/>
  </si>
  <si>
    <t>PE, EPS查詢</t>
    <phoneticPr fontId="2" type="noConversion"/>
  </si>
  <si>
    <t>https://wealth.businessweekly.com.tw/m/GArticle.aspx?id=ARTL000139852</t>
    <phoneticPr fontId="2" type="noConversion"/>
  </si>
  <si>
    <t>教學參考: DCF With EPS</t>
    <phoneticPr fontId="2" type="noConversion"/>
  </si>
  <si>
    <t>教學參考: DCF With Cash Flow</t>
    <phoneticPr fontId="2" type="noConversion"/>
  </si>
  <si>
    <t>教學參考: DCF With PE</t>
    <phoneticPr fontId="2" type="noConversion"/>
  </si>
  <si>
    <t>https://teddygoschool.com/how-to-calculate-the-valuation-of-a-company/</t>
    <phoneticPr fontId="2" type="noConversion"/>
  </si>
  <si>
    <t>https://rich01.com/discounted-cash-flow-dcf-model/</t>
    <phoneticPr fontId="2" type="noConversion"/>
  </si>
  <si>
    <t>標準差</t>
    <phoneticPr fontId="2" type="noConversion"/>
  </si>
  <si>
    <t>通膨 (%)</t>
    <phoneticPr fontId="2" type="noConversion"/>
  </si>
  <si>
    <t>http://www.rocketfinancial.com/Financials.aspx?fID=3916&amp;p=2&amp;pw=129186&amp;rID=3</t>
    <phoneticPr fontId="2" type="noConversion"/>
  </si>
  <si>
    <t>Cash Flow 查詢</t>
    <phoneticPr fontId="2" type="noConversion"/>
  </si>
  <si>
    <t>自估</t>
    <phoneticPr fontId="2" type="noConversion"/>
  </si>
  <si>
    <t>預估每股現金流</t>
    <phoneticPr fontId="2" type="noConversion"/>
  </si>
  <si>
    <t>現金流量折現法(PE+EPS)</t>
    <phoneticPr fontId="2" type="noConversion"/>
  </si>
  <si>
    <t>現金流成長率 (%)</t>
    <phoneticPr fontId="2" type="noConversion"/>
  </si>
  <si>
    <t>本益比PE</t>
    <phoneticPr fontId="2" type="noConversion"/>
  </si>
  <si>
    <r>
      <t xml:space="preserve">估 </t>
    </r>
    <r>
      <rPr>
        <sz val="20"/>
        <color rgb="FFFFFF00"/>
        <rFont val="新細明體"/>
        <family val="1"/>
        <charset val="136"/>
      </rPr>
      <t>2022</t>
    </r>
    <phoneticPr fontId="2" type="noConversion"/>
  </si>
  <si>
    <t>https://www.gurufocus.com/stock/MCD/dcf</t>
    <phoneticPr fontId="2" type="noConversion"/>
  </si>
  <si>
    <t>GuruFocus  估值網站：</t>
    <phoneticPr fontId="2" type="noConversion"/>
  </si>
  <si>
    <t>中位數</t>
    <phoneticPr fontId="2" type="noConversion"/>
  </si>
  <si>
    <t>EPS成長率法</t>
    <phoneticPr fontId="2" type="noConversion"/>
  </si>
  <si>
    <t>Financial Transaction Servicess : PE</t>
    <phoneticPr fontId="2" type="noConversion"/>
  </si>
  <si>
    <t>EPS成長率</t>
    <phoneticPr fontId="2" type="noConversion"/>
  </si>
  <si>
    <t>P/E成長率</t>
    <phoneticPr fontId="2" type="noConversion"/>
  </si>
  <si>
    <t>1本益比成長率 %(看圖斜率)</t>
    <phoneticPr fontId="2" type="noConversion"/>
  </si>
  <si>
    <t>去頭去尾取平均</t>
    <phoneticPr fontId="2" type="noConversion"/>
  </si>
  <si>
    <t>預估EPS</t>
    <phoneticPr fontId="2" type="noConversion"/>
  </si>
  <si>
    <t>預估PE</t>
    <phoneticPr fontId="2" type="noConversion"/>
  </si>
  <si>
    <t>EPS 成長率</t>
    <phoneticPr fontId="2" type="noConversion"/>
  </si>
  <si>
    <t>歷史水位</t>
    <phoneticPr fontId="2" type="noConversion"/>
  </si>
  <si>
    <t>通膨後</t>
    <phoneticPr fontId="2" type="noConversion"/>
  </si>
  <si>
    <t>計算年度</t>
    <phoneticPr fontId="2" type="noConversion"/>
  </si>
  <si>
    <t>Time Shift</t>
    <phoneticPr fontId="2" type="noConversion"/>
  </si>
  <si>
    <t>歷史平均</t>
    <phoneticPr fontId="2" type="noConversion"/>
  </si>
  <si>
    <t>報酬率</t>
    <phoneticPr fontId="2" type="noConversion"/>
  </si>
  <si>
    <t>自估報酬率</t>
    <phoneticPr fontId="2" type="noConversion"/>
  </si>
  <si>
    <t>價格</t>
    <phoneticPr fontId="2" type="noConversion"/>
  </si>
  <si>
    <r>
      <t>預估最後賣出時</t>
    </r>
    <r>
      <rPr>
        <sz val="12"/>
        <color rgb="FFFF0000"/>
        <rFont val="新細明體"/>
        <family val="1"/>
        <charset val="136"/>
      </rPr>
      <t xml:space="preserve"> 本益比(P/E)</t>
    </r>
    <phoneticPr fontId="2" type="noConversion"/>
  </si>
  <si>
    <r>
      <rPr>
        <sz val="12"/>
        <color theme="1"/>
        <rFont val="新細明體"/>
        <family val="1"/>
        <charset val="136"/>
      </rPr>
      <t xml:space="preserve">預估 </t>
    </r>
    <r>
      <rPr>
        <sz val="12"/>
        <color rgb="FFFF0000"/>
        <rFont val="新細明體"/>
        <family val="2"/>
        <charset val="136"/>
        <scheme val="minor"/>
      </rPr>
      <t>EPS</t>
    </r>
    <phoneticPr fontId="2" type="noConversion"/>
  </si>
  <si>
    <r>
      <rPr>
        <sz val="12"/>
        <color theme="1"/>
        <rFont val="新細明體"/>
        <family val="1"/>
        <charset val="136"/>
      </rPr>
      <t>預估</t>
    </r>
    <r>
      <rPr>
        <sz val="12"/>
        <color rgb="FFFF0000"/>
        <rFont val="新細明體"/>
        <family val="1"/>
        <charset val="136"/>
      </rPr>
      <t xml:space="preserve"> EPS成長率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2" type="noConversion"/>
  </si>
  <si>
    <t>前年+國際情勢</t>
    <phoneticPr fontId="2" type="noConversion"/>
  </si>
  <si>
    <t>看線圖</t>
    <phoneticPr fontId="2" type="noConversion"/>
  </si>
  <si>
    <t>EPS 計算年度</t>
    <phoneticPr fontId="2" type="noConversion"/>
  </si>
  <si>
    <t xml:space="preserve">Time Shift (去頭去尾取平均) </t>
    <phoneticPr fontId="2" type="noConversion"/>
  </si>
  <si>
    <t>GOOGL</t>
    <phoneticPr fontId="2" type="noConversion"/>
  </si>
  <si>
    <t>7/22 股價</t>
    <phoneticPr fontId="2" type="noConversion"/>
  </si>
  <si>
    <t>7/22 EPS</t>
    <phoneticPr fontId="2" type="noConversion"/>
  </si>
  <si>
    <t>↓= PE*EPS</t>
    <phoneticPr fontId="2" type="noConversion"/>
  </si>
  <si>
    <t>7/22 P/E</t>
    <phoneticPr fontId="2" type="noConversion"/>
  </si>
  <si>
    <t>https://www.wsj.com/market-data/quotes/GOOGL?mod=searchresults_companyquotes</t>
  </si>
  <si>
    <t>3 (~2017)</t>
    <phoneticPr fontId="2" type="noConversion"/>
  </si>
  <si>
    <t>4(~2016)</t>
    <phoneticPr fontId="2" type="noConversion"/>
  </si>
  <si>
    <t>5(~2015)</t>
    <phoneticPr fontId="2" type="noConversion"/>
  </si>
  <si>
    <t>6(~2014)</t>
    <phoneticPr fontId="2" type="noConversion"/>
  </si>
  <si>
    <t>7(~2013)</t>
    <phoneticPr fontId="2" type="noConversion"/>
  </si>
  <si>
    <t>8(~2012)</t>
    <phoneticPr fontId="2" type="noConversion"/>
  </si>
  <si>
    <t>9(~2011)</t>
    <phoneticPr fontId="2" type="noConversion"/>
  </si>
  <si>
    <t>10(~2010)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</si>
</sst>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76" formatCode="_(* #,##0_);_(* \(#,##0\);_(* &quot;-&quot;??_);_(@_)"/>
    <numFmt numFmtId="177" formatCode="0.0"/>
    <numFmt numFmtId="178" formatCode="0.000"/>
    <numFmt numFmtId="179" formatCode="0.00_ "/>
    <numFmt numFmtId="180" formatCode="0.0_ "/>
  </numFmts>
  <fonts count="4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4"/>
      <color rgb="FF7030A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rgb="FF4A4D4B"/>
      <name val="Arial"/>
      <family val="2"/>
    </font>
    <font>
      <b/>
      <sz val="12"/>
      <color rgb="FF7030A0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2"/>
      <color rgb="FF7030A0"/>
      <name val="新細明體"/>
      <family val="2"/>
      <charset val="136"/>
      <scheme val="minor"/>
    </font>
    <font>
      <b/>
      <sz val="26"/>
      <color rgb="FFFFFF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sz val="12"/>
      <color theme="2"/>
      <name val="新細明體"/>
      <family val="2"/>
      <charset val="136"/>
      <scheme val="minor"/>
    </font>
    <font>
      <b/>
      <sz val="16"/>
      <color theme="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0"/>
      <color theme="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  <font>
      <u/>
      <sz val="20"/>
      <color theme="4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4"/>
      <color rgb="FFFFFF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sz val="20"/>
      <color rgb="FFFFFF00"/>
      <name val="新細明體"/>
      <family val="1"/>
      <charset val="136"/>
    </font>
    <font>
      <b/>
      <sz val="16"/>
      <color rgb="FFFFFF0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4"/>
      <color theme="2"/>
      <name val="新細明體"/>
      <family val="2"/>
      <charset val="136"/>
      <scheme val="minor"/>
    </font>
    <font>
      <sz val="18"/>
      <color rgb="FF7030A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rgb="FF7030A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8"/>
      <color theme="0"/>
      <name val="新細明體"/>
      <family val="1"/>
      <charset val="136"/>
    </font>
    <font>
      <sz val="24"/>
      <color rgb="FF7030A0"/>
      <name val="新細明體"/>
      <family val="2"/>
      <charset val="136"/>
      <scheme val="minor"/>
    </font>
    <font>
      <sz val="16"/>
      <color rgb="FFFF0000"/>
      <name val="新細明體"/>
      <family val="1"/>
      <charset val="136"/>
    </font>
    <font>
      <sz val="16"/>
      <color theme="0"/>
      <name val="新細明體"/>
      <family val="1"/>
      <charset val="136"/>
      <scheme val="minor"/>
    </font>
    <font>
      <sz val="18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C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/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9" borderId="1" xfId="0" applyNumberFormat="1" applyFill="1" applyBorder="1" applyAlignment="1"/>
    <xf numFmtId="0" fontId="3" fillId="4" borderId="1" xfId="0" applyFont="1" applyFill="1" applyBorder="1" applyAlignment="1"/>
    <xf numFmtId="2" fontId="4" fillId="8" borderId="1" xfId="0" applyNumberFormat="1" applyFont="1" applyFill="1" applyBorder="1" applyAlignment="1">
      <alignment horizontal="center"/>
    </xf>
    <xf numFmtId="0" fontId="6" fillId="0" borderId="0" xfId="0" applyFont="1">
      <alignment vertical="center"/>
    </xf>
    <xf numFmtId="8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0" fillId="12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2" fontId="7" fillId="6" borderId="1" xfId="0" applyNumberFormat="1" applyFont="1" applyFill="1" applyBorder="1" applyAlignment="1"/>
    <xf numFmtId="0" fontId="7" fillId="0" borderId="0" xfId="0" applyFont="1">
      <alignment vertic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9" borderId="2" xfId="0" applyNumberFormat="1" applyFont="1" applyFill="1" applyBorder="1" applyAlignment="1">
      <alignment vertical="center"/>
    </xf>
    <xf numFmtId="2" fontId="7" fillId="9" borderId="2" xfId="0" applyNumberFormat="1" applyFont="1" applyFill="1" applyBorder="1" applyAlignment="1">
      <alignment vertical="center"/>
    </xf>
    <xf numFmtId="2" fontId="5" fillId="9" borderId="1" xfId="0" applyNumberFormat="1" applyFont="1" applyFill="1" applyBorder="1">
      <alignment vertical="center"/>
    </xf>
    <xf numFmtId="2" fontId="7" fillId="9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3" fillId="4" borderId="1" xfId="0" applyFont="1" applyFill="1" applyBorder="1" applyAlignment="1"/>
    <xf numFmtId="0" fontId="0" fillId="0" borderId="0" xfId="0" applyAlignment="1">
      <alignment vertical="center"/>
    </xf>
    <xf numFmtId="2" fontId="5" fillId="9" borderId="1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8" fillId="0" borderId="1" xfId="3" applyFont="1" applyBorder="1">
      <alignment vertical="center"/>
    </xf>
    <xf numFmtId="0" fontId="17" fillId="11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14" fontId="6" fillId="0" borderId="1" xfId="0" applyNumberFormat="1" applyFont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/>
    <xf numFmtId="176" fontId="21" fillId="4" borderId="1" xfId="2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4" borderId="1" xfId="2" applyNumberFormat="1" applyFont="1" applyFill="1" applyBorder="1" applyAlignment="1">
      <alignment horizontal="right"/>
    </xf>
    <xf numFmtId="0" fontId="21" fillId="4" borderId="1" xfId="2" applyNumberFormat="1" applyFont="1" applyFill="1" applyBorder="1" applyAlignment="1">
      <alignment horizontal="right"/>
    </xf>
    <xf numFmtId="0" fontId="16" fillId="15" borderId="1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8" fontId="0" fillId="0" borderId="1" xfId="0" applyNumberFormat="1" applyBorder="1">
      <alignment vertical="center"/>
    </xf>
    <xf numFmtId="0" fontId="0" fillId="9" borderId="1" xfId="0" applyFill="1" applyBorder="1" applyAlignment="1">
      <alignment horizontal="center" vertical="center"/>
    </xf>
    <xf numFmtId="177" fontId="13" fillId="4" borderId="1" xfId="2" applyNumberFormat="1" applyFont="1" applyFill="1" applyBorder="1" applyAlignment="1">
      <alignment horizontal="right"/>
    </xf>
    <xf numFmtId="0" fontId="28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0" fillId="18" borderId="3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30" fillId="13" borderId="3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31" fillId="0" borderId="1" xfId="0" applyFont="1" applyBorder="1">
      <alignment vertical="center"/>
    </xf>
    <xf numFmtId="0" fontId="30" fillId="7" borderId="1" xfId="0" applyFont="1" applyFill="1" applyBorder="1" applyAlignment="1">
      <alignment horizontal="left" vertical="center"/>
    </xf>
    <xf numFmtId="0" fontId="6" fillId="17" borderId="1" xfId="0" applyFont="1" applyFill="1" applyBorder="1" applyAlignment="1">
      <alignment horizontal="center" vertical="center"/>
    </xf>
    <xf numFmtId="14" fontId="6" fillId="17" borderId="1" xfId="0" applyNumberFormat="1" applyFont="1" applyFill="1" applyBorder="1">
      <alignment vertical="center"/>
    </xf>
    <xf numFmtId="8" fontId="0" fillId="9" borderId="1" xfId="0" applyNumberFormat="1" applyFill="1" applyBorder="1" applyAlignment="1">
      <alignment horizontal="center" vertical="center"/>
    </xf>
    <xf numFmtId="2" fontId="0" fillId="0" borderId="1" xfId="1" applyNumberFormat="1" applyFont="1" applyBorder="1">
      <alignment vertical="center"/>
    </xf>
    <xf numFmtId="1" fontId="0" fillId="0" borderId="1" xfId="1" applyNumberFormat="1" applyFont="1" applyBorder="1">
      <alignment vertical="center"/>
    </xf>
    <xf numFmtId="180" fontId="0" fillId="19" borderId="1" xfId="0" applyNumberFormat="1" applyFill="1" applyBorder="1">
      <alignment vertical="center"/>
    </xf>
    <xf numFmtId="2" fontId="0" fillId="19" borderId="1" xfId="0" applyNumberFormat="1" applyFill="1" applyBorder="1">
      <alignment vertical="center"/>
    </xf>
    <xf numFmtId="180" fontId="0" fillId="8" borderId="0" xfId="0" applyNumberFormat="1" applyFill="1">
      <alignment vertical="center"/>
    </xf>
    <xf numFmtId="179" fontId="0" fillId="8" borderId="0" xfId="0" applyNumberFormat="1" applyFill="1">
      <alignment vertical="center"/>
    </xf>
    <xf numFmtId="0" fontId="0" fillId="8" borderId="0" xfId="0" applyFill="1">
      <alignment vertical="center"/>
    </xf>
    <xf numFmtId="177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2" fontId="12" fillId="0" borderId="0" xfId="0" applyNumberFormat="1" applyFont="1">
      <alignment vertical="center"/>
    </xf>
    <xf numFmtId="177" fontId="11" fillId="0" borderId="0" xfId="0" applyNumberFormat="1" applyFont="1" applyAlignment="1">
      <alignment horizontal="center" vertical="center"/>
    </xf>
    <xf numFmtId="9" fontId="4" fillId="8" borderId="1" xfId="1" applyFont="1" applyFill="1" applyBorder="1" applyAlignment="1">
      <alignment horizontal="center"/>
    </xf>
    <xf numFmtId="0" fontId="36" fillId="3" borderId="1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3" fillId="5" borderId="1" xfId="0" applyFont="1" applyFill="1" applyBorder="1">
      <alignment vertical="center"/>
    </xf>
    <xf numFmtId="0" fontId="43" fillId="0" borderId="0" xfId="0" applyFont="1">
      <alignment vertical="center"/>
    </xf>
    <xf numFmtId="8" fontId="0" fillId="0" borderId="0" xfId="0" applyNumberFormat="1">
      <alignment vertical="center"/>
    </xf>
    <xf numFmtId="0" fontId="6" fillId="0" borderId="1" xfId="0" applyFont="1" applyBorder="1" applyAlignment="1">
      <alignment horizontal="center" vertical="center"/>
    </xf>
    <xf numFmtId="14" fontId="6" fillId="8" borderId="0" xfId="0" applyNumberFormat="1" applyFont="1" applyFill="1">
      <alignment vertical="center"/>
    </xf>
    <xf numFmtId="0" fontId="6" fillId="8" borderId="0" xfId="0" applyFont="1" applyFill="1">
      <alignment vertical="center"/>
    </xf>
    <xf numFmtId="8" fontId="6" fillId="8" borderId="0" xfId="0" applyNumberFormat="1" applyFont="1" applyFill="1">
      <alignment vertical="center"/>
    </xf>
    <xf numFmtId="14" fontId="6" fillId="22" borderId="0" xfId="0" applyNumberFormat="1" applyFont="1" applyFill="1">
      <alignment vertical="center"/>
    </xf>
    <xf numFmtId="0" fontId="6" fillId="22" borderId="0" xfId="0" applyFont="1" applyFill="1">
      <alignment vertical="center"/>
    </xf>
    <xf numFmtId="8" fontId="6" fillId="22" borderId="0" xfId="0" applyNumberFormat="1" applyFont="1" applyFill="1">
      <alignment vertical="center"/>
    </xf>
    <xf numFmtId="14" fontId="6" fillId="23" borderId="0" xfId="0" applyNumberFormat="1" applyFont="1" applyFill="1">
      <alignment vertical="center"/>
    </xf>
    <xf numFmtId="0" fontId="6" fillId="23" borderId="0" xfId="0" applyFont="1" applyFill="1">
      <alignment vertical="center"/>
    </xf>
    <xf numFmtId="8" fontId="6" fillId="23" borderId="0" xfId="0" applyNumberFormat="1" applyFont="1" applyFill="1">
      <alignment vertical="center"/>
    </xf>
    <xf numFmtId="14" fontId="6" fillId="24" borderId="0" xfId="0" applyNumberFormat="1" applyFont="1" applyFill="1">
      <alignment vertical="center"/>
    </xf>
    <xf numFmtId="0" fontId="6" fillId="24" borderId="0" xfId="0" applyFont="1" applyFill="1">
      <alignment vertical="center"/>
    </xf>
    <xf numFmtId="8" fontId="6" fillId="24" borderId="0" xfId="0" applyNumberFormat="1" applyFont="1" applyFill="1">
      <alignment vertical="center"/>
    </xf>
    <xf numFmtId="14" fontId="6" fillId="6" borderId="0" xfId="0" applyNumberFormat="1" applyFont="1" applyFill="1">
      <alignment vertical="center"/>
    </xf>
    <xf numFmtId="0" fontId="6" fillId="6" borderId="0" xfId="0" applyFont="1" applyFill="1">
      <alignment vertical="center"/>
    </xf>
    <xf numFmtId="8" fontId="6" fillId="6" borderId="0" xfId="0" applyNumberFormat="1" applyFont="1" applyFill="1">
      <alignment vertical="center"/>
    </xf>
    <xf numFmtId="14" fontId="6" fillId="18" borderId="0" xfId="0" applyNumberFormat="1" applyFont="1" applyFill="1">
      <alignment vertical="center"/>
    </xf>
    <xf numFmtId="0" fontId="6" fillId="18" borderId="0" xfId="0" applyFont="1" applyFill="1">
      <alignment vertical="center"/>
    </xf>
    <xf numFmtId="8" fontId="6" fillId="18" borderId="0" xfId="0" applyNumberFormat="1" applyFont="1" applyFill="1">
      <alignment vertical="center"/>
    </xf>
    <xf numFmtId="14" fontId="6" fillId="25" borderId="0" xfId="0" applyNumberFormat="1" applyFont="1" applyFill="1">
      <alignment vertical="center"/>
    </xf>
    <xf numFmtId="0" fontId="6" fillId="25" borderId="0" xfId="0" applyFont="1" applyFill="1">
      <alignment vertical="center"/>
    </xf>
    <xf numFmtId="8" fontId="6" fillId="25" borderId="0" xfId="0" applyNumberFormat="1" applyFont="1" applyFill="1">
      <alignment vertical="center"/>
    </xf>
    <xf numFmtId="14" fontId="6" fillId="26" borderId="0" xfId="0" applyNumberFormat="1" applyFont="1" applyFill="1">
      <alignment vertical="center"/>
    </xf>
    <xf numFmtId="0" fontId="6" fillId="26" borderId="0" xfId="0" applyFont="1" applyFill="1">
      <alignment vertical="center"/>
    </xf>
    <xf numFmtId="8" fontId="6" fillId="26" borderId="0" xfId="0" applyNumberFormat="1" applyFont="1" applyFill="1">
      <alignment vertical="center"/>
    </xf>
    <xf numFmtId="14" fontId="6" fillId="9" borderId="0" xfId="0" applyNumberFormat="1" applyFont="1" applyFill="1">
      <alignment vertical="center"/>
    </xf>
    <xf numFmtId="0" fontId="6" fillId="9" borderId="0" xfId="0" applyFont="1" applyFill="1">
      <alignment vertical="center"/>
    </xf>
    <xf numFmtId="8" fontId="6" fillId="9" borderId="0" xfId="0" applyNumberFormat="1" applyFont="1" applyFill="1">
      <alignment vertical="center"/>
    </xf>
    <xf numFmtId="14" fontId="6" fillId="4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8" fontId="6" fillId="4" borderId="0" xfId="0" applyNumberFormat="1" applyFont="1" applyFill="1">
      <alignment vertical="center"/>
    </xf>
    <xf numFmtId="14" fontId="6" fillId="11" borderId="0" xfId="0" applyNumberFormat="1" applyFont="1" applyFill="1">
      <alignment vertical="center"/>
    </xf>
    <xf numFmtId="0" fontId="6" fillId="11" borderId="0" xfId="0" applyFont="1" applyFill="1">
      <alignment vertical="center"/>
    </xf>
    <xf numFmtId="8" fontId="6" fillId="11" borderId="0" xfId="0" applyNumberFormat="1" applyFont="1" applyFill="1">
      <alignment vertical="center"/>
    </xf>
    <xf numFmtId="14" fontId="6" fillId="27" borderId="0" xfId="0" applyNumberFormat="1" applyFont="1" applyFill="1">
      <alignment vertical="center"/>
    </xf>
    <xf numFmtId="0" fontId="6" fillId="27" borderId="0" xfId="0" applyFont="1" applyFill="1">
      <alignment vertical="center"/>
    </xf>
    <xf numFmtId="8" fontId="6" fillId="27" borderId="0" xfId="0" applyNumberFormat="1" applyFont="1" applyFill="1">
      <alignment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4" fillId="28" borderId="1" xfId="0" applyFont="1" applyFill="1" applyBorder="1" applyAlignment="1">
      <alignment horizontal="center" vertical="center"/>
    </xf>
    <xf numFmtId="0" fontId="45" fillId="0" borderId="1" xfId="0" applyFont="1" applyBorder="1">
      <alignment vertical="center"/>
    </xf>
    <xf numFmtId="0" fontId="14" fillId="0" borderId="0" xfId="3">
      <alignment vertical="center"/>
    </xf>
    <xf numFmtId="14" fontId="6" fillId="0" borderId="1" xfId="0" applyNumberFormat="1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38" fillId="20" borderId="2" xfId="0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4" fillId="0" borderId="1" xfId="3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44" fillId="28" borderId="9" xfId="0" applyFont="1" applyFill="1" applyBorder="1" applyAlignment="1">
      <alignment horizontal="center" vertical="center"/>
    </xf>
    <xf numFmtId="0" fontId="44" fillId="28" borderId="8" xfId="0" applyFont="1" applyFill="1" applyBorder="1" applyAlignment="1">
      <alignment horizontal="center" vertical="center"/>
    </xf>
    <xf numFmtId="2" fontId="44" fillId="14" borderId="10" xfId="0" applyNumberFormat="1" applyFont="1" applyFill="1" applyBorder="1" applyAlignment="1">
      <alignment horizontal="center" vertical="center"/>
    </xf>
    <xf numFmtId="2" fontId="44" fillId="14" borderId="0" xfId="0" applyNumberFormat="1" applyFont="1" applyFill="1" applyAlignment="1">
      <alignment horizontal="center" vertical="center"/>
    </xf>
    <xf numFmtId="0" fontId="42" fillId="21" borderId="3" xfId="0" applyFont="1" applyFill="1" applyBorder="1" applyAlignment="1">
      <alignment horizontal="center" vertical="center" wrapText="1"/>
    </xf>
    <xf numFmtId="0" fontId="30" fillId="13" borderId="8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8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0" fontId="30" fillId="13" borderId="5" xfId="0" applyFont="1" applyFill="1" applyBorder="1" applyAlignment="1">
      <alignment horizontal="center" vertical="center"/>
    </xf>
    <xf numFmtId="0" fontId="30" fillId="13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</cellXfs>
  <cellStyles count="4">
    <cellStyle name="一般" xfId="0" builtinId="0"/>
    <cellStyle name="千分位" xfId="2" builtinId="3"/>
    <cellStyle name="百分比" xfId="1" builtinId="5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>
                    <a:lumMod val="50000"/>
                    <a:alpha val="72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203909797328563E-2"/>
                  <c:y val="0.3256679729999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輸入!$I$14:$I$35</c:f>
              <c:numCache>
                <c:formatCode>m/d/yy</c:formatCode>
                <c:ptCount val="22"/>
                <c:pt idx="0">
                  <c:v>43646</c:v>
                </c:pt>
                <c:pt idx="1">
                  <c:v>43555</c:v>
                </c:pt>
                <c:pt idx="2">
                  <c:v>43465</c:v>
                </c:pt>
                <c:pt idx="3">
                  <c:v>43373</c:v>
                </c:pt>
                <c:pt idx="4">
                  <c:v>43281</c:v>
                </c:pt>
                <c:pt idx="5">
                  <c:v>43190</c:v>
                </c:pt>
                <c:pt idx="6">
                  <c:v>43100</c:v>
                </c:pt>
                <c:pt idx="7">
                  <c:v>43008</c:v>
                </c:pt>
                <c:pt idx="8">
                  <c:v>42916</c:v>
                </c:pt>
                <c:pt idx="9">
                  <c:v>42825</c:v>
                </c:pt>
                <c:pt idx="10">
                  <c:v>42735</c:v>
                </c:pt>
                <c:pt idx="11">
                  <c:v>42643</c:v>
                </c:pt>
                <c:pt idx="12">
                  <c:v>42551</c:v>
                </c:pt>
                <c:pt idx="13">
                  <c:v>42460</c:v>
                </c:pt>
                <c:pt idx="14">
                  <c:v>42369</c:v>
                </c:pt>
                <c:pt idx="15">
                  <c:v>42277</c:v>
                </c:pt>
                <c:pt idx="16">
                  <c:v>42185</c:v>
                </c:pt>
                <c:pt idx="17">
                  <c:v>42094</c:v>
                </c:pt>
                <c:pt idx="18">
                  <c:v>42004</c:v>
                </c:pt>
                <c:pt idx="19">
                  <c:v>41912</c:v>
                </c:pt>
                <c:pt idx="20">
                  <c:v>41820</c:v>
                </c:pt>
                <c:pt idx="21">
                  <c:v>41729</c:v>
                </c:pt>
              </c:numCache>
            </c:numRef>
          </c:xVal>
          <c:yVal>
            <c:numRef>
              <c:f>輸入!$J$14:$J$35</c:f>
              <c:numCache>
                <c:formatCode>General</c:formatCode>
                <c:ptCount val="22"/>
                <c:pt idx="0">
                  <c:v>1.0900000000000001</c:v>
                </c:pt>
                <c:pt idx="1">
                  <c:v>1.48</c:v>
                </c:pt>
                <c:pt idx="2">
                  <c:v>1.2</c:v>
                </c:pt>
                <c:pt idx="7">
                  <c:v>1.63</c:v>
                </c:pt>
                <c:pt idx="8">
                  <c:v>1.69</c:v>
                </c:pt>
                <c:pt idx="9">
                  <c:v>1.44</c:v>
                </c:pt>
                <c:pt idx="10">
                  <c:v>1.42</c:v>
                </c:pt>
                <c:pt idx="11">
                  <c:v>1.47</c:v>
                </c:pt>
                <c:pt idx="12">
                  <c:v>1.36</c:v>
                </c:pt>
                <c:pt idx="13">
                  <c:v>1.61</c:v>
                </c:pt>
                <c:pt idx="14">
                  <c:v>1.7</c:v>
                </c:pt>
                <c:pt idx="15">
                  <c:v>1.4</c:v>
                </c:pt>
                <c:pt idx="16">
                  <c:v>1.28</c:v>
                </c:pt>
                <c:pt idx="17">
                  <c:v>1.31</c:v>
                </c:pt>
                <c:pt idx="18">
                  <c:v>1.26</c:v>
                </c:pt>
                <c:pt idx="19">
                  <c:v>1.54</c:v>
                </c:pt>
                <c:pt idx="20">
                  <c:v>1.51</c:v>
                </c:pt>
                <c:pt idx="21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9-C746-AE2C-D7809F0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87440"/>
        <c:axId val="1090654976"/>
      </c:scatterChart>
      <c:valAx>
        <c:axId val="10905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654976"/>
        <c:crosses val="autoZero"/>
        <c:crossBetween val="midCat"/>
      </c:valAx>
      <c:valAx>
        <c:axId val="1090654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874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工作表1!$E$11:$E$39</c:f>
              <c:numCache>
                <c:formatCode>m/d/yy</c:formatCode>
                <c:ptCount val="29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</c:numCache>
            </c:numRef>
          </c:xVal>
          <c:yVal>
            <c:numRef>
              <c:f>工作表1!$F$11:$F$39</c:f>
              <c:numCache>
                <c:formatCode>"$"#,##0.00_);[Red]\("$"#,##0.00\)</c:formatCode>
                <c:ptCount val="29"/>
                <c:pt idx="0">
                  <c:v>110.56</c:v>
                </c:pt>
                <c:pt idx="1">
                  <c:v>112.23</c:v>
                </c:pt>
                <c:pt idx="2">
                  <c:v>103.84</c:v>
                </c:pt>
                <c:pt idx="3">
                  <c:v>92.25</c:v>
                </c:pt>
                <c:pt idx="4">
                  <c:v>75.12</c:v>
                </c:pt>
                <c:pt idx="5">
                  <c:v>58.7</c:v>
                </c:pt>
                <c:pt idx="6">
                  <c:v>51.75</c:v>
                </c:pt>
                <c:pt idx="7">
                  <c:v>45.47</c:v>
                </c:pt>
                <c:pt idx="8">
                  <c:v>49.55</c:v>
                </c:pt>
                <c:pt idx="9">
                  <c:v>49.18</c:v>
                </c:pt>
                <c:pt idx="10">
                  <c:v>46.6</c:v>
                </c:pt>
                <c:pt idx="11">
                  <c:v>49.54</c:v>
                </c:pt>
                <c:pt idx="12">
                  <c:v>39.869999999999997</c:v>
                </c:pt>
                <c:pt idx="13">
                  <c:v>43.7</c:v>
                </c:pt>
                <c:pt idx="14">
                  <c:v>26.58</c:v>
                </c:pt>
                <c:pt idx="15">
                  <c:v>23.09</c:v>
                </c:pt>
                <c:pt idx="16">
                  <c:v>23.56</c:v>
                </c:pt>
                <c:pt idx="17">
                  <c:v>17.96</c:v>
                </c:pt>
                <c:pt idx="18">
                  <c:v>29.87</c:v>
                </c:pt>
                <c:pt idx="19">
                  <c:v>27.55</c:v>
                </c:pt>
                <c:pt idx="20">
                  <c:v>29.54</c:v>
                </c:pt>
                <c:pt idx="21">
                  <c:v>27.83</c:v>
                </c:pt>
                <c:pt idx="22">
                  <c:v>27.33</c:v>
                </c:pt>
                <c:pt idx="23">
                  <c:v>25.81</c:v>
                </c:pt>
                <c:pt idx="24">
                  <c:v>23.74</c:v>
                </c:pt>
                <c:pt idx="25">
                  <c:v>22.92</c:v>
                </c:pt>
                <c:pt idx="26">
                  <c:v>22.77</c:v>
                </c:pt>
                <c:pt idx="27">
                  <c:v>21.13</c:v>
                </c:pt>
                <c:pt idx="28">
                  <c:v>21.19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1-FF48-9BC0-BDF0CE9D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111039"/>
        <c:axId val="1716643039"/>
      </c:scatterChart>
      <c:valAx>
        <c:axId val="170811103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6643039"/>
        <c:crosses val="autoZero"/>
        <c:crossBetween val="midCat"/>
      </c:valAx>
      <c:valAx>
        <c:axId val="17166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811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174040</xdr:colOff>
      <xdr:row>30</xdr:row>
      <xdr:rowOff>28024</xdr:rowOff>
    </xdr:from>
    <xdr:to>
      <xdr:col>19</xdr:col>
      <xdr:colOff>553837</xdr:colOff>
      <xdr:row>52</xdr:row>
      <xdr:rowOff>192106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58B63F-B164-008A-0DC3-937798F2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546272</xdr:colOff>
      <xdr:row>34</xdr:row>
      <xdr:rowOff>68018</xdr:rowOff>
    </xdr:from>
    <xdr:to>
      <xdr:col>18</xdr:col>
      <xdr:colOff>244373</xdr:colOff>
      <xdr:row>36</xdr:row>
      <xdr:rowOff>115</xdr:rowOff>
    </xdr:to>
    <xdr:grpSp>
      <xdr:nvGrpSpPr>
        <xdr:cNvPr id="20" name="群組 19">
          <a:extLst>
            <a:ext uri="{FF2B5EF4-FFF2-40B4-BE49-F238E27FC236}">
              <a16:creationId xmlns:a16="http://schemas.microsoft.com/office/drawing/2014/main" id="{679C2B4A-74A7-316B-DB31-34B29106FAE1}"/>
            </a:ext>
          </a:extLst>
        </xdr:cNvPr>
        <xdr:cNvGrpSpPr/>
      </xdr:nvGrpSpPr>
      <xdr:grpSpPr>
        <a:xfrm rot="236036">
          <a:off x="12296739" y="9907551"/>
          <a:ext cx="5324083" cy="501816"/>
          <a:chOff x="12336405" y="9219259"/>
          <a:chExt cx="7525204" cy="476492"/>
        </a:xfrm>
      </xdr:grpSpPr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82C8A544-0656-B741-B1D5-8C5EFFD173F5}"/>
              </a:ext>
            </a:extLst>
          </xdr:cNvPr>
          <xdr:cNvCxnSpPr/>
        </xdr:nvCxnSpPr>
        <xdr:spPr>
          <a:xfrm flipV="1">
            <a:off x="12336405" y="9219259"/>
            <a:ext cx="7524984" cy="14582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接點 15">
            <a:extLst>
              <a:ext uri="{FF2B5EF4-FFF2-40B4-BE49-F238E27FC236}">
                <a16:creationId xmlns:a16="http://schemas.microsoft.com/office/drawing/2014/main" id="{7181871E-5306-7645-AE9C-5B5495BE9900}"/>
              </a:ext>
            </a:extLst>
          </xdr:cNvPr>
          <xdr:cNvCxnSpPr/>
        </xdr:nvCxnSpPr>
        <xdr:spPr>
          <a:xfrm flipV="1">
            <a:off x="12347445" y="9695750"/>
            <a:ext cx="7514164" cy="1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167573</xdr:colOff>
      <xdr:row>35</xdr:row>
      <xdr:rowOff>16716</xdr:rowOff>
    </xdr:from>
    <xdr:to>
      <xdr:col>18</xdr:col>
      <xdr:colOff>269173</xdr:colOff>
      <xdr:row>35</xdr:row>
      <xdr:rowOff>100483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11C6E6C0-2653-D646-9A4D-B4146CC3B1C0}"/>
            </a:ext>
          </a:extLst>
        </xdr:cNvPr>
        <xdr:cNvSpPr/>
      </xdr:nvSpPr>
      <xdr:spPr>
        <a:xfrm>
          <a:off x="17544022" y="10141109"/>
          <a:ext cx="101600" cy="8376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676543</xdr:colOff>
      <xdr:row>34</xdr:row>
      <xdr:rowOff>154298</xdr:rowOff>
    </xdr:from>
    <xdr:to>
      <xdr:col>18</xdr:col>
      <xdr:colOff>261190</xdr:colOff>
      <xdr:row>35</xdr:row>
      <xdr:rowOff>226911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616C8350-7CC9-F843-8387-FA7D0710565A}"/>
            </a:ext>
          </a:extLst>
        </xdr:cNvPr>
        <xdr:cNvCxnSpPr/>
      </xdr:nvCxnSpPr>
      <xdr:spPr>
        <a:xfrm>
          <a:off x="12427010" y="9993831"/>
          <a:ext cx="5210629" cy="357473"/>
        </a:xfrm>
        <a:prstGeom prst="line">
          <a:avLst/>
        </a:prstGeom>
        <a:ln w="25400" cmpd="tri">
          <a:solidFill>
            <a:srgbClr val="7030A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686513</xdr:colOff>
      <xdr:row>32</xdr:row>
      <xdr:rowOff>247353</xdr:rowOff>
    </xdr:from>
    <xdr:to>
      <xdr:col>18</xdr:col>
      <xdr:colOff>271160</xdr:colOff>
      <xdr:row>34</xdr:row>
      <xdr:rowOff>35106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402A86EA-36CA-DC4B-AE28-8F09C3734529}"/>
            </a:ext>
          </a:extLst>
        </xdr:cNvPr>
        <xdr:cNvCxnSpPr/>
      </xdr:nvCxnSpPr>
      <xdr:spPr>
        <a:xfrm>
          <a:off x="12436980" y="9517166"/>
          <a:ext cx="5210629" cy="357473"/>
        </a:xfrm>
        <a:prstGeom prst="line">
          <a:avLst/>
        </a:prstGeom>
        <a:ln w="25400" cmpd="tri">
          <a:solidFill>
            <a:srgbClr val="7030A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40</xdr:row>
      <xdr:rowOff>25400</xdr:rowOff>
    </xdr:from>
    <xdr:to>
      <xdr:col>16</xdr:col>
      <xdr:colOff>304800</xdr:colOff>
      <xdr:row>59</xdr:row>
      <xdr:rowOff>63500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301169-1125-75BC-3750-093571BB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alth.businessweekly.com.tw/m/GArticle.aspx?id=ARTL000139852" TargetMode="External"/><Relationship Id="rId2" Type="http://schemas.openxmlformats.org/officeDocument/2006/relationships/hyperlink" Target="https://www.macrotrends.net/stocks/charts/V/visa/pe-ratio" TargetMode="External"/><Relationship Id="rId1" Type="http://schemas.openxmlformats.org/officeDocument/2006/relationships/hyperlink" Target="https://strike.market/stocks/V" TargetMode="External"/><Relationship Id="rId6" Type="http://schemas.openxmlformats.org/officeDocument/2006/relationships/hyperlink" Target="http://www.rocketfinancial.com/Financials.aspx?fID=3916&amp;p=2&amp;pw=129186&amp;rID=3" TargetMode="External"/><Relationship Id="rId5" Type="http://schemas.openxmlformats.org/officeDocument/2006/relationships/hyperlink" Target="https://rich01.com/discounted-cash-flow-dcf-model/" TargetMode="External"/><Relationship Id="rId4" Type="http://schemas.openxmlformats.org/officeDocument/2006/relationships/hyperlink" Target="https://teddygoschool.com/how-to-calculate-the-valuation-of-a-compan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market-data/quotes/GOOGL?mod=searchresults_companyquotes" TargetMode="External"/><Relationship Id="rId2" Type="http://schemas.openxmlformats.org/officeDocument/2006/relationships/hyperlink" Target="https://www.gurufocus.com/stock/MCD/dcf" TargetMode="External"/><Relationship Id="rId1" Type="http://schemas.openxmlformats.org/officeDocument/2006/relationships/hyperlink" Target="https://www.gurufocus.com/stock/MCD/dc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684A-7945-F842-8680-266E8831CA46}">
  <dimension ref="A1:B7"/>
  <sheetViews>
    <sheetView zoomScale="111" workbookViewId="0">
      <selection activeCell="B3" sqref="B3"/>
    </sheetView>
  </sheetViews>
  <sheetFormatPr baseColWidth="10" defaultRowHeight="27"/>
  <cols>
    <col min="1" max="1" width="45.6640625" style="39" bestFit="1" customWidth="1"/>
    <col min="2" max="2" width="110.1640625" style="39" bestFit="1" customWidth="1"/>
  </cols>
  <sheetData>
    <row r="1" spans="1:2">
      <c r="A1" s="44" t="s">
        <v>27</v>
      </c>
      <c r="B1" s="40" t="s">
        <v>28</v>
      </c>
    </row>
    <row r="2" spans="1:2">
      <c r="A2" s="42" t="s">
        <v>25</v>
      </c>
      <c r="B2" s="41" t="s">
        <v>26</v>
      </c>
    </row>
    <row r="3" spans="1:2">
      <c r="A3" s="42" t="s">
        <v>30</v>
      </c>
      <c r="B3" s="41" t="s">
        <v>29</v>
      </c>
    </row>
    <row r="4" spans="1:2">
      <c r="A4" s="42" t="s">
        <v>40</v>
      </c>
      <c r="B4" s="41" t="s">
        <v>39</v>
      </c>
    </row>
    <row r="5" spans="1:2">
      <c r="A5" s="43" t="s">
        <v>34</v>
      </c>
      <c r="B5" s="41" t="s">
        <v>31</v>
      </c>
    </row>
    <row r="6" spans="1:2">
      <c r="A6" s="43" t="s">
        <v>32</v>
      </c>
      <c r="B6" s="41" t="s">
        <v>35</v>
      </c>
    </row>
    <row r="7" spans="1:2">
      <c r="A7" s="43" t="s">
        <v>33</v>
      </c>
      <c r="B7" s="41" t="s">
        <v>36</v>
      </c>
    </row>
  </sheetData>
  <phoneticPr fontId="2" type="noConversion"/>
  <hyperlinks>
    <hyperlink ref="B2" r:id="rId1" xr:uid="{748B3291-6DE5-D34F-A0B1-EDF9729FB9ED}"/>
    <hyperlink ref="B3" r:id="rId2" xr:uid="{C04B0562-F306-3244-8A21-1CAB3328C774}"/>
    <hyperlink ref="B5" r:id="rId3" xr:uid="{D40CC75B-DB38-6540-B912-BF2DA1342F56}"/>
    <hyperlink ref="B6" r:id="rId4" xr:uid="{4CD816DF-55E9-714E-BA7A-41A18AECB623}"/>
    <hyperlink ref="B7" r:id="rId5" xr:uid="{3E9055EA-7160-F74E-B35A-47B1DB5D22E1}"/>
    <hyperlink ref="B4" r:id="rId6" xr:uid="{52D166DF-799E-6E4D-9433-E96752BEA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EE3-EBB7-9844-9E88-CF9E8FA23434}">
  <dimension ref="A1:X109"/>
  <sheetViews>
    <sheetView tabSelected="1" topLeftCell="D21" zoomScale="107" zoomScaleNormal="75" workbookViewId="0">
      <selection activeCell="U41" sqref="U41"/>
    </sheetView>
  </sheetViews>
  <sheetFormatPr baseColWidth="10" defaultRowHeight="15"/>
  <cols>
    <col min="1" max="1" width="34.6640625" customWidth="1"/>
    <col min="2" max="2" width="14" customWidth="1"/>
    <col min="3" max="3" width="10.33203125" style="29" customWidth="1"/>
    <col min="4" max="4" width="21" style="29" customWidth="1"/>
    <col min="5" max="5" width="3.5" customWidth="1"/>
    <col min="6" max="7" width="19" customWidth="1"/>
    <col min="8" max="8" width="4.33203125" customWidth="1"/>
    <col min="9" max="9" width="15.5" bestFit="1" customWidth="1"/>
    <col min="10" max="10" width="12.83203125" customWidth="1"/>
    <col min="11" max="11" width="13.5" bestFit="1" customWidth="1"/>
    <col min="12" max="13" width="9.5" bestFit="1" customWidth="1"/>
    <col min="14" max="14" width="12" customWidth="1"/>
    <col min="15" max="15" width="13.6640625" customWidth="1"/>
    <col min="16" max="16" width="7.1640625" customWidth="1"/>
    <col min="17" max="17" width="4.6640625" customWidth="1"/>
    <col min="18" max="18" width="3.6640625" customWidth="1"/>
    <col min="19" max="19" width="5.5" customWidth="1"/>
  </cols>
  <sheetData>
    <row r="1" spans="1:17" ht="36">
      <c r="A1" s="28" t="s">
        <v>22</v>
      </c>
      <c r="B1" s="49">
        <v>112</v>
      </c>
      <c r="C1" s="53" t="s">
        <v>74</v>
      </c>
      <c r="D1" s="52" t="s">
        <v>46</v>
      </c>
      <c r="F1" s="156" t="s">
        <v>51</v>
      </c>
      <c r="G1" s="156"/>
      <c r="H1" s="75"/>
      <c r="I1" s="30" t="s">
        <v>23</v>
      </c>
      <c r="J1" s="99" t="s">
        <v>45</v>
      </c>
      <c r="K1" s="76" t="s">
        <v>37</v>
      </c>
      <c r="L1" s="77" t="s">
        <v>23</v>
      </c>
      <c r="M1" s="78" t="s">
        <v>6</v>
      </c>
      <c r="N1" s="77" t="s">
        <v>61</v>
      </c>
      <c r="O1" s="78" t="s">
        <v>52</v>
      </c>
      <c r="Q1" s="56"/>
    </row>
    <row r="2" spans="1:17" ht="29">
      <c r="A2" s="14" t="s">
        <v>7</v>
      </c>
      <c r="B2" s="8">
        <v>13</v>
      </c>
      <c r="C2" s="29">
        <f>(1+(B2/100))</f>
        <v>1.1299999999999999</v>
      </c>
      <c r="F2" s="157" t="s">
        <v>49</v>
      </c>
      <c r="G2" s="159"/>
      <c r="I2" s="150">
        <v>44761</v>
      </c>
      <c r="J2" s="151">
        <v>1.03</v>
      </c>
      <c r="K2" s="100">
        <f>ROUND(STDEV(J14:J35),2)</f>
        <v>0.17</v>
      </c>
      <c r="L2" s="81">
        <v>2019</v>
      </c>
      <c r="M2" s="145">
        <v>46.297499999999999</v>
      </c>
      <c r="N2" s="62" t="s">
        <v>80</v>
      </c>
      <c r="O2" s="61">
        <f>'EPS &amp; PE 成長率法'!D2</f>
        <v>20.85</v>
      </c>
      <c r="P2" s="29"/>
      <c r="Q2" s="56"/>
    </row>
    <row r="3" spans="1:17" ht="29">
      <c r="A3" s="14" t="s">
        <v>8</v>
      </c>
      <c r="B3" s="8">
        <v>10</v>
      </c>
      <c r="C3" s="29">
        <f>(1+(B3/100))</f>
        <v>1.1000000000000001</v>
      </c>
      <c r="F3" s="158"/>
      <c r="G3" s="159"/>
      <c r="I3" s="150">
        <v>44651</v>
      </c>
      <c r="J3" s="151">
        <v>1.26</v>
      </c>
      <c r="K3" s="168" t="s">
        <v>63</v>
      </c>
      <c r="L3" s="81">
        <v>2018</v>
      </c>
      <c r="M3" s="145">
        <v>29.232500000000002</v>
      </c>
      <c r="N3" s="62" t="s">
        <v>81</v>
      </c>
      <c r="O3" s="61">
        <f>'EPS &amp; PE 成長率法'!D3</f>
        <v>15.32</v>
      </c>
      <c r="P3" s="29">
        <v>15.32</v>
      </c>
      <c r="Q3" s="56"/>
    </row>
    <row r="4" spans="1:17" ht="22" customHeight="1">
      <c r="A4" s="14" t="s">
        <v>9</v>
      </c>
      <c r="B4" s="8">
        <v>4</v>
      </c>
      <c r="C4" s="29">
        <f>(1+(B4/100))</f>
        <v>1.04</v>
      </c>
      <c r="F4" s="97">
        <v>1</v>
      </c>
      <c r="G4" s="55"/>
      <c r="I4" s="150">
        <v>44561</v>
      </c>
      <c r="J4" s="151">
        <v>1.29</v>
      </c>
      <c r="K4" s="169"/>
      <c r="L4" s="81">
        <v>2017</v>
      </c>
      <c r="M4" s="145">
        <v>26.229999999999997</v>
      </c>
      <c r="N4" s="62" t="s">
        <v>82</v>
      </c>
      <c r="O4" s="61">
        <f>'EPS &amp; PE 成長率法'!D4</f>
        <v>16.04</v>
      </c>
      <c r="P4" s="29">
        <v>16.04</v>
      </c>
      <c r="Q4" s="56"/>
    </row>
    <row r="5" spans="1:17" ht="29">
      <c r="A5" s="14" t="s">
        <v>67</v>
      </c>
      <c r="B5" s="8">
        <v>45</v>
      </c>
      <c r="D5" s="54" t="s">
        <v>71</v>
      </c>
      <c r="F5" s="97">
        <v>2</v>
      </c>
      <c r="G5" s="55"/>
      <c r="I5" s="150">
        <v>44469</v>
      </c>
      <c r="J5" s="151">
        <v>1.29</v>
      </c>
      <c r="K5" s="101">
        <f>ROUND(AVERAGE(J14:J35),2)</f>
        <v>1.44</v>
      </c>
      <c r="L5" s="81">
        <v>2016</v>
      </c>
      <c r="M5" s="145">
        <v>26.177499999999998</v>
      </c>
      <c r="N5" s="64" t="s">
        <v>83</v>
      </c>
      <c r="O5" s="65">
        <f>'EPS &amp; PE 成長率法'!D5</f>
        <v>15.35</v>
      </c>
      <c r="P5" s="29">
        <v>15.35</v>
      </c>
      <c r="Q5" s="56"/>
    </row>
    <row r="6" spans="1:17" ht="22" customHeight="1">
      <c r="A6" s="14" t="s">
        <v>4</v>
      </c>
      <c r="B6" s="35">
        <v>0.6</v>
      </c>
      <c r="F6" s="97">
        <v>3</v>
      </c>
      <c r="G6" s="98"/>
      <c r="I6" s="150">
        <v>44377</v>
      </c>
      <c r="J6" s="151">
        <v>1.6</v>
      </c>
      <c r="K6" s="10"/>
      <c r="L6" s="81">
        <v>2015</v>
      </c>
      <c r="M6" s="145">
        <v>22.002499999999998</v>
      </c>
      <c r="N6" s="152" t="s">
        <v>84</v>
      </c>
      <c r="O6" s="153">
        <f>'EPS &amp; PE 成長率法'!D6</f>
        <v>14.54</v>
      </c>
      <c r="P6" s="154">
        <v>14.54</v>
      </c>
    </row>
    <row r="7" spans="1:17" ht="22" customHeight="1">
      <c r="A7" s="14" t="s">
        <v>21</v>
      </c>
      <c r="B7" s="35">
        <v>0</v>
      </c>
      <c r="C7" s="29">
        <f>(1+(B7/100))</f>
        <v>1</v>
      </c>
      <c r="F7" s="97">
        <v>4</v>
      </c>
      <c r="G7" s="55"/>
      <c r="I7" s="150">
        <v>44286</v>
      </c>
      <c r="J7" s="151">
        <v>1.37</v>
      </c>
      <c r="K7" s="10"/>
      <c r="L7" s="81">
        <v>2014</v>
      </c>
      <c r="M7" s="145">
        <v>19.649999999999999</v>
      </c>
      <c r="N7" s="62" t="s">
        <v>85</v>
      </c>
      <c r="O7" s="61">
        <f>'EPS &amp; PE 成長率法'!D7</f>
        <v>13.87</v>
      </c>
      <c r="P7" s="29">
        <v>13.87</v>
      </c>
    </row>
    <row r="8" spans="1:17" ht="22" customHeight="1">
      <c r="A8" s="96" t="s">
        <v>68</v>
      </c>
      <c r="B8" s="8">
        <v>8</v>
      </c>
      <c r="D8" s="63" t="s">
        <v>70</v>
      </c>
      <c r="F8" s="97">
        <v>5</v>
      </c>
      <c r="G8" s="55"/>
      <c r="I8" s="150">
        <v>44196</v>
      </c>
      <c r="J8" s="151">
        <v>1.49</v>
      </c>
      <c r="K8" s="10"/>
      <c r="L8" s="151">
        <v>2013</v>
      </c>
      <c r="M8" s="155">
        <v>17.895</v>
      </c>
      <c r="N8" s="62" t="s">
        <v>86</v>
      </c>
      <c r="O8" s="61">
        <f>'EPS &amp; PE 成長率法'!D8</f>
        <v>13.48</v>
      </c>
      <c r="P8" s="29"/>
    </row>
    <row r="9" spans="1:17" ht="22" customHeight="1">
      <c r="A9" s="46" t="s">
        <v>69</v>
      </c>
      <c r="B9" s="60">
        <f>N14</f>
        <v>14.928333333333335</v>
      </c>
      <c r="C9" s="29">
        <f>(1+(B9/100))</f>
        <v>1.1492833333333334</v>
      </c>
      <c r="F9" s="97">
        <v>6</v>
      </c>
      <c r="G9" s="55"/>
      <c r="I9" s="150">
        <v>44104</v>
      </c>
      <c r="J9" s="151">
        <v>1.42</v>
      </c>
      <c r="K9" s="10"/>
      <c r="L9" s="31">
        <v>2012</v>
      </c>
      <c r="M9" s="63">
        <v>16.377500000000001</v>
      </c>
      <c r="N9" s="62" t="s">
        <v>87</v>
      </c>
      <c r="O9" s="61">
        <f>'EPS &amp; PE 成長率法'!D9</f>
        <v>14.45</v>
      </c>
      <c r="P9" s="29">
        <v>14.45</v>
      </c>
    </row>
    <row r="10" spans="1:17" ht="18" customHeight="1">
      <c r="A10" s="46" t="s">
        <v>38</v>
      </c>
      <c r="B10" s="50">
        <v>5</v>
      </c>
      <c r="C10" s="29">
        <f>(1+(B10/100))</f>
        <v>1.05</v>
      </c>
      <c r="D10" s="63" t="s">
        <v>41</v>
      </c>
      <c r="F10" s="97">
        <v>7</v>
      </c>
      <c r="G10" s="55"/>
      <c r="I10" s="150">
        <v>44012</v>
      </c>
      <c r="J10" s="151">
        <v>1.56</v>
      </c>
      <c r="K10" s="10"/>
      <c r="L10" s="31">
        <v>2011</v>
      </c>
      <c r="M10" s="63">
        <v>14.84</v>
      </c>
      <c r="N10" s="62"/>
      <c r="O10" s="61"/>
      <c r="P10" s="29"/>
    </row>
    <row r="11" spans="1:17" ht="22">
      <c r="A11" s="46" t="s">
        <v>54</v>
      </c>
      <c r="B11" s="50">
        <v>0.74</v>
      </c>
      <c r="F11" s="97">
        <v>8</v>
      </c>
      <c r="G11" s="55"/>
      <c r="I11" s="150">
        <v>43921</v>
      </c>
      <c r="J11" s="151">
        <v>1.17</v>
      </c>
      <c r="K11" s="10"/>
      <c r="L11" s="31">
        <v>2010</v>
      </c>
      <c r="M11" s="63">
        <v>12.0025</v>
      </c>
      <c r="N11" s="62"/>
      <c r="O11" s="61"/>
      <c r="P11" s="29"/>
    </row>
    <row r="12" spans="1:17" ht="22" customHeight="1">
      <c r="F12" s="97">
        <v>9</v>
      </c>
      <c r="G12" s="55"/>
      <c r="I12" s="150">
        <v>43830</v>
      </c>
      <c r="J12" s="151">
        <v>1.36</v>
      </c>
      <c r="K12" s="10"/>
      <c r="L12" s="31"/>
      <c r="M12" s="63"/>
      <c r="N12" s="62"/>
      <c r="O12" s="61"/>
      <c r="P12" s="29"/>
    </row>
    <row r="13" spans="1:17" ht="22" customHeight="1">
      <c r="A13" s="161" t="s">
        <v>48</v>
      </c>
      <c r="B13" s="162"/>
      <c r="F13" s="97">
        <v>10</v>
      </c>
      <c r="G13" s="55"/>
      <c r="I13" s="150">
        <v>43738</v>
      </c>
      <c r="J13" s="151">
        <v>1.31</v>
      </c>
      <c r="K13" s="10"/>
      <c r="L13" s="31"/>
      <c r="M13" s="63"/>
      <c r="N13" s="174" t="s">
        <v>55</v>
      </c>
      <c r="O13" s="175"/>
      <c r="P13">
        <f>MIN(P2:P9)</f>
        <v>13.87</v>
      </c>
      <c r="Q13">
        <f>MAX(P2:P9)</f>
        <v>16.04</v>
      </c>
    </row>
    <row r="14" spans="1:17" ht="20" customHeight="1">
      <c r="A14" s="160" t="s">
        <v>47</v>
      </c>
      <c r="B14" s="160"/>
      <c r="F14" s="97">
        <v>11</v>
      </c>
      <c r="G14" s="55"/>
      <c r="I14" s="82">
        <v>43646</v>
      </c>
      <c r="J14" s="81">
        <v>1.0900000000000001</v>
      </c>
      <c r="K14" s="10"/>
      <c r="L14" s="31"/>
      <c r="M14" s="63"/>
      <c r="N14" s="173">
        <f>AVERAGE(P2:P12)</f>
        <v>14.928333333333335</v>
      </c>
      <c r="O14" s="173"/>
    </row>
    <row r="15" spans="1:17" ht="22">
      <c r="F15" s="97">
        <v>12</v>
      </c>
      <c r="G15" s="55"/>
      <c r="I15" s="82">
        <v>43555</v>
      </c>
      <c r="J15" s="81">
        <v>1.48</v>
      </c>
      <c r="K15" s="10"/>
      <c r="L15" s="170" t="s">
        <v>63</v>
      </c>
      <c r="M15" s="170"/>
    </row>
    <row r="16" spans="1:17" ht="26" customHeight="1">
      <c r="A16" s="79" t="s">
        <v>43</v>
      </c>
      <c r="F16" s="97">
        <v>13</v>
      </c>
      <c r="G16" s="55"/>
      <c r="I16" s="82">
        <v>43465</v>
      </c>
      <c r="J16" s="81">
        <v>1.2</v>
      </c>
      <c r="K16" s="10"/>
      <c r="L16" s="170"/>
      <c r="M16" s="170"/>
      <c r="N16" s="10"/>
      <c r="O16" s="11"/>
    </row>
    <row r="17" spans="1:21" ht="24" customHeight="1">
      <c r="A17" s="80" t="s">
        <v>11</v>
      </c>
      <c r="B17" s="20" t="s">
        <v>15</v>
      </c>
      <c r="C17" s="20" t="s">
        <v>16</v>
      </c>
      <c r="D17" s="20" t="s">
        <v>17</v>
      </c>
      <c r="F17" s="97">
        <v>14</v>
      </c>
      <c r="G17" s="55"/>
      <c r="I17" s="82">
        <v>43373</v>
      </c>
      <c r="J17" s="81"/>
      <c r="K17" s="10"/>
      <c r="L17" s="171">
        <f>ROUND(AVERAGE(M2:M9),2)</f>
        <v>25.48</v>
      </c>
      <c r="M17" s="172"/>
      <c r="N17" s="10"/>
      <c r="O17" s="10"/>
    </row>
    <row r="18" spans="1:21" ht="18" customHeight="1">
      <c r="A18" s="80" t="s">
        <v>18</v>
      </c>
      <c r="B18" s="9">
        <f>'現金流量折現法(PE+EPS)'!B30</f>
        <v>379.50834914756143</v>
      </c>
      <c r="C18" s="9">
        <f>'現金流量折現法(PE+EPS)'!C30</f>
        <v>392.30172814318178</v>
      </c>
      <c r="D18" s="9">
        <f>'現金流量折現法(PE+EPS)'!D30</f>
        <v>426.94692459276638</v>
      </c>
      <c r="F18" s="97">
        <v>15</v>
      </c>
      <c r="G18" s="55"/>
      <c r="I18" s="82">
        <v>43281</v>
      </c>
      <c r="J18" s="81"/>
      <c r="K18" s="10"/>
      <c r="N18" s="10"/>
      <c r="O18" s="10"/>
    </row>
    <row r="19" spans="1:21" ht="47" customHeight="1">
      <c r="A19" s="80" t="s">
        <v>19</v>
      </c>
      <c r="B19" s="9">
        <f>'現金流量折現法(PE+EPS)'!B31</f>
        <v>410.89625772367549</v>
      </c>
      <c r="C19" s="9">
        <f>'現金流量折現法(PE+EPS)'!C31</f>
        <v>448.34483216363628</v>
      </c>
      <c r="D19" s="9">
        <f>'現金流量折現法(PE+EPS)'!D31</f>
        <v>558.82242253647803</v>
      </c>
      <c r="F19" s="97">
        <v>16</v>
      </c>
      <c r="G19" s="55"/>
      <c r="I19" s="82">
        <v>43190</v>
      </c>
      <c r="J19" s="81"/>
      <c r="K19" s="102" t="s">
        <v>72</v>
      </c>
      <c r="L19" s="76">
        <v>3</v>
      </c>
      <c r="M19" s="103">
        <v>4</v>
      </c>
      <c r="N19" s="76">
        <v>5</v>
      </c>
      <c r="O19" s="103">
        <v>6</v>
      </c>
      <c r="P19" s="103">
        <v>7</v>
      </c>
      <c r="Q19" s="103">
        <v>8</v>
      </c>
      <c r="R19" s="103">
        <v>9</v>
      </c>
      <c r="S19" s="76">
        <v>10</v>
      </c>
    </row>
    <row r="20" spans="1:21" ht="20" customHeight="1">
      <c r="A20" s="80" t="s">
        <v>20</v>
      </c>
      <c r="B20" s="9">
        <f>'現金流量折現法(PE+EPS)'!B32</f>
        <v>487.93930604686466</v>
      </c>
      <c r="C20" s="9">
        <f>'現金流量折現法(PE+EPS)'!C32</f>
        <v>591.66818015037256</v>
      </c>
      <c r="D20" s="9">
        <f>'現金流量折現法(PE+EPS)'!D32</f>
        <v>977.93923943883647</v>
      </c>
      <c r="F20" s="97">
        <v>17</v>
      </c>
      <c r="G20" s="55"/>
      <c r="I20" s="82">
        <v>43100</v>
      </c>
      <c r="J20" s="81"/>
      <c r="K20" s="167" t="s">
        <v>73</v>
      </c>
      <c r="L20" s="104">
        <f>'EPS &amp; PE 成長率法'!G2</f>
        <v>20.85</v>
      </c>
      <c r="M20" s="105">
        <f>'EPS &amp; PE 成長率法'!H2</f>
        <v>15.32</v>
      </c>
      <c r="N20" s="104"/>
      <c r="O20" s="105">
        <f>'EPS &amp; PE 成長率法'!J2</f>
        <v>15.35</v>
      </c>
      <c r="P20" s="105">
        <f>'EPS &amp; PE 成長率法'!K2</f>
        <v>14.54</v>
      </c>
      <c r="Q20" s="105">
        <f>'EPS &amp; PE 成長率法'!L2</f>
        <v>13.87</v>
      </c>
      <c r="R20" s="105">
        <f>'EPS &amp; PE 成長率法'!M2</f>
        <v>13.48</v>
      </c>
      <c r="S20" s="104"/>
    </row>
    <row r="21" spans="1:21" ht="18" customHeight="1">
      <c r="A21" s="75"/>
      <c r="C21"/>
      <c r="D21"/>
      <c r="F21" s="97">
        <v>18</v>
      </c>
      <c r="G21" s="55"/>
      <c r="I21" s="82">
        <v>43008</v>
      </c>
      <c r="J21" s="81">
        <v>1.63</v>
      </c>
      <c r="K21" s="167"/>
      <c r="L21" s="104">
        <f>'EPS &amp; PE 成長率法'!G3</f>
        <v>3.75</v>
      </c>
      <c r="M21" s="105">
        <f>'EPS &amp; PE 成長率法'!H3</f>
        <v>7.36</v>
      </c>
      <c r="N21" s="104">
        <f>'EPS &amp; PE 成長率法'!I3</f>
        <v>8.27</v>
      </c>
      <c r="O21" s="105">
        <f>'EPS &amp; PE 成長率法'!J3</f>
        <v>8.52</v>
      </c>
      <c r="P21" s="105">
        <f>'EPS &amp; PE 成長率法'!K3</f>
        <v>8.6300000000000008</v>
      </c>
      <c r="Q21" s="105">
        <f>'EPS &amp; PE 成長率法'!L3</f>
        <v>8.84</v>
      </c>
      <c r="R21" s="105">
        <f>'EPS &amp; PE 成長率法'!M3</f>
        <v>10.4</v>
      </c>
      <c r="S21" s="104" t="e">
        <f>'EPS &amp; PE 成長率法'!N3</f>
        <v>#DIV/0!</v>
      </c>
    </row>
    <row r="22" spans="1:21" ht="18" customHeight="1">
      <c r="A22" s="79" t="s">
        <v>50</v>
      </c>
      <c r="F22" s="97">
        <v>19</v>
      </c>
      <c r="G22" s="55"/>
      <c r="I22" s="82">
        <v>42916</v>
      </c>
      <c r="J22" s="81">
        <v>1.69</v>
      </c>
      <c r="K22" s="167"/>
      <c r="L22" s="104"/>
      <c r="M22" s="105">
        <f>'EPS &amp; PE 成長率法'!H4</f>
        <v>7.49</v>
      </c>
      <c r="N22" s="104">
        <f>'EPS &amp; PE 成長率法'!I4</f>
        <v>7.95</v>
      </c>
      <c r="O22" s="105">
        <f>'EPS &amp; PE 成長率法'!J4</f>
        <v>8.17</v>
      </c>
      <c r="P22" s="105">
        <f>'EPS &amp; PE 成長率法'!K4</f>
        <v>8.48</v>
      </c>
      <c r="Q22" s="105">
        <f>'EPS &amp; PE 成長率法'!L4</f>
        <v>10.27</v>
      </c>
      <c r="R22" s="105" t="e">
        <f>'EPS &amp; PE 成長率法'!M4</f>
        <v>#DIV/0!</v>
      </c>
      <c r="S22" s="104"/>
    </row>
    <row r="23" spans="1:21" ht="20" customHeight="1">
      <c r="A23" s="80" t="s">
        <v>11</v>
      </c>
      <c r="B23" s="20" t="s">
        <v>15</v>
      </c>
      <c r="C23" s="20" t="s">
        <v>16</v>
      </c>
      <c r="D23" s="20" t="s">
        <v>17</v>
      </c>
      <c r="F23" s="97">
        <v>20</v>
      </c>
      <c r="G23" s="55"/>
      <c r="I23" s="82">
        <v>42825</v>
      </c>
      <c r="J23" s="81">
        <v>1.44</v>
      </c>
      <c r="K23" s="167"/>
      <c r="L23" s="104">
        <f>'EPS &amp; PE 成長率法'!G5</f>
        <v>10.029999999999999</v>
      </c>
      <c r="M23" s="105">
        <f>'EPS &amp; PE 成長率法'!H5</f>
        <v>9.98</v>
      </c>
      <c r="N23" s="104">
        <f>'EPS &amp; PE 成長率法'!I5</f>
        <v>9.83</v>
      </c>
      <c r="O23" s="105">
        <f>'EPS &amp; PE 成長率法'!J5</f>
        <v>9.92</v>
      </c>
      <c r="P23" s="105">
        <f>'EPS &amp; PE 成長率法'!K5</f>
        <v>11.78</v>
      </c>
      <c r="Q23" s="105" t="e">
        <f>'EPS &amp; PE 成長率法'!L5</f>
        <v>#DIV/0!</v>
      </c>
      <c r="R23" s="105" t="e">
        <f>'EPS &amp; PE 成長率法'!M5</f>
        <v>#DIV/0!</v>
      </c>
      <c r="S23" s="104" t="e">
        <f>'EPS &amp; PE 成長率法'!N5</f>
        <v>#DIV/0!</v>
      </c>
    </row>
    <row r="24" spans="1:21" ht="18" customHeight="1">
      <c r="A24" s="80" t="s">
        <v>64</v>
      </c>
      <c r="B24" s="95" t="e">
        <f>'EPS &amp; PE 成長率法'!G19-1</f>
        <v>#DIV/0!</v>
      </c>
      <c r="C24" s="95" t="e">
        <f>'EPS &amp; PE 成長率法'!H19-1</f>
        <v>#DIV/0!</v>
      </c>
      <c r="D24" s="95" t="e">
        <f>'EPS &amp; PE 成長率法'!I19-1</f>
        <v>#DIV/0!</v>
      </c>
      <c r="F24" s="97">
        <v>21</v>
      </c>
      <c r="G24" s="55"/>
      <c r="I24" s="82">
        <v>42735</v>
      </c>
      <c r="J24" s="81">
        <v>1.42</v>
      </c>
      <c r="K24" s="167"/>
      <c r="L24" s="104"/>
      <c r="M24" s="105">
        <f>'EPS &amp; PE 成長率法'!H6</f>
        <v>7.66</v>
      </c>
      <c r="N24" s="104"/>
      <c r="O24" s="105">
        <f>'EPS &amp; PE 成長率法'!J6</f>
        <v>10.63</v>
      </c>
      <c r="P24" s="105" t="e">
        <f>'EPS &amp; PE 成長率法'!K6</f>
        <v>#DIV/0!</v>
      </c>
      <c r="Q24" s="105" t="e">
        <f>'EPS &amp; PE 成長率法'!L6</f>
        <v>#DIV/0!</v>
      </c>
      <c r="R24" s="105" t="e">
        <f>'EPS &amp; PE 成長率法'!M6</f>
        <v>#DIV/0!</v>
      </c>
    </row>
    <row r="25" spans="1:21" ht="20" customHeight="1">
      <c r="A25" s="80" t="s">
        <v>41</v>
      </c>
      <c r="B25" s="9" t="e">
        <f>'EPS &amp; PE 成長率法'!G21</f>
        <v>#DIV/0!</v>
      </c>
      <c r="C25" s="9" t="e">
        <f>'EPS &amp; PE 成長率法'!H21</f>
        <v>#DIV/0!</v>
      </c>
      <c r="D25" s="9" t="e">
        <f>'EPS &amp; PE 成長率法'!I21</f>
        <v>#DIV/0!</v>
      </c>
      <c r="F25" s="97">
        <v>22</v>
      </c>
      <c r="G25" s="55"/>
      <c r="I25" s="82">
        <v>42643</v>
      </c>
      <c r="J25" s="81">
        <v>1.47</v>
      </c>
      <c r="K25" s="167"/>
      <c r="L25" s="104">
        <f>'EPS &amp; PE 成長率法'!G7</f>
        <v>6.26</v>
      </c>
      <c r="M25" s="105">
        <f>'EPS &amp; PE 成長率法'!H7</f>
        <v>7.27</v>
      </c>
      <c r="N25" s="104">
        <f>'EPS &amp; PE 成長率法'!I7</f>
        <v>10.36</v>
      </c>
      <c r="O25" s="105" t="e">
        <f>'EPS &amp; PE 成長率法'!J7</f>
        <v>#DIV/0!</v>
      </c>
      <c r="P25" s="105" t="e">
        <f>'EPS &amp; PE 成長率法'!K7</f>
        <v>#DIV/0!</v>
      </c>
      <c r="Q25" s="105" t="e">
        <f>'EPS &amp; PE 成長率法'!L7</f>
        <v>#DIV/0!</v>
      </c>
      <c r="R25" s="106"/>
    </row>
    <row r="26" spans="1:21" ht="18" customHeight="1">
      <c r="A26" s="80" t="s">
        <v>59</v>
      </c>
      <c r="B26" s="9" t="e">
        <f>'EPS &amp; PE 成長率法'!G23</f>
        <v>#DIV/0!</v>
      </c>
      <c r="C26" s="9" t="e">
        <f>'EPS &amp; PE 成長率法'!H23</f>
        <v>#DIV/0!</v>
      </c>
      <c r="D26" s="9" t="e">
        <f>'EPS &amp; PE 成長率法'!I23</f>
        <v>#DIV/0!</v>
      </c>
      <c r="F26" s="97">
        <v>23</v>
      </c>
      <c r="G26" s="55"/>
      <c r="I26" s="82">
        <v>42551</v>
      </c>
      <c r="J26" s="81">
        <v>1.36</v>
      </c>
      <c r="K26" s="167"/>
      <c r="L26" s="104">
        <f>'EPS &amp; PE 成長率法'!G8</f>
        <v>6.44</v>
      </c>
      <c r="M26" s="105">
        <f>'EPS &amp; PE 成長率法'!H8</f>
        <v>10.5</v>
      </c>
      <c r="N26" s="104" t="e">
        <f>'EPS &amp; PE 成長率法'!I8</f>
        <v>#DIV/0!</v>
      </c>
      <c r="O26" s="105" t="e">
        <f>'EPS &amp; PE 成長率法'!J8</f>
        <v>#DIV/0!</v>
      </c>
      <c r="P26" s="105" t="e">
        <f>'EPS &amp; PE 成長率法'!K8</f>
        <v>#DIV/0!</v>
      </c>
      <c r="Q26" s="106"/>
      <c r="R26" s="106"/>
    </row>
    <row r="27" spans="1:21" ht="18" customHeight="1">
      <c r="F27" s="97">
        <v>24</v>
      </c>
      <c r="G27" s="55"/>
      <c r="I27" s="82">
        <v>42460</v>
      </c>
      <c r="J27" s="81">
        <v>1.61</v>
      </c>
      <c r="K27" s="167"/>
      <c r="L27" s="104">
        <f>'EPS &amp; PE 成長率法'!G9</f>
        <v>10.92</v>
      </c>
      <c r="M27" s="105" t="e">
        <f>'EPS &amp; PE 成長率法'!H9</f>
        <v>#DIV/0!</v>
      </c>
      <c r="N27" s="104" t="e">
        <f>'EPS &amp; PE 成長率法'!I9</f>
        <v>#DIV/0!</v>
      </c>
      <c r="O27" s="105" t="e">
        <f>'EPS &amp; PE 成長率法'!J9</f>
        <v>#DIV/0!</v>
      </c>
      <c r="P27" s="106"/>
      <c r="Q27" s="106"/>
      <c r="R27" s="106"/>
    </row>
    <row r="28" spans="1:21" ht="22">
      <c r="C28"/>
      <c r="F28" s="97">
        <v>25</v>
      </c>
      <c r="G28" s="55"/>
      <c r="I28" s="82">
        <v>42369</v>
      </c>
      <c r="J28" s="81">
        <v>1.7</v>
      </c>
      <c r="K28" s="167"/>
      <c r="L28" s="104" t="e">
        <f>'EPS &amp; PE 成長率法'!G10</f>
        <v>#DIV/0!</v>
      </c>
      <c r="M28" s="105" t="e">
        <f>'EPS &amp; PE 成長率法'!H10</f>
        <v>#DIV/0!</v>
      </c>
      <c r="N28" s="104" t="e">
        <f>'EPS &amp; PE 成長率法'!I10</f>
        <v>#DIV/0!</v>
      </c>
      <c r="O28" s="106"/>
      <c r="P28" s="106"/>
      <c r="Q28" s="106"/>
      <c r="R28" s="106"/>
    </row>
    <row r="29" spans="1:21" ht="18" customHeight="1">
      <c r="F29" s="97">
        <v>26</v>
      </c>
      <c r="G29" s="55"/>
      <c r="I29" s="82">
        <v>42277</v>
      </c>
      <c r="J29" s="81">
        <v>1.4</v>
      </c>
      <c r="K29" s="167"/>
      <c r="L29" s="104" t="e">
        <f>'EPS &amp; PE 成長率法'!G11</f>
        <v>#DIV/0!</v>
      </c>
      <c r="M29" s="105" t="e">
        <f>'EPS &amp; PE 成長率法'!H11</f>
        <v>#DIV/0!</v>
      </c>
      <c r="O29" s="106"/>
      <c r="P29" s="106"/>
      <c r="Q29" s="106"/>
      <c r="R29" s="106"/>
    </row>
    <row r="30" spans="1:21" ht="20" customHeight="1">
      <c r="F30" s="97">
        <v>27</v>
      </c>
      <c r="G30" s="55"/>
      <c r="I30" s="82">
        <v>42185</v>
      </c>
      <c r="J30" s="81">
        <v>1.28</v>
      </c>
      <c r="K30" s="167"/>
      <c r="L30" s="104" t="e">
        <f>'EPS &amp; PE 成長率法'!G12</f>
        <v>#DIV/0!</v>
      </c>
      <c r="O30" s="66"/>
      <c r="P30" s="66"/>
      <c r="Q30" s="66"/>
      <c r="R30" s="66"/>
    </row>
    <row r="31" spans="1:21" ht="22">
      <c r="F31" s="97">
        <v>28</v>
      </c>
      <c r="G31" s="55"/>
      <c r="I31" s="82">
        <v>42094</v>
      </c>
      <c r="J31" s="81">
        <v>1.31</v>
      </c>
    </row>
    <row r="32" spans="1:21" ht="22">
      <c r="A32" s="29"/>
      <c r="B32" s="29"/>
      <c r="F32" s="97">
        <v>29</v>
      </c>
      <c r="G32" s="55"/>
      <c r="I32" s="82">
        <v>42004</v>
      </c>
      <c r="J32" s="81">
        <v>1.26</v>
      </c>
      <c r="U32" s="149" t="s">
        <v>79</v>
      </c>
    </row>
    <row r="33" spans="6:24" ht="22">
      <c r="F33" s="97">
        <v>30</v>
      </c>
      <c r="G33" s="55"/>
      <c r="I33" s="82">
        <v>41912</v>
      </c>
      <c r="J33" s="81">
        <v>1.54</v>
      </c>
      <c r="U33" s="147" t="s">
        <v>75</v>
      </c>
      <c r="V33" s="147" t="s">
        <v>76</v>
      </c>
      <c r="W33" s="148" t="s">
        <v>77</v>
      </c>
    </row>
    <row r="34" spans="6:24" ht="22">
      <c r="F34" s="97">
        <v>31</v>
      </c>
      <c r="G34" s="55"/>
      <c r="I34" s="82">
        <v>41820</v>
      </c>
      <c r="J34" s="81">
        <v>1.51</v>
      </c>
      <c r="U34" s="63">
        <v>114.34</v>
      </c>
      <c r="V34" s="63">
        <v>110.56</v>
      </c>
      <c r="W34" s="146">
        <f>W36*X34</f>
        <v>137.09440000000001</v>
      </c>
      <c r="X34" s="146">
        <v>110.56</v>
      </c>
    </row>
    <row r="35" spans="6:24" ht="22">
      <c r="F35" s="97">
        <v>32</v>
      </c>
      <c r="G35" s="55"/>
      <c r="I35" s="82">
        <v>41729</v>
      </c>
      <c r="J35" s="81">
        <v>1.46</v>
      </c>
      <c r="U35" s="163" t="s">
        <v>78</v>
      </c>
      <c r="V35" s="164"/>
    </row>
    <row r="36" spans="6:24" ht="22">
      <c r="F36" s="97">
        <v>33</v>
      </c>
      <c r="G36" s="55"/>
      <c r="I36" s="45">
        <v>41639</v>
      </c>
      <c r="J36" s="108">
        <v>1.47</v>
      </c>
      <c r="U36" s="165">
        <f>U34/V34</f>
        <v>1.0341895803183792</v>
      </c>
      <c r="V36" s="166"/>
      <c r="W36" s="146">
        <v>1.24</v>
      </c>
    </row>
    <row r="37" spans="6:24" ht="18">
      <c r="I37" s="45">
        <v>41547</v>
      </c>
      <c r="J37" s="108">
        <v>1.19</v>
      </c>
    </row>
    <row r="38" spans="6:24" ht="18">
      <c r="I38" s="45">
        <v>41455</v>
      </c>
      <c r="J38" s="108">
        <v>1.27</v>
      </c>
    </row>
    <row r="39" spans="6:24" ht="18">
      <c r="I39" s="45">
        <v>41364</v>
      </c>
      <c r="J39" s="108">
        <v>1.19</v>
      </c>
    </row>
    <row r="40" spans="6:24" ht="18">
      <c r="I40" s="45">
        <v>41274</v>
      </c>
      <c r="J40" s="108">
        <v>1.1000000000000001</v>
      </c>
    </row>
    <row r="41" spans="6:24" ht="18">
      <c r="I41" s="45">
        <v>41182</v>
      </c>
      <c r="J41" s="108">
        <v>1.18</v>
      </c>
    </row>
    <row r="42" spans="6:24" ht="18">
      <c r="I42" s="45">
        <v>41090</v>
      </c>
      <c r="J42" s="108">
        <v>0.86</v>
      </c>
    </row>
    <row r="43" spans="6:24" ht="18">
      <c r="I43" s="45">
        <v>40999</v>
      </c>
      <c r="J43" s="108">
        <v>0.97</v>
      </c>
    </row>
    <row r="44" spans="6:24" ht="18">
      <c r="I44" s="45">
        <v>40908</v>
      </c>
      <c r="J44" s="108">
        <v>1.04</v>
      </c>
    </row>
    <row r="45" spans="6:24" ht="18">
      <c r="I45" s="45">
        <v>40816</v>
      </c>
      <c r="J45" s="108">
        <v>0.84</v>
      </c>
    </row>
    <row r="46" spans="6:24" ht="18">
      <c r="I46" s="45">
        <v>40724</v>
      </c>
      <c r="J46" s="108">
        <v>0.87</v>
      </c>
    </row>
    <row r="47" spans="6:24" ht="18">
      <c r="I47" s="45">
        <v>40633</v>
      </c>
      <c r="J47" s="108">
        <v>1.08</v>
      </c>
    </row>
    <row r="48" spans="6:24" ht="18">
      <c r="I48" s="45">
        <v>40543</v>
      </c>
      <c r="J48" s="108">
        <v>1.1299999999999999</v>
      </c>
      <c r="K48" s="11"/>
    </row>
    <row r="49" spans="6:13" ht="18">
      <c r="I49" s="45">
        <v>40451</v>
      </c>
      <c r="J49" s="108">
        <v>1.07</v>
      </c>
      <c r="K49" s="11"/>
    </row>
    <row r="50" spans="6:13" ht="18" customHeight="1">
      <c r="I50" s="45">
        <v>40359</v>
      </c>
      <c r="J50" s="108">
        <v>0.97</v>
      </c>
      <c r="K50" s="11"/>
    </row>
    <row r="51" spans="6:13" ht="18">
      <c r="I51" s="45">
        <v>40268</v>
      </c>
      <c r="J51" s="108">
        <v>1.29</v>
      </c>
      <c r="K51" s="11"/>
    </row>
    <row r="52" spans="6:13" ht="18" customHeight="1">
      <c r="I52" s="45">
        <v>40178</v>
      </c>
      <c r="J52" s="108">
        <v>1.52</v>
      </c>
      <c r="K52" s="11"/>
    </row>
    <row r="53" spans="6:13" ht="18" customHeight="1">
      <c r="I53" s="12"/>
      <c r="K53" s="11"/>
    </row>
    <row r="54" spans="6:13" ht="18" customHeight="1">
      <c r="I54" s="12"/>
      <c r="K54" s="11"/>
    </row>
    <row r="55" spans="6:13" ht="18">
      <c r="I55" s="12"/>
      <c r="K55" s="11"/>
    </row>
    <row r="56" spans="6:13" ht="18" customHeight="1">
      <c r="I56" s="12"/>
      <c r="J56" s="10"/>
      <c r="K56" s="10"/>
      <c r="L56" s="10"/>
      <c r="M56" s="10"/>
    </row>
    <row r="57" spans="6:13" ht="18" customHeight="1">
      <c r="I57" s="12"/>
      <c r="J57" s="10"/>
      <c r="K57" s="11"/>
      <c r="L57" s="10"/>
      <c r="M57" s="10"/>
    </row>
    <row r="58" spans="6:13" ht="18">
      <c r="I58" s="12"/>
      <c r="J58" s="10"/>
      <c r="K58" s="11"/>
      <c r="L58" s="10"/>
      <c r="M58" s="10"/>
    </row>
    <row r="59" spans="6:13" ht="18">
      <c r="F59" s="12"/>
      <c r="G59" s="10"/>
      <c r="I59" s="10"/>
      <c r="J59" s="10"/>
      <c r="K59" s="11"/>
      <c r="L59" s="10"/>
      <c r="M59" s="10"/>
    </row>
    <row r="60" spans="6:13" ht="18">
      <c r="F60" s="12"/>
      <c r="G60" s="10"/>
      <c r="I60" s="10"/>
      <c r="J60" s="10"/>
      <c r="K60" s="11"/>
      <c r="L60" s="10"/>
      <c r="M60" s="10"/>
    </row>
    <row r="61" spans="6:13" ht="18">
      <c r="F61" s="12"/>
      <c r="G61" s="10"/>
      <c r="I61" s="10"/>
      <c r="J61" s="10"/>
      <c r="K61" s="11"/>
      <c r="L61" s="10"/>
      <c r="M61" s="10"/>
    </row>
    <row r="62" spans="6:13" ht="18">
      <c r="F62" s="12"/>
      <c r="G62" s="10"/>
      <c r="I62" s="10"/>
      <c r="J62" s="10"/>
      <c r="K62" s="11"/>
      <c r="L62" s="10"/>
      <c r="M62" s="10"/>
    </row>
    <row r="63" spans="6:13" ht="18">
      <c r="F63" s="12"/>
      <c r="G63" s="10"/>
      <c r="I63" s="10"/>
      <c r="J63" s="10"/>
      <c r="K63" s="11"/>
      <c r="L63" s="10"/>
      <c r="M63" s="10"/>
    </row>
    <row r="64" spans="6:13" ht="18">
      <c r="F64" s="12"/>
      <c r="G64" s="10"/>
      <c r="I64" s="10"/>
      <c r="J64" s="10"/>
      <c r="K64" s="11"/>
      <c r="L64" s="10"/>
      <c r="M64" s="10"/>
    </row>
    <row r="65" spans="6:13" ht="18">
      <c r="F65" s="12"/>
      <c r="G65" s="10"/>
      <c r="I65" s="10"/>
      <c r="J65" s="10"/>
      <c r="K65" s="11"/>
      <c r="L65" s="10"/>
      <c r="M65" s="10"/>
    </row>
    <row r="66" spans="6:13" ht="18">
      <c r="F66" s="12"/>
      <c r="G66" s="10"/>
      <c r="I66" s="10"/>
      <c r="J66" s="10"/>
      <c r="K66" s="11"/>
      <c r="L66" s="10"/>
      <c r="M66" s="10"/>
    </row>
    <row r="67" spans="6:13" ht="18">
      <c r="F67" s="12"/>
      <c r="G67" s="10"/>
      <c r="I67" s="10"/>
      <c r="J67" s="10"/>
      <c r="K67" s="11"/>
      <c r="L67" s="10"/>
      <c r="M67" s="10"/>
    </row>
    <row r="68" spans="6:13" ht="18" customHeight="1">
      <c r="F68" s="12"/>
      <c r="G68" s="10"/>
      <c r="I68" s="10"/>
      <c r="J68" s="10"/>
      <c r="K68" s="11"/>
      <c r="L68" s="10"/>
      <c r="M68" s="10"/>
    </row>
    <row r="69" spans="6:13" ht="18" customHeight="1">
      <c r="F69" s="12"/>
      <c r="G69" s="10"/>
      <c r="I69" s="10"/>
      <c r="J69" s="10"/>
      <c r="K69" s="11"/>
      <c r="L69" s="10"/>
      <c r="M69" s="10"/>
    </row>
    <row r="70" spans="6:13" ht="18">
      <c r="F70" s="12"/>
      <c r="G70" s="10"/>
      <c r="I70" s="10"/>
      <c r="J70" s="10"/>
      <c r="K70" s="11"/>
      <c r="L70" s="10"/>
      <c r="M70" s="10"/>
    </row>
    <row r="71" spans="6:13" ht="18" customHeight="1">
      <c r="F71" s="12"/>
      <c r="G71" s="10"/>
      <c r="I71" s="10"/>
      <c r="J71" s="10"/>
      <c r="K71" s="11"/>
      <c r="L71" s="10"/>
      <c r="M71" s="10"/>
    </row>
    <row r="72" spans="6:13" ht="18" customHeight="1">
      <c r="F72" s="12"/>
      <c r="G72" s="10"/>
      <c r="I72" s="10"/>
      <c r="J72" s="10"/>
      <c r="K72" s="11"/>
      <c r="L72" s="10"/>
      <c r="M72" s="10"/>
    </row>
    <row r="73" spans="6:13" ht="18">
      <c r="F73" s="12"/>
      <c r="G73" s="10"/>
      <c r="I73" s="10"/>
      <c r="J73" s="10"/>
      <c r="K73" s="11"/>
      <c r="L73" s="10"/>
      <c r="M73" s="10"/>
    </row>
    <row r="74" spans="6:13" ht="18">
      <c r="F74" s="12"/>
      <c r="G74" s="10"/>
      <c r="I74" s="10"/>
      <c r="J74" s="10"/>
      <c r="K74" s="11"/>
      <c r="L74" s="10"/>
      <c r="M74" s="10"/>
    </row>
    <row r="75" spans="6:13" ht="18">
      <c r="F75" s="12"/>
      <c r="G75" s="10"/>
      <c r="I75" s="10"/>
      <c r="J75" s="10"/>
      <c r="K75" s="11"/>
      <c r="L75" s="10"/>
      <c r="M75" s="10"/>
    </row>
    <row r="76" spans="6:13" ht="18">
      <c r="F76" s="12"/>
      <c r="G76" s="10"/>
      <c r="I76" s="10"/>
      <c r="J76" s="10"/>
      <c r="K76" s="11"/>
      <c r="L76" s="10"/>
      <c r="M76" s="10"/>
    </row>
    <row r="77" spans="6:13" ht="18">
      <c r="F77" s="12"/>
      <c r="G77" s="10"/>
      <c r="I77" s="10"/>
      <c r="J77" s="10"/>
      <c r="K77" s="11"/>
      <c r="L77" s="10"/>
      <c r="M77" s="10"/>
    </row>
    <row r="78" spans="6:13" ht="18">
      <c r="F78" s="12"/>
      <c r="G78" s="10"/>
      <c r="I78" s="10"/>
      <c r="J78" s="10"/>
      <c r="K78" s="11"/>
      <c r="L78" s="10"/>
      <c r="M78" s="10"/>
    </row>
    <row r="79" spans="6:13" ht="18">
      <c r="F79" s="12"/>
      <c r="G79" s="10"/>
      <c r="I79" s="10"/>
      <c r="J79" s="10"/>
      <c r="K79" s="11"/>
      <c r="L79" s="10"/>
      <c r="M79" s="10"/>
    </row>
    <row r="80" spans="6:13" ht="18">
      <c r="F80" s="12"/>
      <c r="G80" s="10"/>
      <c r="I80" s="10"/>
      <c r="J80" s="10"/>
      <c r="K80" s="11"/>
      <c r="L80" s="10"/>
      <c r="M80" s="10"/>
    </row>
    <row r="81" spans="6:13" ht="18">
      <c r="F81" s="12"/>
      <c r="G81" s="10"/>
      <c r="I81" s="10"/>
      <c r="J81" s="10"/>
      <c r="K81" s="11"/>
      <c r="L81" s="10"/>
      <c r="M81" s="10"/>
    </row>
    <row r="82" spans="6:13" ht="18">
      <c r="F82" s="12"/>
      <c r="G82" s="10"/>
      <c r="I82" s="10"/>
      <c r="J82" s="10"/>
      <c r="K82" s="11"/>
      <c r="L82" s="10"/>
      <c r="M82" s="10"/>
    </row>
    <row r="83" spans="6:13" ht="18">
      <c r="F83" s="12"/>
      <c r="G83" s="10"/>
      <c r="I83" s="10"/>
      <c r="J83" s="10"/>
      <c r="K83" s="11"/>
      <c r="L83" s="10"/>
      <c r="M83" s="10"/>
    </row>
    <row r="84" spans="6:13" ht="18">
      <c r="F84" s="12"/>
      <c r="G84" s="10"/>
      <c r="I84" s="10"/>
      <c r="J84" s="10"/>
      <c r="K84" s="11"/>
      <c r="L84" s="10"/>
      <c r="M84" s="10"/>
    </row>
    <row r="85" spans="6:13" ht="18">
      <c r="F85" s="12"/>
      <c r="G85" s="10"/>
      <c r="I85" s="10"/>
      <c r="J85" s="10"/>
      <c r="K85" s="11"/>
      <c r="L85" s="10"/>
      <c r="M85" s="10"/>
    </row>
    <row r="86" spans="6:13" ht="18">
      <c r="F86" s="12"/>
      <c r="G86" s="10"/>
      <c r="I86" s="10"/>
      <c r="J86" s="10"/>
      <c r="K86" s="11"/>
      <c r="L86" s="10"/>
      <c r="M86" s="10"/>
    </row>
    <row r="87" spans="6:13" ht="18">
      <c r="F87" s="12"/>
      <c r="G87" s="10"/>
      <c r="I87" s="10"/>
      <c r="J87" s="10"/>
      <c r="K87" s="11"/>
      <c r="L87" s="10"/>
      <c r="M87" s="10"/>
    </row>
    <row r="88" spans="6:13" ht="18">
      <c r="F88" s="12"/>
      <c r="G88" s="10"/>
      <c r="I88" s="10"/>
      <c r="J88" s="10"/>
      <c r="K88" s="11"/>
      <c r="L88" s="10"/>
      <c r="M88" s="10"/>
    </row>
    <row r="89" spans="6:13" ht="18">
      <c r="F89" s="12"/>
      <c r="G89" s="10"/>
      <c r="I89" s="10"/>
      <c r="J89" s="10"/>
      <c r="K89" s="11"/>
      <c r="L89" s="10"/>
      <c r="M89" s="10"/>
    </row>
    <row r="90" spans="6:13" ht="18">
      <c r="F90" s="12"/>
      <c r="G90" s="10"/>
      <c r="I90" s="10"/>
      <c r="J90" s="10"/>
      <c r="K90" s="11"/>
      <c r="L90" s="10"/>
      <c r="M90" s="10"/>
    </row>
    <row r="91" spans="6:13" ht="18">
      <c r="F91" s="12"/>
      <c r="G91" s="10"/>
      <c r="I91" s="10"/>
      <c r="J91" s="10"/>
      <c r="K91" s="11"/>
      <c r="L91" s="10"/>
      <c r="M91" s="10"/>
    </row>
    <row r="92" spans="6:13" ht="18">
      <c r="F92" s="12"/>
      <c r="G92" s="10"/>
      <c r="I92" s="10"/>
      <c r="J92" s="10"/>
      <c r="K92" s="11"/>
      <c r="L92" s="10"/>
      <c r="M92" s="10"/>
    </row>
    <row r="93" spans="6:13" ht="18">
      <c r="F93" s="12"/>
      <c r="G93" s="10"/>
      <c r="I93" s="10"/>
      <c r="J93" s="10"/>
      <c r="K93" s="11"/>
      <c r="L93" s="10"/>
      <c r="M93" s="10"/>
    </row>
    <row r="94" spans="6:13" ht="18">
      <c r="F94" s="12"/>
      <c r="G94" s="10"/>
      <c r="I94" s="10"/>
      <c r="J94" s="10"/>
      <c r="K94" s="11"/>
      <c r="L94" s="10"/>
      <c r="M94" s="10"/>
    </row>
    <row r="95" spans="6:13" ht="18">
      <c r="F95" s="12"/>
      <c r="G95" s="10"/>
      <c r="I95" s="10"/>
      <c r="J95" s="10"/>
      <c r="K95" s="11"/>
      <c r="L95" s="10"/>
      <c r="M95" s="10"/>
    </row>
    <row r="96" spans="6:13" ht="18">
      <c r="F96" s="12"/>
      <c r="G96" s="10"/>
      <c r="I96" s="10"/>
      <c r="J96" s="10"/>
      <c r="K96" s="11"/>
      <c r="L96" s="10"/>
      <c r="M96" s="10"/>
    </row>
    <row r="97" spans="6:13" ht="18">
      <c r="F97" s="12"/>
      <c r="G97" s="10"/>
      <c r="I97" s="10"/>
      <c r="J97" s="10"/>
      <c r="K97" s="11"/>
      <c r="L97" s="10"/>
      <c r="M97" s="10"/>
    </row>
    <row r="98" spans="6:13" ht="18">
      <c r="F98" s="12"/>
      <c r="G98" s="10"/>
      <c r="I98" s="10"/>
      <c r="J98" s="10"/>
      <c r="K98" s="11"/>
      <c r="L98" s="10"/>
      <c r="M98" s="10"/>
    </row>
    <row r="99" spans="6:13" ht="18">
      <c r="F99" s="12"/>
      <c r="G99" s="10"/>
      <c r="I99" s="10"/>
      <c r="J99" s="10"/>
      <c r="K99" s="11"/>
      <c r="L99" s="10"/>
      <c r="M99" s="10"/>
    </row>
    <row r="100" spans="6:13" ht="18">
      <c r="F100" s="12"/>
      <c r="G100" s="10"/>
      <c r="I100" s="10"/>
      <c r="J100" s="10"/>
      <c r="K100" s="11"/>
      <c r="L100" s="10"/>
      <c r="M100" s="10"/>
    </row>
    <row r="101" spans="6:13" ht="18">
      <c r="F101" s="12"/>
      <c r="G101" s="10"/>
      <c r="I101" s="10"/>
      <c r="J101" s="10"/>
      <c r="K101" s="11"/>
      <c r="L101" s="10"/>
      <c r="M101" s="10"/>
    </row>
    <row r="102" spans="6:13" ht="18">
      <c r="F102" s="12"/>
      <c r="G102" s="10"/>
      <c r="I102" s="10"/>
      <c r="J102" s="10"/>
      <c r="K102" s="11"/>
      <c r="L102" s="10"/>
      <c r="M102" s="10"/>
    </row>
    <row r="103" spans="6:13" ht="18">
      <c r="F103" s="12"/>
      <c r="G103" s="10"/>
      <c r="I103" s="10"/>
      <c r="J103" s="10"/>
      <c r="K103" s="11"/>
      <c r="L103" s="10"/>
      <c r="M103" s="10"/>
    </row>
    <row r="104" spans="6:13" ht="18">
      <c r="F104" s="12"/>
      <c r="G104" s="10"/>
      <c r="I104" s="10"/>
      <c r="J104" s="10"/>
      <c r="K104" s="11"/>
      <c r="L104" s="10"/>
      <c r="M104" s="10"/>
    </row>
    <row r="105" spans="6:13" ht="18">
      <c r="F105" s="12"/>
      <c r="G105" s="10"/>
      <c r="I105" s="10"/>
      <c r="J105" s="10"/>
      <c r="K105" s="11"/>
      <c r="L105" s="10"/>
      <c r="M105" s="10"/>
    </row>
    <row r="106" spans="6:13" ht="18">
      <c r="F106" s="12"/>
      <c r="G106" s="10"/>
      <c r="I106" s="10"/>
      <c r="J106" s="10"/>
      <c r="K106" s="11"/>
      <c r="L106" s="10"/>
      <c r="M106" s="10"/>
    </row>
    <row r="107" spans="6:13" ht="18">
      <c r="F107" s="12"/>
      <c r="G107" s="10"/>
      <c r="I107" s="10"/>
      <c r="J107" s="10"/>
      <c r="K107" s="11"/>
      <c r="L107" s="10"/>
      <c r="M107" s="10"/>
    </row>
    <row r="108" spans="6:13" ht="18">
      <c r="F108" s="12"/>
      <c r="G108" s="10"/>
      <c r="I108" s="10"/>
    </row>
    <row r="109" spans="6:13" ht="18">
      <c r="F109" s="12"/>
      <c r="G109" s="10"/>
      <c r="I109" s="10"/>
    </row>
  </sheetData>
  <mergeCells count="13">
    <mergeCell ref="U35:V35"/>
    <mergeCell ref="U36:V36"/>
    <mergeCell ref="K20:K30"/>
    <mergeCell ref="K3:K4"/>
    <mergeCell ref="L15:M16"/>
    <mergeCell ref="L17:M17"/>
    <mergeCell ref="N14:O14"/>
    <mergeCell ref="N13:O13"/>
    <mergeCell ref="F1:G1"/>
    <mergeCell ref="F2:F3"/>
    <mergeCell ref="G2:G3"/>
    <mergeCell ref="A14:B14"/>
    <mergeCell ref="A13:B13"/>
  </mergeCells>
  <phoneticPr fontId="2" type="noConversion"/>
  <hyperlinks>
    <hyperlink ref="A14:B14" r:id="rId1" display="https://www.gurufocus.com/stock/MCD/dcf" xr:uid="{6FF18A12-6AE7-BF40-AB12-EAE59040EFA9}"/>
    <hyperlink ref="A14" r:id="rId2" xr:uid="{8015311B-E140-7B44-8FAD-2C22D6CE458D}"/>
    <hyperlink ref="U32" r:id="rId3" xr:uid="{14ED890A-3C46-9F49-9BC2-0130CBD22A74}"/>
  </hyperlinks>
  <pageMargins left="0.7" right="0.7" top="0.75" bottom="0.75" header="0.3" footer="0.3"/>
  <pageSetup paperSize="9" orientation="portrait" horizontalDpi="0" verticalDpi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698E-9500-B14C-BBF0-DBCDCE93E93C}">
  <dimension ref="E10:J60"/>
  <sheetViews>
    <sheetView topLeftCell="A3" zoomScale="68" workbookViewId="0">
      <selection activeCell="G28" sqref="G28"/>
    </sheetView>
  </sheetViews>
  <sheetFormatPr baseColWidth="10" defaultRowHeight="15"/>
  <cols>
    <col min="5" max="5" width="14.1640625" bestFit="1" customWidth="1"/>
  </cols>
  <sheetData>
    <row r="10" spans="5:10" ht="18">
      <c r="E10" s="12">
        <v>44762</v>
      </c>
      <c r="F10" s="10"/>
      <c r="G10" s="10">
        <v>1.03</v>
      </c>
      <c r="I10" s="10">
        <v>113.9</v>
      </c>
    </row>
    <row r="11" spans="5:10" ht="18">
      <c r="E11" s="12">
        <v>44651</v>
      </c>
      <c r="F11" s="11">
        <v>110.56</v>
      </c>
      <c r="G11" s="10">
        <v>1.26</v>
      </c>
      <c r="H11" s="107">
        <f>AVERAGE(F8:F11)</f>
        <v>110.56</v>
      </c>
      <c r="I11" s="10">
        <v>139.07</v>
      </c>
      <c r="J11">
        <v>110.56</v>
      </c>
    </row>
    <row r="12" spans="5:10" ht="18">
      <c r="E12" s="109">
        <v>44561</v>
      </c>
      <c r="F12" s="111">
        <v>112.23</v>
      </c>
      <c r="G12" s="110">
        <v>1.29</v>
      </c>
      <c r="I12" s="110">
        <v>144.85</v>
      </c>
      <c r="J12">
        <v>95.86</v>
      </c>
    </row>
    <row r="13" spans="5:10" ht="18">
      <c r="E13" s="109">
        <v>44469</v>
      </c>
      <c r="F13" s="111">
        <v>103.84</v>
      </c>
      <c r="G13" s="110">
        <v>1.29</v>
      </c>
      <c r="I13" s="110">
        <v>133.68</v>
      </c>
      <c r="J13">
        <v>51.367500000000007</v>
      </c>
    </row>
    <row r="14" spans="5:10" ht="18">
      <c r="E14" s="109">
        <v>44377</v>
      </c>
      <c r="F14" s="111">
        <v>92.25</v>
      </c>
      <c r="G14" s="110">
        <v>1.32</v>
      </c>
      <c r="I14" s="110">
        <v>122.09</v>
      </c>
      <c r="J14">
        <v>46.297499999999999</v>
      </c>
    </row>
    <row r="15" spans="5:10" ht="18">
      <c r="E15" s="109">
        <v>44286</v>
      </c>
      <c r="F15" s="111">
        <v>75.12</v>
      </c>
      <c r="G15" s="110">
        <v>1.37</v>
      </c>
      <c r="H15" s="107">
        <f>AVERAGE(F12:F15)</f>
        <v>95.86</v>
      </c>
      <c r="I15" s="110">
        <v>103.13</v>
      </c>
      <c r="J15">
        <v>29.232500000000002</v>
      </c>
    </row>
    <row r="16" spans="5:10" ht="18">
      <c r="E16" s="112">
        <v>44196</v>
      </c>
      <c r="F16" s="114">
        <v>58.7</v>
      </c>
      <c r="G16" s="113">
        <v>1.49</v>
      </c>
      <c r="I16" s="113">
        <v>87.63</v>
      </c>
      <c r="J16">
        <v>26.229999999999997</v>
      </c>
    </row>
    <row r="17" spans="5:10" ht="18">
      <c r="E17" s="112">
        <v>44104</v>
      </c>
      <c r="F17" s="114">
        <v>51.75</v>
      </c>
      <c r="G17" s="113">
        <v>1.42</v>
      </c>
      <c r="I17" s="113">
        <v>73.28</v>
      </c>
      <c r="J17">
        <v>26.177499999999998</v>
      </c>
    </row>
    <row r="18" spans="5:10" ht="18">
      <c r="E18" s="112">
        <v>44012</v>
      </c>
      <c r="F18" s="114">
        <v>45.47</v>
      </c>
      <c r="G18" s="113">
        <v>1.56</v>
      </c>
      <c r="I18" s="113">
        <v>70.900000000000006</v>
      </c>
      <c r="J18">
        <v>22.002499999999998</v>
      </c>
    </row>
    <row r="19" spans="5:10" ht="18">
      <c r="E19" s="112">
        <v>43921</v>
      </c>
      <c r="F19" s="114">
        <v>49.55</v>
      </c>
      <c r="G19" s="113">
        <v>1.17</v>
      </c>
      <c r="H19" s="107">
        <f>AVERAGE(F16:F19)</f>
        <v>51.367500000000007</v>
      </c>
      <c r="I19" s="113">
        <v>58.1</v>
      </c>
      <c r="J19">
        <v>19.649999999999999</v>
      </c>
    </row>
    <row r="20" spans="5:10" ht="18">
      <c r="E20" s="115">
        <v>43830</v>
      </c>
      <c r="F20" s="117">
        <v>49.18</v>
      </c>
      <c r="G20" s="116">
        <v>1.36</v>
      </c>
      <c r="I20" s="116">
        <v>66.97</v>
      </c>
      <c r="J20">
        <v>17.895</v>
      </c>
    </row>
    <row r="21" spans="5:10" ht="18">
      <c r="E21" s="115">
        <v>43738</v>
      </c>
      <c r="F21" s="117">
        <v>46.6</v>
      </c>
      <c r="G21" s="116">
        <v>1.31</v>
      </c>
      <c r="I21" s="116">
        <v>61.06</v>
      </c>
      <c r="J21">
        <v>16.377500000000001</v>
      </c>
    </row>
    <row r="22" spans="5:10" ht="18">
      <c r="E22" s="115">
        <v>43646</v>
      </c>
      <c r="F22" s="117">
        <v>49.54</v>
      </c>
      <c r="G22" s="116">
        <v>1.0900000000000001</v>
      </c>
      <c r="I22" s="116">
        <v>54.14</v>
      </c>
      <c r="J22">
        <v>14.84</v>
      </c>
    </row>
    <row r="23" spans="5:10" ht="18">
      <c r="E23" s="115">
        <v>43555</v>
      </c>
      <c r="F23" s="117">
        <v>39.869999999999997</v>
      </c>
      <c r="G23" s="116">
        <v>1.48</v>
      </c>
      <c r="H23" s="107">
        <f>AVERAGE(F20:F23)</f>
        <v>46.297499999999999</v>
      </c>
      <c r="I23" s="116">
        <v>58.84</v>
      </c>
      <c r="J23">
        <v>12.0025</v>
      </c>
    </row>
    <row r="24" spans="5:10" ht="18">
      <c r="E24" s="118">
        <v>43465</v>
      </c>
      <c r="F24" s="120">
        <v>43.7</v>
      </c>
      <c r="G24" s="119">
        <v>1.2</v>
      </c>
      <c r="I24" s="119">
        <v>52.25</v>
      </c>
    </row>
    <row r="25" spans="5:10" ht="18">
      <c r="E25" s="118">
        <v>43373</v>
      </c>
      <c r="F25" s="120">
        <v>26.58</v>
      </c>
      <c r="G25" s="119">
        <v>2.27</v>
      </c>
      <c r="I25" s="119">
        <v>60.35</v>
      </c>
    </row>
    <row r="26" spans="5:10" ht="18">
      <c r="E26" s="118">
        <v>43281</v>
      </c>
      <c r="F26" s="120">
        <v>23.09</v>
      </c>
      <c r="G26" s="119">
        <v>2.4500000000000002</v>
      </c>
      <c r="I26" s="119">
        <v>56.46</v>
      </c>
    </row>
    <row r="27" spans="5:10" ht="18">
      <c r="E27" s="118">
        <v>43190</v>
      </c>
      <c r="F27" s="120">
        <v>23.56</v>
      </c>
      <c r="G27" s="119">
        <v>2.2000000000000002</v>
      </c>
      <c r="H27" s="107">
        <f>AVERAGE(F24:F27)</f>
        <v>29.232500000000002</v>
      </c>
      <c r="I27" s="119">
        <v>51.86</v>
      </c>
    </row>
    <row r="28" spans="5:10" ht="18">
      <c r="E28" s="121">
        <v>43100</v>
      </c>
      <c r="F28" s="123">
        <v>17.96</v>
      </c>
      <c r="G28" s="122">
        <v>2.93</v>
      </c>
      <c r="I28" s="122">
        <v>52.67</v>
      </c>
    </row>
    <row r="29" spans="5:10" ht="18">
      <c r="E29" s="121">
        <v>43008</v>
      </c>
      <c r="F29" s="123">
        <v>29.87</v>
      </c>
      <c r="G29" s="122">
        <v>1.63</v>
      </c>
      <c r="I29" s="122">
        <v>48.69</v>
      </c>
    </row>
    <row r="30" spans="5:10" ht="18">
      <c r="E30" s="121">
        <v>42916</v>
      </c>
      <c r="F30" s="123">
        <v>27.55</v>
      </c>
      <c r="G30" s="122">
        <v>1.69</v>
      </c>
      <c r="I30" s="122">
        <v>46.48</v>
      </c>
    </row>
    <row r="31" spans="5:10" ht="18">
      <c r="E31" s="121">
        <v>42825</v>
      </c>
      <c r="F31" s="123">
        <v>29.54</v>
      </c>
      <c r="G31" s="122">
        <v>1.44</v>
      </c>
      <c r="H31" s="107">
        <f>AVERAGE(F28:F31)</f>
        <v>26.229999999999997</v>
      </c>
      <c r="I31" s="122">
        <v>42.39</v>
      </c>
    </row>
    <row r="32" spans="5:10" ht="18">
      <c r="E32" s="124">
        <v>42735</v>
      </c>
      <c r="F32" s="126">
        <v>27.83</v>
      </c>
      <c r="G32" s="125">
        <v>1.42</v>
      </c>
      <c r="I32" s="125">
        <v>39.619999999999997</v>
      </c>
    </row>
    <row r="33" spans="5:9" ht="18">
      <c r="E33" s="124">
        <v>42643</v>
      </c>
      <c r="F33" s="126">
        <v>27.33</v>
      </c>
      <c r="G33" s="125">
        <v>1.47</v>
      </c>
      <c r="I33" s="125">
        <v>40.200000000000003</v>
      </c>
    </row>
    <row r="34" spans="5:9" ht="18">
      <c r="E34" s="124">
        <v>42551</v>
      </c>
      <c r="F34" s="126">
        <v>25.81</v>
      </c>
      <c r="G34" s="125">
        <v>1.36</v>
      </c>
      <c r="I34" s="125">
        <v>35.18</v>
      </c>
    </row>
    <row r="35" spans="5:9" ht="18">
      <c r="E35" s="124">
        <v>42460</v>
      </c>
      <c r="F35" s="126">
        <v>23.74</v>
      </c>
      <c r="G35" s="125">
        <v>1.61</v>
      </c>
      <c r="H35" s="107">
        <f>AVERAGE(F32:F35)</f>
        <v>26.177499999999998</v>
      </c>
      <c r="I35" s="125">
        <v>38.15</v>
      </c>
    </row>
    <row r="36" spans="5:9" ht="18">
      <c r="E36" s="127">
        <v>42369</v>
      </c>
      <c r="F36" s="129">
        <v>22.92</v>
      </c>
      <c r="G36" s="128">
        <v>1.7</v>
      </c>
      <c r="I36" s="128">
        <v>38.9</v>
      </c>
    </row>
    <row r="37" spans="5:9" ht="18">
      <c r="E37" s="127">
        <v>42277</v>
      </c>
      <c r="F37" s="129">
        <v>22.77</v>
      </c>
      <c r="G37" s="128">
        <v>1.4</v>
      </c>
      <c r="I37" s="128">
        <v>31.86</v>
      </c>
    </row>
    <row r="38" spans="5:9" ht="18">
      <c r="E38" s="127">
        <v>42185</v>
      </c>
      <c r="F38" s="129">
        <v>21.13</v>
      </c>
      <c r="G38" s="128">
        <v>1.28</v>
      </c>
      <c r="I38" s="128">
        <v>27</v>
      </c>
    </row>
    <row r="39" spans="5:9" ht="18">
      <c r="E39" s="127">
        <v>42094</v>
      </c>
      <c r="F39" s="129">
        <v>21.19</v>
      </c>
      <c r="G39" s="128">
        <v>1.31</v>
      </c>
      <c r="H39" s="107">
        <f>AVERAGE(F36:F39)</f>
        <v>22.002499999999998</v>
      </c>
      <c r="I39" s="128">
        <v>27.74</v>
      </c>
    </row>
    <row r="40" spans="5:9" ht="18">
      <c r="E40" s="130">
        <v>42004</v>
      </c>
      <c r="F40" s="132">
        <v>21.03</v>
      </c>
      <c r="G40" s="131">
        <v>1.26</v>
      </c>
      <c r="I40" s="131">
        <v>26.53</v>
      </c>
    </row>
    <row r="41" spans="5:9" ht="18">
      <c r="E41" s="130">
        <v>41912</v>
      </c>
      <c r="F41" s="132">
        <v>19.07</v>
      </c>
      <c r="G41" s="131">
        <v>1.54</v>
      </c>
      <c r="I41" s="131">
        <v>29.42</v>
      </c>
    </row>
    <row r="42" spans="5:9" ht="18">
      <c r="E42" s="130">
        <v>41820</v>
      </c>
      <c r="F42" s="132">
        <v>19.36</v>
      </c>
      <c r="G42" s="131">
        <v>1.51</v>
      </c>
      <c r="I42" s="131">
        <v>29.23</v>
      </c>
    </row>
    <row r="43" spans="5:9" ht="18">
      <c r="E43" s="130">
        <v>41729</v>
      </c>
      <c r="F43" s="132">
        <v>19.14</v>
      </c>
      <c r="G43" s="131">
        <v>1.46</v>
      </c>
      <c r="H43" s="107">
        <f>AVERAGE(F40:F43)</f>
        <v>19.649999999999999</v>
      </c>
      <c r="I43" s="131">
        <v>27.95</v>
      </c>
    </row>
    <row r="44" spans="5:9" ht="18">
      <c r="E44" s="133">
        <v>41639</v>
      </c>
      <c r="F44" s="135">
        <v>19.07</v>
      </c>
      <c r="G44" s="134">
        <v>1.47</v>
      </c>
      <c r="I44" s="134">
        <v>28.1</v>
      </c>
    </row>
    <row r="45" spans="5:9" ht="18">
      <c r="E45" s="133">
        <v>41547</v>
      </c>
      <c r="F45" s="135">
        <v>18.43</v>
      </c>
      <c r="G45" s="134">
        <v>1.19</v>
      </c>
      <c r="I45" s="134">
        <v>21.97</v>
      </c>
    </row>
    <row r="46" spans="5:9" ht="18">
      <c r="E46" s="133">
        <v>41455</v>
      </c>
      <c r="F46" s="135">
        <v>17.32</v>
      </c>
      <c r="G46" s="134">
        <v>1.27</v>
      </c>
      <c r="I46" s="134">
        <v>22.08</v>
      </c>
    </row>
    <row r="47" spans="5:9" ht="18">
      <c r="E47" s="133">
        <v>41364</v>
      </c>
      <c r="F47" s="135">
        <v>16.760000000000002</v>
      </c>
      <c r="G47" s="134">
        <v>1.19</v>
      </c>
      <c r="H47" s="107">
        <f>AVERAGE(F44:F47)</f>
        <v>17.895</v>
      </c>
      <c r="I47" s="134">
        <v>19.920000000000002</v>
      </c>
    </row>
    <row r="48" spans="5:9" ht="18">
      <c r="E48" s="136">
        <v>41274</v>
      </c>
      <c r="F48" s="138">
        <v>16.170000000000002</v>
      </c>
      <c r="G48" s="137">
        <v>1.1000000000000001</v>
      </c>
      <c r="I48" s="137">
        <v>17.739999999999998</v>
      </c>
    </row>
    <row r="49" spans="5:9" ht="18">
      <c r="E49" s="136">
        <v>41182</v>
      </c>
      <c r="F49" s="138">
        <v>15.97</v>
      </c>
      <c r="G49" s="137">
        <v>1.18</v>
      </c>
      <c r="I49" s="137">
        <v>18.920000000000002</v>
      </c>
    </row>
    <row r="50" spans="5:9" ht="18">
      <c r="E50" s="136">
        <v>41090</v>
      </c>
      <c r="F50" s="138">
        <v>16.87</v>
      </c>
      <c r="G50" s="137">
        <v>0.86</v>
      </c>
      <c r="I50" s="137">
        <v>14.55</v>
      </c>
    </row>
    <row r="51" spans="5:9" ht="18">
      <c r="E51" s="136">
        <v>40999</v>
      </c>
      <c r="F51" s="138">
        <v>16.5</v>
      </c>
      <c r="G51" s="137">
        <v>0.97</v>
      </c>
      <c r="H51" s="107">
        <f>AVERAGE(F48:F51)</f>
        <v>16.377500000000001</v>
      </c>
      <c r="I51" s="137">
        <v>16.079999999999998</v>
      </c>
    </row>
    <row r="52" spans="5:9" ht="18">
      <c r="E52" s="139">
        <v>40908</v>
      </c>
      <c r="F52" s="141">
        <v>15.64</v>
      </c>
      <c r="G52" s="140">
        <v>1.04</v>
      </c>
      <c r="I52" s="140">
        <v>16.2</v>
      </c>
    </row>
    <row r="53" spans="5:9" ht="18">
      <c r="E53" s="139">
        <v>40816</v>
      </c>
      <c r="F53" s="141">
        <v>15.44</v>
      </c>
      <c r="G53" s="140">
        <v>0.84</v>
      </c>
      <c r="I53" s="140">
        <v>12.92</v>
      </c>
    </row>
    <row r="54" spans="5:9" ht="18">
      <c r="E54" s="139">
        <v>40724</v>
      </c>
      <c r="F54" s="141">
        <v>14.63</v>
      </c>
      <c r="G54" s="140">
        <v>0.87</v>
      </c>
      <c r="I54" s="140">
        <v>12.7</v>
      </c>
    </row>
    <row r="55" spans="5:9" ht="18">
      <c r="E55" s="139">
        <v>40633</v>
      </c>
      <c r="F55" s="141">
        <v>13.65</v>
      </c>
      <c r="G55" s="140">
        <v>1.08</v>
      </c>
      <c r="H55" s="107">
        <f>AVERAGE(F52:F55)</f>
        <v>14.84</v>
      </c>
      <c r="I55" s="140">
        <v>14.71</v>
      </c>
    </row>
    <row r="56" spans="5:9" ht="18">
      <c r="E56" s="142">
        <v>40543</v>
      </c>
      <c r="F56" s="144">
        <v>13.16</v>
      </c>
      <c r="G56" s="143">
        <v>1.1299999999999999</v>
      </c>
      <c r="I56" s="143">
        <v>14.9</v>
      </c>
    </row>
    <row r="57" spans="5:9" ht="18">
      <c r="E57" s="142">
        <v>40451</v>
      </c>
      <c r="F57" s="144">
        <v>12.32</v>
      </c>
      <c r="G57" s="143">
        <v>1.07</v>
      </c>
      <c r="I57" s="143">
        <v>13.19</v>
      </c>
    </row>
    <row r="58" spans="5:9" ht="18">
      <c r="E58" s="142">
        <v>40359</v>
      </c>
      <c r="F58" s="144">
        <v>11.53</v>
      </c>
      <c r="G58" s="143">
        <v>0.97</v>
      </c>
      <c r="I58" s="143">
        <v>11.16</v>
      </c>
    </row>
    <row r="59" spans="5:9" ht="18">
      <c r="E59" s="142">
        <v>40268</v>
      </c>
      <c r="F59" s="144">
        <v>11</v>
      </c>
      <c r="G59" s="143">
        <v>1.29</v>
      </c>
      <c r="H59" s="107">
        <f>AVERAGE(F56:F59)</f>
        <v>12.0025</v>
      </c>
      <c r="I59" s="143">
        <v>14.22</v>
      </c>
    </row>
    <row r="60" spans="5:9" ht="18">
      <c r="E60" s="12">
        <v>40178</v>
      </c>
      <c r="F60" s="11">
        <v>10.220000000000001</v>
      </c>
      <c r="G60" s="10">
        <v>1.52</v>
      </c>
      <c r="I60" s="10">
        <v>15.55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AC42-9AA1-0345-9370-E14DA0107421}">
  <dimension ref="A1:FY38"/>
  <sheetViews>
    <sheetView workbookViewId="0">
      <selection activeCell="O11" sqref="O11"/>
    </sheetView>
  </sheetViews>
  <sheetFormatPr baseColWidth="10" defaultRowHeight="15"/>
  <cols>
    <col min="1" max="1" width="25.83203125" customWidth="1"/>
    <col min="2" max="2" width="10.33203125" customWidth="1"/>
    <col min="3" max="3" width="8.33203125" style="36" customWidth="1"/>
    <col min="4" max="4" width="11.83203125" customWidth="1"/>
    <col min="7" max="7" width="11.33203125" customWidth="1"/>
    <col min="17" max="17" width="13" customWidth="1"/>
  </cols>
  <sheetData>
    <row r="1" spans="1:11" ht="20">
      <c r="A1" s="14" t="s">
        <v>22</v>
      </c>
      <c r="B1" s="47">
        <f>輸入!B1</f>
        <v>112</v>
      </c>
    </row>
    <row r="2" spans="1:11" ht="22" customHeight="1">
      <c r="A2" s="14" t="s">
        <v>7</v>
      </c>
      <c r="B2" s="8">
        <f>輸入!B2</f>
        <v>13</v>
      </c>
    </row>
    <row r="3" spans="1:11" ht="22" customHeight="1">
      <c r="A3" s="14" t="s">
        <v>8</v>
      </c>
      <c r="B3" s="8">
        <f>輸入!B3</f>
        <v>10</v>
      </c>
    </row>
    <row r="4" spans="1:11" ht="22" customHeight="1">
      <c r="A4" s="14" t="s">
        <v>9</v>
      </c>
      <c r="B4" s="8">
        <f>輸入!B4</f>
        <v>4</v>
      </c>
    </row>
    <row r="5" spans="1:11" ht="22" customHeight="1">
      <c r="A5" s="14" t="s">
        <v>10</v>
      </c>
      <c r="B5" s="8">
        <f>輸入!B5</f>
        <v>45</v>
      </c>
    </row>
    <row r="6" spans="1:11" ht="22">
      <c r="A6" s="14" t="s">
        <v>4</v>
      </c>
      <c r="B6" s="35">
        <f>輸入!B6</f>
        <v>0.6</v>
      </c>
    </row>
    <row r="7" spans="1:11" ht="22">
      <c r="A7" s="14" t="s">
        <v>21</v>
      </c>
      <c r="B7" s="35">
        <f>輸入!B7</f>
        <v>0</v>
      </c>
      <c r="C7" s="29">
        <f>輸入!C7</f>
        <v>1</v>
      </c>
    </row>
    <row r="8" spans="1:11" ht="22">
      <c r="A8" s="14" t="s">
        <v>6</v>
      </c>
      <c r="B8" s="8">
        <f>輸入!B8</f>
        <v>8</v>
      </c>
      <c r="C8" s="29"/>
    </row>
    <row r="9" spans="1:11" ht="22">
      <c r="A9" s="14" t="s">
        <v>24</v>
      </c>
      <c r="B9" s="8">
        <f>輸入!B9</f>
        <v>14.928333333333335</v>
      </c>
      <c r="C9" s="29">
        <f>(1+(B9/100))</f>
        <v>1.1492833333333334</v>
      </c>
    </row>
    <row r="10" spans="1:11" ht="22">
      <c r="A10" s="46" t="s">
        <v>38</v>
      </c>
      <c r="B10" s="48">
        <f>輸入!B10</f>
        <v>5</v>
      </c>
    </row>
    <row r="11" spans="1:11" ht="22">
      <c r="A11" s="46" t="s">
        <v>42</v>
      </c>
      <c r="B11" s="51">
        <f>輸入!B11</f>
        <v>0.74</v>
      </c>
    </row>
    <row r="12" spans="1:11" ht="22">
      <c r="A12" s="46" t="s">
        <v>44</v>
      </c>
      <c r="B12" s="51" t="e">
        <f>輸入!#REF!</f>
        <v>#REF!</v>
      </c>
    </row>
    <row r="15" spans="1:11">
      <c r="A15" s="1" t="s">
        <v>0</v>
      </c>
      <c r="B15" s="6">
        <v>1</v>
      </c>
      <c r="C15" s="6">
        <v>2</v>
      </c>
      <c r="D15" s="15">
        <v>3</v>
      </c>
      <c r="E15" s="6">
        <v>4</v>
      </c>
      <c r="F15" s="15">
        <v>5</v>
      </c>
      <c r="G15" s="6">
        <v>6</v>
      </c>
      <c r="H15" s="6">
        <v>7</v>
      </c>
      <c r="I15" s="6">
        <v>8</v>
      </c>
      <c r="J15" s="6">
        <v>9</v>
      </c>
      <c r="K15" s="15">
        <v>10</v>
      </c>
    </row>
    <row r="16" spans="1:11">
      <c r="A16" s="1" t="s">
        <v>1</v>
      </c>
      <c r="B16" s="7">
        <f>ROUND((1+($B2/100))^B$15,2)</f>
        <v>1.1299999999999999</v>
      </c>
      <c r="C16" s="7">
        <f t="shared" ref="C16:K16" si="0">ROUND((1+($B2/100))^C$15,2)</f>
        <v>1.28</v>
      </c>
      <c r="D16" s="16">
        <f t="shared" si="0"/>
        <v>1.44</v>
      </c>
      <c r="E16" s="7">
        <f t="shared" si="0"/>
        <v>1.63</v>
      </c>
      <c r="F16" s="16">
        <f t="shared" si="0"/>
        <v>1.84</v>
      </c>
      <c r="G16" s="7">
        <f t="shared" si="0"/>
        <v>2.08</v>
      </c>
      <c r="H16" s="7">
        <f t="shared" si="0"/>
        <v>2.35</v>
      </c>
      <c r="I16" s="7">
        <f t="shared" si="0"/>
        <v>2.66</v>
      </c>
      <c r="J16" s="7">
        <f t="shared" si="0"/>
        <v>3</v>
      </c>
      <c r="K16" s="16">
        <f t="shared" si="0"/>
        <v>3.39</v>
      </c>
    </row>
    <row r="17" spans="1:11">
      <c r="A17" s="1" t="s">
        <v>2</v>
      </c>
      <c r="B17" s="7">
        <f>ROUND((1+($B3/100))^B$15,2)</f>
        <v>1.1000000000000001</v>
      </c>
      <c r="C17" s="7">
        <f t="shared" ref="C17:K17" si="1">ROUND((1+($B3/100))^C$15,2)</f>
        <v>1.21</v>
      </c>
      <c r="D17" s="16">
        <f t="shared" si="1"/>
        <v>1.33</v>
      </c>
      <c r="E17" s="7">
        <f t="shared" si="1"/>
        <v>1.46</v>
      </c>
      <c r="F17" s="16">
        <f t="shared" si="1"/>
        <v>1.61</v>
      </c>
      <c r="G17" s="7">
        <f t="shared" si="1"/>
        <v>1.77</v>
      </c>
      <c r="H17" s="7">
        <f t="shared" si="1"/>
        <v>1.95</v>
      </c>
      <c r="I17" s="7">
        <f t="shared" si="1"/>
        <v>2.14</v>
      </c>
      <c r="J17" s="7">
        <f t="shared" si="1"/>
        <v>2.36</v>
      </c>
      <c r="K17" s="16">
        <f t="shared" si="1"/>
        <v>2.59</v>
      </c>
    </row>
    <row r="18" spans="1:11">
      <c r="A18" s="1" t="s">
        <v>3</v>
      </c>
      <c r="B18" s="7">
        <f>ROUND((1+($B4/100))^B$15,2)</f>
        <v>1.04</v>
      </c>
      <c r="C18" s="7">
        <f t="shared" ref="C18:K18" si="2">ROUND((1+($B4/100))^C$15,2)</f>
        <v>1.08</v>
      </c>
      <c r="D18" s="16">
        <f t="shared" si="2"/>
        <v>1.1200000000000001</v>
      </c>
      <c r="E18" s="7">
        <f t="shared" si="2"/>
        <v>1.17</v>
      </c>
      <c r="F18" s="16">
        <f t="shared" si="2"/>
        <v>1.22</v>
      </c>
      <c r="G18" s="7">
        <f t="shared" si="2"/>
        <v>1.27</v>
      </c>
      <c r="H18" s="7">
        <f t="shared" si="2"/>
        <v>1.32</v>
      </c>
      <c r="I18" s="7">
        <f t="shared" si="2"/>
        <v>1.37</v>
      </c>
      <c r="J18" s="7">
        <f t="shared" si="2"/>
        <v>1.42</v>
      </c>
      <c r="K18" s="16">
        <f t="shared" si="2"/>
        <v>1.48</v>
      </c>
    </row>
    <row r="19" spans="1:11">
      <c r="A19" s="1" t="s">
        <v>4</v>
      </c>
      <c r="B19" s="24">
        <f t="shared" ref="B19:K19" si="3">$B6*($C$7^(B23))</f>
        <v>0.6</v>
      </c>
      <c r="C19" s="24">
        <f t="shared" si="3"/>
        <v>0.6</v>
      </c>
      <c r="D19" s="25">
        <f t="shared" si="3"/>
        <v>0.6</v>
      </c>
      <c r="E19" s="24">
        <f t="shared" si="3"/>
        <v>0.6</v>
      </c>
      <c r="F19" s="25">
        <f t="shared" si="3"/>
        <v>0.6</v>
      </c>
      <c r="G19" s="24">
        <f t="shared" si="3"/>
        <v>0.6</v>
      </c>
      <c r="H19" s="24">
        <f t="shared" si="3"/>
        <v>0.6</v>
      </c>
      <c r="I19" s="24">
        <f t="shared" si="3"/>
        <v>0.6</v>
      </c>
      <c r="J19" s="24">
        <f t="shared" si="3"/>
        <v>0.6</v>
      </c>
      <c r="K19" s="25">
        <f t="shared" si="3"/>
        <v>0.6</v>
      </c>
    </row>
    <row r="20" spans="1:11">
      <c r="A20" s="1" t="s">
        <v>6</v>
      </c>
      <c r="B20" s="26">
        <f t="shared" ref="B20:K20" si="4">$B8*($C9^(B15))</f>
        <v>9.1942666666666675</v>
      </c>
      <c r="C20" s="37">
        <f t="shared" si="4"/>
        <v>10.566817442222224</v>
      </c>
      <c r="D20" s="27">
        <f t="shared" si="4"/>
        <v>12.144267172721966</v>
      </c>
      <c r="E20" s="26">
        <f t="shared" si="4"/>
        <v>13.957203857156477</v>
      </c>
      <c r="F20" s="27">
        <f t="shared" si="4"/>
        <v>16.040781772965655</v>
      </c>
      <c r="G20" s="26">
        <f t="shared" si="4"/>
        <v>18.435403145306545</v>
      </c>
      <c r="H20" s="26">
        <f t="shared" si="4"/>
        <v>21.187501578181728</v>
      </c>
      <c r="I20" s="26">
        <f t="shared" si="4"/>
        <v>24.350442438777957</v>
      </c>
      <c r="J20" s="26">
        <f t="shared" si="4"/>
        <v>27.985557654180194</v>
      </c>
      <c r="K20" s="27">
        <f t="shared" si="4"/>
        <v>32.163334985988399</v>
      </c>
    </row>
    <row r="23" spans="1:11">
      <c r="A23" s="2" t="s">
        <v>5</v>
      </c>
      <c r="B23" s="5">
        <v>1</v>
      </c>
      <c r="C23" s="5">
        <v>2</v>
      </c>
      <c r="D23" s="17">
        <v>3</v>
      </c>
      <c r="E23" s="5">
        <v>4</v>
      </c>
      <c r="F23" s="17">
        <v>5</v>
      </c>
      <c r="G23" s="5">
        <v>6</v>
      </c>
      <c r="H23" s="5">
        <v>7</v>
      </c>
      <c r="I23" s="5">
        <v>8</v>
      </c>
      <c r="J23" s="5">
        <v>9</v>
      </c>
      <c r="K23" s="17">
        <v>10</v>
      </c>
    </row>
    <row r="24" spans="1:11">
      <c r="A24" s="2" t="s">
        <v>1</v>
      </c>
      <c r="B24" s="3">
        <f t="shared" ref="B24:K24" si="5">ROUND(B$19/B16,2)</f>
        <v>0.53</v>
      </c>
      <c r="C24" s="3">
        <f t="shared" si="5"/>
        <v>0.47</v>
      </c>
      <c r="D24" s="18">
        <f t="shared" si="5"/>
        <v>0.42</v>
      </c>
      <c r="E24" s="3">
        <f t="shared" si="5"/>
        <v>0.37</v>
      </c>
      <c r="F24" s="18">
        <f t="shared" si="5"/>
        <v>0.33</v>
      </c>
      <c r="G24" s="3">
        <f t="shared" si="5"/>
        <v>0.28999999999999998</v>
      </c>
      <c r="H24" s="3">
        <f t="shared" si="5"/>
        <v>0.26</v>
      </c>
      <c r="I24" s="3">
        <f t="shared" si="5"/>
        <v>0.23</v>
      </c>
      <c r="J24" s="3">
        <f t="shared" si="5"/>
        <v>0.2</v>
      </c>
      <c r="K24" s="18">
        <f t="shared" si="5"/>
        <v>0.18</v>
      </c>
    </row>
    <row r="25" spans="1:11">
      <c r="A25" s="2" t="s">
        <v>2</v>
      </c>
      <c r="B25" s="3">
        <f t="shared" ref="B25:K25" si="6">ROUND(B$19/B17,2)</f>
        <v>0.55000000000000004</v>
      </c>
      <c r="C25" s="3">
        <f t="shared" si="6"/>
        <v>0.5</v>
      </c>
      <c r="D25" s="18">
        <f t="shared" si="6"/>
        <v>0.45</v>
      </c>
      <c r="E25" s="3">
        <f t="shared" si="6"/>
        <v>0.41</v>
      </c>
      <c r="F25" s="18">
        <f t="shared" si="6"/>
        <v>0.37</v>
      </c>
      <c r="G25" s="3">
        <f t="shared" si="6"/>
        <v>0.34</v>
      </c>
      <c r="H25" s="3">
        <f t="shared" si="6"/>
        <v>0.31</v>
      </c>
      <c r="I25" s="3">
        <f t="shared" si="6"/>
        <v>0.28000000000000003</v>
      </c>
      <c r="J25" s="3">
        <f t="shared" si="6"/>
        <v>0.25</v>
      </c>
      <c r="K25" s="18">
        <f t="shared" si="6"/>
        <v>0.23</v>
      </c>
    </row>
    <row r="26" spans="1:11">
      <c r="A26" s="2" t="s">
        <v>3</v>
      </c>
      <c r="B26" s="3">
        <f t="shared" ref="B26:K26" si="7">ROUND(B$19/B18,2)</f>
        <v>0.57999999999999996</v>
      </c>
      <c r="C26" s="3">
        <f t="shared" si="7"/>
        <v>0.56000000000000005</v>
      </c>
      <c r="D26" s="18">
        <f t="shared" si="7"/>
        <v>0.54</v>
      </c>
      <c r="E26" s="3">
        <f t="shared" si="7"/>
        <v>0.51</v>
      </c>
      <c r="F26" s="18">
        <f t="shared" si="7"/>
        <v>0.49</v>
      </c>
      <c r="G26" s="3">
        <f t="shared" si="7"/>
        <v>0.47</v>
      </c>
      <c r="H26" s="3">
        <f t="shared" si="7"/>
        <v>0.45</v>
      </c>
      <c r="I26" s="3">
        <f t="shared" si="7"/>
        <v>0.44</v>
      </c>
      <c r="J26" s="3">
        <f t="shared" si="7"/>
        <v>0.42</v>
      </c>
      <c r="K26" s="18">
        <f t="shared" si="7"/>
        <v>0.41</v>
      </c>
    </row>
    <row r="27" spans="1:11">
      <c r="F27" s="19"/>
      <c r="K27" s="19"/>
    </row>
    <row r="28" spans="1:11">
      <c r="F28" s="19"/>
      <c r="K28" s="19"/>
    </row>
    <row r="29" spans="1:11">
      <c r="A29" s="22" t="s">
        <v>11</v>
      </c>
      <c r="B29" s="20" t="s">
        <v>15</v>
      </c>
      <c r="C29" s="20" t="s">
        <v>16</v>
      </c>
      <c r="D29" s="20" t="s">
        <v>17</v>
      </c>
    </row>
    <row r="30" spans="1:11" ht="20">
      <c r="A30" s="22" t="s">
        <v>18</v>
      </c>
      <c r="B30" s="9">
        <f>($B$5/$D16)*$D$20</f>
        <v>379.50834914756143</v>
      </c>
      <c r="C30" s="21">
        <f>($B$5/$F16)*$F$20</f>
        <v>392.30172814318178</v>
      </c>
      <c r="D30" s="9">
        <f>($B$5/$K16)*$K$20</f>
        <v>426.94692459276638</v>
      </c>
    </row>
    <row r="31" spans="1:11" ht="20">
      <c r="A31" s="22" t="s">
        <v>19</v>
      </c>
      <c r="B31" s="9">
        <f>($B$5/$D17)*$D$20</f>
        <v>410.89625772367549</v>
      </c>
      <c r="C31" s="21">
        <f>($B$5/$F17)*$F$20</f>
        <v>448.34483216363628</v>
      </c>
      <c r="D31" s="9">
        <f>($B$5/$K17)*$K$20</f>
        <v>558.82242253647803</v>
      </c>
    </row>
    <row r="32" spans="1:11" ht="20">
      <c r="A32" s="22" t="s">
        <v>20</v>
      </c>
      <c r="B32" s="9">
        <f>($B$5/$D18)*$D$20</f>
        <v>487.93930604686466</v>
      </c>
      <c r="C32" s="21">
        <f>($B$5/$F18)*$F$20</f>
        <v>591.66818015037256</v>
      </c>
      <c r="D32" s="9">
        <f>($B$5/$K18)*$K$20</f>
        <v>977.93923943883647</v>
      </c>
    </row>
    <row r="33" spans="1:181">
      <c r="A33" s="23"/>
    </row>
    <row r="34" spans="1:181">
      <c r="A34" s="23"/>
      <c r="B34" s="4"/>
    </row>
    <row r="35" spans="1:181" s="13" customFormat="1">
      <c r="A35" s="33" t="s">
        <v>11</v>
      </c>
      <c r="B35" s="34" t="s">
        <v>15</v>
      </c>
      <c r="C35" s="38" t="s">
        <v>16</v>
      </c>
      <c r="D35" s="34" t="s">
        <v>17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s="13" customFormat="1">
      <c r="A36" s="34" t="s">
        <v>12</v>
      </c>
      <c r="B36" s="34">
        <f>B30+SUM(B24:D24)</f>
        <v>380.92834914756145</v>
      </c>
      <c r="C36" s="38">
        <f>C30+SUM(B24:F24)</f>
        <v>394.42172814318178</v>
      </c>
      <c r="D36" s="34">
        <f>D30+SUM(B24:K24)</f>
        <v>430.22692459276635</v>
      </c>
      <c r="E36"/>
      <c r="F36"/>
      <c r="G36" s="32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s="13" customFormat="1">
      <c r="A37" s="34" t="s">
        <v>13</v>
      </c>
      <c r="B37" s="34">
        <f>B31+SUM(B25:D25)</f>
        <v>412.39625772367549</v>
      </c>
      <c r="C37" s="38">
        <f t="shared" ref="C37:C38" si="8">C31+SUM(B25:F25)</f>
        <v>450.62483216363626</v>
      </c>
      <c r="D37" s="34">
        <f t="shared" ref="D37:D38" si="9">D31+SUM(B25:K25)</f>
        <v>562.51242253647808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s="13" customFormat="1">
      <c r="A38" s="34" t="s">
        <v>14</v>
      </c>
      <c r="B38" s="34">
        <f>B32+SUM(B26:D26)</f>
        <v>489.61930604686466</v>
      </c>
      <c r="C38" s="38">
        <f t="shared" si="8"/>
        <v>594.34818015037251</v>
      </c>
      <c r="D38" s="34">
        <f t="shared" si="9"/>
        <v>982.80923943883647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4A88-CC3F-AC4A-9DBA-ECF21015375A}">
  <dimension ref="A1:R39"/>
  <sheetViews>
    <sheetView zoomScale="101" workbookViewId="0">
      <selection activeCell="C28" sqref="C28"/>
    </sheetView>
  </sheetViews>
  <sheetFormatPr baseColWidth="10" defaultRowHeight="15"/>
  <cols>
    <col min="3" max="3" width="10" bestFit="1" customWidth="1"/>
    <col min="4" max="4" width="10" style="29" bestFit="1" customWidth="1"/>
    <col min="6" max="6" width="10.83203125" style="29"/>
    <col min="8" max="8" width="9.33203125" bestFit="1" customWidth="1"/>
    <col min="9" max="9" width="10.6640625" bestFit="1" customWidth="1"/>
  </cols>
  <sheetData>
    <row r="1" spans="1:14" ht="25">
      <c r="A1" s="30" t="s">
        <v>23</v>
      </c>
      <c r="B1" s="57" t="s">
        <v>6</v>
      </c>
      <c r="C1" s="1" t="s">
        <v>61</v>
      </c>
      <c r="D1" s="1" t="s">
        <v>52</v>
      </c>
      <c r="F1" s="1" t="s">
        <v>61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ht="18">
      <c r="A2" s="31">
        <v>2021</v>
      </c>
      <c r="B2" s="58">
        <f>輸入!M2</f>
        <v>46.297499999999999</v>
      </c>
      <c r="C2" s="59">
        <v>3</v>
      </c>
      <c r="D2" s="59">
        <f>ROUND(100*((($B2/$B4)^(1/COUNT($A2:$A4)) )-1),2)</f>
        <v>20.85</v>
      </c>
      <c r="F2" s="176" t="s">
        <v>62</v>
      </c>
      <c r="G2" s="69">
        <f>ROUND(100*((($B2/$B4)^(1/COUNT($A2:$A4)) )-1),2)</f>
        <v>20.85</v>
      </c>
      <c r="H2" s="70">
        <f t="shared" ref="H2:H11" si="0">ROUND(100*((($B2/$B5)^(1/COUNT($A2:$A5)) )-1),2)</f>
        <v>15.32</v>
      </c>
      <c r="I2" s="69">
        <f t="shared" ref="I2:I10" si="1">ROUND(100*((($B2/$B6)^(1/COUNT($A2:$A6)) )-1),2)</f>
        <v>16.04</v>
      </c>
      <c r="J2" s="69">
        <f t="shared" ref="J2:J9" si="2">ROUND(100*((($B2/$B7)^(1/COUNT($A2:$A7)) )-1),2)</f>
        <v>15.35</v>
      </c>
      <c r="K2" s="69">
        <f t="shared" ref="K2:K8" si="3">ROUND(100*((($B2/$B8)^(1/COUNT($A2:$A8)) )-1),2)</f>
        <v>14.54</v>
      </c>
      <c r="L2" s="69">
        <f t="shared" ref="L2:L7" si="4">ROUND(100*((($B2/$B9)^(1/COUNT($A2:$A9)) )-1),2)</f>
        <v>13.87</v>
      </c>
      <c r="M2" s="69">
        <f>ROUND(100*((($B2/$B10)^(1/COUNT($A2:$A10)) )-1),2)</f>
        <v>13.48</v>
      </c>
      <c r="N2" s="69">
        <f>ROUND(100*((($B2/$B11)^(1/COUNT($A2:$A11)) )-1),2)</f>
        <v>14.45</v>
      </c>
    </row>
    <row r="3" spans="1:14" ht="18">
      <c r="A3" s="31">
        <v>2020</v>
      </c>
      <c r="B3" s="58">
        <f>輸入!M3</f>
        <v>29.232500000000002</v>
      </c>
      <c r="C3" s="59">
        <v>4</v>
      </c>
      <c r="D3" s="59">
        <f>ROUND(100*((($B2/$B5)^(1/COUNT($A2:$A5)) )-1),2)</f>
        <v>15.32</v>
      </c>
      <c r="F3" s="176"/>
      <c r="G3" s="69">
        <f>ROUND(100*((($B3/$B5)^(1/COUNT($A3:$A5)) )-1),2)</f>
        <v>3.75</v>
      </c>
      <c r="H3" s="70">
        <f t="shared" si="0"/>
        <v>7.36</v>
      </c>
      <c r="I3" s="69">
        <f t="shared" si="1"/>
        <v>8.27</v>
      </c>
      <c r="J3" s="69">
        <f t="shared" si="2"/>
        <v>8.52</v>
      </c>
      <c r="K3" s="69">
        <f t="shared" si="3"/>
        <v>8.6300000000000008</v>
      </c>
      <c r="L3" s="69">
        <f t="shared" si="4"/>
        <v>8.84</v>
      </c>
      <c r="M3" s="69">
        <f>ROUND(100*((($B3/$B11)^(1/COUNT($A3:$A11)) )-1),2)</f>
        <v>10.4</v>
      </c>
      <c r="N3" s="69" t="e">
        <f>ROUND(100*((($B3/$B12)^(1/COUNT($A3:$A12)) )-1),2)</f>
        <v>#DIV/0!</v>
      </c>
    </row>
    <row r="4" spans="1:14" ht="18">
      <c r="A4" s="31">
        <v>2019</v>
      </c>
      <c r="B4" s="58">
        <f>輸入!M4</f>
        <v>26.229999999999997</v>
      </c>
      <c r="C4" s="59">
        <v>5</v>
      </c>
      <c r="D4" s="59">
        <f>ROUND(100*((($B$2/B6)^(1/COUNT($A$2:$A6)) )-1),2)</f>
        <v>16.04</v>
      </c>
      <c r="F4" s="176"/>
      <c r="G4" s="69">
        <f>ROUND(100*((($B4/$B6)^(1/COUNT($A4:$A6)) )-1),2)</f>
        <v>6.03</v>
      </c>
      <c r="H4" s="70">
        <f t="shared" si="0"/>
        <v>7.49</v>
      </c>
      <c r="I4" s="69">
        <f t="shared" si="1"/>
        <v>7.95</v>
      </c>
      <c r="J4" s="69">
        <f t="shared" si="2"/>
        <v>8.17</v>
      </c>
      <c r="K4" s="69">
        <f t="shared" si="3"/>
        <v>8.48</v>
      </c>
      <c r="L4" s="69">
        <f t="shared" si="4"/>
        <v>10.27</v>
      </c>
      <c r="M4" s="69" t="e">
        <f>ROUND(100*((($B4/$B12)^(1/COUNT($A4:$A12)) )-1),2)</f>
        <v>#DIV/0!</v>
      </c>
      <c r="N4" s="69" t="e">
        <f>ROUND(100*((($B4/$B13)^(1/COUNT($A4:$A13)) )-1),2)</f>
        <v>#DIV/0!</v>
      </c>
    </row>
    <row r="5" spans="1:14" ht="18">
      <c r="A5" s="31">
        <v>2018</v>
      </c>
      <c r="B5" s="58">
        <f>輸入!M5</f>
        <v>26.177499999999998</v>
      </c>
      <c r="C5" s="59">
        <v>6</v>
      </c>
      <c r="D5" s="59">
        <f>ROUND(100*((($B$2/B7)^(1/COUNT($A$2:$A7)) )-1),2)</f>
        <v>15.35</v>
      </c>
      <c r="F5" s="176"/>
      <c r="G5" s="69">
        <f t="shared" ref="G5:G12" si="5">ROUND(100*((($B5/$B7)^(1/COUNT($A5:$A7)) )-1),2)</f>
        <v>10.029999999999999</v>
      </c>
      <c r="H5" s="70">
        <f t="shared" si="0"/>
        <v>9.98</v>
      </c>
      <c r="I5" s="69">
        <f t="shared" si="1"/>
        <v>9.83</v>
      </c>
      <c r="J5" s="69">
        <f t="shared" si="2"/>
        <v>9.92</v>
      </c>
      <c r="K5" s="69">
        <f t="shared" si="3"/>
        <v>11.78</v>
      </c>
      <c r="L5" s="69" t="e">
        <f t="shared" si="4"/>
        <v>#DIV/0!</v>
      </c>
      <c r="M5" s="69" t="e">
        <f>ROUND(100*((($B5/$B13)^(1/COUNT($A5:$A13)) )-1),2)</f>
        <v>#DIV/0!</v>
      </c>
      <c r="N5" s="69" t="e">
        <f>ROUND(100*((($B5/$B14)^(1/COUNT($A5:$A14)) )-1),2)</f>
        <v>#DIV/0!</v>
      </c>
    </row>
    <row r="6" spans="1:14" ht="18">
      <c r="A6" s="31">
        <v>2017</v>
      </c>
      <c r="B6" s="58">
        <f>輸入!M6</f>
        <v>22.002499999999998</v>
      </c>
      <c r="C6" s="59">
        <v>7</v>
      </c>
      <c r="D6" s="59">
        <f>ROUND(100*((($B$2/B8)^(1/COUNT($A$2:$A8)) )-1),2)</f>
        <v>14.54</v>
      </c>
      <c r="F6" s="176"/>
      <c r="G6" s="69">
        <f t="shared" si="5"/>
        <v>7.13</v>
      </c>
      <c r="H6" s="70">
        <f t="shared" si="0"/>
        <v>7.66</v>
      </c>
      <c r="I6" s="69">
        <f t="shared" si="1"/>
        <v>8.1999999999999993</v>
      </c>
      <c r="J6" s="69">
        <f t="shared" si="2"/>
        <v>10.63</v>
      </c>
      <c r="K6" s="69" t="e">
        <f t="shared" si="3"/>
        <v>#DIV/0!</v>
      </c>
      <c r="L6" s="69" t="e">
        <f t="shared" si="4"/>
        <v>#DIV/0!</v>
      </c>
      <c r="M6" s="69" t="e">
        <f>ROUND(100*((($B6/$B14)^(1/COUNT($A6:$A14)) )-1),2)</f>
        <v>#DIV/0!</v>
      </c>
    </row>
    <row r="7" spans="1:14" ht="18">
      <c r="A7" s="31">
        <v>2016</v>
      </c>
      <c r="B7" s="58">
        <f>輸入!M7</f>
        <v>19.649999999999999</v>
      </c>
      <c r="C7" s="59">
        <v>8</v>
      </c>
      <c r="D7" s="59">
        <f>ROUND(100*((($B$2/B9)^(1/COUNT($A$2:$A9)) )-1),2)</f>
        <v>13.87</v>
      </c>
      <c r="F7" s="176"/>
      <c r="G7" s="69">
        <f t="shared" si="5"/>
        <v>6.26</v>
      </c>
      <c r="H7" s="70">
        <f t="shared" si="0"/>
        <v>7.27</v>
      </c>
      <c r="I7" s="69">
        <f t="shared" si="1"/>
        <v>10.36</v>
      </c>
      <c r="J7" s="69" t="e">
        <f t="shared" si="2"/>
        <v>#DIV/0!</v>
      </c>
      <c r="K7" s="69" t="e">
        <f t="shared" si="3"/>
        <v>#DIV/0!</v>
      </c>
      <c r="L7" s="69" t="e">
        <f t="shared" si="4"/>
        <v>#DIV/0!</v>
      </c>
    </row>
    <row r="8" spans="1:14" ht="18">
      <c r="A8" s="31">
        <v>2015</v>
      </c>
      <c r="B8" s="58">
        <f>輸入!M8</f>
        <v>17.895</v>
      </c>
      <c r="C8" s="59">
        <v>9</v>
      </c>
      <c r="D8" s="59">
        <f>ROUND(100*((($B$2/B10)^(1/COUNT($A$2:$A10)) )-1),2)</f>
        <v>13.48</v>
      </c>
      <c r="F8" s="176"/>
      <c r="G8" s="69">
        <f t="shared" si="5"/>
        <v>6.44</v>
      </c>
      <c r="H8" s="70">
        <f t="shared" si="0"/>
        <v>10.5</v>
      </c>
      <c r="I8" s="69" t="e">
        <f t="shared" si="1"/>
        <v>#DIV/0!</v>
      </c>
      <c r="J8" s="69" t="e">
        <f t="shared" si="2"/>
        <v>#DIV/0!</v>
      </c>
      <c r="K8" s="69" t="e">
        <f t="shared" si="3"/>
        <v>#DIV/0!</v>
      </c>
    </row>
    <row r="9" spans="1:14" ht="18">
      <c r="A9" s="31">
        <v>2014</v>
      </c>
      <c r="B9" s="58">
        <f>輸入!M9</f>
        <v>16.377500000000001</v>
      </c>
      <c r="C9" s="59">
        <v>10</v>
      </c>
      <c r="D9" s="59">
        <f>ROUND(100*((($B$2/B11)^(1/COUNT($A$2:$A11)) )-1),2)</f>
        <v>14.45</v>
      </c>
      <c r="F9" s="176"/>
      <c r="G9" s="69">
        <f t="shared" si="5"/>
        <v>10.92</v>
      </c>
      <c r="H9" s="70" t="e">
        <f t="shared" si="0"/>
        <v>#DIV/0!</v>
      </c>
      <c r="I9" s="69" t="e">
        <f t="shared" si="1"/>
        <v>#DIV/0!</v>
      </c>
      <c r="J9" s="69" t="e">
        <f t="shared" si="2"/>
        <v>#DIV/0!</v>
      </c>
    </row>
    <row r="10" spans="1:14" ht="18">
      <c r="A10" s="31">
        <v>2013</v>
      </c>
      <c r="B10" s="58">
        <f>輸入!M10</f>
        <v>14.84</v>
      </c>
      <c r="C10" s="59">
        <v>11</v>
      </c>
      <c r="D10" s="59" t="e">
        <f>ROUND(100*((($B$2/B12)^(1/COUNT($A$2:$A12)) )-1),2)</f>
        <v>#DIV/0!</v>
      </c>
      <c r="F10" s="176"/>
      <c r="G10" s="69" t="e">
        <f>ROUND(100*((($B10/$B12)^(1/COUNT($A10:$A12)) )-1),2)</f>
        <v>#DIV/0!</v>
      </c>
      <c r="H10" s="70" t="e">
        <f t="shared" si="0"/>
        <v>#DIV/0!</v>
      </c>
      <c r="I10" s="69" t="e">
        <f t="shared" si="1"/>
        <v>#DIV/0!</v>
      </c>
    </row>
    <row r="11" spans="1:14" ht="18">
      <c r="A11" s="31">
        <v>2012</v>
      </c>
      <c r="B11" s="58">
        <f>輸入!M11</f>
        <v>12.0025</v>
      </c>
      <c r="C11" s="59">
        <v>12</v>
      </c>
      <c r="D11" s="59" t="e">
        <f>ROUND(100*((($B$2/B13)^(1/COUNT($A$2:$A13)) )-1),2)</f>
        <v>#DIV/0!</v>
      </c>
      <c r="F11" s="176"/>
      <c r="G11" s="69" t="e">
        <f t="shared" si="5"/>
        <v>#DIV/0!</v>
      </c>
      <c r="H11" s="70" t="e">
        <f t="shared" si="0"/>
        <v>#DIV/0!</v>
      </c>
    </row>
    <row r="12" spans="1:14" ht="18">
      <c r="A12" s="31">
        <v>2011</v>
      </c>
      <c r="B12" s="58">
        <f>輸入!M12</f>
        <v>0</v>
      </c>
      <c r="C12" s="59">
        <v>13</v>
      </c>
      <c r="D12" s="59" t="e">
        <f>ROUND(100*((($B$2/B14)^(1/COUNT($A$2:$A14)) )-1),2)</f>
        <v>#DIV/0!</v>
      </c>
      <c r="F12" s="176"/>
      <c r="G12" s="69" t="e">
        <f t="shared" si="5"/>
        <v>#DIV/0!</v>
      </c>
      <c r="J12" s="66"/>
      <c r="K12" s="66"/>
      <c r="L12" s="66"/>
      <c r="M12" s="66"/>
    </row>
    <row r="13" spans="1:14" ht="18">
      <c r="A13" s="31">
        <v>2010</v>
      </c>
      <c r="B13" s="58">
        <f>輸入!M13</f>
        <v>0</v>
      </c>
      <c r="C13" s="29"/>
    </row>
    <row r="14" spans="1:14" ht="18">
      <c r="A14" s="31">
        <v>2009</v>
      </c>
      <c r="B14" s="58">
        <f>輸入!M14</f>
        <v>0</v>
      </c>
      <c r="D14"/>
    </row>
    <row r="15" spans="1:14">
      <c r="F15" s="63"/>
      <c r="G15" s="1" t="s">
        <v>56</v>
      </c>
      <c r="H15" s="1" t="s">
        <v>57</v>
      </c>
      <c r="I15" s="1" t="s">
        <v>53</v>
      </c>
    </row>
    <row r="16" spans="1:14">
      <c r="F16" s="1" t="s">
        <v>41</v>
      </c>
      <c r="G16" s="59">
        <f>輸入!B8</f>
        <v>8</v>
      </c>
      <c r="H16" s="59">
        <f>輸入!B5</f>
        <v>45</v>
      </c>
      <c r="I16" s="59">
        <f>輸入!B11</f>
        <v>0.74</v>
      </c>
    </row>
    <row r="17" spans="6:18">
      <c r="F17" s="1" t="s">
        <v>59</v>
      </c>
      <c r="G17" s="83">
        <f>輸入!L17</f>
        <v>25.48</v>
      </c>
      <c r="H17" s="59">
        <f>輸入!K5</f>
        <v>1.44</v>
      </c>
      <c r="I17" s="74"/>
    </row>
    <row r="18" spans="6:18">
      <c r="F18" s="1" t="s">
        <v>61</v>
      </c>
      <c r="G18" s="1">
        <v>3</v>
      </c>
      <c r="H18" s="1">
        <v>5</v>
      </c>
      <c r="I18" s="1">
        <v>10</v>
      </c>
    </row>
    <row r="19" spans="6:18">
      <c r="F19" s="71" t="s">
        <v>58</v>
      </c>
      <c r="G19" s="68" t="e">
        <f>(1+AVERAGE(輸入!L20:'輸入'!L30)/100)</f>
        <v>#DIV/0!</v>
      </c>
      <c r="H19" s="68" t="e">
        <f>(1+AVERAGE(輸入!N20:'輸入'!N28)/100)</f>
        <v>#DIV/0!</v>
      </c>
      <c r="I19" s="68" t="e">
        <f>(1+AVERAGE(輸入!S20:'輸入'!S23)/100)</f>
        <v>#DIV/0!</v>
      </c>
    </row>
    <row r="20" spans="6:18">
      <c r="F20" s="71" t="s">
        <v>53</v>
      </c>
      <c r="G20" s="68">
        <f>ROUND((1+$I16/100)^G1,2)</f>
        <v>1.02</v>
      </c>
      <c r="H20" s="68">
        <f>ROUND((1+$I16/100)^I1,2)</f>
        <v>1.04</v>
      </c>
      <c r="I20" s="68">
        <f>ROUND((1+$I16/100)^N1,2)</f>
        <v>1.08</v>
      </c>
    </row>
    <row r="21" spans="6:18" ht="25">
      <c r="F21" s="71" t="s">
        <v>41</v>
      </c>
      <c r="G21" s="72" t="e">
        <f t="shared" ref="G21:I22" si="6">$H16*G$20*$G16*G$19</f>
        <v>#DIV/0!</v>
      </c>
      <c r="H21" s="72" t="e">
        <f t="shared" si="6"/>
        <v>#DIV/0!</v>
      </c>
      <c r="I21" s="72" t="e">
        <f t="shared" si="6"/>
        <v>#DIV/0!</v>
      </c>
    </row>
    <row r="22" spans="6:18">
      <c r="F22" s="71" t="s">
        <v>59</v>
      </c>
      <c r="G22" s="73" t="e">
        <f t="shared" si="6"/>
        <v>#DIV/0!</v>
      </c>
      <c r="H22" s="73" t="e">
        <f t="shared" si="6"/>
        <v>#DIV/0!</v>
      </c>
      <c r="I22" s="73" t="e">
        <f t="shared" si="6"/>
        <v>#DIV/0!</v>
      </c>
    </row>
    <row r="23" spans="6:18" ht="25">
      <c r="F23" s="71" t="s">
        <v>60</v>
      </c>
      <c r="G23" s="72" t="e">
        <f>G22*(1.05)^3</f>
        <v>#DIV/0!</v>
      </c>
      <c r="H23" s="72" t="e">
        <f>H22*(1.05)^5</f>
        <v>#DIV/0!</v>
      </c>
      <c r="I23" s="72" t="e">
        <f>I22*(1.05)^10</f>
        <v>#DIV/0!</v>
      </c>
    </row>
    <row r="27" spans="6:18">
      <c r="F27" s="63" t="s">
        <v>64</v>
      </c>
      <c r="G27" s="85" t="e">
        <f>ROUND(I19-1,2)*100</f>
        <v>#DIV/0!</v>
      </c>
      <c r="H27" s="84" t="e">
        <f>ROUND(H19-1,2)*100</f>
        <v>#DIV/0!</v>
      </c>
      <c r="I27" s="84" t="e">
        <f>ROUND(G19-1,2)*100</f>
        <v>#DIV/0!</v>
      </c>
      <c r="J27" s="89" t="e">
        <f>G27-I27</f>
        <v>#DIV/0!</v>
      </c>
    </row>
    <row r="28" spans="6:18">
      <c r="G28" s="177" t="e">
        <f>G27-H27</f>
        <v>#DIV/0!</v>
      </c>
      <c r="H28" s="178"/>
      <c r="I28" s="86" t="e">
        <f>ROUND(I21-H21,1)</f>
        <v>#DIV/0!</v>
      </c>
    </row>
    <row r="29" spans="6:18">
      <c r="H29" s="179" t="e">
        <f>H27-I27</f>
        <v>#DIV/0!</v>
      </c>
      <c r="I29" s="179"/>
      <c r="J29" s="87" t="e">
        <f>ROUND(H21-G21,1)</f>
        <v>#DIV/0!</v>
      </c>
      <c r="K29" s="88" t="e">
        <f>ROUND(AVERAGE(I28,J29),0)*2</f>
        <v>#DIV/0!</v>
      </c>
      <c r="M29" s="1" t="s">
        <v>65</v>
      </c>
      <c r="N29" s="1">
        <v>5</v>
      </c>
      <c r="O29" s="1">
        <v>10</v>
      </c>
      <c r="P29" s="1">
        <v>15</v>
      </c>
      <c r="Q29" s="1">
        <v>20</v>
      </c>
    </row>
    <row r="30" spans="6:18">
      <c r="G30" s="29"/>
      <c r="H30" s="29"/>
      <c r="L30" s="90" t="e">
        <f>ROUND(K29/J27,2)</f>
        <v>#DIV/0!</v>
      </c>
      <c r="M30" s="1" t="s">
        <v>66</v>
      </c>
      <c r="N30" s="91" t="e">
        <f>$H21-($H$27-N29)*$L$30</f>
        <v>#DIV/0!</v>
      </c>
      <c r="O30" s="91" t="e">
        <f>$H21-($H$27-O29)*$L$30</f>
        <v>#DIV/0!</v>
      </c>
      <c r="P30" s="91" t="e">
        <f>$H21-($H$27-P29)*$L$30</f>
        <v>#DIV/0!</v>
      </c>
      <c r="Q30" s="91" t="e">
        <f>$H21-($H$27-Q29)*$L$30</f>
        <v>#DIV/0!</v>
      </c>
    </row>
    <row r="31" spans="6:18">
      <c r="G31" s="29"/>
      <c r="H31" s="29"/>
    </row>
    <row r="32" spans="6:18">
      <c r="G32" s="29"/>
      <c r="H32" s="29"/>
      <c r="I32" s="93"/>
      <c r="J32" s="92"/>
      <c r="K32" s="92"/>
      <c r="L32" s="93"/>
      <c r="M32" s="93"/>
      <c r="N32" s="93"/>
      <c r="O32" s="93"/>
      <c r="P32" s="93"/>
      <c r="Q32" s="93"/>
      <c r="R32" s="93"/>
    </row>
    <row r="33" spans="6:18">
      <c r="G33" s="29"/>
      <c r="H33" s="29"/>
      <c r="I33" s="92"/>
      <c r="J33" s="93"/>
      <c r="K33" s="92"/>
      <c r="L33" s="93"/>
      <c r="M33" s="93"/>
      <c r="N33" s="93"/>
      <c r="O33" s="93"/>
      <c r="P33" s="93"/>
      <c r="Q33" s="93"/>
      <c r="R33" s="93"/>
    </row>
    <row r="34" spans="6:18">
      <c r="F34" s="67"/>
      <c r="G34" s="67"/>
      <c r="H34" s="94"/>
      <c r="I34" s="94"/>
      <c r="J34" s="92"/>
      <c r="K34" s="92"/>
      <c r="L34" s="93"/>
      <c r="M34" s="93"/>
      <c r="N34" s="93"/>
      <c r="O34" s="93"/>
      <c r="P34" s="93"/>
      <c r="Q34" s="93"/>
      <c r="R34" s="93"/>
    </row>
    <row r="35" spans="6:18">
      <c r="H35" s="92"/>
      <c r="I35" s="92"/>
      <c r="J35" s="92"/>
      <c r="K35" s="92"/>
      <c r="L35" s="93"/>
      <c r="M35" s="93"/>
      <c r="N35" s="93"/>
      <c r="O35" s="93"/>
      <c r="P35" s="93"/>
      <c r="Q35" s="93"/>
      <c r="R35" s="93"/>
    </row>
    <row r="36" spans="6:18">
      <c r="H36" s="92"/>
      <c r="I36" s="92"/>
      <c r="J36" s="92"/>
      <c r="K36" s="92"/>
      <c r="L36" s="93"/>
      <c r="M36" s="93"/>
      <c r="N36" s="93"/>
      <c r="O36" s="93"/>
      <c r="P36" s="93"/>
      <c r="Q36" s="93"/>
      <c r="R36" s="93"/>
    </row>
    <row r="37" spans="6:18">
      <c r="L37" s="93"/>
      <c r="M37" s="93"/>
      <c r="N37" s="93"/>
      <c r="O37" s="93"/>
      <c r="P37" s="93"/>
      <c r="Q37" s="93"/>
      <c r="R37" s="93"/>
    </row>
    <row r="38" spans="6:18">
      <c r="L38" s="93"/>
      <c r="M38" s="93"/>
      <c r="N38" s="93"/>
      <c r="O38" s="93"/>
      <c r="P38" s="93"/>
      <c r="Q38" s="93"/>
      <c r="R38" s="93"/>
    </row>
    <row r="39" spans="6:18">
      <c r="L39" s="93"/>
      <c r="M39" s="93"/>
      <c r="N39" s="93"/>
      <c r="O39" s="93"/>
      <c r="P39" s="93"/>
      <c r="Q39" s="93"/>
      <c r="R39" s="93"/>
    </row>
  </sheetData>
  <mergeCells count="3">
    <mergeCell ref="F2:F12"/>
    <mergeCell ref="G28:H28"/>
    <mergeCell ref="H29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查詢網站</vt:lpstr>
      <vt:lpstr>輸入</vt:lpstr>
      <vt:lpstr>工作表1</vt:lpstr>
      <vt:lpstr>現金流量折現法(PE+EPS)</vt:lpstr>
      <vt:lpstr>EPS &amp; PE 成長率法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2022-04-29T16:18:56Z</dcterms:created>
  <dcterms:modified xsi:type="dcterms:W3CDTF">2022-07-22T05:56:01Z</dcterms:modified>
</cp:coreProperties>
</file>