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GOOGL/"/>
    </mc:Choice>
  </mc:AlternateContent>
  <xr:revisionPtr revIDLastSave="0" documentId="13_ncr:1_{67EF9D18-6361-1246-A841-2B1F58703D84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/>
  <c r="Q13" i="8"/>
  <c r="P13" i="8"/>
  <c r="U36" i="8" l="1"/>
  <c r="W34" i="8"/>
  <c r="L17" i="8" l="1"/>
  <c r="N14" i="8"/>
  <c r="B9" i="8" s="1"/>
  <c r="H59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G17" i="11" l="1"/>
  <c r="G16" i="11"/>
  <c r="I16" i="11"/>
  <c r="G20" i="11" s="1"/>
  <c r="H16" i="11"/>
  <c r="H17" i="11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D2" i="11" l="1"/>
  <c r="D5" i="1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O5" i="8"/>
  <c r="D7" i="11"/>
  <c r="D8" i="11"/>
  <c r="D10" i="11"/>
  <c r="D12" i="11"/>
  <c r="D6" i="11"/>
  <c r="D11" i="11"/>
  <c r="D4" i="11"/>
  <c r="O4" i="8" s="1"/>
  <c r="D9" i="1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<sst xmlns="http://schemas.openxmlformats.org/spreadsheetml/2006/main" count="127" uniqueCount="84">
  <si>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</si>
  <si>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</si>
  <si>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</si>
  <si>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</si>
  <si>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</si>
  <si>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</si>
  <si>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</si>
  <si>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</si>
  <si>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</si>
  <si>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</si>
  <si>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</si>
  <si>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</si>
  <si>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</si>
  <si>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</si>
  <si>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</si>
  <si>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</si>
  <si>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</si>
  <si>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</si>
  <si>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</si>
  <si>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</si>
  <si>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</si>
  <si>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</si>
  <si>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</si>
  <si>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</si>
  <si>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</si>
  <si>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</si>
  <si>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</si>
  <si>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</si>
  <si>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</si>
  <si>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</si>
  <si>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</si>
  <si>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</si>
  <si>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</si>
  <si>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</si>
  <si>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</si>
  <si>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</si>
  <si>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</si>
  <si>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</si>
  <si>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</si>
  <si>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</si>
  <si>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</si>
  <si>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</si>
  <si>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</si>
  <si>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</si>
  <si>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</si>
  <si>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</si>
  <si>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</si>
  <si>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</si>
  <si>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</si>
  <si>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</si>
  <si>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</si>
  <si>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</si>
  <si>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</si>
  <si>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</si>
  <si>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</si>
  <si>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</si>
  <si>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</si>
  <si>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</si>
  <si>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</si>
  <si>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</si>
  <si>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</si>
  <si>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</si>
  <si>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</si>
  <si>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</si>
  <si>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</si>
  <si>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</si>
  <si>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</si>
  <si>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</si>
  <si>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</si>
  <si>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</si>
  <si>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</si>
  <si>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</si>
  <si>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</si>
  <si>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</si>
  <si>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GOOGL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</si>
  <si>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</si>
  <si>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</si>
  <si>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</si>
  <si>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</si>
  <si>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https://www.wsj.com/market-data/quotes/GOOGL?mod=searchresults_companyquotes</t>
  </si>
  <si>
    <t>3 (~2018)</t>
    <phoneticPr fontId="2" type="noConversion"/>
  </si>
  <si>
    <t>4(~2017)</t>
    <phoneticPr fontId="2" type="noConversion"/>
  </si>
  <si>
    <t>5(~2016)</t>
    <phoneticPr fontId="2" type="noConversion"/>
  </si>
  <si>
    <t>6(~2015)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</si>
</sst>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8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14" fontId="6" fillId="8" borderId="0" xfId="0" applyNumberFormat="1" applyFont="1" applyFill="1">
      <alignment vertical="center"/>
    </xf>
    <xf numFmtId="0" fontId="6" fillId="8" borderId="0" xfId="0" applyFont="1" applyFill="1">
      <alignment vertical="center"/>
    </xf>
    <xf numFmtId="8" fontId="6" fillId="8" borderId="0" xfId="0" applyNumberFormat="1" applyFont="1" applyFill="1">
      <alignment vertical="center"/>
    </xf>
    <xf numFmtId="14" fontId="6" fillId="22" borderId="0" xfId="0" applyNumberFormat="1" applyFont="1" applyFill="1">
      <alignment vertical="center"/>
    </xf>
    <xf numFmtId="0" fontId="6" fillId="22" borderId="0" xfId="0" applyFont="1" applyFill="1">
      <alignment vertical="center"/>
    </xf>
    <xf numFmtId="8" fontId="6" fillId="22" borderId="0" xfId="0" applyNumberFormat="1" applyFont="1" applyFill="1">
      <alignment vertical="center"/>
    </xf>
    <xf numFmtId="14" fontId="6" fillId="23" borderId="0" xfId="0" applyNumberFormat="1" applyFont="1" applyFill="1">
      <alignment vertical="center"/>
    </xf>
    <xf numFmtId="0" fontId="6" fillId="23" borderId="0" xfId="0" applyFont="1" applyFill="1">
      <alignment vertical="center"/>
    </xf>
    <xf numFmtId="8" fontId="6" fillId="23" borderId="0" xfId="0" applyNumberFormat="1" applyFont="1" applyFill="1">
      <alignment vertical="center"/>
    </xf>
    <xf numFmtId="14" fontId="6" fillId="24" borderId="0" xfId="0" applyNumberFormat="1" applyFont="1" applyFill="1">
      <alignment vertical="center"/>
    </xf>
    <xf numFmtId="0" fontId="6" fillId="24" borderId="0" xfId="0" applyFont="1" applyFill="1">
      <alignment vertical="center"/>
    </xf>
    <xf numFmtId="8" fontId="6" fillId="24" borderId="0" xfId="0" applyNumberFormat="1" applyFont="1" applyFill="1">
      <alignment vertical="center"/>
    </xf>
    <xf numFmtId="14" fontId="6" fillId="6" borderId="0" xfId="0" applyNumberFormat="1" applyFont="1" applyFill="1">
      <alignment vertical="center"/>
    </xf>
    <xf numFmtId="0" fontId="6" fillId="6" borderId="0" xfId="0" applyFont="1" applyFill="1">
      <alignment vertical="center"/>
    </xf>
    <xf numFmtId="8" fontId="6" fillId="6" borderId="0" xfId="0" applyNumberFormat="1" applyFont="1" applyFill="1">
      <alignment vertical="center"/>
    </xf>
    <xf numFmtId="14" fontId="6" fillId="18" borderId="0" xfId="0" applyNumberFormat="1" applyFont="1" applyFill="1">
      <alignment vertical="center"/>
    </xf>
    <xf numFmtId="0" fontId="6" fillId="18" borderId="0" xfId="0" applyFont="1" applyFill="1">
      <alignment vertical="center"/>
    </xf>
    <xf numFmtId="8" fontId="6" fillId="18" borderId="0" xfId="0" applyNumberFormat="1" applyFont="1" applyFill="1">
      <alignment vertical="center"/>
    </xf>
    <xf numFmtId="14" fontId="6" fillId="25" borderId="0" xfId="0" applyNumberFormat="1" applyFont="1" applyFill="1">
      <alignment vertical="center"/>
    </xf>
    <xf numFmtId="0" fontId="6" fillId="25" borderId="0" xfId="0" applyFont="1" applyFill="1">
      <alignment vertical="center"/>
    </xf>
    <xf numFmtId="8" fontId="6" fillId="25" borderId="0" xfId="0" applyNumberFormat="1" applyFont="1" applyFill="1">
      <alignment vertical="center"/>
    </xf>
    <xf numFmtId="14" fontId="6" fillId="26" borderId="0" xfId="0" applyNumberFormat="1" applyFont="1" applyFill="1">
      <alignment vertical="center"/>
    </xf>
    <xf numFmtId="0" fontId="6" fillId="26" borderId="0" xfId="0" applyFont="1" applyFill="1">
      <alignment vertical="center"/>
    </xf>
    <xf numFmtId="8" fontId="6" fillId="26" borderId="0" xfId="0" applyNumberFormat="1" applyFont="1" applyFill="1">
      <alignment vertical="center"/>
    </xf>
    <xf numFmtId="14" fontId="6" fillId="9" borderId="0" xfId="0" applyNumberFormat="1" applyFont="1" applyFill="1">
      <alignment vertical="center"/>
    </xf>
    <xf numFmtId="0" fontId="6" fillId="9" borderId="0" xfId="0" applyFont="1" applyFill="1">
      <alignment vertical="center"/>
    </xf>
    <xf numFmtId="8" fontId="6" fillId="9" borderId="0" xfId="0" applyNumberFormat="1" applyFont="1" applyFill="1">
      <alignment vertical="center"/>
    </xf>
    <xf numFmtId="14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8" fontId="6" fillId="4" borderId="0" xfId="0" applyNumberFormat="1" applyFont="1" applyFill="1">
      <alignment vertical="center"/>
    </xf>
    <xf numFmtId="14" fontId="6" fillId="11" borderId="0" xfId="0" applyNumberFormat="1" applyFont="1" applyFill="1">
      <alignment vertical="center"/>
    </xf>
    <xf numFmtId="0" fontId="6" fillId="11" borderId="0" xfId="0" applyFont="1" applyFill="1">
      <alignment vertical="center"/>
    </xf>
    <xf numFmtId="8" fontId="6" fillId="11" borderId="0" xfId="0" applyNumberFormat="1" applyFont="1" applyFill="1">
      <alignment vertical="center"/>
    </xf>
    <xf numFmtId="14" fontId="6" fillId="27" borderId="0" xfId="0" applyNumberFormat="1" applyFont="1" applyFill="1">
      <alignment vertical="center"/>
    </xf>
    <xf numFmtId="0" fontId="6" fillId="27" borderId="0" xfId="0" applyFont="1" applyFill="1">
      <alignment vertical="center"/>
    </xf>
    <xf numFmtId="8" fontId="6" fillId="27" borderId="0" xfId="0" applyNumberFormat="1" applyFont="1" applyFill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8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44" fillId="28" borderId="9" xfId="0" applyFont="1" applyFill="1" applyBorder="1" applyAlignment="1">
      <alignment horizontal="center" vertical="center"/>
    </xf>
    <xf numFmtId="0" fontId="44" fillId="28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14" fontId="6" fillId="0" borderId="1" xfId="0" applyNumberFormat="1" applyFont="1" applyFill="1" applyBorder="1">
      <alignment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輸入!$I$8:$I$23</c:f>
              <c:numCache>
                <c:formatCode>m/d/yy</c:formatCode>
                <c:ptCount val="16"/>
                <c:pt idx="0">
                  <c:v>44196</c:v>
                </c:pt>
                <c:pt idx="1">
                  <c:v>44104</c:v>
                </c:pt>
                <c:pt idx="2">
                  <c:v>44012</c:v>
                </c:pt>
                <c:pt idx="3">
                  <c:v>43921</c:v>
                </c:pt>
                <c:pt idx="4">
                  <c:v>43830</c:v>
                </c:pt>
                <c:pt idx="5">
                  <c:v>43738</c:v>
                </c:pt>
                <c:pt idx="6">
                  <c:v>43646</c:v>
                </c:pt>
                <c:pt idx="7">
                  <c:v>43555</c:v>
                </c:pt>
                <c:pt idx="8">
                  <c:v>43465</c:v>
                </c:pt>
                <c:pt idx="9">
                  <c:v>43373</c:v>
                </c:pt>
                <c:pt idx="10">
                  <c:v>43281</c:v>
                </c:pt>
                <c:pt idx="11">
                  <c:v>43190</c:v>
                </c:pt>
                <c:pt idx="12">
                  <c:v>43100</c:v>
                </c:pt>
                <c:pt idx="13">
                  <c:v>43008</c:v>
                </c:pt>
                <c:pt idx="14">
                  <c:v>42916</c:v>
                </c:pt>
                <c:pt idx="15">
                  <c:v>42825</c:v>
                </c:pt>
              </c:numCache>
            </c:numRef>
          </c:xVal>
          <c:yVal>
            <c:numRef>
              <c:f>輸入!$J$8:$J$23</c:f>
              <c:numCache>
                <c:formatCode>General</c:formatCode>
                <c:ptCount val="16"/>
                <c:pt idx="0">
                  <c:v>1.49</c:v>
                </c:pt>
                <c:pt idx="1">
                  <c:v>1.42</c:v>
                </c:pt>
                <c:pt idx="2">
                  <c:v>1.56</c:v>
                </c:pt>
                <c:pt idx="3">
                  <c:v>1.17</c:v>
                </c:pt>
                <c:pt idx="4">
                  <c:v>1.36</c:v>
                </c:pt>
                <c:pt idx="5">
                  <c:v>1.31</c:v>
                </c:pt>
                <c:pt idx="6">
                  <c:v>1.0900000000000001</c:v>
                </c:pt>
                <c:pt idx="7">
                  <c:v>1.48</c:v>
                </c:pt>
                <c:pt idx="8">
                  <c:v>1.2</c:v>
                </c:pt>
                <c:pt idx="13">
                  <c:v>1.63</c:v>
                </c:pt>
                <c:pt idx="14">
                  <c:v>1.69</c:v>
                </c:pt>
                <c:pt idx="15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工作表1!$E$11:$E$39</c:f>
              <c:numCache>
                <c:formatCode>m/d/yy</c:formatCode>
                <c:ptCount val="29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</c:numCache>
            </c:numRef>
          </c:xVal>
          <c:yVal>
            <c:numRef>
              <c:f>工作表1!$F$11:$F$39</c:f>
              <c:numCache>
                <c:formatCode>"$"#,##0.00_);[Red]\("$"#,##0.00\)</c:formatCode>
                <c:ptCount val="29"/>
                <c:pt idx="0">
                  <c:v>110.56</c:v>
                </c:pt>
                <c:pt idx="1">
                  <c:v>112.23</c:v>
                </c:pt>
                <c:pt idx="2">
                  <c:v>103.84</c:v>
                </c:pt>
                <c:pt idx="3">
                  <c:v>92.25</c:v>
                </c:pt>
                <c:pt idx="4">
                  <c:v>75.12</c:v>
                </c:pt>
                <c:pt idx="5">
                  <c:v>58.7</c:v>
                </c:pt>
                <c:pt idx="6">
                  <c:v>51.75</c:v>
                </c:pt>
                <c:pt idx="7">
                  <c:v>45.47</c:v>
                </c:pt>
                <c:pt idx="8">
                  <c:v>49.55</c:v>
                </c:pt>
                <c:pt idx="9">
                  <c:v>49.18</c:v>
                </c:pt>
                <c:pt idx="10">
                  <c:v>46.6</c:v>
                </c:pt>
                <c:pt idx="11">
                  <c:v>49.54</c:v>
                </c:pt>
                <c:pt idx="12">
                  <c:v>39.869999999999997</c:v>
                </c:pt>
                <c:pt idx="13">
                  <c:v>43.7</c:v>
                </c:pt>
                <c:pt idx="14">
                  <c:v>26.58</c:v>
                </c:pt>
                <c:pt idx="15">
                  <c:v>23.09</c:v>
                </c:pt>
                <c:pt idx="16">
                  <c:v>23.56</c:v>
                </c:pt>
                <c:pt idx="17">
                  <c:v>17.96</c:v>
                </c:pt>
                <c:pt idx="18">
                  <c:v>29.87</c:v>
                </c:pt>
                <c:pt idx="19">
                  <c:v>27.55</c:v>
                </c:pt>
                <c:pt idx="20">
                  <c:v>29.54</c:v>
                </c:pt>
                <c:pt idx="21">
                  <c:v>27.83</c:v>
                </c:pt>
                <c:pt idx="22">
                  <c:v>27.33</c:v>
                </c:pt>
                <c:pt idx="23">
                  <c:v>25.81</c:v>
                </c:pt>
                <c:pt idx="24">
                  <c:v>23.74</c:v>
                </c:pt>
                <c:pt idx="25">
                  <c:v>22.92</c:v>
                </c:pt>
                <c:pt idx="26">
                  <c:v>22.77</c:v>
                </c:pt>
                <c:pt idx="27">
                  <c:v>21.13</c:v>
                </c:pt>
                <c:pt idx="28">
                  <c:v>21.19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1-FF48-9BC0-BDF0CE9D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11039"/>
        <c:axId val="1716643039"/>
      </c:scatterChart>
      <c:valAx>
        <c:axId val="17081110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643039"/>
        <c:crosses val="autoZero"/>
        <c:crossBetween val="midCat"/>
      </c:valAx>
      <c:valAx>
        <c:axId val="17166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19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584168</xdr:colOff>
      <xdr:row>34</xdr:row>
      <xdr:rowOff>92245</xdr:rowOff>
    </xdr:from>
    <xdr:to>
      <xdr:col>18</xdr:col>
      <xdr:colOff>298995</xdr:colOff>
      <xdr:row>36</xdr:row>
      <xdr:rowOff>54366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432322">
          <a:off x="12335157" y="9833564"/>
          <a:ext cx="5199552" cy="520362"/>
          <a:chOff x="12323705" y="9219259"/>
          <a:chExt cx="7537684" cy="511458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23705" y="9730716"/>
            <a:ext cx="7514164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107338</xdr:colOff>
      <xdr:row>34</xdr:row>
      <xdr:rowOff>139132</xdr:rowOff>
    </xdr:from>
    <xdr:to>
      <xdr:col>18</xdr:col>
      <xdr:colOff>208938</xdr:colOff>
      <xdr:row>34</xdr:row>
      <xdr:rowOff>224021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17343052" y="9880451"/>
          <a:ext cx="101600" cy="8488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584168</xdr:colOff>
      <xdr:row>35</xdr:row>
      <xdr:rowOff>92244</xdr:rowOff>
    </xdr:from>
    <xdr:to>
      <xdr:col>18</xdr:col>
      <xdr:colOff>282771</xdr:colOff>
      <xdr:row>35</xdr:row>
      <xdr:rowOff>92245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FFB20F93-4C43-4548-8C57-C4D81995597D}"/>
            </a:ext>
          </a:extLst>
        </xdr:cNvPr>
        <xdr:cNvCxnSpPr/>
      </xdr:nvCxnSpPr>
      <xdr:spPr>
        <a:xfrm rot="432322" flipV="1">
          <a:off x="12335157" y="10112684"/>
          <a:ext cx="5183328" cy="1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638877</xdr:colOff>
      <xdr:row>33</xdr:row>
      <xdr:rowOff>119041</xdr:rowOff>
    </xdr:from>
    <xdr:to>
      <xdr:col>18</xdr:col>
      <xdr:colOff>337480</xdr:colOff>
      <xdr:row>33</xdr:row>
      <xdr:rowOff>119042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AE8221EA-130B-D843-B3DF-7961E1352557}"/>
            </a:ext>
          </a:extLst>
        </xdr:cNvPr>
        <xdr:cNvCxnSpPr/>
      </xdr:nvCxnSpPr>
      <xdr:spPr>
        <a:xfrm rot="432322" flipV="1">
          <a:off x="12389866" y="9581239"/>
          <a:ext cx="5183328" cy="1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40</xdr:row>
      <xdr:rowOff>25400</xdr:rowOff>
    </xdr:from>
    <xdr:to>
      <xdr:col>16</xdr:col>
      <xdr:colOff>304800</xdr:colOff>
      <xdr:row>59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301169-1125-75BC-3750-093571BB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GOOGL?mod=searchresults_companyquotes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X109"/>
  <sheetViews>
    <sheetView tabSelected="1" topLeftCell="F25" zoomScale="91" zoomScaleNormal="75" workbookViewId="0">
      <selection activeCell="T39" sqref="T39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5.33203125" customWidth="1"/>
    <col min="17" max="17" width="4.6640625" customWidth="1"/>
    <col min="18" max="18" width="3.6640625" customWidth="1"/>
    <col min="19" max="19" width="5.5" customWidth="1"/>
  </cols>
  <sheetData>
    <row r="1" spans="1:17" ht="36">
      <c r="A1" s="28" t="s">
        <v>22</v>
      </c>
      <c r="B1" s="49">
        <v>112</v>
      </c>
      <c r="C1" s="53" t="s">
        <v>74</v>
      </c>
      <c r="D1" s="52" t="s">
        <v>46</v>
      </c>
      <c r="F1" s="163" t="s">
        <v>51</v>
      </c>
      <c r="G1" s="163"/>
      <c r="H1" s="75"/>
      <c r="I1" s="30" t="s">
        <v>23</v>
      </c>
      <c r="J1" s="99" t="s">
        <v>45</v>
      </c>
      <c r="K1" s="76" t="s">
        <v>37</v>
      </c>
      <c r="L1" s="77" t="s">
        <v>23</v>
      </c>
      <c r="M1" s="78" t="s">
        <v>6</v>
      </c>
      <c r="N1" s="77" t="s">
        <v>61</v>
      </c>
      <c r="O1" s="78" t="s">
        <v>52</v>
      </c>
      <c r="Q1" s="56"/>
    </row>
    <row r="2" spans="1:17" ht="29">
      <c r="A2" s="14" t="s">
        <v>7</v>
      </c>
      <c r="B2" s="8">
        <v>13</v>
      </c>
      <c r="C2" s="29">
        <f>(1+(B2/100))</f>
        <v>1.1299999999999999</v>
      </c>
      <c r="F2" s="164" t="s">
        <v>49</v>
      </c>
      <c r="G2" s="166"/>
      <c r="I2" s="177">
        <v>44761</v>
      </c>
      <c r="J2" s="174">
        <v>1.03</v>
      </c>
      <c r="K2" s="100">
        <f>ROUND(STDEV(J8:J23),2)</f>
        <v>0.19</v>
      </c>
      <c r="L2" s="81">
        <v>2020</v>
      </c>
      <c r="M2" s="145">
        <v>51.367500000000007</v>
      </c>
      <c r="N2" s="62" t="s">
        <v>80</v>
      </c>
      <c r="O2" s="61">
        <f>'EPS &amp; PE 成長率法'!D2</f>
        <v>20.67</v>
      </c>
      <c r="P2" s="29"/>
      <c r="Q2" s="56"/>
    </row>
    <row r="3" spans="1:17" ht="29">
      <c r="A3" s="14" t="s">
        <v>8</v>
      </c>
      <c r="B3" s="8">
        <v>10</v>
      </c>
      <c r="C3" s="29">
        <f>(1+(B3/100))</f>
        <v>1.1000000000000001</v>
      </c>
      <c r="F3" s="165"/>
      <c r="G3" s="166"/>
      <c r="I3" s="177">
        <v>44651</v>
      </c>
      <c r="J3" s="174">
        <v>1.26</v>
      </c>
      <c r="K3" s="155" t="s">
        <v>63</v>
      </c>
      <c r="L3" s="81">
        <v>2019</v>
      </c>
      <c r="M3" s="145">
        <v>46.297499999999999</v>
      </c>
      <c r="N3" s="64" t="s">
        <v>81</v>
      </c>
      <c r="O3" s="65">
        <f>'EPS &amp; PE 成長率法'!D3</f>
        <v>18.3</v>
      </c>
      <c r="P3" s="176">
        <v>18.3</v>
      </c>
      <c r="Q3" s="56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97">
        <v>1</v>
      </c>
      <c r="G4" s="55"/>
      <c r="I4" s="177">
        <v>44561</v>
      </c>
      <c r="J4" s="174">
        <v>1.29</v>
      </c>
      <c r="K4" s="156"/>
      <c r="L4" s="81">
        <v>2018</v>
      </c>
      <c r="M4" s="145">
        <v>29.232500000000002</v>
      </c>
      <c r="N4" s="62" t="s">
        <v>82</v>
      </c>
      <c r="O4" s="61">
        <f>'EPS &amp; PE 成長率法'!D4</f>
        <v>14.43</v>
      </c>
      <c r="P4" s="29"/>
      <c r="Q4" s="56"/>
    </row>
    <row r="5" spans="1:17" ht="29">
      <c r="A5" s="14" t="s">
        <v>67</v>
      </c>
      <c r="B5" s="8">
        <v>45</v>
      </c>
      <c r="D5" s="54" t="s">
        <v>71</v>
      </c>
      <c r="F5" s="97">
        <v>2</v>
      </c>
      <c r="G5" s="55"/>
      <c r="I5" s="177">
        <v>44469</v>
      </c>
      <c r="J5" s="174">
        <v>1.29</v>
      </c>
      <c r="K5" s="101">
        <f>ROUND(AVERAGE(J8:J23),2)</f>
        <v>1.4</v>
      </c>
      <c r="L5" s="81">
        <v>2017</v>
      </c>
      <c r="M5" s="145">
        <v>26.229999999999997</v>
      </c>
      <c r="N5" s="62" t="s">
        <v>83</v>
      </c>
      <c r="O5" s="61">
        <f>'EPS &amp; PE 成長率法'!D5</f>
        <v>15.18</v>
      </c>
      <c r="P5" s="29">
        <v>15.18</v>
      </c>
      <c r="Q5" s="56"/>
    </row>
    <row r="6" spans="1:17" ht="22" customHeight="1">
      <c r="A6" s="14" t="s">
        <v>4</v>
      </c>
      <c r="B6" s="35">
        <v>0.6</v>
      </c>
      <c r="F6" s="97">
        <v>3</v>
      </c>
      <c r="G6" s="98"/>
      <c r="I6" s="177">
        <v>44377</v>
      </c>
      <c r="J6" s="174">
        <v>1.6</v>
      </c>
      <c r="K6" s="10"/>
      <c r="L6" s="174">
        <v>2016</v>
      </c>
      <c r="M6" s="175">
        <v>26.177499999999998</v>
      </c>
      <c r="N6" s="62"/>
      <c r="O6" s="61"/>
      <c r="P6" s="29"/>
    </row>
    <row r="7" spans="1:17" ht="22" customHeight="1">
      <c r="A7" s="14" t="s">
        <v>21</v>
      </c>
      <c r="B7" s="35">
        <v>0</v>
      </c>
      <c r="C7" s="29">
        <f>(1+(B7/100))</f>
        <v>1</v>
      </c>
      <c r="F7" s="97">
        <v>4</v>
      </c>
      <c r="G7" s="55"/>
      <c r="I7" s="177">
        <v>44286</v>
      </c>
      <c r="J7" s="174">
        <v>1.37</v>
      </c>
      <c r="K7" s="10"/>
      <c r="L7" s="174">
        <v>2015</v>
      </c>
      <c r="M7" s="175">
        <v>22.002499999999998</v>
      </c>
      <c r="N7" s="62"/>
      <c r="O7" s="61"/>
      <c r="P7" s="29"/>
    </row>
    <row r="8" spans="1:17" ht="22" customHeight="1">
      <c r="A8" s="96" t="s">
        <v>68</v>
      </c>
      <c r="B8" s="8">
        <v>8</v>
      </c>
      <c r="D8" s="63" t="s">
        <v>70</v>
      </c>
      <c r="F8" s="97">
        <v>5</v>
      </c>
      <c r="G8" s="55"/>
      <c r="I8" s="82">
        <v>44196</v>
      </c>
      <c r="J8" s="81">
        <v>1.49</v>
      </c>
      <c r="K8" s="10"/>
      <c r="L8" s="174"/>
      <c r="M8" s="175"/>
      <c r="N8" s="62"/>
      <c r="O8" s="61"/>
      <c r="P8" s="29"/>
    </row>
    <row r="9" spans="1:17" ht="22" customHeight="1">
      <c r="A9" s="46" t="s">
        <v>69</v>
      </c>
      <c r="B9" s="60">
        <f>N14</f>
        <v>16.740000000000002</v>
      </c>
      <c r="C9" s="29">
        <f>(1+(B9/100))</f>
        <v>1.1674</v>
      </c>
      <c r="F9" s="97">
        <v>6</v>
      </c>
      <c r="G9" s="55"/>
      <c r="I9" s="82">
        <v>44104</v>
      </c>
      <c r="J9" s="81">
        <v>1.42</v>
      </c>
      <c r="K9" s="10"/>
      <c r="L9" s="174"/>
      <c r="M9" s="175"/>
      <c r="N9" s="62"/>
      <c r="O9" s="61"/>
      <c r="P9" s="29"/>
    </row>
    <row r="10" spans="1:17" ht="18" customHeight="1">
      <c r="A10" s="46" t="s">
        <v>38</v>
      </c>
      <c r="B10" s="50">
        <v>5</v>
      </c>
      <c r="C10" s="29">
        <f>(1+(B10/100))</f>
        <v>1.05</v>
      </c>
      <c r="D10" s="63" t="s">
        <v>41</v>
      </c>
      <c r="F10" s="97">
        <v>7</v>
      </c>
      <c r="G10" s="55"/>
      <c r="I10" s="82">
        <v>44012</v>
      </c>
      <c r="J10" s="81">
        <v>1.56</v>
      </c>
      <c r="K10" s="10"/>
      <c r="L10" s="174"/>
      <c r="M10" s="175"/>
      <c r="N10" s="62"/>
      <c r="O10" s="61"/>
      <c r="P10" s="29"/>
    </row>
    <row r="11" spans="1:17" ht="22">
      <c r="A11" s="46" t="s">
        <v>54</v>
      </c>
      <c r="B11" s="50">
        <v>0.74</v>
      </c>
      <c r="F11" s="97">
        <v>8</v>
      </c>
      <c r="G11" s="55"/>
      <c r="I11" s="82">
        <v>43921</v>
      </c>
      <c r="J11" s="81">
        <v>1.17</v>
      </c>
      <c r="K11" s="10"/>
      <c r="L11" s="174"/>
      <c r="M11" s="175"/>
      <c r="N11" s="62"/>
      <c r="O11" s="61"/>
      <c r="P11" s="29"/>
    </row>
    <row r="12" spans="1:17" ht="22" customHeight="1">
      <c r="F12" s="97">
        <v>9</v>
      </c>
      <c r="G12" s="55"/>
      <c r="I12" s="82">
        <v>43830</v>
      </c>
      <c r="J12" s="81">
        <v>1.36</v>
      </c>
      <c r="K12" s="10"/>
      <c r="L12" s="174"/>
      <c r="M12" s="175"/>
      <c r="N12" s="62"/>
      <c r="O12" s="61"/>
      <c r="P12" s="29"/>
    </row>
    <row r="13" spans="1:17" ht="22" customHeight="1">
      <c r="A13" s="168" t="s">
        <v>48</v>
      </c>
      <c r="B13" s="169"/>
      <c r="F13" s="97">
        <v>10</v>
      </c>
      <c r="G13" s="55"/>
      <c r="I13" s="82">
        <v>43738</v>
      </c>
      <c r="J13" s="81">
        <v>1.31</v>
      </c>
      <c r="K13" s="10"/>
      <c r="L13" s="174"/>
      <c r="M13" s="175"/>
      <c r="N13" s="161" t="s">
        <v>55</v>
      </c>
      <c r="O13" s="162"/>
      <c r="P13">
        <f>MIN(P2:P5)</f>
        <v>15.18</v>
      </c>
      <c r="Q13">
        <f>MAX(P2:P5)</f>
        <v>18.3</v>
      </c>
    </row>
    <row r="14" spans="1:17" ht="20" customHeight="1">
      <c r="A14" s="167" t="s">
        <v>47</v>
      </c>
      <c r="B14" s="167"/>
      <c r="F14" s="97">
        <v>11</v>
      </c>
      <c r="G14" s="55"/>
      <c r="I14" s="82">
        <v>43646</v>
      </c>
      <c r="J14" s="81">
        <v>1.0900000000000001</v>
      </c>
      <c r="K14" s="10"/>
      <c r="L14" s="174"/>
      <c r="M14" s="175"/>
      <c r="N14" s="160">
        <f>AVERAGE(P2:P12)</f>
        <v>16.740000000000002</v>
      </c>
      <c r="O14" s="160"/>
    </row>
    <row r="15" spans="1:17" ht="22">
      <c r="F15" s="97">
        <v>12</v>
      </c>
      <c r="G15" s="55"/>
      <c r="I15" s="82">
        <v>43555</v>
      </c>
      <c r="J15" s="81">
        <v>1.48</v>
      </c>
      <c r="K15" s="10"/>
      <c r="L15" s="157" t="s">
        <v>63</v>
      </c>
      <c r="M15" s="157"/>
    </row>
    <row r="16" spans="1:17" ht="26" customHeight="1">
      <c r="A16" s="79" t="s">
        <v>43</v>
      </c>
      <c r="F16" s="97">
        <v>13</v>
      </c>
      <c r="G16" s="55"/>
      <c r="I16" s="82">
        <v>43465</v>
      </c>
      <c r="J16" s="81">
        <v>1.2</v>
      </c>
      <c r="K16" s="10"/>
      <c r="L16" s="157"/>
      <c r="M16" s="157"/>
      <c r="N16" s="10"/>
      <c r="O16" s="11"/>
    </row>
    <row r="17" spans="1:21" ht="24" customHeight="1">
      <c r="A17" s="80" t="s">
        <v>11</v>
      </c>
      <c r="B17" s="20" t="s">
        <v>15</v>
      </c>
      <c r="C17" s="20" t="s">
        <v>16</v>
      </c>
      <c r="D17" s="20" t="s">
        <v>17</v>
      </c>
      <c r="F17" s="97">
        <v>14</v>
      </c>
      <c r="G17" s="55"/>
      <c r="I17" s="82">
        <v>43373</v>
      </c>
      <c r="J17" s="81"/>
      <c r="K17" s="10"/>
      <c r="L17" s="158">
        <f>ROUND(AVERAGE(M2:M9),2)</f>
        <v>33.549999999999997</v>
      </c>
      <c r="M17" s="159"/>
      <c r="N17" s="10"/>
      <c r="O17" s="10"/>
    </row>
    <row r="18" spans="1:21" ht="18" customHeight="1">
      <c r="A18" s="80" t="s">
        <v>18</v>
      </c>
      <c r="B18" s="9">
        <f>'現金流量折現法(PE+EPS)'!B30</f>
        <v>397.739822506</v>
      </c>
      <c r="C18" s="9">
        <f>'現金流量折現法(PE+EPS)'!C30</f>
        <v>424.21216904572458</v>
      </c>
      <c r="D18" s="9">
        <f>'現金流量折現法(PE+EPS)'!D30</f>
        <v>499.2288700091359</v>
      </c>
      <c r="F18" s="97">
        <v>15</v>
      </c>
      <c r="G18" s="55"/>
      <c r="I18" s="82">
        <v>43281</v>
      </c>
      <c r="J18" s="81"/>
      <c r="K18" s="10"/>
      <c r="N18" s="10"/>
      <c r="O18" s="10"/>
    </row>
    <row r="19" spans="1:21" ht="47" customHeight="1">
      <c r="A19" s="80" t="s">
        <v>19</v>
      </c>
      <c r="B19" s="9">
        <f>'現金流量折現法(PE+EPS)'!B31</f>
        <v>430.63559729972928</v>
      </c>
      <c r="C19" s="9">
        <f>'現金流量折現法(PE+EPS)'!C31</f>
        <v>484.81390748082805</v>
      </c>
      <c r="D19" s="9">
        <f>'現金流量折現法(PE+EPS)'!D31</f>
        <v>653.43083757952536</v>
      </c>
      <c r="F19" s="97">
        <v>16</v>
      </c>
      <c r="G19" s="55"/>
      <c r="I19" s="82">
        <v>43190</v>
      </c>
      <c r="J19" s="81"/>
      <c r="K19" s="102" t="s">
        <v>72</v>
      </c>
      <c r="L19" s="76">
        <v>3</v>
      </c>
      <c r="M19" s="103">
        <v>4</v>
      </c>
      <c r="N19" s="76">
        <v>5</v>
      </c>
      <c r="O19" s="103">
        <v>6</v>
      </c>
      <c r="P19" s="103">
        <v>7</v>
      </c>
      <c r="Q19" s="103">
        <v>8</v>
      </c>
      <c r="R19" s="103">
        <v>9</v>
      </c>
      <c r="S19" s="76">
        <v>10</v>
      </c>
    </row>
    <row r="20" spans="1:21" ht="20" customHeight="1">
      <c r="A20" s="80" t="s">
        <v>20</v>
      </c>
      <c r="B20" s="9">
        <f>'現金流量折現法(PE+EPS)'!B32</f>
        <v>511.37977179342846</v>
      </c>
      <c r="C20" s="9">
        <f>'現金流量折現法(PE+EPS)'!C32</f>
        <v>639.79540249519118</v>
      </c>
      <c r="D20" s="9">
        <f>'現金流量折現法(PE+EPS)'!D32</f>
        <v>1143.5039657641694</v>
      </c>
      <c r="F20" s="97">
        <v>17</v>
      </c>
      <c r="G20" s="55"/>
      <c r="I20" s="82">
        <v>43100</v>
      </c>
      <c r="J20" s="81"/>
      <c r="K20" s="154" t="s">
        <v>73</v>
      </c>
      <c r="L20" s="104">
        <f>'EPS &amp; PE 成長率法'!G2</f>
        <v>20.67</v>
      </c>
      <c r="M20" s="105">
        <f>'EPS &amp; PE 成長率法'!H2</f>
        <v>18.3</v>
      </c>
      <c r="N20" s="104"/>
      <c r="O20" s="105">
        <f>'EPS &amp; PE 成長率法'!J2</f>
        <v>15.18</v>
      </c>
      <c r="P20" s="105" t="e">
        <f>'EPS &amp; PE 成長率法'!K2</f>
        <v>#DIV/0!</v>
      </c>
      <c r="Q20" s="105" t="e">
        <f>'EPS &amp; PE 成長率法'!L2</f>
        <v>#DIV/0!</v>
      </c>
      <c r="R20" s="105" t="e">
        <f>'EPS &amp; PE 成長率法'!M2</f>
        <v>#DIV/0!</v>
      </c>
      <c r="S20" s="104"/>
    </row>
    <row r="21" spans="1:21" ht="18" customHeight="1">
      <c r="A21" s="75"/>
      <c r="C21"/>
      <c r="D21"/>
      <c r="F21" s="97">
        <v>18</v>
      </c>
      <c r="G21" s="55"/>
      <c r="I21" s="82">
        <v>43008</v>
      </c>
      <c r="J21" s="81">
        <v>1.63</v>
      </c>
      <c r="K21" s="154"/>
      <c r="L21" s="104">
        <f>'EPS &amp; PE 成長率法'!G3</f>
        <v>20.85</v>
      </c>
      <c r="M21" s="105">
        <f>'EPS &amp; PE 成長率法'!H3</f>
        <v>15.32</v>
      </c>
      <c r="N21" s="104">
        <f>'EPS &amp; PE 成長率法'!I3</f>
        <v>16.04</v>
      </c>
      <c r="O21" s="105" t="e">
        <f>'EPS &amp; PE 成長率法'!J3</f>
        <v>#DIV/0!</v>
      </c>
      <c r="P21" s="105" t="e">
        <f>'EPS &amp; PE 成長率法'!K3</f>
        <v>#DIV/0!</v>
      </c>
      <c r="Q21" s="105" t="e">
        <f>'EPS &amp; PE 成長率法'!L3</f>
        <v>#DIV/0!</v>
      </c>
      <c r="R21" s="105" t="e">
        <f>'EPS &amp; PE 成長率法'!M3</f>
        <v>#DIV/0!</v>
      </c>
      <c r="S21" s="104" t="e">
        <f>'EPS &amp; PE 成長率法'!N3</f>
        <v>#DIV/0!</v>
      </c>
    </row>
    <row r="22" spans="1:21" ht="18" customHeight="1">
      <c r="A22" s="79" t="s">
        <v>50</v>
      </c>
      <c r="F22" s="97">
        <v>19</v>
      </c>
      <c r="G22" s="55"/>
      <c r="I22" s="82">
        <v>42916</v>
      </c>
      <c r="J22" s="81">
        <v>1.69</v>
      </c>
      <c r="K22" s="154"/>
      <c r="L22" s="104"/>
      <c r="M22" s="105">
        <f>'EPS &amp; PE 成長率法'!H4</f>
        <v>7.36</v>
      </c>
      <c r="N22" s="104" t="e">
        <f>'EPS &amp; PE 成長率法'!I4</f>
        <v>#DIV/0!</v>
      </c>
      <c r="O22" s="105" t="e">
        <f>'EPS &amp; PE 成長率法'!J4</f>
        <v>#DIV/0!</v>
      </c>
      <c r="P22" s="105" t="e">
        <f>'EPS &amp; PE 成長率法'!K4</f>
        <v>#DIV/0!</v>
      </c>
      <c r="Q22" s="105" t="e">
        <f>'EPS &amp; PE 成長率法'!L4</f>
        <v>#DIV/0!</v>
      </c>
      <c r="R22" s="105" t="e">
        <f>'EPS &amp; PE 成長率法'!M4</f>
        <v>#DIV/0!</v>
      </c>
      <c r="S22" s="104"/>
    </row>
    <row r="23" spans="1:21" ht="20" customHeight="1">
      <c r="A23" s="80" t="s">
        <v>11</v>
      </c>
      <c r="B23" s="20" t="s">
        <v>15</v>
      </c>
      <c r="C23" s="20" t="s">
        <v>16</v>
      </c>
      <c r="D23" s="20" t="s">
        <v>17</v>
      </c>
      <c r="F23" s="97">
        <v>20</v>
      </c>
      <c r="G23" s="55"/>
      <c r="I23" s="82">
        <v>42825</v>
      </c>
      <c r="J23" s="81">
        <v>1.44</v>
      </c>
      <c r="K23" s="154"/>
      <c r="L23" s="104">
        <f>'EPS &amp; PE 成長率法'!G5</f>
        <v>6.03</v>
      </c>
      <c r="M23" s="105" t="e">
        <f>'EPS &amp; PE 成長率法'!H5</f>
        <v>#DIV/0!</v>
      </c>
      <c r="N23" s="104" t="e">
        <f>'EPS &amp; PE 成長率法'!I5</f>
        <v>#DIV/0!</v>
      </c>
      <c r="O23" s="105" t="e">
        <f>'EPS &amp; PE 成長率法'!J5</f>
        <v>#DIV/0!</v>
      </c>
      <c r="P23" s="105" t="e">
        <f>'EPS &amp; PE 成長率法'!K5</f>
        <v>#DIV/0!</v>
      </c>
      <c r="Q23" s="105" t="e">
        <f>'EPS &amp; PE 成長率法'!L5</f>
        <v>#DIV/0!</v>
      </c>
      <c r="R23" s="105" t="e">
        <f>'EPS &amp; PE 成長率法'!M5</f>
        <v>#DIV/0!</v>
      </c>
      <c r="S23" s="104" t="e">
        <f>'EPS &amp; PE 成長率法'!N5</f>
        <v>#DIV/0!</v>
      </c>
    </row>
    <row r="24" spans="1:21" ht="18" customHeight="1">
      <c r="A24" s="80" t="s">
        <v>64</v>
      </c>
      <c r="B24" s="95" t="e">
        <f>'EPS &amp; PE 成長率法'!G19-1</f>
        <v>#DIV/0!</v>
      </c>
      <c r="C24" s="95" t="e">
        <f>'EPS &amp; PE 成長率法'!H19-1</f>
        <v>#DIV/0!</v>
      </c>
      <c r="D24" s="95" t="e">
        <f>'EPS &amp; PE 成長率法'!I19-1</f>
        <v>#DIV/0!</v>
      </c>
      <c r="F24" s="97">
        <v>21</v>
      </c>
      <c r="G24" s="55"/>
      <c r="I24" s="177">
        <v>42735</v>
      </c>
      <c r="J24" s="174">
        <v>1.42</v>
      </c>
      <c r="K24" s="154"/>
      <c r="L24" s="104"/>
      <c r="M24" s="105" t="e">
        <f>'EPS &amp; PE 成長率法'!H6</f>
        <v>#DIV/0!</v>
      </c>
      <c r="N24" s="104"/>
      <c r="O24" s="105" t="e">
        <f>'EPS &amp; PE 成長率法'!J6</f>
        <v>#DIV/0!</v>
      </c>
      <c r="P24" s="105" t="e">
        <f>'EPS &amp; PE 成長率法'!K6</f>
        <v>#DIV/0!</v>
      </c>
      <c r="Q24" s="105" t="e">
        <f>'EPS &amp; PE 成長率法'!L6</f>
        <v>#DIV/0!</v>
      </c>
      <c r="R24" s="105" t="e">
        <f>'EPS &amp; PE 成長率法'!M6</f>
        <v>#DIV/0!</v>
      </c>
    </row>
    <row r="25" spans="1:21" ht="20" customHeight="1">
      <c r="A25" s="80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7">
        <v>22</v>
      </c>
      <c r="G25" s="55"/>
      <c r="I25" s="177">
        <v>42643</v>
      </c>
      <c r="J25" s="174">
        <v>1.47</v>
      </c>
      <c r="K25" s="154"/>
      <c r="L25" s="104" t="e">
        <f>'EPS &amp; PE 成長率法'!G7</f>
        <v>#DIV/0!</v>
      </c>
      <c r="M25" s="105" t="e">
        <f>'EPS &amp; PE 成長率法'!H7</f>
        <v>#DIV/0!</v>
      </c>
      <c r="N25" s="104" t="e">
        <f>'EPS &amp; PE 成長率法'!I7</f>
        <v>#DIV/0!</v>
      </c>
      <c r="O25" s="105" t="e">
        <f>'EPS &amp; PE 成長率法'!J7</f>
        <v>#DIV/0!</v>
      </c>
      <c r="P25" s="105" t="e">
        <f>'EPS &amp; PE 成長率法'!K7</f>
        <v>#DIV/0!</v>
      </c>
      <c r="Q25" s="105" t="e">
        <f>'EPS &amp; PE 成長率法'!L7</f>
        <v>#DIV/0!</v>
      </c>
      <c r="R25" s="106"/>
    </row>
    <row r="26" spans="1:21" ht="18" customHeight="1">
      <c r="A26" s="80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7">
        <v>23</v>
      </c>
      <c r="G26" s="55"/>
      <c r="I26" s="177">
        <v>42551</v>
      </c>
      <c r="J26" s="174">
        <v>1.36</v>
      </c>
      <c r="K26" s="154"/>
      <c r="L26" s="104" t="e">
        <f>'EPS &amp; PE 成長率法'!G8</f>
        <v>#DIV/0!</v>
      </c>
      <c r="M26" s="105" t="e">
        <f>'EPS &amp; PE 成長率法'!H8</f>
        <v>#DIV/0!</v>
      </c>
      <c r="N26" s="104" t="e">
        <f>'EPS &amp; PE 成長率法'!I8</f>
        <v>#DIV/0!</v>
      </c>
      <c r="O26" s="105" t="e">
        <f>'EPS &amp; PE 成長率法'!J8</f>
        <v>#DIV/0!</v>
      </c>
      <c r="P26" s="105" t="e">
        <f>'EPS &amp; PE 成長率法'!K8</f>
        <v>#DIV/0!</v>
      </c>
      <c r="Q26" s="106"/>
      <c r="R26" s="106"/>
    </row>
    <row r="27" spans="1:21" ht="18" customHeight="1">
      <c r="F27" s="97">
        <v>24</v>
      </c>
      <c r="G27" s="55"/>
      <c r="I27" s="177">
        <v>42460</v>
      </c>
      <c r="J27" s="174">
        <v>1.61</v>
      </c>
      <c r="K27" s="154"/>
      <c r="L27" s="104" t="e">
        <f>'EPS &amp; PE 成長率法'!G9</f>
        <v>#DIV/0!</v>
      </c>
      <c r="M27" s="105" t="e">
        <f>'EPS &amp; PE 成長率法'!H9</f>
        <v>#DIV/0!</v>
      </c>
      <c r="N27" s="104" t="e">
        <f>'EPS &amp; PE 成長率法'!I9</f>
        <v>#DIV/0!</v>
      </c>
      <c r="O27" s="105" t="e">
        <f>'EPS &amp; PE 成長率法'!J9</f>
        <v>#DIV/0!</v>
      </c>
      <c r="P27" s="106"/>
      <c r="Q27" s="106"/>
      <c r="R27" s="106"/>
    </row>
    <row r="28" spans="1:21" ht="22">
      <c r="C28"/>
      <c r="F28" s="97">
        <v>25</v>
      </c>
      <c r="G28" s="55"/>
      <c r="I28" s="177">
        <v>42369</v>
      </c>
      <c r="J28" s="174">
        <v>1.7</v>
      </c>
      <c r="K28" s="154"/>
      <c r="L28" s="104" t="e">
        <f>'EPS &amp; PE 成長率法'!G10</f>
        <v>#DIV/0!</v>
      </c>
      <c r="M28" s="105" t="e">
        <f>'EPS &amp; PE 成長率法'!H10</f>
        <v>#DIV/0!</v>
      </c>
      <c r="N28" s="104" t="e">
        <f>'EPS &amp; PE 成長率法'!I10</f>
        <v>#DIV/0!</v>
      </c>
      <c r="O28" s="106"/>
      <c r="P28" s="106"/>
      <c r="Q28" s="106"/>
      <c r="R28" s="106"/>
    </row>
    <row r="29" spans="1:21" ht="18" customHeight="1">
      <c r="F29" s="97">
        <v>26</v>
      </c>
      <c r="G29" s="55"/>
      <c r="I29" s="177">
        <v>42277</v>
      </c>
      <c r="J29" s="174">
        <v>1.4</v>
      </c>
      <c r="K29" s="154"/>
      <c r="L29" s="104" t="e">
        <f>'EPS &amp; PE 成長率法'!G11</f>
        <v>#DIV/0!</v>
      </c>
      <c r="M29" s="105" t="e">
        <f>'EPS &amp; PE 成長率法'!H11</f>
        <v>#DIV/0!</v>
      </c>
      <c r="O29" s="106"/>
      <c r="P29" s="106"/>
      <c r="Q29" s="106"/>
      <c r="R29" s="106"/>
    </row>
    <row r="30" spans="1:21" ht="20" customHeight="1">
      <c r="F30" s="97">
        <v>27</v>
      </c>
      <c r="G30" s="55"/>
      <c r="I30" s="177">
        <v>42185</v>
      </c>
      <c r="J30" s="174">
        <v>1.28</v>
      </c>
      <c r="K30" s="154"/>
      <c r="L30" s="104" t="e">
        <f>'EPS &amp; PE 成長率法'!G12</f>
        <v>#DIV/0!</v>
      </c>
      <c r="O30" s="66"/>
      <c r="P30" s="66"/>
      <c r="Q30" s="66"/>
      <c r="R30" s="66"/>
    </row>
    <row r="31" spans="1:21" ht="22">
      <c r="F31" s="97">
        <v>28</v>
      </c>
      <c r="G31" s="55"/>
      <c r="I31" s="177">
        <v>42094</v>
      </c>
      <c r="J31" s="174">
        <v>1.31</v>
      </c>
    </row>
    <row r="32" spans="1:21" ht="22">
      <c r="A32" s="29"/>
      <c r="B32" s="29"/>
      <c r="F32" s="97">
        <v>29</v>
      </c>
      <c r="G32" s="55"/>
      <c r="I32" s="45">
        <v>42004</v>
      </c>
      <c r="J32" s="108">
        <v>1.26</v>
      </c>
      <c r="U32" s="149" t="s">
        <v>79</v>
      </c>
    </row>
    <row r="33" spans="6:24" ht="22">
      <c r="F33" s="97">
        <v>30</v>
      </c>
      <c r="G33" s="55"/>
      <c r="I33" s="45">
        <v>41912</v>
      </c>
      <c r="J33" s="108">
        <v>1.54</v>
      </c>
      <c r="U33" s="147" t="s">
        <v>75</v>
      </c>
      <c r="V33" s="147" t="s">
        <v>76</v>
      </c>
      <c r="W33" s="148" t="s">
        <v>77</v>
      </c>
    </row>
    <row r="34" spans="6:24" ht="22">
      <c r="F34" s="97">
        <v>31</v>
      </c>
      <c r="G34" s="55"/>
      <c r="I34" s="45">
        <v>41820</v>
      </c>
      <c r="J34" s="108">
        <v>1.51</v>
      </c>
      <c r="U34" s="63">
        <v>114.34</v>
      </c>
      <c r="V34" s="63">
        <v>110.56</v>
      </c>
      <c r="W34" s="146">
        <f>W36*X34</f>
        <v>137.09440000000001</v>
      </c>
      <c r="X34" s="146">
        <v>110.56</v>
      </c>
    </row>
    <row r="35" spans="6:24" ht="22">
      <c r="F35" s="97">
        <v>32</v>
      </c>
      <c r="G35" s="55"/>
      <c r="I35" s="45">
        <v>41729</v>
      </c>
      <c r="J35" s="108">
        <v>1.46</v>
      </c>
      <c r="U35" s="150" t="s">
        <v>78</v>
      </c>
      <c r="V35" s="151"/>
    </row>
    <row r="36" spans="6:24" ht="22">
      <c r="F36" s="97">
        <v>33</v>
      </c>
      <c r="G36" s="55"/>
      <c r="I36" s="45">
        <v>41639</v>
      </c>
      <c r="J36" s="108">
        <v>1.47</v>
      </c>
      <c r="U36" s="152">
        <f>U34/V34</f>
        <v>1.0341895803183792</v>
      </c>
      <c r="V36" s="153"/>
      <c r="W36" s="146">
        <v>1.24</v>
      </c>
    </row>
    <row r="37" spans="6:24" ht="18">
      <c r="I37" s="45">
        <v>41547</v>
      </c>
      <c r="J37" s="108">
        <v>1.19</v>
      </c>
    </row>
    <row r="38" spans="6:24" ht="18">
      <c r="I38" s="45">
        <v>41455</v>
      </c>
      <c r="J38" s="108">
        <v>1.27</v>
      </c>
    </row>
    <row r="39" spans="6:24" ht="18">
      <c r="I39" s="45">
        <v>41364</v>
      </c>
      <c r="J39" s="108">
        <v>1.19</v>
      </c>
    </row>
    <row r="40" spans="6:24" ht="18">
      <c r="I40" s="45">
        <v>41274</v>
      </c>
      <c r="J40" s="108">
        <v>1.1000000000000001</v>
      </c>
    </row>
    <row r="41" spans="6:24" ht="18">
      <c r="I41" s="45">
        <v>41182</v>
      </c>
      <c r="J41" s="108">
        <v>1.18</v>
      </c>
    </row>
    <row r="42" spans="6:24" ht="18">
      <c r="I42" s="45">
        <v>41090</v>
      </c>
      <c r="J42" s="108">
        <v>0.86</v>
      </c>
    </row>
    <row r="43" spans="6:24" ht="18">
      <c r="I43" s="45">
        <v>40999</v>
      </c>
      <c r="J43" s="108">
        <v>0.97</v>
      </c>
    </row>
    <row r="44" spans="6:24" ht="18">
      <c r="I44" s="45">
        <v>40908</v>
      </c>
      <c r="J44" s="108">
        <v>1.04</v>
      </c>
    </row>
    <row r="45" spans="6:24" ht="18">
      <c r="I45" s="45">
        <v>40816</v>
      </c>
      <c r="J45" s="108">
        <v>0.84</v>
      </c>
    </row>
    <row r="46" spans="6:24" ht="18">
      <c r="I46" s="45">
        <v>40724</v>
      </c>
      <c r="J46" s="108">
        <v>0.87</v>
      </c>
    </row>
    <row r="47" spans="6:24" ht="18">
      <c r="I47" s="45">
        <v>40633</v>
      </c>
      <c r="J47" s="108">
        <v>1.08</v>
      </c>
    </row>
    <row r="48" spans="6:24" ht="18">
      <c r="I48" s="45">
        <v>40543</v>
      </c>
      <c r="J48" s="108">
        <v>1.1299999999999999</v>
      </c>
      <c r="K48" s="11"/>
    </row>
    <row r="49" spans="6:13" ht="18">
      <c r="I49" s="45">
        <v>40451</v>
      </c>
      <c r="J49" s="108">
        <v>1.07</v>
      </c>
      <c r="K49" s="11"/>
    </row>
    <row r="50" spans="6:13" ht="18" customHeight="1">
      <c r="I50" s="45">
        <v>40359</v>
      </c>
      <c r="J50" s="108">
        <v>0.97</v>
      </c>
      <c r="K50" s="11"/>
    </row>
    <row r="51" spans="6:13" ht="18">
      <c r="I51" s="45">
        <v>40268</v>
      </c>
      <c r="J51" s="108">
        <v>1.29</v>
      </c>
      <c r="K51" s="11"/>
    </row>
    <row r="52" spans="6:13" ht="18" customHeight="1">
      <c r="I52" s="45">
        <v>40178</v>
      </c>
      <c r="J52" s="108">
        <v>1.52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F1:G1"/>
    <mergeCell ref="F2:F3"/>
    <mergeCell ref="G2:G3"/>
    <mergeCell ref="A14:B14"/>
    <mergeCell ref="A13:B13"/>
    <mergeCell ref="U35:V35"/>
    <mergeCell ref="U36:V36"/>
    <mergeCell ref="K20:K30"/>
    <mergeCell ref="K3:K4"/>
    <mergeCell ref="L15:M16"/>
    <mergeCell ref="L17:M17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U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E10:J60"/>
  <sheetViews>
    <sheetView topLeftCell="A9" zoomScale="68" workbookViewId="0">
      <selection activeCell="G25" sqref="G25:G28"/>
    </sheetView>
  </sheetViews>
  <sheetFormatPr baseColWidth="10" defaultRowHeight="15"/>
  <cols>
    <col min="5" max="5" width="14.1640625" bestFit="1" customWidth="1"/>
  </cols>
  <sheetData>
    <row r="10" spans="5:10" ht="18">
      <c r="E10" s="12">
        <v>44762</v>
      </c>
      <c r="F10" s="10"/>
      <c r="G10" s="10">
        <v>1.03</v>
      </c>
      <c r="I10" s="10">
        <v>113.9</v>
      </c>
    </row>
    <row r="11" spans="5:10" ht="18">
      <c r="E11" s="12">
        <v>44651</v>
      </c>
      <c r="F11" s="11">
        <v>110.56</v>
      </c>
      <c r="G11" s="10">
        <v>1.26</v>
      </c>
      <c r="H11" s="107">
        <f>AVERAGE(F8:F11)</f>
        <v>110.56</v>
      </c>
      <c r="I11" s="10">
        <v>139.07</v>
      </c>
      <c r="J11">
        <v>110.56</v>
      </c>
    </row>
    <row r="12" spans="5:10" ht="18">
      <c r="E12" s="109">
        <v>44561</v>
      </c>
      <c r="F12" s="111">
        <v>112.23</v>
      </c>
      <c r="G12" s="110">
        <v>1.29</v>
      </c>
      <c r="I12" s="110">
        <v>144.85</v>
      </c>
      <c r="J12">
        <v>95.86</v>
      </c>
    </row>
    <row r="13" spans="5:10" ht="18">
      <c r="E13" s="109">
        <v>44469</v>
      </c>
      <c r="F13" s="111">
        <v>103.84</v>
      </c>
      <c r="G13" s="110">
        <v>1.29</v>
      </c>
      <c r="I13" s="110">
        <v>133.68</v>
      </c>
      <c r="J13">
        <v>51.367500000000007</v>
      </c>
    </row>
    <row r="14" spans="5:10" ht="18">
      <c r="E14" s="109">
        <v>44377</v>
      </c>
      <c r="F14" s="111">
        <v>92.25</v>
      </c>
      <c r="G14" s="110">
        <v>1.32</v>
      </c>
      <c r="I14" s="110">
        <v>122.09</v>
      </c>
      <c r="J14">
        <v>46.297499999999999</v>
      </c>
    </row>
    <row r="15" spans="5:10" ht="18">
      <c r="E15" s="109">
        <v>44286</v>
      </c>
      <c r="F15" s="111">
        <v>75.12</v>
      </c>
      <c r="G15" s="110">
        <v>1.37</v>
      </c>
      <c r="H15" s="107">
        <f>AVERAGE(F12:F15)</f>
        <v>95.86</v>
      </c>
      <c r="I15" s="110">
        <v>103.13</v>
      </c>
      <c r="J15">
        <v>29.232500000000002</v>
      </c>
    </row>
    <row r="16" spans="5:10" ht="18">
      <c r="E16" s="112">
        <v>44196</v>
      </c>
      <c r="F16" s="114">
        <v>58.7</v>
      </c>
      <c r="G16" s="113">
        <v>1.49</v>
      </c>
      <c r="I16" s="113">
        <v>87.63</v>
      </c>
      <c r="J16">
        <v>26.229999999999997</v>
      </c>
    </row>
    <row r="17" spans="5:10" ht="18">
      <c r="E17" s="112">
        <v>44104</v>
      </c>
      <c r="F17" s="114">
        <v>51.75</v>
      </c>
      <c r="G17" s="113">
        <v>1.42</v>
      </c>
      <c r="I17" s="113">
        <v>73.28</v>
      </c>
      <c r="J17">
        <v>26.177499999999998</v>
      </c>
    </row>
    <row r="18" spans="5:10" ht="18">
      <c r="E18" s="112">
        <v>44012</v>
      </c>
      <c r="F18" s="114">
        <v>45.47</v>
      </c>
      <c r="G18" s="113">
        <v>1.56</v>
      </c>
      <c r="I18" s="113">
        <v>70.900000000000006</v>
      </c>
      <c r="J18">
        <v>22.002499999999998</v>
      </c>
    </row>
    <row r="19" spans="5:10" ht="18">
      <c r="E19" s="112">
        <v>43921</v>
      </c>
      <c r="F19" s="114">
        <v>49.55</v>
      </c>
      <c r="G19" s="113">
        <v>1.17</v>
      </c>
      <c r="H19" s="107">
        <f>AVERAGE(F16:F19)</f>
        <v>51.367500000000007</v>
      </c>
      <c r="I19" s="113">
        <v>58.1</v>
      </c>
      <c r="J19">
        <v>19.649999999999999</v>
      </c>
    </row>
    <row r="20" spans="5:10" ht="18">
      <c r="E20" s="115">
        <v>43830</v>
      </c>
      <c r="F20" s="117">
        <v>49.18</v>
      </c>
      <c r="G20" s="116">
        <v>1.36</v>
      </c>
      <c r="I20" s="116">
        <v>66.97</v>
      </c>
      <c r="J20">
        <v>17.895</v>
      </c>
    </row>
    <row r="21" spans="5:10" ht="18">
      <c r="E21" s="115">
        <v>43738</v>
      </c>
      <c r="F21" s="117">
        <v>46.6</v>
      </c>
      <c r="G21" s="116">
        <v>1.31</v>
      </c>
      <c r="I21" s="116">
        <v>61.06</v>
      </c>
      <c r="J21">
        <v>16.377500000000001</v>
      </c>
    </row>
    <row r="22" spans="5:10" ht="18">
      <c r="E22" s="115">
        <v>43646</v>
      </c>
      <c r="F22" s="117">
        <v>49.54</v>
      </c>
      <c r="G22" s="116">
        <v>1.0900000000000001</v>
      </c>
      <c r="I22" s="116">
        <v>54.14</v>
      </c>
      <c r="J22">
        <v>14.84</v>
      </c>
    </row>
    <row r="23" spans="5:10" ht="18">
      <c r="E23" s="115">
        <v>43555</v>
      </c>
      <c r="F23" s="117">
        <v>39.869999999999997</v>
      </c>
      <c r="G23" s="116">
        <v>1.48</v>
      </c>
      <c r="H23" s="107">
        <f>AVERAGE(F20:F23)</f>
        <v>46.297499999999999</v>
      </c>
      <c r="I23" s="116">
        <v>58.84</v>
      </c>
      <c r="J23">
        <v>12.0025</v>
      </c>
    </row>
    <row r="24" spans="5:10" ht="18">
      <c r="E24" s="118">
        <v>43465</v>
      </c>
      <c r="F24" s="120">
        <v>43.7</v>
      </c>
      <c r="G24" s="119">
        <v>1.2</v>
      </c>
      <c r="I24" s="119">
        <v>52.25</v>
      </c>
    </row>
    <row r="25" spans="5:10" ht="18">
      <c r="E25" s="118">
        <v>43373</v>
      </c>
      <c r="F25" s="120">
        <v>26.58</v>
      </c>
      <c r="G25" s="119">
        <v>2.27</v>
      </c>
      <c r="I25" s="119">
        <v>60.35</v>
      </c>
    </row>
    <row r="26" spans="5:10" ht="18">
      <c r="E26" s="118">
        <v>43281</v>
      </c>
      <c r="F26" s="120">
        <v>23.09</v>
      </c>
      <c r="G26" s="119">
        <v>2.4500000000000002</v>
      </c>
      <c r="I26" s="119">
        <v>56.46</v>
      </c>
    </row>
    <row r="27" spans="5:10" ht="18">
      <c r="E27" s="118">
        <v>43190</v>
      </c>
      <c r="F27" s="120">
        <v>23.56</v>
      </c>
      <c r="G27" s="119">
        <v>2.2000000000000002</v>
      </c>
      <c r="H27" s="107">
        <f>AVERAGE(F24:F27)</f>
        <v>29.232500000000002</v>
      </c>
      <c r="I27" s="119">
        <v>51.86</v>
      </c>
    </row>
    <row r="28" spans="5:10" ht="18">
      <c r="E28" s="121">
        <v>43100</v>
      </c>
      <c r="F28" s="123">
        <v>17.96</v>
      </c>
      <c r="G28" s="122">
        <v>2.93</v>
      </c>
      <c r="I28" s="122">
        <v>52.67</v>
      </c>
    </row>
    <row r="29" spans="5:10" ht="18">
      <c r="E29" s="121">
        <v>43008</v>
      </c>
      <c r="F29" s="123">
        <v>29.87</v>
      </c>
      <c r="G29" s="122">
        <v>1.63</v>
      </c>
      <c r="I29" s="122">
        <v>48.69</v>
      </c>
    </row>
    <row r="30" spans="5:10" ht="18">
      <c r="E30" s="121">
        <v>42916</v>
      </c>
      <c r="F30" s="123">
        <v>27.55</v>
      </c>
      <c r="G30" s="122">
        <v>1.69</v>
      </c>
      <c r="I30" s="122">
        <v>46.48</v>
      </c>
    </row>
    <row r="31" spans="5:10" ht="18">
      <c r="E31" s="121">
        <v>42825</v>
      </c>
      <c r="F31" s="123">
        <v>29.54</v>
      </c>
      <c r="G31" s="122">
        <v>1.44</v>
      </c>
      <c r="H31" s="107">
        <f>AVERAGE(F28:F31)</f>
        <v>26.229999999999997</v>
      </c>
      <c r="I31" s="122">
        <v>42.39</v>
      </c>
    </row>
    <row r="32" spans="5:10" ht="18">
      <c r="E32" s="124">
        <v>42735</v>
      </c>
      <c r="F32" s="126">
        <v>27.83</v>
      </c>
      <c r="G32" s="125">
        <v>1.42</v>
      </c>
      <c r="I32" s="125">
        <v>39.619999999999997</v>
      </c>
    </row>
    <row r="33" spans="5:9" ht="18">
      <c r="E33" s="124">
        <v>42643</v>
      </c>
      <c r="F33" s="126">
        <v>27.33</v>
      </c>
      <c r="G33" s="125">
        <v>1.47</v>
      </c>
      <c r="I33" s="125">
        <v>40.200000000000003</v>
      </c>
    </row>
    <row r="34" spans="5:9" ht="18">
      <c r="E34" s="124">
        <v>42551</v>
      </c>
      <c r="F34" s="126">
        <v>25.81</v>
      </c>
      <c r="G34" s="125">
        <v>1.36</v>
      </c>
      <c r="I34" s="125">
        <v>35.18</v>
      </c>
    </row>
    <row r="35" spans="5:9" ht="18">
      <c r="E35" s="124">
        <v>42460</v>
      </c>
      <c r="F35" s="126">
        <v>23.74</v>
      </c>
      <c r="G35" s="125">
        <v>1.61</v>
      </c>
      <c r="H35" s="107">
        <f>AVERAGE(F32:F35)</f>
        <v>26.177499999999998</v>
      </c>
      <c r="I35" s="125">
        <v>38.15</v>
      </c>
    </row>
    <row r="36" spans="5:9" ht="18">
      <c r="E36" s="127">
        <v>42369</v>
      </c>
      <c r="F36" s="129">
        <v>22.92</v>
      </c>
      <c r="G36" s="128">
        <v>1.7</v>
      </c>
      <c r="I36" s="128">
        <v>38.9</v>
      </c>
    </row>
    <row r="37" spans="5:9" ht="18">
      <c r="E37" s="127">
        <v>42277</v>
      </c>
      <c r="F37" s="129">
        <v>22.77</v>
      </c>
      <c r="G37" s="128">
        <v>1.4</v>
      </c>
      <c r="I37" s="128">
        <v>31.86</v>
      </c>
    </row>
    <row r="38" spans="5:9" ht="18">
      <c r="E38" s="127">
        <v>42185</v>
      </c>
      <c r="F38" s="129">
        <v>21.13</v>
      </c>
      <c r="G38" s="128">
        <v>1.28</v>
      </c>
      <c r="I38" s="128">
        <v>27</v>
      </c>
    </row>
    <row r="39" spans="5:9" ht="18">
      <c r="E39" s="127">
        <v>42094</v>
      </c>
      <c r="F39" s="129">
        <v>21.19</v>
      </c>
      <c r="G39" s="128">
        <v>1.31</v>
      </c>
      <c r="H39" s="107">
        <f>AVERAGE(F36:F39)</f>
        <v>22.002499999999998</v>
      </c>
      <c r="I39" s="128">
        <v>27.74</v>
      </c>
    </row>
    <row r="40" spans="5:9" ht="18">
      <c r="E40" s="130">
        <v>42004</v>
      </c>
      <c r="F40" s="132">
        <v>21.03</v>
      </c>
      <c r="G40" s="131">
        <v>1.26</v>
      </c>
      <c r="I40" s="131">
        <v>26.53</v>
      </c>
    </row>
    <row r="41" spans="5:9" ht="18">
      <c r="E41" s="130">
        <v>41912</v>
      </c>
      <c r="F41" s="132">
        <v>19.07</v>
      </c>
      <c r="G41" s="131">
        <v>1.54</v>
      </c>
      <c r="I41" s="131">
        <v>29.42</v>
      </c>
    </row>
    <row r="42" spans="5:9" ht="18">
      <c r="E42" s="130">
        <v>41820</v>
      </c>
      <c r="F42" s="132">
        <v>19.36</v>
      </c>
      <c r="G42" s="131">
        <v>1.51</v>
      </c>
      <c r="I42" s="131">
        <v>29.23</v>
      </c>
    </row>
    <row r="43" spans="5:9" ht="18">
      <c r="E43" s="130">
        <v>41729</v>
      </c>
      <c r="F43" s="132">
        <v>19.14</v>
      </c>
      <c r="G43" s="131">
        <v>1.46</v>
      </c>
      <c r="H43" s="107">
        <f>AVERAGE(F40:F43)</f>
        <v>19.649999999999999</v>
      </c>
      <c r="I43" s="131">
        <v>27.95</v>
      </c>
    </row>
    <row r="44" spans="5:9" ht="18">
      <c r="E44" s="133">
        <v>41639</v>
      </c>
      <c r="F44" s="135">
        <v>19.07</v>
      </c>
      <c r="G44" s="134">
        <v>1.47</v>
      </c>
      <c r="I44" s="134">
        <v>28.1</v>
      </c>
    </row>
    <row r="45" spans="5:9" ht="18">
      <c r="E45" s="133">
        <v>41547</v>
      </c>
      <c r="F45" s="135">
        <v>18.43</v>
      </c>
      <c r="G45" s="134">
        <v>1.19</v>
      </c>
      <c r="I45" s="134">
        <v>21.97</v>
      </c>
    </row>
    <row r="46" spans="5:9" ht="18">
      <c r="E46" s="133">
        <v>41455</v>
      </c>
      <c r="F46" s="135">
        <v>17.32</v>
      </c>
      <c r="G46" s="134">
        <v>1.27</v>
      </c>
      <c r="I46" s="134">
        <v>22.08</v>
      </c>
    </row>
    <row r="47" spans="5:9" ht="18">
      <c r="E47" s="133">
        <v>41364</v>
      </c>
      <c r="F47" s="135">
        <v>16.760000000000002</v>
      </c>
      <c r="G47" s="134">
        <v>1.19</v>
      </c>
      <c r="H47" s="107">
        <f>AVERAGE(F44:F47)</f>
        <v>17.895</v>
      </c>
      <c r="I47" s="134">
        <v>19.920000000000002</v>
      </c>
    </row>
    <row r="48" spans="5:9" ht="18">
      <c r="E48" s="136">
        <v>41274</v>
      </c>
      <c r="F48" s="138">
        <v>16.170000000000002</v>
      </c>
      <c r="G48" s="137">
        <v>1.1000000000000001</v>
      </c>
      <c r="I48" s="137">
        <v>17.739999999999998</v>
      </c>
    </row>
    <row r="49" spans="5:9" ht="18">
      <c r="E49" s="136">
        <v>41182</v>
      </c>
      <c r="F49" s="138">
        <v>15.97</v>
      </c>
      <c r="G49" s="137">
        <v>1.18</v>
      </c>
      <c r="I49" s="137">
        <v>18.920000000000002</v>
      </c>
    </row>
    <row r="50" spans="5:9" ht="18">
      <c r="E50" s="136">
        <v>41090</v>
      </c>
      <c r="F50" s="138">
        <v>16.87</v>
      </c>
      <c r="G50" s="137">
        <v>0.86</v>
      </c>
      <c r="I50" s="137">
        <v>14.55</v>
      </c>
    </row>
    <row r="51" spans="5:9" ht="18">
      <c r="E51" s="136">
        <v>40999</v>
      </c>
      <c r="F51" s="138">
        <v>16.5</v>
      </c>
      <c r="G51" s="137">
        <v>0.97</v>
      </c>
      <c r="H51" s="107">
        <f>AVERAGE(F48:F51)</f>
        <v>16.377500000000001</v>
      </c>
      <c r="I51" s="137">
        <v>16.079999999999998</v>
      </c>
    </row>
    <row r="52" spans="5:9" ht="18">
      <c r="E52" s="139">
        <v>40908</v>
      </c>
      <c r="F52" s="141">
        <v>15.64</v>
      </c>
      <c r="G52" s="140">
        <v>1.04</v>
      </c>
      <c r="I52" s="140">
        <v>16.2</v>
      </c>
    </row>
    <row r="53" spans="5:9" ht="18">
      <c r="E53" s="139">
        <v>40816</v>
      </c>
      <c r="F53" s="141">
        <v>15.44</v>
      </c>
      <c r="G53" s="140">
        <v>0.84</v>
      </c>
      <c r="I53" s="140">
        <v>12.92</v>
      </c>
    </row>
    <row r="54" spans="5:9" ht="18">
      <c r="E54" s="139">
        <v>40724</v>
      </c>
      <c r="F54" s="141">
        <v>14.63</v>
      </c>
      <c r="G54" s="140">
        <v>0.87</v>
      </c>
      <c r="I54" s="140">
        <v>12.7</v>
      </c>
    </row>
    <row r="55" spans="5:9" ht="18">
      <c r="E55" s="139">
        <v>40633</v>
      </c>
      <c r="F55" s="141">
        <v>13.65</v>
      </c>
      <c r="G55" s="140">
        <v>1.08</v>
      </c>
      <c r="H55" s="107">
        <f>AVERAGE(F52:F55)</f>
        <v>14.84</v>
      </c>
      <c r="I55" s="140">
        <v>14.71</v>
      </c>
    </row>
    <row r="56" spans="5:9" ht="18">
      <c r="E56" s="142">
        <v>40543</v>
      </c>
      <c r="F56" s="144">
        <v>13.16</v>
      </c>
      <c r="G56" s="143">
        <v>1.1299999999999999</v>
      </c>
      <c r="I56" s="143">
        <v>14.9</v>
      </c>
    </row>
    <row r="57" spans="5:9" ht="18">
      <c r="E57" s="142">
        <v>40451</v>
      </c>
      <c r="F57" s="144">
        <v>12.32</v>
      </c>
      <c r="G57" s="143">
        <v>1.07</v>
      </c>
      <c r="I57" s="143">
        <v>13.19</v>
      </c>
    </row>
    <row r="58" spans="5:9" ht="18">
      <c r="E58" s="142">
        <v>40359</v>
      </c>
      <c r="F58" s="144">
        <v>11.53</v>
      </c>
      <c r="G58" s="143">
        <v>0.97</v>
      </c>
      <c r="I58" s="143">
        <v>11.16</v>
      </c>
    </row>
    <row r="59" spans="5:9" ht="18">
      <c r="E59" s="142">
        <v>40268</v>
      </c>
      <c r="F59" s="144">
        <v>11</v>
      </c>
      <c r="G59" s="143">
        <v>1.29</v>
      </c>
      <c r="H59" s="107">
        <f>AVERAGE(F56:F59)</f>
        <v>12.0025</v>
      </c>
      <c r="I59" s="143">
        <v>14.22</v>
      </c>
    </row>
    <row r="60" spans="5:9" ht="18">
      <c r="E60" s="12">
        <v>40178</v>
      </c>
      <c r="F60" s="11">
        <v>10.220000000000001</v>
      </c>
      <c r="G60" s="10">
        <v>1.52</v>
      </c>
      <c r="I60" s="10">
        <v>15.55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7">
        <f>輸入!B1</f>
        <v>112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16.740000000000002</v>
      </c>
      <c r="C9" s="29">
        <f>(1+(B9/100))</f>
        <v>1.1674</v>
      </c>
    </row>
    <row r="10" spans="1:11" ht="22">
      <c r="A10" s="46" t="s">
        <v>38</v>
      </c>
      <c r="B10" s="48">
        <f>輸入!B10</f>
        <v>5</v>
      </c>
    </row>
    <row r="11" spans="1:11" ht="22">
      <c r="A11" s="46" t="s">
        <v>42</v>
      </c>
      <c r="B11" s="51">
        <f>輸入!B11</f>
        <v>0.74</v>
      </c>
    </row>
    <row r="12" spans="1:11" ht="22">
      <c r="A12" s="46" t="s">
        <v>44</v>
      </c>
      <c r="B12" s="51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9.3391999999999999</v>
      </c>
      <c r="C20" s="37">
        <f t="shared" si="4"/>
        <v>10.90258208</v>
      </c>
      <c r="D20" s="27">
        <f t="shared" si="4"/>
        <v>12.727674320192</v>
      </c>
      <c r="E20" s="26">
        <f t="shared" si="4"/>
        <v>14.85828700139214</v>
      </c>
      <c r="F20" s="27">
        <f t="shared" si="4"/>
        <v>17.345564245425184</v>
      </c>
      <c r="G20" s="26">
        <f t="shared" si="4"/>
        <v>20.24921170010936</v>
      </c>
      <c r="H20" s="26">
        <f t="shared" si="4"/>
        <v>23.638929738707667</v>
      </c>
      <c r="I20" s="26">
        <f t="shared" si="4"/>
        <v>27.59608657696733</v>
      </c>
      <c r="J20" s="26">
        <f t="shared" si="4"/>
        <v>32.215671469951658</v>
      </c>
      <c r="K20" s="27">
        <f t="shared" si="4"/>
        <v>37.608574874021571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397.739822506</v>
      </c>
      <c r="C30" s="21">
        <f>($B$5/$F16)*$F$20</f>
        <v>424.21216904572458</v>
      </c>
      <c r="D30" s="9">
        <f>($B$5/$K16)*$K$20</f>
        <v>499.2288700091359</v>
      </c>
    </row>
    <row r="31" spans="1:11" ht="20">
      <c r="A31" s="22" t="s">
        <v>19</v>
      </c>
      <c r="B31" s="9">
        <f>($B$5/$D17)*$D$20</f>
        <v>430.63559729972928</v>
      </c>
      <c r="C31" s="21">
        <f>($B$5/$F17)*$F$20</f>
        <v>484.81390748082805</v>
      </c>
      <c r="D31" s="9">
        <f>($B$5/$K17)*$K$20</f>
        <v>653.43083757952536</v>
      </c>
    </row>
    <row r="32" spans="1:11" ht="20">
      <c r="A32" s="22" t="s">
        <v>20</v>
      </c>
      <c r="B32" s="9">
        <f>($B$5/$D18)*$D$20</f>
        <v>511.37977179342846</v>
      </c>
      <c r="C32" s="21">
        <f>($B$5/$F18)*$F$20</f>
        <v>639.79540249519118</v>
      </c>
      <c r="D32" s="9">
        <f>($B$5/$K18)*$K$20</f>
        <v>1143.5039657641694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399.15982250600001</v>
      </c>
      <c r="C36" s="38">
        <f>C30+SUM(B24:F24)</f>
        <v>426.33216904572458</v>
      </c>
      <c r="D36" s="34">
        <f>D30+SUM(B24:K24)</f>
        <v>502.50887000913588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432.13559729972928</v>
      </c>
      <c r="C37" s="38">
        <f t="shared" ref="C37:C38" si="8">C31+SUM(B25:F25)</f>
        <v>487.09390748082802</v>
      </c>
      <c r="D37" s="34">
        <f t="shared" ref="D37:D38" si="9">D31+SUM(B25:K25)</f>
        <v>657.12083757952541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513.05977179342847</v>
      </c>
      <c r="C38" s="38">
        <f t="shared" si="8"/>
        <v>642.47540249519113</v>
      </c>
      <c r="D38" s="34">
        <f t="shared" si="9"/>
        <v>1148.3739657641693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8" sqref="C28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7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8">
        <f>輸入!M2</f>
        <v>51.367500000000007</v>
      </c>
      <c r="C2" s="59">
        <v>3</v>
      </c>
      <c r="D2" s="59">
        <f>ROUND(100*((($B2/$B4)^(1/COUNT($A2:$A4)) )-1),2)</f>
        <v>20.67</v>
      </c>
      <c r="F2" s="170" t="s">
        <v>62</v>
      </c>
      <c r="G2" s="69">
        <f>ROUND(100*((($B2/$B4)^(1/COUNT($A2:$A4)) )-1),2)</f>
        <v>20.67</v>
      </c>
      <c r="H2" s="70">
        <f t="shared" ref="H2:H11" si="0">ROUND(100*((($B2/$B5)^(1/COUNT($A2:$A5)) )-1),2)</f>
        <v>18.3</v>
      </c>
      <c r="I2" s="69">
        <f t="shared" ref="I2:I10" si="1">ROUND(100*((($B2/$B6)^(1/COUNT($A2:$A6)) )-1),2)</f>
        <v>14.43</v>
      </c>
      <c r="J2" s="69">
        <f t="shared" ref="J2:J9" si="2">ROUND(100*((($B2/$B7)^(1/COUNT($A2:$A7)) )-1),2)</f>
        <v>15.18</v>
      </c>
      <c r="K2" s="69" t="e">
        <f t="shared" ref="K2:K8" si="3">ROUND(100*((($B2/$B8)^(1/COUNT($A2:$A8)) )-1),2)</f>
        <v>#DIV/0!</v>
      </c>
      <c r="L2" s="69" t="e">
        <f t="shared" ref="L2:L7" si="4">ROUND(100*((($B2/$B9)^(1/COUNT($A2:$A9)) )-1),2)</f>
        <v>#DIV/0!</v>
      </c>
      <c r="M2" s="69" t="e">
        <f>ROUND(100*((($B2/$B10)^(1/COUNT($A2:$A10)) )-1),2)</f>
        <v>#DIV/0!</v>
      </c>
      <c r="N2" s="69" t="e">
        <f>ROUND(100*((($B2/$B11)^(1/COUNT($A2:$A11)) )-1),2)</f>
        <v>#DIV/0!</v>
      </c>
    </row>
    <row r="3" spans="1:14" ht="18">
      <c r="A3" s="31">
        <v>2020</v>
      </c>
      <c r="B3" s="58">
        <f>輸入!M3</f>
        <v>46.297499999999999</v>
      </c>
      <c r="C3" s="59">
        <v>4</v>
      </c>
      <c r="D3" s="59">
        <f>ROUND(100*((($B2/$B5)^(1/COUNT($A2:$A5)) )-1),2)</f>
        <v>18.3</v>
      </c>
      <c r="F3" s="170"/>
      <c r="G3" s="69">
        <f>ROUND(100*((($B3/$B5)^(1/COUNT($A3:$A5)) )-1),2)</f>
        <v>20.85</v>
      </c>
      <c r="H3" s="70">
        <f t="shared" si="0"/>
        <v>15.32</v>
      </c>
      <c r="I3" s="69">
        <f t="shared" si="1"/>
        <v>16.04</v>
      </c>
      <c r="J3" s="69" t="e">
        <f t="shared" si="2"/>
        <v>#DIV/0!</v>
      </c>
      <c r="K3" s="69" t="e">
        <f t="shared" si="3"/>
        <v>#DIV/0!</v>
      </c>
      <c r="L3" s="69" t="e">
        <f t="shared" si="4"/>
        <v>#DIV/0!</v>
      </c>
      <c r="M3" s="69" t="e">
        <f>ROUND(100*((($B3/$B11)^(1/COUNT($A3:$A11)) )-1),2)</f>
        <v>#DIV/0!</v>
      </c>
      <c r="N3" s="69" t="e">
        <f>ROUND(100*((($B3/$B12)^(1/COUNT($A3:$A12)) )-1),2)</f>
        <v>#DIV/0!</v>
      </c>
    </row>
    <row r="4" spans="1:14" ht="18">
      <c r="A4" s="31">
        <v>2019</v>
      </c>
      <c r="B4" s="58">
        <f>輸入!M4</f>
        <v>29.232500000000002</v>
      </c>
      <c r="C4" s="59">
        <v>5</v>
      </c>
      <c r="D4" s="59">
        <f>ROUND(100*((($B$2/B6)^(1/COUNT($A$2:$A6)) )-1),2)</f>
        <v>14.43</v>
      </c>
      <c r="F4" s="170"/>
      <c r="G4" s="69">
        <f>ROUND(100*((($B4/$B6)^(1/COUNT($A4:$A6)) )-1),2)</f>
        <v>3.75</v>
      </c>
      <c r="H4" s="70">
        <f t="shared" si="0"/>
        <v>7.36</v>
      </c>
      <c r="I4" s="69" t="e">
        <f t="shared" si="1"/>
        <v>#DIV/0!</v>
      </c>
      <c r="J4" s="69" t="e">
        <f t="shared" si="2"/>
        <v>#DIV/0!</v>
      </c>
      <c r="K4" s="69" t="e">
        <f t="shared" si="3"/>
        <v>#DIV/0!</v>
      </c>
      <c r="L4" s="69" t="e">
        <f t="shared" si="4"/>
        <v>#DIV/0!</v>
      </c>
      <c r="M4" s="69" t="e">
        <f>ROUND(100*((($B4/$B12)^(1/COUNT($A4:$A12)) )-1),2)</f>
        <v>#DIV/0!</v>
      </c>
      <c r="N4" s="69" t="e">
        <f>ROUND(100*((($B4/$B13)^(1/COUNT($A4:$A13)) )-1),2)</f>
        <v>#DIV/0!</v>
      </c>
    </row>
    <row r="5" spans="1:14" ht="18">
      <c r="A5" s="31">
        <v>2018</v>
      </c>
      <c r="B5" s="58">
        <f>輸入!M5</f>
        <v>26.229999999999997</v>
      </c>
      <c r="C5" s="59">
        <v>6</v>
      </c>
      <c r="D5" s="59">
        <f>ROUND(100*((($B$2/B7)^(1/COUNT($A$2:$A7)) )-1),2)</f>
        <v>15.18</v>
      </c>
      <c r="F5" s="170"/>
      <c r="G5" s="69">
        <f t="shared" ref="G5:G12" si="5">ROUND(100*((($B5/$B7)^(1/COUNT($A5:$A7)) )-1),2)</f>
        <v>6.03</v>
      </c>
      <c r="H5" s="70" t="e">
        <f t="shared" si="0"/>
        <v>#DIV/0!</v>
      </c>
      <c r="I5" s="69" t="e">
        <f t="shared" si="1"/>
        <v>#DIV/0!</v>
      </c>
      <c r="J5" s="69" t="e">
        <f t="shared" si="2"/>
        <v>#DIV/0!</v>
      </c>
      <c r="K5" s="69" t="e">
        <f t="shared" si="3"/>
        <v>#DIV/0!</v>
      </c>
      <c r="L5" s="69" t="e">
        <f t="shared" si="4"/>
        <v>#DIV/0!</v>
      </c>
      <c r="M5" s="69" t="e">
        <f>ROUND(100*((($B5/$B13)^(1/COUNT($A5:$A13)) )-1),2)</f>
        <v>#DIV/0!</v>
      </c>
      <c r="N5" s="69" t="e">
        <f>ROUND(100*((($B5/$B14)^(1/COUNT($A5:$A14)) )-1),2)</f>
        <v>#DIV/0!</v>
      </c>
    </row>
    <row r="6" spans="1:14" ht="18">
      <c r="A6" s="31">
        <v>2017</v>
      </c>
      <c r="B6" s="58">
        <f>輸入!M6</f>
        <v>26.177499999999998</v>
      </c>
      <c r="C6" s="59">
        <v>7</v>
      </c>
      <c r="D6" s="59" t="e">
        <f>ROUND(100*((($B$2/B8)^(1/COUNT($A$2:$A8)) )-1),2)</f>
        <v>#DIV/0!</v>
      </c>
      <c r="F6" s="170"/>
      <c r="G6" s="69" t="e">
        <f t="shared" si="5"/>
        <v>#DIV/0!</v>
      </c>
      <c r="H6" s="70" t="e">
        <f t="shared" si="0"/>
        <v>#DIV/0!</v>
      </c>
      <c r="I6" s="69" t="e">
        <f t="shared" si="1"/>
        <v>#DIV/0!</v>
      </c>
      <c r="J6" s="69" t="e">
        <f t="shared" si="2"/>
        <v>#DIV/0!</v>
      </c>
      <c r="K6" s="69" t="e">
        <f t="shared" si="3"/>
        <v>#DIV/0!</v>
      </c>
      <c r="L6" s="69" t="e">
        <f t="shared" si="4"/>
        <v>#DIV/0!</v>
      </c>
      <c r="M6" s="69" t="e">
        <f>ROUND(100*((($B6/$B14)^(1/COUNT($A6:$A14)) )-1),2)</f>
        <v>#DIV/0!</v>
      </c>
    </row>
    <row r="7" spans="1:14" ht="18">
      <c r="A7" s="31">
        <v>2016</v>
      </c>
      <c r="B7" s="58">
        <f>輸入!M7</f>
        <v>22.002499999999998</v>
      </c>
      <c r="C7" s="59">
        <v>8</v>
      </c>
      <c r="D7" s="59" t="e">
        <f>ROUND(100*((($B$2/B9)^(1/COUNT($A$2:$A9)) )-1),2)</f>
        <v>#DIV/0!</v>
      </c>
      <c r="F7" s="170"/>
      <c r="G7" s="69" t="e">
        <f t="shared" si="5"/>
        <v>#DIV/0!</v>
      </c>
      <c r="H7" s="70" t="e">
        <f t="shared" si="0"/>
        <v>#DIV/0!</v>
      </c>
      <c r="I7" s="69" t="e">
        <f t="shared" si="1"/>
        <v>#DIV/0!</v>
      </c>
      <c r="J7" s="69" t="e">
        <f t="shared" si="2"/>
        <v>#DIV/0!</v>
      </c>
      <c r="K7" s="69" t="e">
        <f t="shared" si="3"/>
        <v>#DIV/0!</v>
      </c>
      <c r="L7" s="69" t="e">
        <f t="shared" si="4"/>
        <v>#DIV/0!</v>
      </c>
    </row>
    <row r="8" spans="1:14" ht="18">
      <c r="A8" s="31">
        <v>2015</v>
      </c>
      <c r="B8" s="58">
        <f>輸入!M8</f>
        <v>0</v>
      </c>
      <c r="C8" s="59">
        <v>9</v>
      </c>
      <c r="D8" s="59" t="e">
        <f>ROUND(100*((($B$2/B10)^(1/COUNT($A$2:$A10)) )-1),2)</f>
        <v>#DIV/0!</v>
      </c>
      <c r="F8" s="170"/>
      <c r="G8" s="69" t="e">
        <f t="shared" si="5"/>
        <v>#DIV/0!</v>
      </c>
      <c r="H8" s="70" t="e">
        <f t="shared" si="0"/>
        <v>#DIV/0!</v>
      </c>
      <c r="I8" s="69" t="e">
        <f t="shared" si="1"/>
        <v>#DIV/0!</v>
      </c>
      <c r="J8" s="69" t="e">
        <f t="shared" si="2"/>
        <v>#DIV/0!</v>
      </c>
      <c r="K8" s="69" t="e">
        <f t="shared" si="3"/>
        <v>#DIV/0!</v>
      </c>
    </row>
    <row r="9" spans="1:14" ht="18">
      <c r="A9" s="31">
        <v>2014</v>
      </c>
      <c r="B9" s="58">
        <f>輸入!M9</f>
        <v>0</v>
      </c>
      <c r="C9" s="59">
        <v>10</v>
      </c>
      <c r="D9" s="59" t="e">
        <f>ROUND(100*((($B$2/B11)^(1/COUNT($A$2:$A11)) )-1),2)</f>
        <v>#DIV/0!</v>
      </c>
      <c r="F9" s="170"/>
      <c r="G9" s="69" t="e">
        <f t="shared" si="5"/>
        <v>#DIV/0!</v>
      </c>
      <c r="H9" s="70" t="e">
        <f t="shared" si="0"/>
        <v>#DIV/0!</v>
      </c>
      <c r="I9" s="69" t="e">
        <f t="shared" si="1"/>
        <v>#DIV/0!</v>
      </c>
      <c r="J9" s="69" t="e">
        <f t="shared" si="2"/>
        <v>#DIV/0!</v>
      </c>
    </row>
    <row r="10" spans="1:14" ht="18">
      <c r="A10" s="31">
        <v>2013</v>
      </c>
      <c r="B10" s="58">
        <f>輸入!M10</f>
        <v>0</v>
      </c>
      <c r="C10" s="59">
        <v>11</v>
      </c>
      <c r="D10" s="59" t="e">
        <f>ROUND(100*((($B$2/B12)^(1/COUNT($A$2:$A12)) )-1),2)</f>
        <v>#DIV/0!</v>
      </c>
      <c r="F10" s="170"/>
      <c r="G10" s="69" t="e">
        <f>ROUND(100*((($B10/$B12)^(1/COUNT($A10:$A12)) )-1),2)</f>
        <v>#DIV/0!</v>
      </c>
      <c r="H10" s="70" t="e">
        <f t="shared" si="0"/>
        <v>#DIV/0!</v>
      </c>
      <c r="I10" s="69" t="e">
        <f t="shared" si="1"/>
        <v>#DIV/0!</v>
      </c>
    </row>
    <row r="11" spans="1:14" ht="18">
      <c r="A11" s="31">
        <v>2012</v>
      </c>
      <c r="B11" s="58">
        <f>輸入!M11</f>
        <v>0</v>
      </c>
      <c r="C11" s="59">
        <v>12</v>
      </c>
      <c r="D11" s="59" t="e">
        <f>ROUND(100*((($B$2/B13)^(1/COUNT($A$2:$A13)) )-1),2)</f>
        <v>#DIV/0!</v>
      </c>
      <c r="F11" s="170"/>
      <c r="G11" s="69" t="e">
        <f t="shared" si="5"/>
        <v>#DIV/0!</v>
      </c>
      <c r="H11" s="70" t="e">
        <f t="shared" si="0"/>
        <v>#DIV/0!</v>
      </c>
    </row>
    <row r="12" spans="1:14" ht="18">
      <c r="A12" s="31">
        <v>2011</v>
      </c>
      <c r="B12" s="58">
        <f>輸入!M12</f>
        <v>0</v>
      </c>
      <c r="C12" s="59">
        <v>13</v>
      </c>
      <c r="D12" s="59" t="e">
        <f>ROUND(100*((($B$2/B14)^(1/COUNT($A$2:$A14)) )-1),2)</f>
        <v>#DIV/0!</v>
      </c>
      <c r="F12" s="170"/>
      <c r="G12" s="69" t="e">
        <f t="shared" si="5"/>
        <v>#DIV/0!</v>
      </c>
      <c r="J12" s="66"/>
      <c r="K12" s="66"/>
      <c r="L12" s="66"/>
      <c r="M12" s="66"/>
    </row>
    <row r="13" spans="1:14" ht="18">
      <c r="A13" s="31">
        <v>2010</v>
      </c>
      <c r="B13" s="58">
        <f>輸入!M13</f>
        <v>0</v>
      </c>
      <c r="C13" s="29"/>
    </row>
    <row r="14" spans="1:14" ht="18">
      <c r="A14" s="31">
        <v>2009</v>
      </c>
      <c r="B14" s="58">
        <f>輸入!M14</f>
        <v>0</v>
      </c>
      <c r="D14"/>
    </row>
    <row r="15" spans="1:14">
      <c r="F15" s="63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9">
        <f>輸入!B8</f>
        <v>8</v>
      </c>
      <c r="H16" s="59">
        <f>輸入!B5</f>
        <v>45</v>
      </c>
      <c r="I16" s="59">
        <f>輸入!B11</f>
        <v>0.74</v>
      </c>
    </row>
    <row r="17" spans="6:18">
      <c r="F17" s="1" t="s">
        <v>59</v>
      </c>
      <c r="G17" s="83">
        <f>輸入!L17</f>
        <v>33.549999999999997</v>
      </c>
      <c r="H17" s="59">
        <f>輸入!K5</f>
        <v>1.4</v>
      </c>
      <c r="I17" s="74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1" t="s">
        <v>58</v>
      </c>
      <c r="G19" s="68" t="e">
        <f>(1+AVERAGE(輸入!L20:'輸入'!L30)/100)</f>
        <v>#DIV/0!</v>
      </c>
      <c r="H19" s="68" t="e">
        <f>(1+AVERAGE(輸入!N20:'輸入'!N28)/100)</f>
        <v>#DIV/0!</v>
      </c>
      <c r="I19" s="68" t="e">
        <f>(1+AVERAGE(輸入!S20:'輸入'!S23)/100)</f>
        <v>#DIV/0!</v>
      </c>
    </row>
    <row r="20" spans="6:18">
      <c r="F20" s="71" t="s">
        <v>53</v>
      </c>
      <c r="G20" s="68">
        <f>ROUND((1+$I16/100)^G1,2)</f>
        <v>1.02</v>
      </c>
      <c r="H20" s="68">
        <f>ROUND((1+$I16/100)^I1,2)</f>
        <v>1.04</v>
      </c>
      <c r="I20" s="68">
        <f>ROUND((1+$I16/100)^N1,2)</f>
        <v>1.08</v>
      </c>
    </row>
    <row r="21" spans="6:18" ht="25">
      <c r="F21" s="71" t="s">
        <v>41</v>
      </c>
      <c r="G21" s="72" t="e">
        <f t="shared" ref="G21:I22" si="6">$H16*G$20*$G16*G$19</f>
        <v>#DIV/0!</v>
      </c>
      <c r="H21" s="72" t="e">
        <f t="shared" si="6"/>
        <v>#DIV/0!</v>
      </c>
      <c r="I21" s="72" t="e">
        <f t="shared" si="6"/>
        <v>#DIV/0!</v>
      </c>
    </row>
    <row r="22" spans="6:18">
      <c r="F22" s="71" t="s">
        <v>59</v>
      </c>
      <c r="G22" s="73" t="e">
        <f t="shared" si="6"/>
        <v>#DIV/0!</v>
      </c>
      <c r="H22" s="73" t="e">
        <f t="shared" si="6"/>
        <v>#DIV/0!</v>
      </c>
      <c r="I22" s="73" t="e">
        <f t="shared" si="6"/>
        <v>#DIV/0!</v>
      </c>
    </row>
    <row r="23" spans="6:18" ht="25">
      <c r="F23" s="71" t="s">
        <v>60</v>
      </c>
      <c r="G23" s="72" t="e">
        <f>G22*(1.05)^3</f>
        <v>#DIV/0!</v>
      </c>
      <c r="H23" s="72" t="e">
        <f>H22*(1.05)^5</f>
        <v>#DIV/0!</v>
      </c>
      <c r="I23" s="72" t="e">
        <f>I22*(1.05)^10</f>
        <v>#DIV/0!</v>
      </c>
    </row>
    <row r="27" spans="6:18">
      <c r="F27" s="63" t="s">
        <v>64</v>
      </c>
      <c r="G27" s="85" t="e">
        <f>ROUND(I19-1,2)*100</f>
        <v>#DIV/0!</v>
      </c>
      <c r="H27" s="84" t="e">
        <f>ROUND(H19-1,2)*100</f>
        <v>#DIV/0!</v>
      </c>
      <c r="I27" s="84" t="e">
        <f>ROUND(G19-1,2)*100</f>
        <v>#DIV/0!</v>
      </c>
      <c r="J27" s="89" t="e">
        <f>G27-I27</f>
        <v>#DIV/0!</v>
      </c>
    </row>
    <row r="28" spans="6:18">
      <c r="G28" s="171" t="e">
        <f>G27-H27</f>
        <v>#DIV/0!</v>
      </c>
      <c r="H28" s="172"/>
      <c r="I28" s="86" t="e">
        <f>ROUND(I21-H21,1)</f>
        <v>#DIV/0!</v>
      </c>
    </row>
    <row r="29" spans="6:18">
      <c r="H29" s="173" t="e">
        <f>H27-I27</f>
        <v>#DIV/0!</v>
      </c>
      <c r="I29" s="173"/>
      <c r="J29" s="87" t="e">
        <f>ROUND(H21-G21,1)</f>
        <v>#DIV/0!</v>
      </c>
      <c r="K29" s="88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90" t="e">
        <f>ROUND(K29/J27,2)</f>
        <v>#DIV/0!</v>
      </c>
      <c r="M30" s="1" t="s">
        <v>66</v>
      </c>
      <c r="N30" s="91" t="e">
        <f>$H21-($H$27-N29)*$L$30</f>
        <v>#DIV/0!</v>
      </c>
      <c r="O30" s="91" t="e">
        <f>$H21-($H$27-O29)*$L$30</f>
        <v>#DIV/0!</v>
      </c>
      <c r="P30" s="91" t="e">
        <f>$H21-($H$27-P29)*$L$30</f>
        <v>#DIV/0!</v>
      </c>
      <c r="Q30" s="91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3"/>
      <c r="J32" s="92"/>
      <c r="K32" s="92"/>
      <c r="L32" s="93"/>
      <c r="M32" s="93"/>
      <c r="N32" s="93"/>
      <c r="O32" s="93"/>
      <c r="P32" s="93"/>
      <c r="Q32" s="93"/>
      <c r="R32" s="93"/>
    </row>
    <row r="33" spans="6:18">
      <c r="G33" s="29"/>
      <c r="H33" s="29"/>
      <c r="I33" s="92"/>
      <c r="J33" s="93"/>
      <c r="K33" s="92"/>
      <c r="L33" s="93"/>
      <c r="M33" s="93"/>
      <c r="N33" s="93"/>
      <c r="O33" s="93"/>
      <c r="P33" s="93"/>
      <c r="Q33" s="93"/>
      <c r="R33" s="93"/>
    </row>
    <row r="34" spans="6:18">
      <c r="F34" s="67"/>
      <c r="G34" s="67"/>
      <c r="H34" s="94"/>
      <c r="I34" s="94"/>
      <c r="J34" s="92"/>
      <c r="K34" s="92"/>
      <c r="L34" s="93"/>
      <c r="M34" s="93"/>
      <c r="N34" s="93"/>
      <c r="O34" s="93"/>
      <c r="P34" s="93"/>
      <c r="Q34" s="93"/>
      <c r="R34" s="93"/>
    </row>
    <row r="35" spans="6:18">
      <c r="H35" s="92"/>
      <c r="I35" s="92"/>
      <c r="J35" s="92"/>
      <c r="K35" s="92"/>
      <c r="L35" s="93"/>
      <c r="M35" s="93"/>
      <c r="N35" s="93"/>
      <c r="O35" s="93"/>
      <c r="P35" s="93"/>
      <c r="Q35" s="93"/>
      <c r="R35" s="93"/>
    </row>
    <row r="36" spans="6:18">
      <c r="H36" s="92"/>
      <c r="I36" s="92"/>
      <c r="J36" s="92"/>
      <c r="K36" s="92"/>
      <c r="L36" s="93"/>
      <c r="M36" s="93"/>
      <c r="N36" s="93"/>
      <c r="O36" s="93"/>
      <c r="P36" s="93"/>
      <c r="Q36" s="93"/>
      <c r="R36" s="93"/>
    </row>
    <row r="37" spans="6:18">
      <c r="L37" s="93"/>
      <c r="M37" s="93"/>
      <c r="N37" s="93"/>
      <c r="O37" s="93"/>
      <c r="P37" s="93"/>
      <c r="Q37" s="93"/>
      <c r="R37" s="93"/>
    </row>
    <row r="38" spans="6:18">
      <c r="L38" s="93"/>
      <c r="M38" s="93"/>
      <c r="N38" s="93"/>
      <c r="O38" s="93"/>
      <c r="P38" s="93"/>
      <c r="Q38" s="93"/>
      <c r="R38" s="93"/>
    </row>
    <row r="39" spans="6:18">
      <c r="L39" s="93"/>
      <c r="M39" s="93"/>
      <c r="N39" s="93"/>
      <c r="O39" s="93"/>
      <c r="P39" s="93"/>
      <c r="Q39" s="93"/>
      <c r="R39" s="93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2022-07-22T05:53:52Z</dcterms:modified>
</cp:coreProperties>
</file>