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A/"/>
    </mc:Choice>
  </mc:AlternateContent>
  <xr:revisionPtr revIDLastSave="0" documentId="13_ncr:1_{852E2532-DA95-FB47-ABD5-F5BE1B6F2CE8}" xr6:coauthVersionLast="47" xr6:coauthVersionMax="47" xr10:uidLastSave="{00000000-0000-0000-0000-000000000000}"/>
  <bookViews>
    <workbookView xWindow="2740" yWindow="1320" windowWidth="25940" windowHeight="15140" activeTab="1" xr2:uid="{7BE21583-5D16-4846-9B49-7381C2CD4ADE}"/>
  </bookViews>
  <sheets>
    <sheet name="查詢網站" sheetId="5" r:id="rId1"/>
    <sheet name="輸入" sheetId="8" r:id="rId2"/>
    <sheet name="現金流量折現法(PE+EPS)" sheetId="4" r:id="rId3"/>
    <sheet name="EPS &amp; PE 成長率法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N14" i="8"/>
  <c r="Q13" i="8"/>
  <c r="P13" i="8"/>
  <c r="U41" i="8" l="1"/>
  <c r="W39" i="8"/>
  <c r="L17" i="8" l="1"/>
  <c r="B9" i="8"/>
  <c r="G2" i="8" l="1"/>
  <c r="G17" i="11" l="1"/>
  <c r="G16" i="11"/>
  <c r="I16" i="11"/>
  <c r="G20" i="11" s="1"/>
  <c r="H16" i="11"/>
  <c r="H17" i="1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G3" i="11" l="1"/>
  <c r="L21" i="8" s="1"/>
  <c r="D2" i="11"/>
  <c r="D5" i="11"/>
  <c r="O5" i="8" s="1"/>
  <c r="G2" i="11"/>
  <c r="L20" i="8" s="1"/>
  <c r="D3" i="11"/>
  <c r="O3" i="8" s="1"/>
  <c r="G4" i="1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D6" i="11"/>
  <c r="O6" i="8" s="1"/>
  <c r="D11" i="1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<sst xmlns="http://schemas.openxmlformats.org/spreadsheetml/2006/main" count="132" uniqueCount="89">
  <si>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</si>
  <si>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</si>
  <si>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</si>
  <si>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</si>
  <si>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</si>
  <si>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</si>
  <si>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</si>
  <si>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</si>
  <si>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</si>
  <si>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</si>
  <si>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</si>
  <si>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</si>
  <si>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</si>
  <si>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</si>
  <si>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</si>
  <si>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</si>
  <si>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</si>
  <si>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</si>
  <si>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</si>
  <si>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</si>
  <si>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</si>
  <si>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</si>
  <si>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</si>
  <si>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</si>
  <si>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</si>
  <si>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</si>
  <si>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</si>
  <si>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</si>
  <si>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</si>
  <si>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</si>
  <si>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</si>
  <si>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</si>
  <si>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</si>
  <si>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</si>
  <si>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</si>
  <si>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</si>
  <si>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</si>
  <si>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</si>
  <si>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</si>
  <si>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</si>
  <si>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</si>
  <si>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</si>
  <si>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</si>
  <si>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</si>
  <si>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</si>
  <si>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</si>
  <si>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</si>
  <si>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</si>
  <si>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</si>
  <si>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</si>
  <si>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</si>
  <si>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</si>
  <si>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</si>
  <si>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</si>
  <si>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</si>
  <si>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</si>
  <si>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</si>
  <si>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</si>
  <si>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</si>
  <si>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</si>
  <si>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</si>
  <si>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</si>
  <si>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</si>
  <si>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</si>
  <si>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</si>
  <si>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</si>
  <si>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</si>
  <si>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</si>
  <si>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</si>
  <si>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</si>
  <si>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MA</t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</si>
  <si>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</si>
  <si>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</si>
  <si>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</si>
  <si>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</si>
  <si>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7/22 股價</t>
    <phoneticPr fontId="2" type="noConversion"/>
  </si>
  <si>
    <t>7/22 EPS</t>
    <phoneticPr fontId="2" type="noConversion"/>
  </si>
  <si>
    <t>7/22 P/E</t>
    <phoneticPr fontId="2" type="noConversion"/>
  </si>
  <si>
    <t>↓= PE*EPS</t>
    <phoneticPr fontId="2" type="noConversion"/>
  </si>
  <si>
    <t>https://www.wsj.com/market-data/quotes/MA</t>
  </si>
  <si>
    <t>3 (~2017)</t>
    <phoneticPr fontId="2" type="noConversion"/>
  </si>
  <si>
    <t>4(~2016)</t>
    <phoneticPr fontId="2" type="noConversion"/>
  </si>
  <si>
    <t>5(~2015)</t>
    <phoneticPr fontId="2" type="noConversion"/>
  </si>
  <si>
    <t>6(~2014)</t>
    <phoneticPr fontId="2" type="noConversion"/>
  </si>
  <si>
    <t>7(~2013)</t>
    <phoneticPr fontId="2" type="noConversion"/>
  </si>
  <si>
    <t>8(~2012)</t>
    <phoneticPr fontId="2" type="noConversion"/>
  </si>
  <si>
    <t>9(~2011)</t>
    <phoneticPr fontId="2" type="noConversion"/>
  </si>
  <si>
    <t>10(~2010)</t>
    <phoneticPr fontId="2" type="noConversion"/>
  </si>
  <si>
    <t>11(~2009)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</si>
</sst>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8" fontId="6" fillId="17" borderId="1" xfId="0" applyNumberFormat="1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44" fillId="2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9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4" fillId="22" borderId="8" xfId="0" applyFont="1" applyFill="1" applyBorder="1" applyAlignment="1">
      <alignment horizontal="center" vertical="center"/>
    </xf>
    <xf numFmtId="0" fontId="44" fillId="22" borderId="10" xfId="0" applyFont="1" applyFill="1" applyBorder="1" applyAlignment="1">
      <alignment horizontal="center" vertical="center"/>
    </xf>
    <xf numFmtId="2" fontId="44" fillId="14" borderId="9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>
      <alignment vertical="center"/>
    </xf>
    <xf numFmtId="0" fontId="6" fillId="0" borderId="1" xfId="0" applyFont="1" applyFill="1" applyBorder="1">
      <alignment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6">
                    <a:lumMod val="75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輸入!$I$12:$I$52</c:f>
              <c:numCache>
                <c:formatCode>m/d/yy</c:formatCode>
                <c:ptCount val="41"/>
                <c:pt idx="0">
                  <c:v>43830</c:v>
                </c:pt>
                <c:pt idx="1">
                  <c:v>43738</c:v>
                </c:pt>
                <c:pt idx="2">
                  <c:v>43646</c:v>
                </c:pt>
                <c:pt idx="3">
                  <c:v>43555</c:v>
                </c:pt>
                <c:pt idx="4">
                  <c:v>43465</c:v>
                </c:pt>
                <c:pt idx="5">
                  <c:v>43373</c:v>
                </c:pt>
                <c:pt idx="6">
                  <c:v>43281</c:v>
                </c:pt>
                <c:pt idx="7">
                  <c:v>43190</c:v>
                </c:pt>
                <c:pt idx="8">
                  <c:v>43100</c:v>
                </c:pt>
                <c:pt idx="9">
                  <c:v>43008</c:v>
                </c:pt>
                <c:pt idx="10">
                  <c:v>42916</c:v>
                </c:pt>
                <c:pt idx="11">
                  <c:v>42825</c:v>
                </c:pt>
                <c:pt idx="12">
                  <c:v>42735</c:v>
                </c:pt>
                <c:pt idx="13">
                  <c:v>42643</c:v>
                </c:pt>
                <c:pt idx="14">
                  <c:v>42551</c:v>
                </c:pt>
                <c:pt idx="15">
                  <c:v>42460</c:v>
                </c:pt>
                <c:pt idx="16">
                  <c:v>42369</c:v>
                </c:pt>
                <c:pt idx="17">
                  <c:v>42277</c:v>
                </c:pt>
                <c:pt idx="18">
                  <c:v>42185</c:v>
                </c:pt>
                <c:pt idx="19">
                  <c:v>42094</c:v>
                </c:pt>
                <c:pt idx="20">
                  <c:v>42004</c:v>
                </c:pt>
                <c:pt idx="21">
                  <c:v>41912</c:v>
                </c:pt>
                <c:pt idx="22">
                  <c:v>41820</c:v>
                </c:pt>
                <c:pt idx="23">
                  <c:v>41729</c:v>
                </c:pt>
                <c:pt idx="24">
                  <c:v>41639</c:v>
                </c:pt>
                <c:pt idx="25">
                  <c:v>41547</c:v>
                </c:pt>
                <c:pt idx="26">
                  <c:v>41455</c:v>
                </c:pt>
                <c:pt idx="27">
                  <c:v>41364</c:v>
                </c:pt>
                <c:pt idx="28">
                  <c:v>41274</c:v>
                </c:pt>
                <c:pt idx="29">
                  <c:v>41182</c:v>
                </c:pt>
                <c:pt idx="30">
                  <c:v>41090</c:v>
                </c:pt>
                <c:pt idx="31">
                  <c:v>40999</c:v>
                </c:pt>
                <c:pt idx="32">
                  <c:v>40908</c:v>
                </c:pt>
                <c:pt idx="33">
                  <c:v>40816</c:v>
                </c:pt>
                <c:pt idx="34">
                  <c:v>40724</c:v>
                </c:pt>
                <c:pt idx="35">
                  <c:v>40633</c:v>
                </c:pt>
                <c:pt idx="36">
                  <c:v>40543</c:v>
                </c:pt>
                <c:pt idx="37">
                  <c:v>40451</c:v>
                </c:pt>
                <c:pt idx="38">
                  <c:v>40359</c:v>
                </c:pt>
                <c:pt idx="39">
                  <c:v>40268</c:v>
                </c:pt>
                <c:pt idx="40">
                  <c:v>40178</c:v>
                </c:pt>
              </c:numCache>
            </c:numRef>
          </c:xVal>
          <c:yVal>
            <c:numRef>
              <c:f>輸入!$J$12:$J$52</c:f>
              <c:numCache>
                <c:formatCode>General</c:formatCode>
                <c:ptCount val="41"/>
                <c:pt idx="0">
                  <c:v>37.130000000000003</c:v>
                </c:pt>
                <c:pt idx="1">
                  <c:v>39.729999999999997</c:v>
                </c:pt>
                <c:pt idx="2">
                  <c:v>40.14</c:v>
                </c:pt>
                <c:pt idx="3">
                  <c:v>38.659999999999997</c:v>
                </c:pt>
                <c:pt idx="4">
                  <c:v>33.130000000000003</c:v>
                </c:pt>
                <c:pt idx="8">
                  <c:v>40.56</c:v>
                </c:pt>
                <c:pt idx="9">
                  <c:v>32.07</c:v>
                </c:pt>
                <c:pt idx="10">
                  <c:v>29.31</c:v>
                </c:pt>
                <c:pt idx="11">
                  <c:v>28.57</c:v>
                </c:pt>
                <c:pt idx="12">
                  <c:v>27.17</c:v>
                </c:pt>
                <c:pt idx="13">
                  <c:v>27.25</c:v>
                </c:pt>
                <c:pt idx="14">
                  <c:v>25.05</c:v>
                </c:pt>
                <c:pt idx="15">
                  <c:v>27.47</c:v>
                </c:pt>
                <c:pt idx="16">
                  <c:v>27.99</c:v>
                </c:pt>
                <c:pt idx="17">
                  <c:v>26.66</c:v>
                </c:pt>
                <c:pt idx="18">
                  <c:v>27.52</c:v>
                </c:pt>
                <c:pt idx="19">
                  <c:v>25.47</c:v>
                </c:pt>
                <c:pt idx="20">
                  <c:v>26.67</c:v>
                </c:pt>
                <c:pt idx="21">
                  <c:v>24.17</c:v>
                </c:pt>
                <c:pt idx="22">
                  <c:v>25.23</c:v>
                </c:pt>
                <c:pt idx="23">
                  <c:v>26.61</c:v>
                </c:pt>
                <c:pt idx="24">
                  <c:v>30.99</c:v>
                </c:pt>
                <c:pt idx="25">
                  <c:v>25.27</c:v>
                </c:pt>
                <c:pt idx="26">
                  <c:v>22.54</c:v>
                </c:pt>
                <c:pt idx="27">
                  <c:v>22.51</c:v>
                </c:pt>
                <c:pt idx="28">
                  <c:v>21.24</c:v>
                </c:pt>
                <c:pt idx="29">
                  <c:v>24.84</c:v>
                </c:pt>
                <c:pt idx="30">
                  <c:v>24.41</c:v>
                </c:pt>
                <c:pt idx="31">
                  <c:v>25.04</c:v>
                </c:pt>
                <c:pt idx="32">
                  <c:v>23.79</c:v>
                </c:pt>
                <c:pt idx="33">
                  <c:v>16.809999999999999</c:v>
                </c:pt>
                <c:pt idx="34">
                  <c:v>17.64</c:v>
                </c:pt>
                <c:pt idx="35">
                  <c:v>15.98</c:v>
                </c:pt>
                <c:pt idx="36">
                  <c:v>15.06</c:v>
                </c:pt>
                <c:pt idx="37">
                  <c:v>16.02</c:v>
                </c:pt>
                <c:pt idx="38">
                  <c:v>14.75</c:v>
                </c:pt>
                <c:pt idx="39">
                  <c:v>20.059999999999999</c:v>
                </c:pt>
                <c:pt idx="40">
                  <c:v>21.39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19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790816</xdr:colOff>
      <xdr:row>37</xdr:row>
      <xdr:rowOff>148993</xdr:rowOff>
    </xdr:from>
    <xdr:to>
      <xdr:col>19</xdr:col>
      <xdr:colOff>397357</xdr:colOff>
      <xdr:row>41</xdr:row>
      <xdr:rowOff>85851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50D338AA-AB91-7B3D-6659-792EB2499239}"/>
            </a:ext>
          </a:extLst>
        </xdr:cNvPr>
        <xdr:cNvGrpSpPr/>
      </xdr:nvGrpSpPr>
      <xdr:grpSpPr>
        <a:xfrm rot="19822263">
          <a:off x="12574750" y="10621288"/>
          <a:ext cx="5498509" cy="852924"/>
          <a:chOff x="12382974" y="9364132"/>
          <a:chExt cx="7856885" cy="843840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87499" y="10192274"/>
            <a:ext cx="7852360" cy="15698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82974" y="9364132"/>
            <a:ext cx="7835426" cy="32633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806135</xdr:colOff>
      <xdr:row>42</xdr:row>
      <xdr:rowOff>180141</xdr:rowOff>
    </xdr:from>
    <xdr:to>
      <xdr:col>20</xdr:col>
      <xdr:colOff>153120</xdr:colOff>
      <xdr:row>42</xdr:row>
      <xdr:rowOff>180141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BA9C4ED7-FB75-34A9-38EA-2488F0201D9C}"/>
            </a:ext>
          </a:extLst>
        </xdr:cNvPr>
        <xdr:cNvCxnSpPr/>
      </xdr:nvCxnSpPr>
      <xdr:spPr>
        <a:xfrm>
          <a:off x="20761348" y="11925389"/>
          <a:ext cx="17113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222085</xdr:colOff>
      <xdr:row>33</xdr:row>
      <xdr:rowOff>218710</xdr:rowOff>
    </xdr:from>
    <xdr:to>
      <xdr:col>19</xdr:col>
      <xdr:colOff>141956</xdr:colOff>
      <xdr:row>45</xdr:row>
      <xdr:rowOff>15029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3453F512-1531-3540-8C44-46460A60BEC0}"/>
            </a:ext>
          </a:extLst>
        </xdr:cNvPr>
        <xdr:cNvCxnSpPr/>
      </xdr:nvCxnSpPr>
      <xdr:spPr>
        <a:xfrm flipV="1">
          <a:off x="13005169" y="9773383"/>
          <a:ext cx="4786226" cy="2680525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683084</xdr:colOff>
      <xdr:row>31</xdr:row>
      <xdr:rowOff>62512</xdr:rowOff>
    </xdr:from>
    <xdr:to>
      <xdr:col>17</xdr:col>
      <xdr:colOff>270618</xdr:colOff>
      <xdr:row>41</xdr:row>
      <xdr:rowOff>191168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5BF4C634-6E44-E442-990D-90024A8367EB}"/>
            </a:ext>
          </a:extLst>
        </xdr:cNvPr>
        <xdr:cNvCxnSpPr/>
      </xdr:nvCxnSpPr>
      <xdr:spPr>
        <a:xfrm flipV="1">
          <a:off x="12433551" y="9047465"/>
          <a:ext cx="4786226" cy="2680525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0.88764</cdr:x>
      <cdr:y>0.31415</cdr:y>
    </cdr:from>
    <cdr:to>
      <cdr:x>0.89943</cdr:x>
      <cdr:y>0.33032</cdr:y>
    </cdr:to>
    <cdr:sp macro="" textlink="">
      <cdr:nvSpPr>
        <cdr:cNvPr id="2" name="橢圓 1">
          <a:extLst xmlns:a="http://schemas.openxmlformats.org/drawingml/2006/main">
            <a:ext uri="{FF2B5EF4-FFF2-40B4-BE49-F238E27FC236}">
              <a16:creationId xmlns:a16="http://schemas.microsoft.com/office/drawing/2014/main" id="{B6E9A9E3-08A4-4644-A105-73322C62770D}"/>
            </a:ext>
          </a:extLst>
        </cdr:cNvPr>
        <cdr:cNvSpPr/>
      </cdr:nvSpPr>
      <cdr:spPr>
        <a:xfrm xmlns:a="http://schemas.openxmlformats.org/drawingml/2006/main">
          <a:off x="5567796" y="1727200"/>
          <a:ext cx="73954" cy="8890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A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X109"/>
  <sheetViews>
    <sheetView tabSelected="1" topLeftCell="A19" zoomScale="61" zoomScaleNormal="58" workbookViewId="0">
      <selection activeCell="V46" sqref="V46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5.33203125" customWidth="1"/>
    <col min="17" max="17" width="4.6640625" customWidth="1"/>
    <col min="18" max="18" width="3.6640625" customWidth="1"/>
    <col min="19" max="19" width="5.5" customWidth="1"/>
  </cols>
  <sheetData>
    <row r="1" spans="1:17" ht="36">
      <c r="A1" s="28" t="s">
        <v>22</v>
      </c>
      <c r="B1" s="48">
        <v>368</v>
      </c>
      <c r="C1" s="52" t="s">
        <v>70</v>
      </c>
      <c r="D1" s="51" t="s">
        <v>46</v>
      </c>
      <c r="F1" s="127" t="s">
        <v>51</v>
      </c>
      <c r="G1" s="127"/>
      <c r="H1" s="77"/>
      <c r="I1" s="30" t="s">
        <v>23</v>
      </c>
      <c r="J1" s="101" t="s">
        <v>45</v>
      </c>
      <c r="K1" s="78" t="s">
        <v>37</v>
      </c>
      <c r="L1" s="79" t="s">
        <v>23</v>
      </c>
      <c r="M1" s="80" t="s">
        <v>6</v>
      </c>
      <c r="N1" s="79" t="s">
        <v>61</v>
      </c>
      <c r="O1" s="80" t="s">
        <v>52</v>
      </c>
      <c r="Q1" s="56"/>
    </row>
    <row r="2" spans="1:17" ht="29">
      <c r="A2" s="14" t="s">
        <v>7</v>
      </c>
      <c r="B2" s="8">
        <v>13</v>
      </c>
      <c r="C2" s="29">
        <f>(1+(B2/100))</f>
        <v>1.1299999999999999</v>
      </c>
      <c r="F2" s="128" t="s">
        <v>49</v>
      </c>
      <c r="G2" s="130">
        <f>MEDIAN(G4:G36)</f>
        <v>17.754999999999999</v>
      </c>
      <c r="I2" s="138">
        <v>44761</v>
      </c>
      <c r="J2" s="139">
        <v>35.42</v>
      </c>
      <c r="K2" s="103">
        <f>ROUND(STDEV(J12:J52),2)</f>
        <v>6.87</v>
      </c>
      <c r="L2" s="83">
        <v>2019</v>
      </c>
      <c r="M2" s="66">
        <v>7.94</v>
      </c>
      <c r="N2" s="62" t="s">
        <v>80</v>
      </c>
      <c r="O2" s="61">
        <f>'EPS &amp; PE 成長率法'!D2</f>
        <v>29.57</v>
      </c>
      <c r="P2" s="29"/>
      <c r="Q2" s="56"/>
    </row>
    <row r="3" spans="1:17" ht="29">
      <c r="A3" s="14" t="s">
        <v>8</v>
      </c>
      <c r="B3" s="8">
        <v>10</v>
      </c>
      <c r="C3" s="29">
        <f>(1+(B3/100))</f>
        <v>1.1000000000000001</v>
      </c>
      <c r="F3" s="129"/>
      <c r="G3" s="130"/>
      <c r="I3" s="138">
        <v>44651</v>
      </c>
      <c r="J3" s="139">
        <v>37.08</v>
      </c>
      <c r="K3" s="118" t="s">
        <v>63</v>
      </c>
      <c r="L3" s="83">
        <v>2018</v>
      </c>
      <c r="M3" s="66">
        <v>5.6</v>
      </c>
      <c r="N3" s="62" t="s">
        <v>81</v>
      </c>
      <c r="O3" s="61">
        <f>'EPS &amp; PE 成長率法'!D3</f>
        <v>21.12</v>
      </c>
      <c r="P3" s="29">
        <v>21.12</v>
      </c>
      <c r="Q3" s="56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9">
        <v>1</v>
      </c>
      <c r="G4" s="54">
        <v>53.45</v>
      </c>
      <c r="I4" s="138">
        <v>44561</v>
      </c>
      <c r="J4" s="139">
        <v>40.909999999999997</v>
      </c>
      <c r="K4" s="119"/>
      <c r="L4" s="83">
        <v>2017</v>
      </c>
      <c r="M4" s="66">
        <v>3.65</v>
      </c>
      <c r="N4" s="62" t="s">
        <v>82</v>
      </c>
      <c r="O4" s="61">
        <f>'EPS &amp; PE 成長率法'!D4</f>
        <v>18.84</v>
      </c>
      <c r="P4" s="29">
        <v>18.84</v>
      </c>
      <c r="Q4" s="56"/>
    </row>
    <row r="5" spans="1:17" ht="29">
      <c r="A5" s="14" t="s">
        <v>67</v>
      </c>
      <c r="B5" s="8">
        <v>45</v>
      </c>
      <c r="D5" s="53" t="s">
        <v>72</v>
      </c>
      <c r="F5" s="99">
        <v>2</v>
      </c>
      <c r="G5" s="55">
        <v>38.53</v>
      </c>
      <c r="I5" s="138">
        <v>44469</v>
      </c>
      <c r="J5" s="139">
        <v>42.6</v>
      </c>
      <c r="K5" s="104">
        <f>ROUND(AVERAGE(J12:J52),2)</f>
        <v>26.18</v>
      </c>
      <c r="L5" s="83">
        <v>2016</v>
      </c>
      <c r="M5" s="66">
        <v>3.69</v>
      </c>
      <c r="N5" s="62" t="s">
        <v>83</v>
      </c>
      <c r="O5" s="61">
        <f>'EPS &amp; PE 成長率法'!D5</f>
        <v>16.97</v>
      </c>
      <c r="P5" s="29"/>
      <c r="Q5" s="56"/>
    </row>
    <row r="6" spans="1:17" ht="22" customHeight="1">
      <c r="A6" s="14" t="s">
        <v>4</v>
      </c>
      <c r="B6" s="35">
        <v>0.6</v>
      </c>
      <c r="F6" s="99">
        <v>3</v>
      </c>
      <c r="G6" s="100">
        <v>31.76</v>
      </c>
      <c r="I6" s="138">
        <v>44377</v>
      </c>
      <c r="J6" s="139">
        <v>50.45</v>
      </c>
      <c r="K6" s="10"/>
      <c r="L6" s="83">
        <v>2015</v>
      </c>
      <c r="M6" s="66">
        <v>3.35</v>
      </c>
      <c r="N6" s="62" t="s">
        <v>84</v>
      </c>
      <c r="O6" s="61">
        <f>'EPS &amp; PE 成長率法'!D6</f>
        <v>17.55</v>
      </c>
      <c r="P6" s="29">
        <v>17.55</v>
      </c>
    </row>
    <row r="7" spans="1:17" ht="22" customHeight="1">
      <c r="A7" s="14" t="s">
        <v>21</v>
      </c>
      <c r="B7" s="35">
        <v>0</v>
      </c>
      <c r="C7" s="29">
        <f>(1+(B7/100))</f>
        <v>1</v>
      </c>
      <c r="F7" s="99">
        <v>4</v>
      </c>
      <c r="G7" s="54">
        <v>25.79</v>
      </c>
      <c r="I7" s="138">
        <v>44286</v>
      </c>
      <c r="J7" s="139"/>
      <c r="K7" s="10"/>
      <c r="L7" s="83">
        <v>2014</v>
      </c>
      <c r="M7" s="66">
        <v>3.1</v>
      </c>
      <c r="N7" s="62" t="s">
        <v>85</v>
      </c>
      <c r="O7" s="61">
        <f>'EPS &amp; PE 成長率法'!D7</f>
        <v>17.47</v>
      </c>
      <c r="P7" s="29">
        <v>17.47</v>
      </c>
    </row>
    <row r="8" spans="1:17" ht="22" customHeight="1">
      <c r="A8" s="98" t="s">
        <v>68</v>
      </c>
      <c r="B8" s="8">
        <v>8</v>
      </c>
      <c r="D8" s="63" t="s">
        <v>71</v>
      </c>
      <c r="F8" s="99">
        <v>5</v>
      </c>
      <c r="G8" s="54">
        <v>25.03</v>
      </c>
      <c r="I8" s="138">
        <v>44196</v>
      </c>
      <c r="J8" s="139"/>
      <c r="K8" s="10"/>
      <c r="L8" s="83">
        <v>2013</v>
      </c>
      <c r="M8" s="66">
        <v>2.56</v>
      </c>
      <c r="N8" s="62" t="s">
        <v>86</v>
      </c>
      <c r="O8" s="61">
        <f>'EPS &amp; PE 成長率法'!D8</f>
        <v>20.52</v>
      </c>
      <c r="P8" s="29">
        <v>20.52</v>
      </c>
    </row>
    <row r="9" spans="1:17" ht="22" customHeight="1">
      <c r="A9" s="45" t="s">
        <v>69</v>
      </c>
      <c r="B9" s="60">
        <f>N14</f>
        <v>19.122857142857146</v>
      </c>
      <c r="C9" s="29">
        <f>(1+(B9/100))</f>
        <v>1.1912285714285715</v>
      </c>
      <c r="F9" s="99">
        <v>6</v>
      </c>
      <c r="G9" s="54">
        <v>21.24</v>
      </c>
      <c r="I9" s="138">
        <v>44104</v>
      </c>
      <c r="J9" s="139">
        <v>50.26</v>
      </c>
      <c r="K9" s="10"/>
      <c r="L9" s="83">
        <v>2012</v>
      </c>
      <c r="M9" s="66">
        <v>2.19</v>
      </c>
      <c r="N9" s="62" t="s">
        <v>87</v>
      </c>
      <c r="O9" s="61">
        <f>'EPS &amp; PE 成長率法'!D9</f>
        <v>18.87</v>
      </c>
      <c r="P9" s="29">
        <v>18.87</v>
      </c>
    </row>
    <row r="10" spans="1:17" ht="18" customHeight="1">
      <c r="A10" s="45" t="s">
        <v>38</v>
      </c>
      <c r="B10" s="49">
        <v>5</v>
      </c>
      <c r="C10" s="29">
        <f>(1+(B10/100))</f>
        <v>1.05</v>
      </c>
      <c r="D10" s="63" t="s">
        <v>41</v>
      </c>
      <c r="F10" s="99">
        <v>7</v>
      </c>
      <c r="G10" s="54">
        <v>20.010000000000002</v>
      </c>
      <c r="I10" s="138">
        <v>44012</v>
      </c>
      <c r="J10" s="139">
        <v>40.49</v>
      </c>
      <c r="K10" s="10"/>
      <c r="L10" s="83">
        <v>2011</v>
      </c>
      <c r="M10" s="66">
        <v>1.48</v>
      </c>
      <c r="N10" s="64" t="s">
        <v>88</v>
      </c>
      <c r="O10" s="65">
        <f>'EPS &amp; PE 成長率法'!D10</f>
        <v>19.489999999999998</v>
      </c>
      <c r="P10" s="29">
        <v>19.489999999999998</v>
      </c>
    </row>
    <row r="11" spans="1:17" ht="22">
      <c r="A11" s="45" t="s">
        <v>54</v>
      </c>
      <c r="B11" s="49">
        <v>0.74</v>
      </c>
      <c r="F11" s="99">
        <v>8</v>
      </c>
      <c r="G11" s="54">
        <v>19.09</v>
      </c>
      <c r="I11" s="138">
        <v>43921</v>
      </c>
      <c r="J11" s="139">
        <v>30.54</v>
      </c>
      <c r="K11" s="10"/>
      <c r="L11" s="83">
        <v>2010</v>
      </c>
      <c r="M11" s="66">
        <v>1.41</v>
      </c>
      <c r="N11" s="62"/>
      <c r="O11" s="61"/>
      <c r="P11" s="29"/>
    </row>
    <row r="12" spans="1:17" ht="22" customHeight="1">
      <c r="F12" s="99">
        <v>9</v>
      </c>
      <c r="G12" s="54">
        <v>18.77</v>
      </c>
      <c r="I12" s="84">
        <v>43830</v>
      </c>
      <c r="J12" s="67">
        <v>37.130000000000003</v>
      </c>
      <c r="K12" s="10"/>
      <c r="L12" s="83">
        <v>2009</v>
      </c>
      <c r="M12" s="66">
        <v>1.1200000000000001</v>
      </c>
      <c r="N12" s="62"/>
      <c r="O12" s="61"/>
      <c r="P12" s="29"/>
    </row>
    <row r="13" spans="1:17" ht="22" customHeight="1">
      <c r="A13" s="115" t="s">
        <v>48</v>
      </c>
      <c r="B13" s="116"/>
      <c r="F13" s="99">
        <v>10</v>
      </c>
      <c r="G13" s="54">
        <v>17.86</v>
      </c>
      <c r="I13" s="84">
        <v>43738</v>
      </c>
      <c r="J13" s="67">
        <v>39.729999999999997</v>
      </c>
      <c r="K13" s="10"/>
      <c r="L13" s="31"/>
      <c r="M13" s="102"/>
      <c r="N13" s="131" t="s">
        <v>55</v>
      </c>
      <c r="O13" s="132"/>
      <c r="P13">
        <f>MIN(P2:P10)</f>
        <v>17.47</v>
      </c>
      <c r="Q13">
        <f>MAX(P2:P10)</f>
        <v>21.12</v>
      </c>
    </row>
    <row r="14" spans="1:17" ht="20" customHeight="1">
      <c r="A14" s="114" t="s">
        <v>47</v>
      </c>
      <c r="B14" s="114"/>
      <c r="F14" s="99">
        <v>11</v>
      </c>
      <c r="G14" s="54">
        <v>17.649999999999999</v>
      </c>
      <c r="I14" s="84">
        <v>43646</v>
      </c>
      <c r="J14" s="67">
        <v>40.14</v>
      </c>
      <c r="K14" s="10"/>
      <c r="L14" s="31"/>
      <c r="M14" s="102"/>
      <c r="N14" s="137">
        <f>AVERAGE(P2:P11)</f>
        <v>19.122857142857146</v>
      </c>
      <c r="O14" s="137"/>
    </row>
    <row r="15" spans="1:17" ht="22">
      <c r="F15" s="99">
        <v>12</v>
      </c>
      <c r="G15" s="54">
        <v>17.100000000000001</v>
      </c>
      <c r="I15" s="84">
        <v>43555</v>
      </c>
      <c r="J15" s="67">
        <v>38.659999999999997</v>
      </c>
      <c r="K15" s="10"/>
      <c r="L15" s="120" t="s">
        <v>63</v>
      </c>
      <c r="M15" s="120"/>
    </row>
    <row r="16" spans="1:17" ht="26" customHeight="1">
      <c r="A16" s="81" t="s">
        <v>43</v>
      </c>
      <c r="F16" s="99">
        <v>13</v>
      </c>
      <c r="G16" s="54">
        <v>16.850000000000001</v>
      </c>
      <c r="I16" s="84">
        <v>43465</v>
      </c>
      <c r="J16" s="67">
        <v>33.130000000000003</v>
      </c>
      <c r="K16" s="10"/>
      <c r="L16" s="120"/>
      <c r="M16" s="120"/>
      <c r="N16" s="10"/>
      <c r="O16" s="11"/>
    </row>
    <row r="17" spans="1:19" ht="24" customHeight="1">
      <c r="A17" s="82" t="s">
        <v>11</v>
      </c>
      <c r="B17" s="20" t="s">
        <v>15</v>
      </c>
      <c r="C17" s="20" t="s">
        <v>16</v>
      </c>
      <c r="D17" s="20" t="s">
        <v>17</v>
      </c>
      <c r="F17" s="99">
        <v>14</v>
      </c>
      <c r="G17" s="54">
        <v>15.11</v>
      </c>
      <c r="I17" s="84">
        <v>43373</v>
      </c>
      <c r="J17" s="67"/>
      <c r="K17" s="10"/>
      <c r="L17" s="121">
        <f>ROUND(AVERAGE(M2:M7),2)</f>
        <v>4.5599999999999996</v>
      </c>
      <c r="M17" s="122"/>
      <c r="N17" s="10"/>
      <c r="O17" s="10"/>
    </row>
    <row r="18" spans="1:19" ht="18" customHeight="1">
      <c r="A18" s="82" t="s">
        <v>18</v>
      </c>
      <c r="B18" s="9">
        <f>'現金流量折現法(PE+EPS)'!B30</f>
        <v>422.59593259216922</v>
      </c>
      <c r="C18" s="9">
        <f>'現金流量折現法(PE+EPS)'!C30</f>
        <v>469.31040666140581</v>
      </c>
      <c r="D18" s="9">
        <f>'現金流量折現法(PE+EPS)'!D30</f>
        <v>611.01773517701577</v>
      </c>
      <c r="F18" s="99">
        <v>15</v>
      </c>
      <c r="G18" s="54">
        <v>14.92</v>
      </c>
      <c r="I18" s="84">
        <v>43281</v>
      </c>
      <c r="J18" s="67"/>
      <c r="K18" s="10"/>
      <c r="N18" s="10"/>
      <c r="O18" s="10"/>
    </row>
    <row r="19" spans="1:19" ht="47" customHeight="1">
      <c r="A19" s="82" t="s">
        <v>19</v>
      </c>
      <c r="B19" s="9">
        <f>'現金流量折現法(PE+EPS)'!B31</f>
        <v>457.54747588926591</v>
      </c>
      <c r="C19" s="9">
        <f>'現金流量折現法(PE+EPS)'!C31</f>
        <v>536.35475047017803</v>
      </c>
      <c r="D19" s="9">
        <f>'現金流量折現法(PE+EPS)'!D31</f>
        <v>799.74908194983914</v>
      </c>
      <c r="F19" s="99">
        <v>16</v>
      </c>
      <c r="G19" s="54">
        <v>14.4</v>
      </c>
      <c r="I19" s="84">
        <v>43190</v>
      </c>
      <c r="J19" s="67"/>
      <c r="K19" s="105" t="s">
        <v>73</v>
      </c>
      <c r="L19" s="78">
        <v>3</v>
      </c>
      <c r="M19" s="106">
        <v>4</v>
      </c>
      <c r="N19" s="78">
        <v>5</v>
      </c>
      <c r="O19" s="106">
        <v>6</v>
      </c>
      <c r="P19" s="106">
        <v>7</v>
      </c>
      <c r="Q19" s="106">
        <v>8</v>
      </c>
      <c r="R19" s="106">
        <v>9</v>
      </c>
      <c r="S19" s="78">
        <v>10</v>
      </c>
    </row>
    <row r="20" spans="1:19" ht="20" customHeight="1">
      <c r="A20" s="82" t="s">
        <v>20</v>
      </c>
      <c r="B20" s="9">
        <f>'現金流量折現法(PE+EPS)'!B32</f>
        <v>543.33762761850323</v>
      </c>
      <c r="C20" s="9">
        <f>'現金流量折現法(PE+EPS)'!C32</f>
        <v>707.8124166040875</v>
      </c>
      <c r="D20" s="9">
        <f>'現金流量折現法(PE+EPS)'!D32</f>
        <v>1399.5608934122185</v>
      </c>
      <c r="F20" s="99">
        <v>17</v>
      </c>
      <c r="G20" s="54">
        <v>7.42</v>
      </c>
      <c r="I20" s="84">
        <v>43100</v>
      </c>
      <c r="J20" s="67">
        <v>40.56</v>
      </c>
      <c r="K20" s="117" t="s">
        <v>74</v>
      </c>
      <c r="L20" s="107">
        <f>'EPS &amp; PE 成長率法'!G2</f>
        <v>29.57</v>
      </c>
      <c r="M20" s="108">
        <f>'EPS &amp; PE 成長率法'!H2</f>
        <v>21.12</v>
      </c>
      <c r="N20" s="107"/>
      <c r="O20" s="108">
        <f>'EPS &amp; PE 成長率法'!J2</f>
        <v>16.97</v>
      </c>
      <c r="P20" s="108">
        <f>'EPS &amp; PE 成長率法'!K2</f>
        <v>17.55</v>
      </c>
      <c r="Q20" s="108">
        <f>'EPS &amp; PE 成長率法'!L2</f>
        <v>17.47</v>
      </c>
      <c r="R20" s="108">
        <f>'EPS &amp; PE 成長率法'!M2</f>
        <v>20.52</v>
      </c>
      <c r="S20" s="107"/>
    </row>
    <row r="21" spans="1:19" ht="18" customHeight="1">
      <c r="A21" s="77"/>
      <c r="C21"/>
      <c r="D21"/>
      <c r="F21" s="99">
        <v>18</v>
      </c>
      <c r="G21" s="54">
        <v>5.19</v>
      </c>
      <c r="I21" s="84">
        <v>43008</v>
      </c>
      <c r="J21" s="67">
        <v>32.07</v>
      </c>
      <c r="K21" s="117"/>
      <c r="L21" s="107">
        <f>'EPS &amp; PE 成長率法'!G3</f>
        <v>14.92</v>
      </c>
      <c r="M21" s="108">
        <f>'EPS &amp; PE 成長率法'!H3</f>
        <v>13.71</v>
      </c>
      <c r="N21" s="107">
        <f>'EPS &amp; PE 成長率法'!I3</f>
        <v>12.56</v>
      </c>
      <c r="O21" s="108">
        <f>'EPS &amp; PE 成長率法'!J3</f>
        <v>13.94</v>
      </c>
      <c r="P21" s="108">
        <f>'EPS &amp; PE 成長率法'!K3</f>
        <v>14.35</v>
      </c>
      <c r="Q21" s="108">
        <f>'EPS &amp; PE 成長率法'!L3</f>
        <v>18.100000000000001</v>
      </c>
      <c r="R21" s="108">
        <f>'EPS &amp; PE 成長率法'!M3</f>
        <v>16.559999999999999</v>
      </c>
      <c r="S21" s="107">
        <f>'EPS &amp; PE 成長率法'!N3</f>
        <v>17.46</v>
      </c>
    </row>
    <row r="22" spans="1:19" ht="18" customHeight="1">
      <c r="A22" s="81" t="s">
        <v>50</v>
      </c>
      <c r="F22" s="99">
        <v>19</v>
      </c>
      <c r="G22" s="54">
        <v>3.48</v>
      </c>
      <c r="I22" s="84">
        <v>42916</v>
      </c>
      <c r="J22" s="67">
        <v>29.31</v>
      </c>
      <c r="K22" s="117"/>
      <c r="L22" s="107"/>
      <c r="M22" s="108">
        <f>'EPS &amp; PE 成長率法'!H4</f>
        <v>4.17</v>
      </c>
      <c r="N22" s="107">
        <f>'EPS &amp; PE 成長率法'!I4</f>
        <v>7.35</v>
      </c>
      <c r="O22" s="108">
        <f>'EPS &amp; PE 成長率法'!J4</f>
        <v>8.89</v>
      </c>
      <c r="P22" s="108">
        <f>'EPS &amp; PE 成長率法'!K4</f>
        <v>13.76</v>
      </c>
      <c r="Q22" s="108">
        <f>'EPS &amp; PE 成長率法'!L4</f>
        <v>12.62</v>
      </c>
      <c r="R22" s="108">
        <f>'EPS &amp; PE 成長率法'!M4</f>
        <v>14.03</v>
      </c>
      <c r="S22" s="107"/>
    </row>
    <row r="23" spans="1:19" ht="20" customHeight="1">
      <c r="A23" s="82" t="s">
        <v>11</v>
      </c>
      <c r="B23" s="20" t="s">
        <v>15</v>
      </c>
      <c r="C23" s="20" t="s">
        <v>16</v>
      </c>
      <c r="D23" s="20" t="s">
        <v>17</v>
      </c>
      <c r="F23" s="99">
        <v>20</v>
      </c>
      <c r="G23" s="54">
        <v>2.73</v>
      </c>
      <c r="I23" s="84">
        <v>42825</v>
      </c>
      <c r="J23" s="67">
        <v>28.57</v>
      </c>
      <c r="K23" s="117"/>
      <c r="L23" s="107">
        <f>'EPS &amp; PE 成長率法'!G5</f>
        <v>5.98</v>
      </c>
      <c r="M23" s="108">
        <f>'EPS &amp; PE 成長率法'!H5</f>
        <v>9.57</v>
      </c>
      <c r="N23" s="107">
        <f>'EPS &amp; PE 成長率法'!I5</f>
        <v>11</v>
      </c>
      <c r="O23" s="108">
        <f>'EPS &amp; PE 成長率法'!J5</f>
        <v>16.45</v>
      </c>
      <c r="P23" s="108">
        <f>'EPS &amp; PE 成長率法'!K5</f>
        <v>14.73</v>
      </c>
      <c r="Q23" s="108">
        <f>'EPS &amp; PE 成長率法'!L5</f>
        <v>16.07</v>
      </c>
      <c r="R23" s="108" t="e">
        <f>'EPS &amp; PE 成長率法'!M5</f>
        <v>#DIV/0!</v>
      </c>
      <c r="S23" s="107" t="e">
        <f>'EPS &amp; PE 成長率法'!N5</f>
        <v>#DIV/0!</v>
      </c>
    </row>
    <row r="24" spans="1:19" ht="18" customHeight="1">
      <c r="A24" s="82" t="s">
        <v>64</v>
      </c>
      <c r="B24" s="97" t="e">
        <f>'EPS &amp; PE 成長率法'!G19-1</f>
        <v>#DIV/0!</v>
      </c>
      <c r="C24" s="97" t="e">
        <f>'EPS &amp; PE 成長率法'!H19-1</f>
        <v>#DIV/0!</v>
      </c>
      <c r="D24" s="97" t="e">
        <f>'EPS &amp; PE 成長率法'!I19-1</f>
        <v>#DIV/0!</v>
      </c>
      <c r="F24" s="99">
        <v>21</v>
      </c>
      <c r="G24" s="54"/>
      <c r="I24" s="84">
        <v>42735</v>
      </c>
      <c r="J24" s="67">
        <v>27.17</v>
      </c>
      <c r="K24" s="117"/>
      <c r="L24" s="107"/>
      <c r="M24" s="108">
        <f>'EPS &amp; PE 成長率法'!H6</f>
        <v>11.21</v>
      </c>
      <c r="N24" s="107"/>
      <c r="O24" s="108">
        <f>'EPS &amp; PE 成長率法'!J6</f>
        <v>15.51</v>
      </c>
      <c r="P24" s="108">
        <f>'EPS &amp; PE 成長率法'!K6</f>
        <v>16.940000000000001</v>
      </c>
      <c r="Q24" s="108" t="e">
        <f>'EPS &amp; PE 成長率法'!L6</f>
        <v>#DIV/0!</v>
      </c>
      <c r="R24" s="108" t="e">
        <f>'EPS &amp; PE 成長率法'!M6</f>
        <v>#DIV/0!</v>
      </c>
    </row>
    <row r="25" spans="1:19" ht="20" customHeight="1">
      <c r="A25" s="82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9">
        <v>22</v>
      </c>
      <c r="G25" s="54"/>
      <c r="I25" s="84">
        <v>42643</v>
      </c>
      <c r="J25" s="67">
        <v>27.25</v>
      </c>
      <c r="K25" s="117"/>
      <c r="L25" s="107">
        <f>'EPS &amp; PE 成長率法'!G7</f>
        <v>12.28</v>
      </c>
      <c r="M25" s="108">
        <f>'EPS &amp; PE 成長率法'!H7</f>
        <v>20.3</v>
      </c>
      <c r="N25" s="107">
        <f>'EPS &amp; PE 成長率法'!I7</f>
        <v>17.07</v>
      </c>
      <c r="O25" s="108">
        <f>'EPS &amp; PE 成長率法'!J7</f>
        <v>18.489999999999998</v>
      </c>
      <c r="P25" s="108" t="e">
        <f>'EPS &amp; PE 成長率法'!K7</f>
        <v>#DIV/0!</v>
      </c>
      <c r="Q25" s="108" t="e">
        <f>'EPS &amp; PE 成長率法'!L7</f>
        <v>#DIV/0!</v>
      </c>
      <c r="R25" s="109"/>
    </row>
    <row r="26" spans="1:19" ht="18" customHeight="1">
      <c r="A26" s="82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9">
        <v>23</v>
      </c>
      <c r="G26" s="54"/>
      <c r="I26" s="84">
        <v>42551</v>
      </c>
      <c r="J26" s="67">
        <v>25.05</v>
      </c>
      <c r="K26" s="117"/>
      <c r="L26" s="107">
        <f>'EPS &amp; PE 成長率法'!G8</f>
        <v>20.04</v>
      </c>
      <c r="M26" s="108">
        <f>'EPS &amp; PE 成長率法'!H8</f>
        <v>16.079999999999998</v>
      </c>
      <c r="N26" s="107">
        <f>'EPS &amp; PE 成長率法'!I8</f>
        <v>17.98</v>
      </c>
      <c r="O26" s="108" t="e">
        <f>'EPS &amp; PE 成長率法'!J8</f>
        <v>#DIV/0!</v>
      </c>
      <c r="P26" s="108" t="e">
        <f>'EPS &amp; PE 成長率法'!K8</f>
        <v>#DIV/0!</v>
      </c>
      <c r="Q26" s="109"/>
      <c r="R26" s="109"/>
    </row>
    <row r="27" spans="1:19" ht="18" customHeight="1">
      <c r="F27" s="99">
        <v>24</v>
      </c>
      <c r="G27" s="54"/>
      <c r="I27" s="84">
        <v>42460</v>
      </c>
      <c r="J27" s="67">
        <v>27.47</v>
      </c>
      <c r="K27" s="117"/>
      <c r="L27" s="107">
        <f>'EPS &amp; PE 成長率法'!G9</f>
        <v>15.81</v>
      </c>
      <c r="M27" s="108">
        <f>'EPS &amp; PE 成長率法'!H9</f>
        <v>18.25</v>
      </c>
      <c r="N27" s="107" t="e">
        <f>'EPS &amp; PE 成長率法'!I9</f>
        <v>#DIV/0!</v>
      </c>
      <c r="O27" s="108" t="e">
        <f>'EPS &amp; PE 成長率法'!J9</f>
        <v>#DIV/0!</v>
      </c>
      <c r="P27" s="109"/>
      <c r="Q27" s="109"/>
      <c r="R27" s="109"/>
    </row>
    <row r="28" spans="1:19" ht="22">
      <c r="C28"/>
      <c r="F28" s="99">
        <v>25</v>
      </c>
      <c r="G28" s="54"/>
      <c r="I28" s="84">
        <v>42369</v>
      </c>
      <c r="J28" s="67">
        <v>27.99</v>
      </c>
      <c r="K28" s="117"/>
      <c r="L28" s="107">
        <f>'EPS &amp; PE 成長率法'!G10</f>
        <v>9.74</v>
      </c>
      <c r="M28" s="108" t="e">
        <f>'EPS &amp; PE 成長率法'!H10</f>
        <v>#DIV/0!</v>
      </c>
      <c r="N28" s="107" t="e">
        <f>'EPS &amp; PE 成長率法'!I10</f>
        <v>#DIV/0!</v>
      </c>
      <c r="O28" s="109"/>
      <c r="P28" s="109"/>
      <c r="Q28" s="109"/>
      <c r="R28" s="109"/>
    </row>
    <row r="29" spans="1:19" ht="18" customHeight="1">
      <c r="F29" s="99">
        <v>26</v>
      </c>
      <c r="G29" s="54"/>
      <c r="I29" s="84">
        <v>42277</v>
      </c>
      <c r="J29" s="67">
        <v>26.66</v>
      </c>
      <c r="K29" s="117"/>
      <c r="L29" s="107" t="e">
        <f>'EPS &amp; PE 成長率法'!G11</f>
        <v>#DIV/0!</v>
      </c>
      <c r="M29" s="108" t="e">
        <f>'EPS &amp; PE 成長率法'!H11</f>
        <v>#DIV/0!</v>
      </c>
      <c r="O29" s="109"/>
      <c r="P29" s="109"/>
      <c r="Q29" s="109"/>
      <c r="R29" s="109"/>
    </row>
    <row r="30" spans="1:19" ht="20" customHeight="1">
      <c r="F30" s="99">
        <v>27</v>
      </c>
      <c r="G30" s="54"/>
      <c r="I30" s="84">
        <v>42185</v>
      </c>
      <c r="J30" s="67">
        <v>27.52</v>
      </c>
      <c r="K30" s="117"/>
      <c r="L30" s="107" t="e">
        <f>'EPS &amp; PE 成長率法'!G12</f>
        <v>#DIV/0!</v>
      </c>
      <c r="O30" s="68"/>
      <c r="P30" s="68"/>
      <c r="Q30" s="68"/>
      <c r="R30" s="68"/>
    </row>
    <row r="31" spans="1:19" ht="22">
      <c r="F31" s="99">
        <v>28</v>
      </c>
      <c r="G31" s="54"/>
      <c r="I31" s="84">
        <v>42094</v>
      </c>
      <c r="J31" s="67">
        <v>25.47</v>
      </c>
    </row>
    <row r="32" spans="1:19" ht="22">
      <c r="A32" s="29"/>
      <c r="B32" s="29"/>
      <c r="F32" s="99">
        <v>29</v>
      </c>
      <c r="G32" s="54"/>
      <c r="I32" s="84">
        <v>42004</v>
      </c>
      <c r="J32" s="67">
        <v>26.67</v>
      </c>
    </row>
    <row r="33" spans="6:24" ht="22">
      <c r="F33" s="99">
        <v>30</v>
      </c>
      <c r="G33" s="54"/>
      <c r="I33" s="84">
        <v>41912</v>
      </c>
      <c r="J33" s="67">
        <v>24.17</v>
      </c>
    </row>
    <row r="34" spans="6:24" ht="22">
      <c r="F34" s="99">
        <v>31</v>
      </c>
      <c r="G34" s="54"/>
      <c r="I34" s="84">
        <v>41820</v>
      </c>
      <c r="J34" s="67">
        <v>25.23</v>
      </c>
    </row>
    <row r="35" spans="6:24" ht="22">
      <c r="F35" s="99">
        <v>32</v>
      </c>
      <c r="G35" s="54"/>
      <c r="I35" s="84">
        <v>41729</v>
      </c>
      <c r="J35" s="67">
        <v>26.61</v>
      </c>
    </row>
    <row r="36" spans="6:24" ht="22">
      <c r="F36" s="99">
        <v>33</v>
      </c>
      <c r="G36" s="54"/>
      <c r="I36" s="84">
        <v>41639</v>
      </c>
      <c r="J36" s="67">
        <v>30.99</v>
      </c>
    </row>
    <row r="37" spans="6:24" ht="18">
      <c r="I37" s="84">
        <v>41547</v>
      </c>
      <c r="J37" s="67">
        <v>25.27</v>
      </c>
      <c r="U37" s="113" t="s">
        <v>79</v>
      </c>
    </row>
    <row r="38" spans="6:24" ht="18">
      <c r="I38" s="84">
        <v>41455</v>
      </c>
      <c r="J38" s="67">
        <v>22.54</v>
      </c>
      <c r="U38" s="110" t="s">
        <v>75</v>
      </c>
      <c r="V38" s="110" t="s">
        <v>76</v>
      </c>
      <c r="W38" s="112" t="s">
        <v>78</v>
      </c>
    </row>
    <row r="39" spans="6:24" ht="18">
      <c r="I39" s="84">
        <v>41364</v>
      </c>
      <c r="J39" s="67">
        <v>22.51</v>
      </c>
      <c r="U39" s="63">
        <v>346.92</v>
      </c>
      <c r="V39" s="63">
        <v>9.61</v>
      </c>
      <c r="W39" s="111">
        <f>W41*X39</f>
        <v>336.34999999999997</v>
      </c>
      <c r="X39" s="111">
        <v>9.61</v>
      </c>
    </row>
    <row r="40" spans="6:24" ht="18">
      <c r="I40" s="84">
        <v>41274</v>
      </c>
      <c r="J40" s="67">
        <v>21.24</v>
      </c>
      <c r="U40" s="123" t="s">
        <v>77</v>
      </c>
      <c r="V40" s="124"/>
    </row>
    <row r="41" spans="6:24" ht="18">
      <c r="I41" s="84">
        <v>41182</v>
      </c>
      <c r="J41" s="67">
        <v>24.84</v>
      </c>
      <c r="U41" s="125">
        <f>U39/V39</f>
        <v>36.099895941727368</v>
      </c>
      <c r="V41" s="126"/>
      <c r="W41" s="111">
        <v>35</v>
      </c>
    </row>
    <row r="42" spans="6:24" ht="18">
      <c r="I42" s="84">
        <v>41090</v>
      </c>
      <c r="J42" s="67">
        <v>24.41</v>
      </c>
    </row>
    <row r="43" spans="6:24" ht="18">
      <c r="I43" s="84">
        <v>40999</v>
      </c>
      <c r="J43" s="67">
        <v>25.04</v>
      </c>
    </row>
    <row r="44" spans="6:24" ht="18">
      <c r="I44" s="84">
        <v>40908</v>
      </c>
      <c r="J44" s="67">
        <v>23.79</v>
      </c>
    </row>
    <row r="45" spans="6:24" ht="18">
      <c r="I45" s="84">
        <v>40816</v>
      </c>
      <c r="J45" s="67">
        <v>16.809999999999999</v>
      </c>
    </row>
    <row r="46" spans="6:24" ht="18">
      <c r="I46" s="84">
        <v>40724</v>
      </c>
      <c r="J46" s="67">
        <v>17.64</v>
      </c>
    </row>
    <row r="47" spans="6:24" ht="18">
      <c r="I47" s="84">
        <v>40633</v>
      </c>
      <c r="J47" s="67">
        <v>15.98</v>
      </c>
    </row>
    <row r="48" spans="6:24" ht="18">
      <c r="I48" s="84">
        <v>40543</v>
      </c>
      <c r="J48" s="67">
        <v>15.06</v>
      </c>
      <c r="K48" s="11"/>
    </row>
    <row r="49" spans="6:13" ht="18">
      <c r="I49" s="84">
        <v>40451</v>
      </c>
      <c r="J49" s="67">
        <v>16.02</v>
      </c>
      <c r="K49" s="11"/>
    </row>
    <row r="50" spans="6:13" ht="18" customHeight="1">
      <c r="I50" s="84">
        <v>40359</v>
      </c>
      <c r="J50" s="67">
        <v>14.75</v>
      </c>
      <c r="K50" s="11"/>
    </row>
    <row r="51" spans="6:13" ht="18">
      <c r="I51" s="84">
        <v>40268</v>
      </c>
      <c r="J51" s="67">
        <v>20.059999999999999</v>
      </c>
      <c r="K51" s="11"/>
    </row>
    <row r="52" spans="6:13" ht="18" customHeight="1">
      <c r="I52" s="84">
        <v>40178</v>
      </c>
      <c r="J52" s="67">
        <v>21.39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U40:V40"/>
    <mergeCell ref="U41:V41"/>
    <mergeCell ref="F1:G1"/>
    <mergeCell ref="F2:F3"/>
    <mergeCell ref="G2:G3"/>
    <mergeCell ref="N14:O14"/>
    <mergeCell ref="N13:O13"/>
    <mergeCell ref="A14:B14"/>
    <mergeCell ref="A13:B13"/>
    <mergeCell ref="K20:K30"/>
    <mergeCell ref="K3:K4"/>
    <mergeCell ref="L15:M16"/>
    <mergeCell ref="L17:M17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U37" r:id="rId3" xr:uid="{6B862585-2245-4A4A-97F7-10DE08CF0DD2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368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19.122857142857146</v>
      </c>
      <c r="C9" s="29">
        <f>(1+(B9/100))</f>
        <v>1.1912285714285715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9.5298285714285722</v>
      </c>
      <c r="C20" s="37">
        <f t="shared" si="4"/>
        <v>11.352204075102042</v>
      </c>
      <c r="D20" s="27">
        <f t="shared" si="4"/>
        <v>13.523069842949415</v>
      </c>
      <c r="E20" s="26">
        <f t="shared" si="4"/>
        <v>16.109067170345426</v>
      </c>
      <c r="F20" s="27">
        <f t="shared" si="4"/>
        <v>19.189581072377482</v>
      </c>
      <c r="G20" s="26">
        <f t="shared" si="4"/>
        <v>22.859177247160986</v>
      </c>
      <c r="H20" s="26">
        <f t="shared" si="4"/>
        <v>27.230505056168088</v>
      </c>
      <c r="I20" s="26">
        <f t="shared" si="4"/>
        <v>32.437755637337602</v>
      </c>
      <c r="J20" s="26">
        <f t="shared" si="4"/>
        <v>38.640781308214763</v>
      </c>
      <c r="K20" s="27">
        <f t="shared" si="4"/>
        <v>46.03000271666852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422.59593259216922</v>
      </c>
      <c r="C30" s="21">
        <f>($B$5/$F16)*$F$20</f>
        <v>469.31040666140581</v>
      </c>
      <c r="D30" s="9">
        <f>($B$5/$K16)*$K$20</f>
        <v>611.01773517701577</v>
      </c>
    </row>
    <row r="31" spans="1:11" ht="20">
      <c r="A31" s="22" t="s">
        <v>19</v>
      </c>
      <c r="B31" s="9">
        <f>($B$5/$D17)*$D$20</f>
        <v>457.54747588926591</v>
      </c>
      <c r="C31" s="21">
        <f>($B$5/$F17)*$F$20</f>
        <v>536.35475047017803</v>
      </c>
      <c r="D31" s="9">
        <f>($B$5/$K17)*$K$20</f>
        <v>799.74908194983914</v>
      </c>
    </row>
    <row r="32" spans="1:11" ht="20">
      <c r="A32" s="22" t="s">
        <v>20</v>
      </c>
      <c r="B32" s="9">
        <f>($B$5/$D18)*$D$20</f>
        <v>543.33762761850323</v>
      </c>
      <c r="C32" s="21">
        <f>($B$5/$F18)*$F$20</f>
        <v>707.8124166040875</v>
      </c>
      <c r="D32" s="9">
        <f>($B$5/$K18)*$K$20</f>
        <v>1399.5608934122185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424.01593259216924</v>
      </c>
      <c r="C36" s="38">
        <f>C30+SUM(B24:F24)</f>
        <v>471.43040666140581</v>
      </c>
      <c r="D36" s="34">
        <f>D30+SUM(B24:K24)</f>
        <v>614.29773517701574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459.04747588926591</v>
      </c>
      <c r="C37" s="38">
        <f t="shared" ref="C37:C38" si="8">C31+SUM(B25:F25)</f>
        <v>538.63475047017801</v>
      </c>
      <c r="D37" s="34">
        <f t="shared" ref="D37:D38" si="9">D31+SUM(B25:K25)</f>
        <v>803.43908194983919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545.01762761850318</v>
      </c>
      <c r="C38" s="38">
        <f t="shared" si="8"/>
        <v>710.49241660408745</v>
      </c>
      <c r="D38" s="34">
        <f t="shared" si="9"/>
        <v>1404.4308934122184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I2" sqref="I2:I10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7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8">
        <f>輸入!M2</f>
        <v>7.94</v>
      </c>
      <c r="C2" s="59">
        <v>3</v>
      </c>
      <c r="D2" s="59">
        <f>ROUND(100*((($B2/$B4)^(1/COUNT($A2:$A4)) )-1),2)</f>
        <v>29.57</v>
      </c>
      <c r="F2" s="133" t="s">
        <v>62</v>
      </c>
      <c r="G2" s="71">
        <f>ROUND(100*((($B2/$B4)^(1/COUNT($A2:$A4)) )-1),2)</f>
        <v>29.57</v>
      </c>
      <c r="H2" s="72">
        <f t="shared" ref="H2:H11" si="0">ROUND(100*((($B2/$B5)^(1/COUNT($A2:$A5)) )-1),2)</f>
        <v>21.12</v>
      </c>
      <c r="I2" s="71">
        <f t="shared" ref="I2:I10" si="1">ROUND(100*((($B2/$B6)^(1/COUNT($A2:$A6)) )-1),2)</f>
        <v>18.84</v>
      </c>
      <c r="J2" s="71">
        <f t="shared" ref="J2:J9" si="2">ROUND(100*((($B2/$B7)^(1/COUNT($A2:$A7)) )-1),2)</f>
        <v>16.97</v>
      </c>
      <c r="K2" s="71">
        <f t="shared" ref="K2:K8" si="3">ROUND(100*((($B2/$B8)^(1/COUNT($A2:$A8)) )-1),2)</f>
        <v>17.55</v>
      </c>
      <c r="L2" s="71">
        <f t="shared" ref="L2:L7" si="4">ROUND(100*((($B2/$B9)^(1/COUNT($A2:$A9)) )-1),2)</f>
        <v>17.47</v>
      </c>
      <c r="M2" s="71">
        <f>ROUND(100*((($B2/$B10)^(1/COUNT($A2:$A10)) )-1),2)</f>
        <v>20.52</v>
      </c>
      <c r="N2" s="71">
        <f>ROUND(100*((($B2/$B11)^(1/COUNT($A2:$A11)) )-1),2)</f>
        <v>18.87</v>
      </c>
    </row>
    <row r="3" spans="1:14" ht="18">
      <c r="A3" s="31">
        <v>2020</v>
      </c>
      <c r="B3" s="58">
        <f>輸入!M3</f>
        <v>5.6</v>
      </c>
      <c r="C3" s="59">
        <v>4</v>
      </c>
      <c r="D3" s="59">
        <f>ROUND(100*((($B2/$B5)^(1/COUNT($A2:$A5)) )-1),2)</f>
        <v>21.12</v>
      </c>
      <c r="F3" s="133"/>
      <c r="G3" s="71">
        <f>ROUND(100*((($B3/$B5)^(1/COUNT($A3:$A5)) )-1),2)</f>
        <v>14.92</v>
      </c>
      <c r="H3" s="72">
        <f t="shared" si="0"/>
        <v>13.71</v>
      </c>
      <c r="I3" s="71">
        <f t="shared" si="1"/>
        <v>12.56</v>
      </c>
      <c r="J3" s="71">
        <f t="shared" si="2"/>
        <v>13.94</v>
      </c>
      <c r="K3" s="71">
        <f t="shared" si="3"/>
        <v>14.35</v>
      </c>
      <c r="L3" s="71">
        <f t="shared" si="4"/>
        <v>18.100000000000001</v>
      </c>
      <c r="M3" s="71">
        <f>ROUND(100*((($B3/$B11)^(1/COUNT($A3:$A11)) )-1),2)</f>
        <v>16.559999999999999</v>
      </c>
      <c r="N3" s="71">
        <f>ROUND(100*((($B3/$B12)^(1/COUNT($A3:$A12)) )-1),2)</f>
        <v>17.46</v>
      </c>
    </row>
    <row r="4" spans="1:14" ht="18">
      <c r="A4" s="31">
        <v>2019</v>
      </c>
      <c r="B4" s="58">
        <f>輸入!M4</f>
        <v>3.65</v>
      </c>
      <c r="C4" s="59">
        <v>5</v>
      </c>
      <c r="D4" s="59">
        <f>ROUND(100*((($B$2/B6)^(1/COUNT($A$2:$A6)) )-1),2)</f>
        <v>18.84</v>
      </c>
      <c r="F4" s="133"/>
      <c r="G4" s="71">
        <f>ROUND(100*((($B4/$B6)^(1/COUNT($A4:$A6)) )-1),2)</f>
        <v>2.9</v>
      </c>
      <c r="H4" s="72">
        <f t="shared" si="0"/>
        <v>4.17</v>
      </c>
      <c r="I4" s="71">
        <f t="shared" si="1"/>
        <v>7.35</v>
      </c>
      <c r="J4" s="71">
        <f t="shared" si="2"/>
        <v>8.89</v>
      </c>
      <c r="K4" s="71">
        <f t="shared" si="3"/>
        <v>13.76</v>
      </c>
      <c r="L4" s="71">
        <f t="shared" si="4"/>
        <v>12.62</v>
      </c>
      <c r="M4" s="71">
        <f>ROUND(100*((($B4/$B12)^(1/COUNT($A4:$A12)) )-1),2)</f>
        <v>14.03</v>
      </c>
      <c r="N4" s="71" t="e">
        <f>ROUND(100*((($B4/$B13)^(1/COUNT($A4:$A13)) )-1),2)</f>
        <v>#DIV/0!</v>
      </c>
    </row>
    <row r="5" spans="1:14" ht="18">
      <c r="A5" s="31">
        <v>2018</v>
      </c>
      <c r="B5" s="58">
        <f>輸入!M5</f>
        <v>3.69</v>
      </c>
      <c r="C5" s="59">
        <v>6</v>
      </c>
      <c r="D5" s="59">
        <f>ROUND(100*((($B$2/B7)^(1/COUNT($A$2:$A7)) )-1),2)</f>
        <v>16.97</v>
      </c>
      <c r="F5" s="133"/>
      <c r="G5" s="71">
        <f t="shared" ref="G5:G12" si="5">ROUND(100*((($B5/$B7)^(1/COUNT($A5:$A7)) )-1),2)</f>
        <v>5.98</v>
      </c>
      <c r="H5" s="72">
        <f t="shared" si="0"/>
        <v>9.57</v>
      </c>
      <c r="I5" s="71">
        <f t="shared" si="1"/>
        <v>11</v>
      </c>
      <c r="J5" s="71">
        <f t="shared" si="2"/>
        <v>16.45</v>
      </c>
      <c r="K5" s="71">
        <f t="shared" si="3"/>
        <v>14.73</v>
      </c>
      <c r="L5" s="71">
        <f t="shared" si="4"/>
        <v>16.07</v>
      </c>
      <c r="M5" s="71" t="e">
        <f>ROUND(100*((($B5/$B13)^(1/COUNT($A5:$A13)) )-1),2)</f>
        <v>#DIV/0!</v>
      </c>
      <c r="N5" s="71" t="e">
        <f>ROUND(100*((($B5/$B14)^(1/COUNT($A5:$A14)) )-1),2)</f>
        <v>#DIV/0!</v>
      </c>
    </row>
    <row r="6" spans="1:14" ht="18">
      <c r="A6" s="31">
        <v>2017</v>
      </c>
      <c r="B6" s="58">
        <f>輸入!M6</f>
        <v>3.35</v>
      </c>
      <c r="C6" s="59">
        <v>7</v>
      </c>
      <c r="D6" s="59">
        <f>ROUND(100*((($B$2/B8)^(1/COUNT($A$2:$A8)) )-1),2)</f>
        <v>17.55</v>
      </c>
      <c r="F6" s="133"/>
      <c r="G6" s="71">
        <f t="shared" si="5"/>
        <v>9.3800000000000008</v>
      </c>
      <c r="H6" s="72">
        <f t="shared" si="0"/>
        <v>11.21</v>
      </c>
      <c r="I6" s="71">
        <f t="shared" si="1"/>
        <v>17.75</v>
      </c>
      <c r="J6" s="71">
        <f t="shared" si="2"/>
        <v>15.51</v>
      </c>
      <c r="K6" s="71">
        <f t="shared" si="3"/>
        <v>16.940000000000001</v>
      </c>
      <c r="L6" s="71" t="e">
        <f t="shared" si="4"/>
        <v>#DIV/0!</v>
      </c>
      <c r="M6" s="71" t="e">
        <f>ROUND(100*((($B6/$B14)^(1/COUNT($A6:$A14)) )-1),2)</f>
        <v>#DIV/0!</v>
      </c>
    </row>
    <row r="7" spans="1:14" ht="18">
      <c r="A7" s="31">
        <v>2016</v>
      </c>
      <c r="B7" s="58">
        <f>輸入!M7</f>
        <v>3.1</v>
      </c>
      <c r="C7" s="59">
        <v>8</v>
      </c>
      <c r="D7" s="59">
        <f>ROUND(100*((($B$2/B9)^(1/COUNT($A$2:$A9)) )-1),2)</f>
        <v>17.47</v>
      </c>
      <c r="F7" s="133"/>
      <c r="G7" s="71">
        <f t="shared" si="5"/>
        <v>12.28</v>
      </c>
      <c r="H7" s="72">
        <f t="shared" si="0"/>
        <v>20.3</v>
      </c>
      <c r="I7" s="71">
        <f t="shared" si="1"/>
        <v>17.07</v>
      </c>
      <c r="J7" s="71">
        <f t="shared" si="2"/>
        <v>18.489999999999998</v>
      </c>
      <c r="K7" s="71" t="e">
        <f t="shared" si="3"/>
        <v>#DIV/0!</v>
      </c>
      <c r="L7" s="71" t="e">
        <f t="shared" si="4"/>
        <v>#DIV/0!</v>
      </c>
    </row>
    <row r="8" spans="1:14" ht="18">
      <c r="A8" s="31">
        <v>2015</v>
      </c>
      <c r="B8" s="58">
        <f>輸入!M8</f>
        <v>2.56</v>
      </c>
      <c r="C8" s="59">
        <v>9</v>
      </c>
      <c r="D8" s="59">
        <f>ROUND(100*((($B$2/B10)^(1/COUNT($A$2:$A10)) )-1),2)</f>
        <v>20.52</v>
      </c>
      <c r="F8" s="133"/>
      <c r="G8" s="71">
        <f t="shared" si="5"/>
        <v>20.04</v>
      </c>
      <c r="H8" s="72">
        <f t="shared" si="0"/>
        <v>16.079999999999998</v>
      </c>
      <c r="I8" s="71">
        <f t="shared" si="1"/>
        <v>17.98</v>
      </c>
      <c r="J8" s="71" t="e">
        <f t="shared" si="2"/>
        <v>#DIV/0!</v>
      </c>
      <c r="K8" s="71" t="e">
        <f t="shared" si="3"/>
        <v>#DIV/0!</v>
      </c>
    </row>
    <row r="9" spans="1:14" ht="18">
      <c r="A9" s="31">
        <v>2014</v>
      </c>
      <c r="B9" s="58">
        <f>輸入!M9</f>
        <v>2.19</v>
      </c>
      <c r="C9" s="59">
        <v>10</v>
      </c>
      <c r="D9" s="59">
        <f>ROUND(100*((($B$2/B11)^(1/COUNT($A$2:$A11)) )-1),2)</f>
        <v>18.87</v>
      </c>
      <c r="F9" s="133"/>
      <c r="G9" s="71">
        <f t="shared" si="5"/>
        <v>15.81</v>
      </c>
      <c r="H9" s="72">
        <f t="shared" si="0"/>
        <v>18.25</v>
      </c>
      <c r="I9" s="71" t="e">
        <f t="shared" si="1"/>
        <v>#DIV/0!</v>
      </c>
      <c r="J9" s="71" t="e">
        <f t="shared" si="2"/>
        <v>#DIV/0!</v>
      </c>
    </row>
    <row r="10" spans="1:14" ht="18">
      <c r="A10" s="31">
        <v>2013</v>
      </c>
      <c r="B10" s="58">
        <f>輸入!M10</f>
        <v>1.48</v>
      </c>
      <c r="C10" s="59">
        <v>11</v>
      </c>
      <c r="D10" s="59">
        <f>ROUND(100*((($B$2/B12)^(1/COUNT($A$2:$A12)) )-1),2)</f>
        <v>19.489999999999998</v>
      </c>
      <c r="F10" s="133"/>
      <c r="G10" s="71">
        <f>ROUND(100*((($B10/$B12)^(1/COUNT($A10:$A12)) )-1),2)</f>
        <v>9.74</v>
      </c>
      <c r="H10" s="72" t="e">
        <f t="shared" si="0"/>
        <v>#DIV/0!</v>
      </c>
      <c r="I10" s="71" t="e">
        <f t="shared" si="1"/>
        <v>#DIV/0!</v>
      </c>
    </row>
    <row r="11" spans="1:14" ht="18">
      <c r="A11" s="31">
        <v>2012</v>
      </c>
      <c r="B11" s="58">
        <f>輸入!M11</f>
        <v>1.41</v>
      </c>
      <c r="C11" s="59">
        <v>12</v>
      </c>
      <c r="D11" s="59" t="e">
        <f>ROUND(100*((($B$2/B13)^(1/COUNT($A$2:$A13)) )-1),2)</f>
        <v>#DIV/0!</v>
      </c>
      <c r="F11" s="133"/>
      <c r="G11" s="71" t="e">
        <f t="shared" si="5"/>
        <v>#DIV/0!</v>
      </c>
      <c r="H11" s="72" t="e">
        <f t="shared" si="0"/>
        <v>#DIV/0!</v>
      </c>
    </row>
    <row r="12" spans="1:14" ht="18">
      <c r="A12" s="31">
        <v>2011</v>
      </c>
      <c r="B12" s="58">
        <f>輸入!M12</f>
        <v>1.1200000000000001</v>
      </c>
      <c r="C12" s="59">
        <v>13</v>
      </c>
      <c r="D12" s="59" t="e">
        <f>ROUND(100*((($B$2/B14)^(1/COUNT($A$2:$A14)) )-1),2)</f>
        <v>#DIV/0!</v>
      </c>
      <c r="F12" s="133"/>
      <c r="G12" s="71" t="e">
        <f t="shared" si="5"/>
        <v>#DIV/0!</v>
      </c>
      <c r="J12" s="68"/>
      <c r="K12" s="68"/>
      <c r="L12" s="68"/>
      <c r="M12" s="68"/>
    </row>
    <row r="13" spans="1:14" ht="18">
      <c r="A13" s="31">
        <v>2010</v>
      </c>
      <c r="B13" s="58">
        <f>輸入!M13</f>
        <v>0</v>
      </c>
      <c r="C13" s="29"/>
    </row>
    <row r="14" spans="1:14" ht="18">
      <c r="A14" s="31">
        <v>2009</v>
      </c>
      <c r="B14" s="58">
        <f>輸入!M14</f>
        <v>0</v>
      </c>
      <c r="D14"/>
    </row>
    <row r="15" spans="1:14">
      <c r="F15" s="63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9">
        <f>輸入!B8</f>
        <v>8</v>
      </c>
      <c r="H16" s="59">
        <f>輸入!B5</f>
        <v>45</v>
      </c>
      <c r="I16" s="59">
        <f>輸入!B11</f>
        <v>0.74</v>
      </c>
    </row>
    <row r="17" spans="6:18">
      <c r="F17" s="1" t="s">
        <v>59</v>
      </c>
      <c r="G17" s="85">
        <f>輸入!L17</f>
        <v>4.5599999999999996</v>
      </c>
      <c r="H17" s="59">
        <f>輸入!K5</f>
        <v>26.18</v>
      </c>
      <c r="I17" s="76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3" t="s">
        <v>58</v>
      </c>
      <c r="G19" s="70" t="e">
        <f>(1+AVERAGE(輸入!L20:'輸入'!L30)/100)</f>
        <v>#DIV/0!</v>
      </c>
      <c r="H19" s="70" t="e">
        <f>(1+AVERAGE(輸入!N20:'輸入'!N28)/100)</f>
        <v>#DIV/0!</v>
      </c>
      <c r="I19" s="70" t="e">
        <f>(1+AVERAGE(輸入!S20:'輸入'!S23)/100)</f>
        <v>#DIV/0!</v>
      </c>
    </row>
    <row r="20" spans="6:18">
      <c r="F20" s="73" t="s">
        <v>53</v>
      </c>
      <c r="G20" s="70">
        <f>ROUND((1+$I16/100)^G1,2)</f>
        <v>1.02</v>
      </c>
      <c r="H20" s="70">
        <f>ROUND((1+$I16/100)^I1,2)</f>
        <v>1.04</v>
      </c>
      <c r="I20" s="70">
        <f>ROUND((1+$I16/100)^N1,2)</f>
        <v>1.08</v>
      </c>
    </row>
    <row r="21" spans="6:18" ht="25">
      <c r="F21" s="73" t="s">
        <v>41</v>
      </c>
      <c r="G21" s="74" t="e">
        <f t="shared" ref="G21:I22" si="6">$H16*G$20*$G16*G$19</f>
        <v>#DIV/0!</v>
      </c>
      <c r="H21" s="74" t="e">
        <f t="shared" si="6"/>
        <v>#DIV/0!</v>
      </c>
      <c r="I21" s="74" t="e">
        <f t="shared" si="6"/>
        <v>#DIV/0!</v>
      </c>
    </row>
    <row r="22" spans="6:18">
      <c r="F22" s="73" t="s">
        <v>59</v>
      </c>
      <c r="G22" s="75" t="e">
        <f t="shared" si="6"/>
        <v>#DIV/0!</v>
      </c>
      <c r="H22" s="75" t="e">
        <f t="shared" si="6"/>
        <v>#DIV/0!</v>
      </c>
      <c r="I22" s="75" t="e">
        <f t="shared" si="6"/>
        <v>#DIV/0!</v>
      </c>
    </row>
    <row r="23" spans="6:18" ht="25">
      <c r="F23" s="73" t="s">
        <v>60</v>
      </c>
      <c r="G23" s="74" t="e">
        <f>G22*(1.05)^3</f>
        <v>#DIV/0!</v>
      </c>
      <c r="H23" s="74" t="e">
        <f>H22*(1.05)^5</f>
        <v>#DIV/0!</v>
      </c>
      <c r="I23" s="74" t="e">
        <f>I22*(1.05)^10</f>
        <v>#DIV/0!</v>
      </c>
    </row>
    <row r="27" spans="6:18">
      <c r="F27" s="63" t="s">
        <v>64</v>
      </c>
      <c r="G27" s="87" t="e">
        <f>ROUND(I19-1,2)*100</f>
        <v>#DIV/0!</v>
      </c>
      <c r="H27" s="86" t="e">
        <f>ROUND(H19-1,2)*100</f>
        <v>#DIV/0!</v>
      </c>
      <c r="I27" s="86" t="e">
        <f>ROUND(G19-1,2)*100</f>
        <v>#DIV/0!</v>
      </c>
      <c r="J27" s="91" t="e">
        <f>G27-I27</f>
        <v>#DIV/0!</v>
      </c>
    </row>
    <row r="28" spans="6:18">
      <c r="G28" s="134" t="e">
        <f>G27-H27</f>
        <v>#DIV/0!</v>
      </c>
      <c r="H28" s="135"/>
      <c r="I28" s="88" t="e">
        <f>ROUND(I21-H21,1)</f>
        <v>#DIV/0!</v>
      </c>
    </row>
    <row r="29" spans="6:18">
      <c r="H29" s="136" t="e">
        <f>H27-I27</f>
        <v>#DIV/0!</v>
      </c>
      <c r="I29" s="136"/>
      <c r="J29" s="89" t="e">
        <f>ROUND(H21-G21,1)</f>
        <v>#DIV/0!</v>
      </c>
      <c r="K29" s="90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2" t="e">
        <f>ROUND(K29/J27,2)</f>
        <v>#DIV/0!</v>
      </c>
      <c r="M30" s="1" t="s">
        <v>66</v>
      </c>
      <c r="N30" s="93" t="e">
        <f>$H21-($H$27-N29)*$L$30</f>
        <v>#DIV/0!</v>
      </c>
      <c r="O30" s="93" t="e">
        <f>$H21-($H$27-O29)*$L$30</f>
        <v>#DIV/0!</v>
      </c>
      <c r="P30" s="93" t="e">
        <f>$H21-($H$27-P29)*$L$30</f>
        <v>#DIV/0!</v>
      </c>
      <c r="Q30" s="93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5"/>
      <c r="J32" s="94"/>
      <c r="K32" s="94"/>
      <c r="L32" s="95"/>
      <c r="M32" s="95"/>
      <c r="N32" s="95"/>
      <c r="O32" s="95"/>
      <c r="P32" s="95"/>
      <c r="Q32" s="95"/>
      <c r="R32" s="95"/>
    </row>
    <row r="33" spans="6:18">
      <c r="G33" s="29"/>
      <c r="H33" s="29"/>
      <c r="I33" s="94"/>
      <c r="J33" s="95"/>
      <c r="K33" s="94"/>
      <c r="L33" s="95"/>
      <c r="M33" s="95"/>
      <c r="N33" s="95"/>
      <c r="O33" s="95"/>
      <c r="P33" s="95"/>
      <c r="Q33" s="95"/>
      <c r="R33" s="95"/>
    </row>
    <row r="34" spans="6:18">
      <c r="F34" s="69"/>
      <c r="G34" s="69"/>
      <c r="H34" s="96"/>
      <c r="I34" s="96"/>
      <c r="J34" s="94"/>
      <c r="K34" s="94"/>
      <c r="L34" s="95"/>
      <c r="M34" s="95"/>
      <c r="N34" s="95"/>
      <c r="O34" s="95"/>
      <c r="P34" s="95"/>
      <c r="Q34" s="95"/>
      <c r="R34" s="95"/>
    </row>
    <row r="35" spans="6:18">
      <c r="H35" s="94"/>
      <c r="I35" s="94"/>
      <c r="J35" s="94"/>
      <c r="K35" s="94"/>
      <c r="L35" s="95"/>
      <c r="M35" s="95"/>
      <c r="N35" s="95"/>
      <c r="O35" s="95"/>
      <c r="P35" s="95"/>
      <c r="Q35" s="95"/>
      <c r="R35" s="95"/>
    </row>
    <row r="36" spans="6:18">
      <c r="H36" s="94"/>
      <c r="I36" s="94"/>
      <c r="J36" s="94"/>
      <c r="K36" s="94"/>
      <c r="L36" s="95"/>
      <c r="M36" s="95"/>
      <c r="N36" s="95"/>
      <c r="O36" s="95"/>
      <c r="P36" s="95"/>
      <c r="Q36" s="95"/>
      <c r="R36" s="95"/>
    </row>
    <row r="37" spans="6:18">
      <c r="L37" s="95"/>
      <c r="M37" s="95"/>
      <c r="N37" s="95"/>
      <c r="O37" s="95"/>
      <c r="P37" s="95"/>
      <c r="Q37" s="95"/>
      <c r="R37" s="95"/>
    </row>
    <row r="38" spans="6:18">
      <c r="L38" s="95"/>
      <c r="M38" s="95"/>
      <c r="N38" s="95"/>
      <c r="O38" s="95"/>
      <c r="P38" s="95"/>
      <c r="Q38" s="95"/>
      <c r="R38" s="95"/>
    </row>
    <row r="39" spans="6:18">
      <c r="L39" s="95"/>
      <c r="M39" s="95"/>
      <c r="N39" s="95"/>
      <c r="O39" s="95"/>
      <c r="P39" s="95"/>
      <c r="Q39" s="95"/>
      <c r="R39" s="95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查詢網站</vt:lpstr>
      <vt:lpstr>輸入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2022-07-22T06:06:30Z</dcterms:modified>
</cp:coreProperties>
</file>