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SFT/"/>
    </mc:Choice>
  </mc:AlternateContent>
  <xr:revisionPtr revIDLastSave="0" documentId="13_ncr:1_{A516CFC8-BDC5-0D49-A965-60C6E7D50BBD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/>
  <c r="N14" i="8"/>
  <c r="F58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9" i="12"/>
  <c r="B8" i="11"/>
  <c r="B9" i="11"/>
  <c r="B10" i="11"/>
  <c r="B11" i="11"/>
  <c r="B12" i="11"/>
  <c r="B13" i="11"/>
  <c r="B14" i="11"/>
  <c r="B2" i="11"/>
  <c r="D2" i="11" s="1"/>
  <c r="B3" i="11"/>
  <c r="B4" i="11"/>
  <c r="B5" i="11"/>
  <c r="B6" i="11"/>
  <c r="B7" i="11"/>
  <c r="L17" i="8"/>
  <c r="Q13" i="8"/>
  <c r="P13" i="8"/>
  <c r="W36" i="8"/>
  <c r="Y34" i="8"/>
  <c r="B9" i="8" l="1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O10" i="8" s="1"/>
  <c r="D12" i="11"/>
  <c r="D6" i="11"/>
  <c r="O6" i="8" s="1"/>
  <c r="D11" i="1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<sst xmlns="http://schemas.openxmlformats.org/spreadsheetml/2006/main" count="132" uniqueCount="89">
  <si>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</si>
  <si>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</si>
  <si>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</si>
  <si>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</si>
  <si>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</si>
  <si>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</si>
  <si>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</si>
  <si>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</si>
  <si>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</si>
  <si>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</si>
  <si>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</si>
  <si>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</si>
  <si>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</si>
  <si>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</si>
  <si>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</si>
  <si>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</si>
  <si>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</si>
  <si>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</si>
  <si>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</si>
  <si>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</si>
  <si>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</si>
  <si>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</si>
  <si>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</si>
  <si>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</si>
  <si>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</si>
  <si>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</si>
  <si>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</si>
  <si>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</si>
  <si>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</si>
  <si>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</si>
  <si>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</si>
  <si>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</si>
  <si>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</si>
  <si>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</si>
  <si>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</si>
  <si>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</si>
  <si>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</si>
  <si>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</si>
  <si>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</si>
  <si>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</si>
  <si>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</si>
  <si>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</si>
  <si>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</si>
  <si>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</si>
  <si>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</si>
  <si>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</si>
  <si>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</si>
  <si>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</si>
  <si>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</si>
  <si>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</si>
  <si>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</si>
  <si>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</si>
  <si>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</si>
  <si>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</si>
  <si>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</si>
  <si>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</si>
  <si>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</si>
  <si>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</si>
  <si>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</si>
  <si>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</si>
  <si>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</si>
  <si>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</si>
  <si>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</si>
  <si>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</si>
  <si>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</si>
  <si>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</si>
  <si>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</si>
  <si>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</si>
  <si>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</si>
  <si>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</si>
  <si>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</si>
  <si>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</si>
  <si>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</si>
  <si>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</si>
  <si>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</si>
  <si>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</si>
  <si>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</si>
  <si>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</si>
  <si>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MSFT</t>
    <phoneticPr fontId="2" type="noConversion"/>
  </si>
  <si>
    <t>https://www.wsj.com/market-data/quotes/MSFT</t>
  </si>
  <si>
    <t>3 (~2028)</t>
    <phoneticPr fontId="2" type="noConversion"/>
  </si>
  <si>
    <t>4(~2017)</t>
    <phoneticPr fontId="2" type="noConversion"/>
  </si>
  <si>
    <t>5(~2016)</t>
    <phoneticPr fontId="2" type="noConversion"/>
  </si>
  <si>
    <t>6(~2015)</t>
    <phoneticPr fontId="2" type="noConversion"/>
  </si>
  <si>
    <t>7(~2014)</t>
    <phoneticPr fontId="2" type="noConversion"/>
  </si>
  <si>
    <t>8(~2013)</t>
    <phoneticPr fontId="2" type="noConversion"/>
  </si>
  <si>
    <t>9(~2012)</t>
    <phoneticPr fontId="2" type="noConversion"/>
  </si>
  <si>
    <t>10(~2011)</t>
    <phoneticPr fontId="2" type="noConversion"/>
  </si>
  <si>
    <t>11(~2010)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</si>
</sst>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4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14" fontId="46" fillId="0" borderId="1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14" fontId="46" fillId="0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14" fontId="6" fillId="26" borderId="0" xfId="0" applyNumberFormat="1" applyFont="1" applyFill="1">
      <alignment vertical="center"/>
    </xf>
    <xf numFmtId="0" fontId="6" fillId="26" borderId="0" xfId="0" applyFont="1" applyFill="1">
      <alignment vertical="center"/>
    </xf>
    <xf numFmtId="8" fontId="6" fillId="26" borderId="0" xfId="0" applyNumberFormat="1" applyFont="1" applyFill="1">
      <alignment vertical="center"/>
    </xf>
    <xf numFmtId="14" fontId="6" fillId="9" borderId="0" xfId="0" applyNumberFormat="1" applyFont="1" applyFill="1">
      <alignment vertical="center"/>
    </xf>
    <xf numFmtId="0" fontId="6" fillId="9" borderId="0" xfId="0" applyFont="1" applyFill="1">
      <alignment vertical="center"/>
    </xf>
    <xf numFmtId="8" fontId="6" fillId="9" borderId="0" xfId="0" applyNumberFormat="1" applyFont="1" applyFill="1">
      <alignment vertical="center"/>
    </xf>
    <xf numFmtId="14" fontId="6" fillId="11" borderId="0" xfId="0" applyNumberFormat="1" applyFont="1" applyFill="1">
      <alignment vertical="center"/>
    </xf>
    <xf numFmtId="0" fontId="6" fillId="11" borderId="0" xfId="0" applyFont="1" applyFill="1">
      <alignment vertical="center"/>
    </xf>
    <xf numFmtId="8" fontId="6" fillId="11" borderId="0" xfId="0" applyNumberFormat="1" applyFont="1" applyFill="1">
      <alignment vertical="center"/>
    </xf>
    <xf numFmtId="14" fontId="6" fillId="27" borderId="0" xfId="0" applyNumberFormat="1" applyFont="1" applyFill="1">
      <alignment vertical="center"/>
    </xf>
    <xf numFmtId="0" fontId="6" fillId="27" borderId="0" xfId="0" applyFont="1" applyFill="1">
      <alignment vertical="center"/>
    </xf>
    <xf numFmtId="8" fontId="6" fillId="27" borderId="0" xfId="0" applyNumberFormat="1" applyFont="1" applyFill="1">
      <alignment vertical="center"/>
    </xf>
    <xf numFmtId="14" fontId="6" fillId="5" borderId="0" xfId="0" applyNumberFormat="1" applyFont="1" applyFill="1">
      <alignment vertical="center"/>
    </xf>
    <xf numFmtId="0" fontId="6" fillId="5" borderId="0" xfId="0" applyFont="1" applyFill="1">
      <alignment vertical="center"/>
    </xf>
    <xf numFmtId="8" fontId="6" fillId="5" borderId="0" xfId="0" applyNumberFormat="1" applyFont="1" applyFill="1">
      <alignment vertical="center"/>
    </xf>
    <xf numFmtId="14" fontId="6" fillId="25" borderId="0" xfId="0" applyNumberFormat="1" applyFont="1" applyFill="1">
      <alignment vertical="center"/>
    </xf>
    <xf numFmtId="0" fontId="6" fillId="25" borderId="0" xfId="0" applyFont="1" applyFill="1">
      <alignment vertical="center"/>
    </xf>
    <xf numFmtId="8" fontId="6" fillId="25" borderId="0" xfId="0" applyNumberFormat="1" applyFont="1" applyFill="1">
      <alignment vertical="center"/>
    </xf>
    <xf numFmtId="14" fontId="6" fillId="16" borderId="0" xfId="0" applyNumberFormat="1" applyFont="1" applyFill="1">
      <alignment vertical="center"/>
    </xf>
    <xf numFmtId="0" fontId="6" fillId="16" borderId="0" xfId="0" applyFont="1" applyFill="1">
      <alignment vertical="center"/>
    </xf>
    <xf numFmtId="8" fontId="6" fillId="16" borderId="0" xfId="0" applyNumberFormat="1" applyFont="1" applyFill="1">
      <alignment vertical="center"/>
    </xf>
    <xf numFmtId="14" fontId="6" fillId="8" borderId="0" xfId="0" applyNumberFormat="1" applyFont="1" applyFill="1">
      <alignment vertical="center"/>
    </xf>
    <xf numFmtId="0" fontId="6" fillId="8" borderId="0" xfId="0" applyFont="1" applyFill="1">
      <alignment vertical="center"/>
    </xf>
    <xf numFmtId="8" fontId="6" fillId="8" borderId="0" xfId="0" applyNumberFormat="1" applyFont="1" applyFill="1">
      <alignment vertical="center"/>
    </xf>
    <xf numFmtId="14" fontId="6" fillId="22" borderId="0" xfId="0" applyNumberFormat="1" applyFont="1" applyFill="1">
      <alignment vertical="center"/>
    </xf>
    <xf numFmtId="0" fontId="6" fillId="22" borderId="0" xfId="0" applyFont="1" applyFill="1">
      <alignment vertical="center"/>
    </xf>
    <xf numFmtId="8" fontId="6" fillId="22" borderId="0" xfId="0" applyNumberFormat="1" applyFont="1" applyFill="1">
      <alignment vertical="center"/>
    </xf>
    <xf numFmtId="14" fontId="6" fillId="23" borderId="0" xfId="0" applyNumberFormat="1" applyFont="1" applyFill="1">
      <alignment vertical="center"/>
    </xf>
    <xf numFmtId="0" fontId="6" fillId="23" borderId="0" xfId="0" applyFont="1" applyFill="1">
      <alignment vertical="center"/>
    </xf>
    <xf numFmtId="8" fontId="6" fillId="23" borderId="0" xfId="0" applyNumberFormat="1" applyFont="1" applyFill="1">
      <alignment vertical="center"/>
    </xf>
    <xf numFmtId="14" fontId="6" fillId="28" borderId="0" xfId="0" applyNumberFormat="1" applyFont="1" applyFill="1">
      <alignment vertical="center"/>
    </xf>
    <xf numFmtId="0" fontId="6" fillId="28" borderId="0" xfId="0" applyFont="1" applyFill="1">
      <alignment vertical="center"/>
    </xf>
    <xf numFmtId="8" fontId="6" fillId="28" borderId="0" xfId="0" applyNumberFormat="1" applyFont="1" applyFill="1">
      <alignment vertical="center"/>
    </xf>
    <xf numFmtId="14" fontId="6" fillId="29" borderId="0" xfId="0" applyNumberFormat="1" applyFont="1" applyFill="1">
      <alignment vertical="center"/>
    </xf>
    <xf numFmtId="0" fontId="6" fillId="29" borderId="0" xfId="0" applyFont="1" applyFill="1">
      <alignment vertical="center"/>
    </xf>
    <xf numFmtId="8" fontId="6" fillId="29" borderId="0" xfId="0" applyNumberFormat="1" applyFont="1" applyFill="1">
      <alignment vertical="center"/>
    </xf>
    <xf numFmtId="14" fontId="6" fillId="30" borderId="0" xfId="0" applyNumberFormat="1" applyFont="1" applyFill="1">
      <alignment vertical="center"/>
    </xf>
    <xf numFmtId="0" fontId="6" fillId="30" borderId="0" xfId="0" applyFont="1" applyFill="1">
      <alignment vertical="center"/>
    </xf>
    <xf numFmtId="8" fontId="6" fillId="30" borderId="0" xfId="0" applyNumberFormat="1" applyFont="1" applyFill="1">
      <alignment vertical="center"/>
    </xf>
    <xf numFmtId="14" fontId="6" fillId="18" borderId="0" xfId="0" applyNumberFormat="1" applyFont="1" applyFill="1">
      <alignment vertical="center"/>
    </xf>
    <xf numFmtId="0" fontId="6" fillId="18" borderId="0" xfId="0" applyFont="1" applyFill="1">
      <alignment vertical="center"/>
    </xf>
    <xf numFmtId="8" fontId="6" fillId="18" borderId="0" xfId="0" applyNumberFormat="1" applyFont="1" applyFill="1">
      <alignment vertical="center"/>
    </xf>
    <xf numFmtId="0" fontId="6" fillId="17" borderId="1" xfId="0" applyFont="1" applyFill="1" applyBorder="1">
      <alignment vertical="center"/>
    </xf>
    <xf numFmtId="0" fontId="44" fillId="24" borderId="9" xfId="0" applyFont="1" applyFill="1" applyBorder="1" applyAlignment="1">
      <alignment horizontal="center" vertical="center"/>
    </xf>
    <xf numFmtId="0" fontId="44" fillId="24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輸入!$I$8:$I$35</c:f>
              <c:numCache>
                <c:formatCode>m/d/yy</c:formatCode>
                <c:ptCount val="28"/>
                <c:pt idx="0">
                  <c:v>44196</c:v>
                </c:pt>
                <c:pt idx="1">
                  <c:v>44104</c:v>
                </c:pt>
                <c:pt idx="2">
                  <c:v>44012</c:v>
                </c:pt>
                <c:pt idx="3">
                  <c:v>43921</c:v>
                </c:pt>
                <c:pt idx="4">
                  <c:v>43830</c:v>
                </c:pt>
                <c:pt idx="5">
                  <c:v>43738</c:v>
                </c:pt>
                <c:pt idx="6">
                  <c:v>43646</c:v>
                </c:pt>
                <c:pt idx="7">
                  <c:v>43555</c:v>
                </c:pt>
                <c:pt idx="8">
                  <c:v>43465</c:v>
                </c:pt>
                <c:pt idx="9">
                  <c:v>43373</c:v>
                </c:pt>
                <c:pt idx="10">
                  <c:v>43281</c:v>
                </c:pt>
                <c:pt idx="11">
                  <c:v>43190</c:v>
                </c:pt>
                <c:pt idx="12">
                  <c:v>43100</c:v>
                </c:pt>
                <c:pt idx="13">
                  <c:v>43008</c:v>
                </c:pt>
                <c:pt idx="14">
                  <c:v>42916</c:v>
                </c:pt>
                <c:pt idx="15">
                  <c:v>42825</c:v>
                </c:pt>
                <c:pt idx="16">
                  <c:v>42735</c:v>
                </c:pt>
                <c:pt idx="17">
                  <c:v>42643</c:v>
                </c:pt>
                <c:pt idx="18">
                  <c:v>42551</c:v>
                </c:pt>
                <c:pt idx="19">
                  <c:v>42460</c:v>
                </c:pt>
                <c:pt idx="20">
                  <c:v>42369</c:v>
                </c:pt>
                <c:pt idx="21">
                  <c:v>42277</c:v>
                </c:pt>
                <c:pt idx="22">
                  <c:v>42185</c:v>
                </c:pt>
                <c:pt idx="23">
                  <c:v>42094</c:v>
                </c:pt>
                <c:pt idx="24">
                  <c:v>42004</c:v>
                </c:pt>
                <c:pt idx="25">
                  <c:v>41912</c:v>
                </c:pt>
                <c:pt idx="26">
                  <c:v>41820</c:v>
                </c:pt>
                <c:pt idx="27">
                  <c:v>41729</c:v>
                </c:pt>
              </c:numCache>
            </c:numRef>
          </c:xVal>
          <c:yVal>
            <c:numRef>
              <c:f>輸入!$J$8:$J$35</c:f>
              <c:numCache>
                <c:formatCode>General</c:formatCode>
                <c:ptCount val="28"/>
                <c:pt idx="0">
                  <c:v>32.72</c:v>
                </c:pt>
                <c:pt idx="1">
                  <c:v>33.46</c:v>
                </c:pt>
                <c:pt idx="2">
                  <c:v>34.76</c:v>
                </c:pt>
                <c:pt idx="3">
                  <c:v>25.75</c:v>
                </c:pt>
                <c:pt idx="4">
                  <c:v>26.84</c:v>
                </c:pt>
                <c:pt idx="5">
                  <c:v>25.49</c:v>
                </c:pt>
                <c:pt idx="6">
                  <c:v>25.72</c:v>
                </c:pt>
                <c:pt idx="7">
                  <c:v>25.42</c:v>
                </c:pt>
                <c:pt idx="8">
                  <c:v>22.76</c:v>
                </c:pt>
                <c:pt idx="13">
                  <c:v>23.93</c:v>
                </c:pt>
                <c:pt idx="14">
                  <c:v>23.99</c:v>
                </c:pt>
                <c:pt idx="15">
                  <c:v>27.23</c:v>
                </c:pt>
                <c:pt idx="16">
                  <c:v>27.22</c:v>
                </c:pt>
                <c:pt idx="17">
                  <c:v>25.55</c:v>
                </c:pt>
                <c:pt idx="18">
                  <c:v>22.89</c:v>
                </c:pt>
                <c:pt idx="21">
                  <c:v>26.64</c:v>
                </c:pt>
                <c:pt idx="22">
                  <c:v>26.98</c:v>
                </c:pt>
                <c:pt idx="23">
                  <c:v>14.95</c:v>
                </c:pt>
                <c:pt idx="24">
                  <c:v>16.48</c:v>
                </c:pt>
                <c:pt idx="25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549270</xdr:colOff>
      <xdr:row>37</xdr:row>
      <xdr:rowOff>214713</xdr:rowOff>
    </xdr:from>
    <xdr:to>
      <xdr:col>20</xdr:col>
      <xdr:colOff>917666</xdr:colOff>
      <xdr:row>40</xdr:row>
      <xdr:rowOff>145006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20839007">
          <a:off x="12351803" y="11035113"/>
          <a:ext cx="7954530" cy="641493"/>
          <a:chOff x="12334407" y="9219259"/>
          <a:chExt cx="7526982" cy="622373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34407" y="9841631"/>
            <a:ext cx="7514165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402915</xdr:colOff>
      <xdr:row>31</xdr:row>
      <xdr:rowOff>142360</xdr:rowOff>
    </xdr:from>
    <xdr:to>
      <xdr:col>20</xdr:col>
      <xdr:colOff>409616</xdr:colOff>
      <xdr:row>41</xdr:row>
      <xdr:rowOff>172962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B2E4B9B-B52D-FF44-9EB5-298D4A4AE789}"/>
            </a:ext>
          </a:extLst>
        </xdr:cNvPr>
        <xdr:cNvCxnSpPr/>
      </xdr:nvCxnSpPr>
      <xdr:spPr>
        <a:xfrm flipV="1">
          <a:off x="19689005" y="9056783"/>
          <a:ext cx="6701" cy="2554320"/>
        </a:xfrm>
        <a:prstGeom prst="line">
          <a:avLst/>
        </a:prstGeom>
        <a:ln w="25400">
          <a:solidFill>
            <a:srgbClr val="FF000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472893</xdr:colOff>
      <xdr:row>36</xdr:row>
      <xdr:rowOff>65294</xdr:rowOff>
    </xdr:from>
    <xdr:to>
      <xdr:col>24</xdr:col>
      <xdr:colOff>567002</xdr:colOff>
      <xdr:row>36</xdr:row>
      <xdr:rowOff>160870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23308470" y="10363691"/>
          <a:ext cx="94109" cy="95576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727387</xdr:colOff>
      <xdr:row>35</xdr:row>
      <xdr:rowOff>118533</xdr:rowOff>
    </xdr:from>
    <xdr:to>
      <xdr:col>20</xdr:col>
      <xdr:colOff>965200</xdr:colOff>
      <xdr:row>42</xdr:row>
      <xdr:rowOff>205441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BC6512C3-D46E-CF45-8E88-E6A6EC2E4EDF}"/>
            </a:ext>
          </a:extLst>
        </xdr:cNvPr>
        <xdr:cNvCxnSpPr/>
      </xdr:nvCxnSpPr>
      <xdr:spPr>
        <a:xfrm flipV="1">
          <a:off x="12483028" y="10140136"/>
          <a:ext cx="7768262" cy="1731395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625787</xdr:colOff>
      <xdr:row>33</xdr:row>
      <xdr:rowOff>16934</xdr:rowOff>
    </xdr:from>
    <xdr:to>
      <xdr:col>20</xdr:col>
      <xdr:colOff>863600</xdr:colOff>
      <xdr:row>40</xdr:row>
      <xdr:rowOff>2241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C2C31B74-7B94-4448-B6C5-B1DE8C7A2487}"/>
            </a:ext>
          </a:extLst>
        </xdr:cNvPr>
        <xdr:cNvCxnSpPr/>
      </xdr:nvCxnSpPr>
      <xdr:spPr>
        <a:xfrm flipV="1">
          <a:off x="12428320" y="9736667"/>
          <a:ext cx="7823947" cy="1797174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SFT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abSelected="1" topLeftCell="B1" zoomScale="75" zoomScaleNormal="75" workbookViewId="0">
      <selection activeCell="I7" sqref="I7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7.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22" ht="36">
      <c r="A1" s="28" t="s">
        <v>22</v>
      </c>
      <c r="B1" s="48">
        <v>155.35</v>
      </c>
      <c r="C1" s="52" t="s">
        <v>78</v>
      </c>
      <c r="D1" s="51" t="s">
        <v>46</v>
      </c>
      <c r="F1" s="173" t="s">
        <v>51</v>
      </c>
      <c r="G1" s="173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22" ht="29">
      <c r="A2" s="14" t="s">
        <v>7</v>
      </c>
      <c r="B2" s="8">
        <v>13</v>
      </c>
      <c r="C2" s="29">
        <f>(1+(B2/100))</f>
        <v>1.1299999999999999</v>
      </c>
      <c r="F2" s="174" t="s">
        <v>49</v>
      </c>
      <c r="G2" s="176"/>
      <c r="I2" s="115">
        <v>44763</v>
      </c>
      <c r="J2" s="116">
        <v>27.65</v>
      </c>
      <c r="K2" s="97">
        <f>ROUND(STDEV(J8:J35),2)</f>
        <v>5.21</v>
      </c>
      <c r="L2" s="104">
        <v>2020</v>
      </c>
      <c r="M2" s="113">
        <v>6.1624999999999996</v>
      </c>
      <c r="N2" s="61" t="s">
        <v>80</v>
      </c>
      <c r="O2" s="60">
        <f>'EPS &amp; PE 成長率法'!D2</f>
        <v>32.36</v>
      </c>
      <c r="P2" s="29"/>
      <c r="Q2" s="55"/>
      <c r="T2" s="29"/>
    </row>
    <row r="3" spans="1:22" ht="29">
      <c r="A3" s="14" t="s">
        <v>8</v>
      </c>
      <c r="B3" s="8">
        <v>10</v>
      </c>
      <c r="C3" s="29">
        <f>(1+(B3/100))</f>
        <v>1.1000000000000001</v>
      </c>
      <c r="F3" s="175"/>
      <c r="G3" s="176"/>
      <c r="I3" s="115">
        <v>44651</v>
      </c>
      <c r="J3" s="116">
        <v>32.1</v>
      </c>
      <c r="K3" s="165" t="s">
        <v>63</v>
      </c>
      <c r="L3" s="104">
        <v>2019</v>
      </c>
      <c r="M3" s="113">
        <v>5.1550000000000002</v>
      </c>
      <c r="N3" s="61" t="s">
        <v>81</v>
      </c>
      <c r="O3" s="60">
        <f>'EPS &amp; PE 成長率法'!D3</f>
        <v>27.39</v>
      </c>
      <c r="P3" s="29">
        <v>27.39</v>
      </c>
      <c r="Q3" s="55"/>
      <c r="T3" s="29"/>
    </row>
    <row r="4" spans="1:22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15">
        <v>44561</v>
      </c>
      <c r="J4" s="116">
        <v>35.659999999999997</v>
      </c>
      <c r="K4" s="166"/>
      <c r="L4" s="104">
        <v>2018</v>
      </c>
      <c r="M4" s="113">
        <v>2.6575000000000002</v>
      </c>
      <c r="N4" s="61" t="s">
        <v>82</v>
      </c>
      <c r="O4" s="60">
        <f>'EPS &amp; PE 成長率法'!D4</f>
        <v>26.83</v>
      </c>
      <c r="P4" s="29">
        <v>26.83</v>
      </c>
      <c r="Q4" s="55"/>
      <c r="T4" s="29"/>
      <c r="U4" s="29"/>
      <c r="V4" s="29"/>
    </row>
    <row r="5" spans="1:22" ht="29">
      <c r="A5" s="14" t="s">
        <v>67</v>
      </c>
      <c r="B5" s="8">
        <v>45</v>
      </c>
      <c r="D5" s="53" t="s">
        <v>71</v>
      </c>
      <c r="F5" s="94">
        <v>2</v>
      </c>
      <c r="G5" s="54"/>
      <c r="I5" s="115">
        <v>44469</v>
      </c>
      <c r="J5" s="116">
        <v>31.34</v>
      </c>
      <c r="K5" s="98">
        <f>ROUND(AVERAGE(J8:J35),2)</f>
        <v>25.23</v>
      </c>
      <c r="L5" s="104">
        <v>2017</v>
      </c>
      <c r="M5" s="104">
        <v>2.34</v>
      </c>
      <c r="N5" s="61" t="s">
        <v>83</v>
      </c>
      <c r="O5" s="60">
        <f>'EPS &amp; PE 成長率法'!D5</f>
        <v>24.06</v>
      </c>
      <c r="P5" s="29">
        <v>24.06</v>
      </c>
      <c r="Q5" s="55"/>
      <c r="T5" s="29"/>
      <c r="U5" s="29"/>
      <c r="V5" s="29"/>
    </row>
    <row r="6" spans="1:22" ht="22" customHeight="1">
      <c r="A6" s="14" t="s">
        <v>4</v>
      </c>
      <c r="B6" s="35">
        <v>0.6</v>
      </c>
      <c r="F6" s="94">
        <v>3</v>
      </c>
      <c r="G6" s="95"/>
      <c r="I6" s="115">
        <v>44377</v>
      </c>
      <c r="J6" s="116">
        <v>33.380000000000003</v>
      </c>
      <c r="K6" s="10"/>
      <c r="L6" s="104">
        <v>2016</v>
      </c>
      <c r="M6" s="113">
        <v>1.8774999999999999</v>
      </c>
      <c r="N6" s="63" t="s">
        <v>84</v>
      </c>
      <c r="O6" s="64">
        <f>'EPS &amp; PE 成長率法'!D6</f>
        <v>13.23</v>
      </c>
      <c r="P6" s="29">
        <v>13.23</v>
      </c>
      <c r="T6" s="29"/>
      <c r="U6" s="29"/>
      <c r="V6" s="29"/>
    </row>
    <row r="7" spans="1:22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15">
        <v>44286</v>
      </c>
      <c r="J7" s="116">
        <v>31.78</v>
      </c>
      <c r="K7" s="10"/>
      <c r="L7" s="104">
        <v>2015</v>
      </c>
      <c r="M7" s="104">
        <v>1.69</v>
      </c>
      <c r="N7" s="61" t="s">
        <v>85</v>
      </c>
      <c r="O7" s="60">
        <f>'EPS &amp; PE 成長率法'!D7</f>
        <v>12.01</v>
      </c>
      <c r="P7" s="29">
        <v>12.01</v>
      </c>
      <c r="T7" s="29"/>
      <c r="U7" s="29"/>
      <c r="V7" s="29"/>
    </row>
    <row r="8" spans="1:22" ht="22" customHeight="1">
      <c r="A8" s="93" t="s">
        <v>68</v>
      </c>
      <c r="B8" s="8">
        <v>8</v>
      </c>
      <c r="D8" s="62" t="s">
        <v>70</v>
      </c>
      <c r="F8" s="94">
        <v>5</v>
      </c>
      <c r="G8" s="54"/>
      <c r="I8" s="114">
        <v>44196</v>
      </c>
      <c r="J8" s="159">
        <v>32.72</v>
      </c>
      <c r="K8" s="10"/>
      <c r="L8" s="104">
        <v>2014</v>
      </c>
      <c r="M8" s="113">
        <v>2.5824999999999996</v>
      </c>
      <c r="N8" s="61" t="s">
        <v>86</v>
      </c>
      <c r="O8" s="60">
        <f>'EPS &amp; PE 成長率法'!D8</f>
        <v>12.66</v>
      </c>
      <c r="P8" s="29">
        <v>12.66</v>
      </c>
      <c r="T8" s="29"/>
      <c r="U8" s="29"/>
      <c r="V8" s="29"/>
    </row>
    <row r="9" spans="1:22" ht="22" customHeight="1">
      <c r="A9" s="45" t="s">
        <v>69</v>
      </c>
      <c r="B9" s="59">
        <f>N14</f>
        <v>18.012857142857143</v>
      </c>
      <c r="C9" s="29">
        <f>(1+(B9/100))</f>
        <v>1.1801285714285714</v>
      </c>
      <c r="F9" s="94">
        <v>6</v>
      </c>
      <c r="G9" s="54"/>
      <c r="I9" s="114">
        <v>44104</v>
      </c>
      <c r="J9" s="159">
        <v>33.46</v>
      </c>
      <c r="K9" s="10"/>
      <c r="L9" s="112">
        <v>2013</v>
      </c>
      <c r="M9" s="111">
        <v>2.4874999999999998</v>
      </c>
      <c r="N9" s="61" t="s">
        <v>87</v>
      </c>
      <c r="O9" s="60">
        <f>'EPS &amp; PE 成長率法'!D9</f>
        <v>8.69</v>
      </c>
      <c r="P9" s="29"/>
      <c r="T9" s="29"/>
      <c r="U9" s="29"/>
      <c r="V9" s="29"/>
    </row>
    <row r="10" spans="1:22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14">
        <v>44012</v>
      </c>
      <c r="J10" s="159">
        <v>34.76</v>
      </c>
      <c r="K10" s="10"/>
      <c r="L10" s="112">
        <v>2012</v>
      </c>
      <c r="M10" s="111">
        <v>2.1074999999999999</v>
      </c>
      <c r="N10" s="61" t="s">
        <v>88</v>
      </c>
      <c r="O10" s="60">
        <f>'EPS &amp; PE 成長率法'!D10</f>
        <v>9.91</v>
      </c>
      <c r="P10" s="29">
        <v>9.91</v>
      </c>
      <c r="T10" s="29"/>
      <c r="U10" s="29"/>
      <c r="V10" s="29"/>
    </row>
    <row r="11" spans="1:22" ht="22">
      <c r="A11" s="45" t="s">
        <v>54</v>
      </c>
      <c r="B11" s="49">
        <v>0.74</v>
      </c>
      <c r="F11" s="94">
        <v>8</v>
      </c>
      <c r="G11" s="54"/>
      <c r="I11" s="114">
        <v>43921</v>
      </c>
      <c r="J11" s="159">
        <v>25.75</v>
      </c>
      <c r="K11" s="10"/>
      <c r="L11" s="112">
        <v>2011</v>
      </c>
      <c r="M11" s="111">
        <v>2.6774999999999998</v>
      </c>
      <c r="N11" s="61"/>
      <c r="O11" s="60"/>
      <c r="P11" s="29"/>
      <c r="T11" s="29"/>
      <c r="U11" s="29"/>
      <c r="V11" s="29"/>
    </row>
    <row r="12" spans="1:22" ht="22" customHeight="1">
      <c r="F12" s="94">
        <v>9</v>
      </c>
      <c r="G12" s="54"/>
      <c r="I12" s="114">
        <v>43830</v>
      </c>
      <c r="J12" s="159">
        <v>26.84</v>
      </c>
      <c r="K12" s="10"/>
      <c r="L12" s="112">
        <v>2010</v>
      </c>
      <c r="M12" s="111">
        <v>2.1800000000000002</v>
      </c>
      <c r="N12" s="61"/>
      <c r="O12" s="60"/>
      <c r="P12" s="29"/>
      <c r="T12" s="29"/>
      <c r="U12" s="29"/>
      <c r="V12" s="29"/>
    </row>
    <row r="13" spans="1:22" ht="22" customHeight="1">
      <c r="A13" s="178" t="s">
        <v>48</v>
      </c>
      <c r="B13" s="179"/>
      <c r="F13" s="94">
        <v>10</v>
      </c>
      <c r="G13" s="54"/>
      <c r="I13" s="114">
        <v>43738</v>
      </c>
      <c r="J13" s="159">
        <v>25.49</v>
      </c>
      <c r="K13" s="10"/>
      <c r="L13" s="112"/>
      <c r="M13" s="111"/>
      <c r="N13" s="171" t="s">
        <v>55</v>
      </c>
      <c r="O13" s="172"/>
      <c r="P13">
        <f>MIN(P2:P12)</f>
        <v>9.91</v>
      </c>
      <c r="Q13">
        <f>MAX(P2:P12)</f>
        <v>27.39</v>
      </c>
      <c r="T13" s="29"/>
      <c r="U13" s="29"/>
      <c r="V13" s="29"/>
    </row>
    <row r="14" spans="1:22" ht="20" customHeight="1">
      <c r="A14" s="177" t="s">
        <v>47</v>
      </c>
      <c r="B14" s="177"/>
      <c r="F14" s="94">
        <v>11</v>
      </c>
      <c r="G14" s="54"/>
      <c r="I14" s="114">
        <v>43646</v>
      </c>
      <c r="J14" s="159">
        <v>25.72</v>
      </c>
      <c r="K14" s="10"/>
      <c r="L14" s="112"/>
      <c r="M14" s="111"/>
      <c r="N14" s="170">
        <f>AVERAGE(P2:P12)</f>
        <v>18.012857142857143</v>
      </c>
      <c r="O14" s="170"/>
      <c r="T14" s="29"/>
      <c r="U14" s="29"/>
      <c r="V14" s="29"/>
    </row>
    <row r="15" spans="1:22" ht="22">
      <c r="F15" s="94">
        <v>12</v>
      </c>
      <c r="G15" s="54"/>
      <c r="I15" s="114">
        <v>43555</v>
      </c>
      <c r="J15" s="159">
        <v>25.42</v>
      </c>
      <c r="K15" s="10"/>
      <c r="L15" s="167" t="s">
        <v>63</v>
      </c>
      <c r="M15" s="167"/>
      <c r="T15" s="29"/>
      <c r="U15" s="29"/>
      <c r="V15" s="29"/>
    </row>
    <row r="16" spans="1:22" ht="26" customHeight="1">
      <c r="A16" s="78" t="s">
        <v>43</v>
      </c>
      <c r="F16" s="94">
        <v>13</v>
      </c>
      <c r="G16" s="54"/>
      <c r="I16" s="114">
        <v>43465</v>
      </c>
      <c r="J16" s="159">
        <v>22.76</v>
      </c>
      <c r="K16" s="10"/>
      <c r="L16" s="167"/>
      <c r="M16" s="167"/>
      <c r="N16" s="10"/>
      <c r="O16" s="11"/>
    </row>
    <row r="17" spans="1:23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14">
        <v>43373</v>
      </c>
      <c r="J17" s="159"/>
      <c r="K17" s="10"/>
      <c r="L17" s="168">
        <f>ROUND(AVERAGE(M2:M7),2)</f>
        <v>3.31</v>
      </c>
      <c r="M17" s="169"/>
      <c r="N17" s="10"/>
      <c r="O17" s="10"/>
    </row>
    <row r="18" spans="1:23" ht="18" customHeight="1">
      <c r="A18" s="79" t="s">
        <v>18</v>
      </c>
      <c r="B18" s="9">
        <f>'現金流量折現法(PE+EPS)'!B30</f>
        <v>410.89228177298031</v>
      </c>
      <c r="C18" s="9">
        <f>'現金流量折現法(PE+EPS)'!C30</f>
        <v>447.84868413214031</v>
      </c>
      <c r="D18" s="9">
        <f>'現金流量折現法(PE+EPS)'!D30</f>
        <v>556.41144181937773</v>
      </c>
      <c r="F18" s="94">
        <v>15</v>
      </c>
      <c r="G18" s="54"/>
      <c r="I18" s="114">
        <v>43281</v>
      </c>
      <c r="J18" s="159"/>
      <c r="K18" s="10"/>
      <c r="N18" s="10"/>
      <c r="O18" s="10"/>
    </row>
    <row r="19" spans="1:23" ht="47" customHeight="1">
      <c r="A19" s="79" t="s">
        <v>19</v>
      </c>
      <c r="B19" s="9">
        <f>'現金流量折現法(PE+EPS)'!B31</f>
        <v>444.87585394969295</v>
      </c>
      <c r="C19" s="9">
        <f>'現金流量折現法(PE+EPS)'!C31</f>
        <v>511.82706757958891</v>
      </c>
      <c r="D19" s="9">
        <f>'現金流量折現法(PE+EPS)'!D31</f>
        <v>728.2759798330851</v>
      </c>
      <c r="F19" s="94">
        <v>16</v>
      </c>
      <c r="G19" s="54"/>
      <c r="I19" s="114">
        <v>43190</v>
      </c>
      <c r="J19" s="159"/>
      <c r="K19" s="99" t="s">
        <v>72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3" ht="20" customHeight="1">
      <c r="A20" s="79" t="s">
        <v>20</v>
      </c>
      <c r="B20" s="9">
        <f>'現金流量折現法(PE+EPS)'!B32</f>
        <v>528.29007656526039</v>
      </c>
      <c r="C20" s="9">
        <f>'現金流量折現法(PE+EPS)'!C32</f>
        <v>675.44391705175258</v>
      </c>
      <c r="D20" s="9">
        <f>'現金流量折現法(PE+EPS)'!D32</f>
        <v>1274.4829647078991</v>
      </c>
      <c r="F20" s="94">
        <v>17</v>
      </c>
      <c r="G20" s="54"/>
      <c r="I20" s="114">
        <v>43100</v>
      </c>
      <c r="J20" s="159"/>
      <c r="K20" s="164" t="s">
        <v>73</v>
      </c>
      <c r="L20" s="101">
        <f>'EPS &amp; PE 成長率法'!G2</f>
        <v>32.36</v>
      </c>
      <c r="M20" s="102">
        <f>'EPS &amp; PE 成長率法'!H2</f>
        <v>27.39</v>
      </c>
      <c r="N20" s="101"/>
      <c r="O20" s="102">
        <f>'EPS &amp; PE 成長率法'!J2</f>
        <v>24.06</v>
      </c>
      <c r="P20" s="102">
        <f>'EPS &amp; PE 成長率法'!K2</f>
        <v>13.23</v>
      </c>
      <c r="Q20" s="102">
        <f>'EPS &amp; PE 成長率法'!L2</f>
        <v>12.01</v>
      </c>
      <c r="R20" s="102">
        <f>'EPS &amp; PE 成長率法'!M2</f>
        <v>12.66</v>
      </c>
      <c r="S20" s="101"/>
    </row>
    <row r="21" spans="1:23" ht="18" customHeight="1">
      <c r="A21" s="74"/>
      <c r="C21"/>
      <c r="D21"/>
      <c r="F21" s="94">
        <v>18</v>
      </c>
      <c r="G21" s="54"/>
      <c r="I21" s="114">
        <v>43008</v>
      </c>
      <c r="J21" s="159">
        <v>23.93</v>
      </c>
      <c r="K21" s="164"/>
      <c r="L21" s="101">
        <f>'EPS &amp; PE 成長率法'!G3</f>
        <v>30.12</v>
      </c>
      <c r="M21" s="102">
        <f>'EPS &amp; PE 成長率法'!H3</f>
        <v>28.72</v>
      </c>
      <c r="N21" s="101">
        <f>'EPS &amp; PE 成長率法'!I3</f>
        <v>24.99</v>
      </c>
      <c r="O21" s="102">
        <f>'EPS &amp; PE 成長率法'!J3</f>
        <v>12.21</v>
      </c>
      <c r="P21" s="102">
        <f>'EPS &amp; PE 成長率法'!K3</f>
        <v>10.97</v>
      </c>
      <c r="Q21" s="102">
        <f>'EPS &amp; PE 成長率法'!L3</f>
        <v>11.83</v>
      </c>
      <c r="R21" s="102">
        <f>'EPS &amp; PE 成長率法'!M3</f>
        <v>7.55</v>
      </c>
      <c r="S21" s="101">
        <f>'EPS &amp; PE 成長率法'!N3</f>
        <v>8.99</v>
      </c>
    </row>
    <row r="22" spans="1:23" ht="18" customHeight="1">
      <c r="A22" s="78" t="s">
        <v>50</v>
      </c>
      <c r="F22" s="94">
        <v>19</v>
      </c>
      <c r="G22" s="54"/>
      <c r="I22" s="114">
        <v>42916</v>
      </c>
      <c r="J22" s="159">
        <v>23.99</v>
      </c>
      <c r="K22" s="164"/>
      <c r="L22" s="101"/>
      <c r="M22" s="102">
        <f>'EPS &amp; PE 成長率法'!H4</f>
        <v>11.98</v>
      </c>
      <c r="N22" s="101">
        <f>'EPS &amp; PE 成長率法'!I4</f>
        <v>0.56999999999999995</v>
      </c>
      <c r="O22" s="102">
        <f>'EPS &amp; PE 成長率法'!J4</f>
        <v>1.1100000000000001</v>
      </c>
      <c r="P22" s="102">
        <f>'EPS &amp; PE 成長率法'!K4</f>
        <v>3.37</v>
      </c>
      <c r="Q22" s="102">
        <f>'EPS &amp; PE 成長率法'!L4</f>
        <v>-0.09</v>
      </c>
      <c r="R22" s="102">
        <f>'EPS &amp; PE 成長率法'!M4</f>
        <v>2.23</v>
      </c>
      <c r="S22" s="101"/>
    </row>
    <row r="23" spans="1:23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14">
        <v>42825</v>
      </c>
      <c r="J23" s="159">
        <v>27.23</v>
      </c>
      <c r="K23" s="164"/>
      <c r="L23" s="101">
        <f>'EPS &amp; PE 成長率法'!G5</f>
        <v>11.46</v>
      </c>
      <c r="M23" s="102">
        <f>'EPS &amp; PE 成長率法'!H5</f>
        <v>-2.44</v>
      </c>
      <c r="N23" s="101">
        <f>'EPS &amp; PE 成長率法'!I5</f>
        <v>-1.22</v>
      </c>
      <c r="O23" s="102">
        <f>'EPS &amp; PE 成長率法'!J5</f>
        <v>1.76</v>
      </c>
      <c r="P23" s="102">
        <f>'EPS &amp; PE 成長率法'!K5</f>
        <v>-1.91</v>
      </c>
      <c r="Q23" s="102">
        <f>'EPS &amp; PE 成長率法'!L5</f>
        <v>0.89</v>
      </c>
      <c r="R23" s="102" t="e">
        <f>'EPS &amp; PE 成長率法'!M5</f>
        <v>#DIV/0!</v>
      </c>
      <c r="S23" s="101" t="e">
        <f>'EPS &amp; PE 成長率法'!N5</f>
        <v>#DIV/0!</v>
      </c>
    </row>
    <row r="24" spans="1:23" ht="18" customHeight="1">
      <c r="A24" s="79" t="s">
        <v>64</v>
      </c>
      <c r="B24" s="92" t="e">
        <f>'EPS &amp; PE 成長率法'!G19-1</f>
        <v>#DIV/0!</v>
      </c>
      <c r="C24" s="92" t="e">
        <f>'EPS &amp; PE 成長率法'!H19-1</f>
        <v>#DIV/0!</v>
      </c>
      <c r="D24" s="92" t="e">
        <f>'EPS &amp; PE 成長率法'!I19-1</f>
        <v>#DIV/0!</v>
      </c>
      <c r="F24" s="94">
        <v>21</v>
      </c>
      <c r="G24" s="54"/>
      <c r="I24" s="114">
        <v>42735</v>
      </c>
      <c r="J24" s="159">
        <v>27.22</v>
      </c>
      <c r="K24" s="164"/>
      <c r="L24" s="101"/>
      <c r="M24" s="102">
        <f>'EPS &amp; PE 成長率法'!H6</f>
        <v>-6.79</v>
      </c>
      <c r="N24" s="101"/>
      <c r="O24" s="102">
        <f>'EPS &amp; PE 成長率法'!J6</f>
        <v>-5.74</v>
      </c>
      <c r="P24" s="102">
        <f>'EPS &amp; PE 成長率法'!K6</f>
        <v>-2.11</v>
      </c>
      <c r="Q24" s="102" t="e">
        <f>'EPS &amp; PE 成長率法'!L6</f>
        <v>#DIV/0!</v>
      </c>
      <c r="R24" s="102" t="e">
        <f>'EPS &amp; PE 成長率法'!M6</f>
        <v>#DIV/0!</v>
      </c>
    </row>
    <row r="25" spans="1:23" ht="20" customHeight="1">
      <c r="A25" s="79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4">
        <v>22</v>
      </c>
      <c r="G25" s="54"/>
      <c r="I25" s="114">
        <v>42643</v>
      </c>
      <c r="J25" s="159">
        <v>25.55</v>
      </c>
      <c r="K25" s="164"/>
      <c r="L25" s="101">
        <f>'EPS &amp; PE 成長率法'!G7</f>
        <v>-12.09</v>
      </c>
      <c r="M25" s="102">
        <f>'EPS &amp; PE 成長率法'!H7</f>
        <v>-5.37</v>
      </c>
      <c r="N25" s="101">
        <f>'EPS &amp; PE 成長率法'!I7</f>
        <v>-8.7899999999999991</v>
      </c>
      <c r="O25" s="102">
        <f>'EPS &amp; PE 成長率法'!J7</f>
        <v>-4.1500000000000004</v>
      </c>
      <c r="P25" s="102" t="e">
        <f>'EPS &amp; PE 成長率法'!K7</f>
        <v>#DIV/0!</v>
      </c>
      <c r="Q25" s="102" t="e">
        <f>'EPS &amp; PE 成長率法'!L7</f>
        <v>#DIV/0!</v>
      </c>
      <c r="R25" s="103"/>
    </row>
    <row r="26" spans="1:23" ht="18" customHeight="1">
      <c r="A26" s="79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4">
        <v>23</v>
      </c>
      <c r="G26" s="54"/>
      <c r="I26" s="114">
        <v>42551</v>
      </c>
      <c r="J26" s="159">
        <v>22.89</v>
      </c>
      <c r="K26" s="164"/>
      <c r="L26" s="101">
        <f>'EPS &amp; PE 成長率法'!G8</f>
        <v>7.01</v>
      </c>
      <c r="M26" s="102">
        <f>'EPS &amp; PE 成長率法'!H8</f>
        <v>-0.9</v>
      </c>
      <c r="N26" s="101">
        <f>'EPS &amp; PE 成長率法'!I8</f>
        <v>3.45</v>
      </c>
      <c r="O26" s="102" t="e">
        <f>'EPS &amp; PE 成長率法'!J8</f>
        <v>#DIV/0!</v>
      </c>
      <c r="P26" s="102" t="e">
        <f>'EPS &amp; PE 成長率法'!K8</f>
        <v>#DIV/0!</v>
      </c>
      <c r="Q26" s="103"/>
      <c r="R26" s="103"/>
    </row>
    <row r="27" spans="1:23" ht="18" customHeight="1">
      <c r="F27" s="94">
        <v>24</v>
      </c>
      <c r="G27" s="54"/>
      <c r="I27" s="114">
        <v>42460</v>
      </c>
      <c r="J27" s="159"/>
      <c r="K27" s="164"/>
      <c r="L27" s="101">
        <f>'EPS &amp; PE 成長率法'!G9</f>
        <v>-2.42</v>
      </c>
      <c r="M27" s="102">
        <f>'EPS &amp; PE 成長率法'!H9</f>
        <v>3.35</v>
      </c>
      <c r="N27" s="101" t="e">
        <f>'EPS &amp; PE 成長率法'!I9</f>
        <v>#DIV/0!</v>
      </c>
      <c r="O27" s="102" t="e">
        <f>'EPS &amp; PE 成長率法'!J9</f>
        <v>#DIV/0!</v>
      </c>
      <c r="P27" s="103"/>
      <c r="Q27" s="103"/>
      <c r="R27" s="103"/>
    </row>
    <row r="28" spans="1:23" ht="22">
      <c r="C28"/>
      <c r="F28" s="94">
        <v>25</v>
      </c>
      <c r="G28" s="54"/>
      <c r="I28" s="114">
        <v>42369</v>
      </c>
      <c r="J28" s="159"/>
      <c r="K28" s="164"/>
      <c r="L28" s="101">
        <f>'EPS &amp; PE 成長率法'!G10</f>
        <v>-1.1200000000000001</v>
      </c>
      <c r="M28" s="102" t="e">
        <f>'EPS &amp; PE 成長率法'!H10</f>
        <v>#DIV/0!</v>
      </c>
      <c r="N28" s="101" t="e">
        <f>'EPS &amp; PE 成長率法'!I10</f>
        <v>#DIV/0!</v>
      </c>
      <c r="O28" s="103"/>
      <c r="P28" s="103"/>
      <c r="Q28" s="103"/>
      <c r="R28" s="103"/>
    </row>
    <row r="29" spans="1:23" ht="18" customHeight="1">
      <c r="F29" s="94">
        <v>26</v>
      </c>
      <c r="G29" s="54"/>
      <c r="I29" s="114">
        <v>42277</v>
      </c>
      <c r="J29" s="159">
        <v>26.64</v>
      </c>
      <c r="K29" s="164"/>
      <c r="L29" s="101" t="e">
        <f>'EPS &amp; PE 成長率法'!G11</f>
        <v>#DIV/0!</v>
      </c>
      <c r="M29" s="102" t="e">
        <f>'EPS &amp; PE 成長率法'!H11</f>
        <v>#DIV/0!</v>
      </c>
      <c r="O29" s="103"/>
      <c r="P29" s="103"/>
      <c r="Q29" s="103"/>
      <c r="R29" s="103"/>
    </row>
    <row r="30" spans="1:23" ht="20" customHeight="1">
      <c r="F30" s="94">
        <v>27</v>
      </c>
      <c r="G30" s="54"/>
      <c r="I30" s="114">
        <v>42185</v>
      </c>
      <c r="J30" s="159">
        <v>26.98</v>
      </c>
      <c r="K30" s="164"/>
      <c r="L30" s="101" t="e">
        <f>'EPS &amp; PE 成長率法'!G12</f>
        <v>#DIV/0!</v>
      </c>
      <c r="O30" s="65"/>
      <c r="P30" s="65"/>
      <c r="Q30" s="65"/>
      <c r="R30" s="65"/>
    </row>
    <row r="31" spans="1:23" ht="22">
      <c r="F31" s="94">
        <v>28</v>
      </c>
      <c r="G31" s="54"/>
      <c r="I31" s="114">
        <v>42094</v>
      </c>
      <c r="J31" s="159">
        <v>14.95</v>
      </c>
    </row>
    <row r="32" spans="1:23" ht="22">
      <c r="A32" s="29"/>
      <c r="B32" s="29"/>
      <c r="F32" s="94">
        <v>29</v>
      </c>
      <c r="G32" s="54"/>
      <c r="I32" s="114">
        <v>42004</v>
      </c>
      <c r="J32" s="159">
        <v>16.48</v>
      </c>
      <c r="W32" s="108" t="s">
        <v>79</v>
      </c>
    </row>
    <row r="33" spans="6:26" ht="22">
      <c r="F33" s="94">
        <v>30</v>
      </c>
      <c r="G33" s="54"/>
      <c r="I33" s="114">
        <v>41912</v>
      </c>
      <c r="J33" s="159">
        <v>15.9</v>
      </c>
      <c r="W33" s="106" t="s">
        <v>74</v>
      </c>
      <c r="X33" s="106" t="s">
        <v>75</v>
      </c>
      <c r="Y33" s="107" t="s">
        <v>76</v>
      </c>
    </row>
    <row r="34" spans="6:26" ht="22">
      <c r="F34" s="94">
        <v>31</v>
      </c>
      <c r="G34" s="54"/>
      <c r="I34" s="114">
        <v>41820</v>
      </c>
      <c r="J34" s="159"/>
      <c r="W34" s="62">
        <v>264.83999999999997</v>
      </c>
      <c r="X34" s="62">
        <v>9.58</v>
      </c>
      <c r="Y34" s="105">
        <f>Y36*Z34</f>
        <v>184.5</v>
      </c>
      <c r="Z34" s="105">
        <v>6.15</v>
      </c>
    </row>
    <row r="35" spans="6:26" ht="22">
      <c r="F35" s="94">
        <v>32</v>
      </c>
      <c r="G35" s="54"/>
      <c r="I35" s="114">
        <v>41729</v>
      </c>
      <c r="J35" s="159"/>
      <c r="W35" s="160" t="s">
        <v>77</v>
      </c>
      <c r="X35" s="161"/>
    </row>
    <row r="36" spans="6:26" ht="22">
      <c r="F36" s="94">
        <v>33</v>
      </c>
      <c r="G36" s="54"/>
      <c r="I36" s="110">
        <v>41639</v>
      </c>
      <c r="J36" s="116">
        <v>11.83</v>
      </c>
      <c r="W36" s="162">
        <f>W34/X34</f>
        <v>27.645093945720248</v>
      </c>
      <c r="X36" s="163"/>
      <c r="Y36" s="105">
        <v>30</v>
      </c>
    </row>
    <row r="37" spans="6:26" ht="18">
      <c r="I37" s="110">
        <v>41547</v>
      </c>
      <c r="J37" s="116">
        <v>10.52</v>
      </c>
    </row>
    <row r="38" spans="6:26" ht="18">
      <c r="I38" s="110">
        <v>41455</v>
      </c>
      <c r="J38" s="116">
        <v>11.22</v>
      </c>
    </row>
    <row r="39" spans="6:26" ht="18">
      <c r="I39" s="110">
        <v>41364</v>
      </c>
      <c r="J39" s="116">
        <v>12.3</v>
      </c>
    </row>
    <row r="40" spans="6:26" ht="18">
      <c r="I40" s="110">
        <v>41274</v>
      </c>
      <c r="J40" s="116">
        <v>12.14</v>
      </c>
    </row>
    <row r="41" spans="6:26" ht="18">
      <c r="I41" s="110">
        <v>41182</v>
      </c>
      <c r="J41" s="116">
        <v>13.27</v>
      </c>
    </row>
    <row r="42" spans="6:26" ht="18">
      <c r="I42" s="110">
        <v>41090</v>
      </c>
      <c r="J42" s="116">
        <v>12.53</v>
      </c>
    </row>
    <row r="43" spans="6:26" ht="18">
      <c r="I43" s="110">
        <v>40999</v>
      </c>
      <c r="J43" s="116">
        <v>9.5500000000000007</v>
      </c>
    </row>
    <row r="44" spans="6:26" ht="18">
      <c r="I44" s="110">
        <v>40908</v>
      </c>
      <c r="J44" s="116">
        <v>7.6</v>
      </c>
    </row>
    <row r="45" spans="6:26" ht="18">
      <c r="I45" s="110">
        <v>40816</v>
      </c>
      <c r="J45" s="116">
        <v>7.26</v>
      </c>
    </row>
    <row r="46" spans="6:26" ht="18">
      <c r="I46" s="110">
        <v>40724</v>
      </c>
      <c r="J46" s="116">
        <v>7.71</v>
      </c>
    </row>
    <row r="47" spans="6:26" ht="18">
      <c r="I47" s="110">
        <v>40633</v>
      </c>
      <c r="J47" s="116">
        <v>8.01</v>
      </c>
    </row>
    <row r="48" spans="6:26" ht="18">
      <c r="I48" s="110">
        <v>40543</v>
      </c>
      <c r="J48" s="116">
        <v>9.35</v>
      </c>
      <c r="K48" s="11"/>
    </row>
    <row r="49" spans="6:13" ht="18">
      <c r="I49" s="110">
        <v>40451</v>
      </c>
      <c r="J49" s="116">
        <v>8.26</v>
      </c>
      <c r="K49" s="11"/>
    </row>
    <row r="50" spans="6:13" ht="18" customHeight="1">
      <c r="I50" s="110">
        <v>40359</v>
      </c>
      <c r="J50" s="116">
        <v>8.5299999999999994</v>
      </c>
      <c r="K50" s="11"/>
    </row>
    <row r="51" spans="6:13" ht="18">
      <c r="I51" s="110">
        <v>40268</v>
      </c>
      <c r="J51" s="116">
        <v>11.76</v>
      </c>
      <c r="K51" s="11"/>
    </row>
    <row r="52" spans="6:13" ht="18" customHeight="1">
      <c r="I52" s="110">
        <v>40178</v>
      </c>
      <c r="J52" s="116">
        <v>12.99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F1:G1"/>
    <mergeCell ref="F2:F3"/>
    <mergeCell ref="G2:G3"/>
    <mergeCell ref="A14:B14"/>
    <mergeCell ref="A13:B13"/>
    <mergeCell ref="W35:X35"/>
    <mergeCell ref="W36:X36"/>
    <mergeCell ref="K20:K30"/>
    <mergeCell ref="K3:K4"/>
    <mergeCell ref="L15:M16"/>
    <mergeCell ref="L17:M17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9:K59"/>
  <sheetViews>
    <sheetView workbookViewId="0">
      <selection activeCell="K10" sqref="K10:K23"/>
    </sheetView>
  </sheetViews>
  <sheetFormatPr baseColWidth="10" defaultRowHeight="15"/>
  <cols>
    <col min="3" max="3" width="23.5" customWidth="1"/>
    <col min="9" max="9" width="10.83203125" style="29"/>
    <col min="11" max="11" width="8" bestFit="1" customWidth="1"/>
  </cols>
  <sheetData>
    <row r="9" spans="3:11" ht="18">
      <c r="C9" s="156">
        <v>44763</v>
      </c>
      <c r="D9" s="157">
        <v>264.83999999999997</v>
      </c>
      <c r="E9" s="157"/>
      <c r="F9" s="10"/>
      <c r="G9" s="10">
        <v>27.65</v>
      </c>
      <c r="H9" s="109"/>
    </row>
    <row r="10" spans="3:11" ht="18">
      <c r="C10" s="156">
        <v>44651</v>
      </c>
      <c r="D10" s="157">
        <v>307.56</v>
      </c>
      <c r="E10" s="158">
        <v>9.58</v>
      </c>
      <c r="F10" s="11">
        <f>AVERAGE(E7:E10)</f>
        <v>9.58</v>
      </c>
      <c r="G10" s="10">
        <v>32.1</v>
      </c>
      <c r="H10" s="109"/>
      <c r="J10">
        <v>2022</v>
      </c>
      <c r="K10" s="29">
        <v>9.58</v>
      </c>
    </row>
    <row r="11" spans="3:11" ht="18">
      <c r="C11" s="153">
        <v>44561</v>
      </c>
      <c r="D11" s="154">
        <v>334.81</v>
      </c>
      <c r="E11" s="155">
        <v>9.39</v>
      </c>
      <c r="F11" s="11"/>
      <c r="G11" s="10">
        <v>35.659999999999997</v>
      </c>
      <c r="H11" s="109"/>
      <c r="J11">
        <v>2021</v>
      </c>
      <c r="K11" s="29">
        <v>8.43</v>
      </c>
    </row>
    <row r="12" spans="3:11" ht="18">
      <c r="C12" s="153">
        <v>44469</v>
      </c>
      <c r="D12" s="154">
        <v>280.14</v>
      </c>
      <c r="E12" s="155">
        <v>8.94</v>
      </c>
      <c r="F12" s="11"/>
      <c r="G12" s="10">
        <v>31.34</v>
      </c>
      <c r="H12" s="109"/>
      <c r="J12">
        <v>2020</v>
      </c>
      <c r="K12" s="65">
        <v>6.1624999999999996</v>
      </c>
    </row>
    <row r="13" spans="3:11" ht="18">
      <c r="C13" s="153">
        <v>44377</v>
      </c>
      <c r="D13" s="154">
        <v>268.67</v>
      </c>
      <c r="E13" s="155">
        <v>8.0500000000000007</v>
      </c>
      <c r="F13" s="11"/>
      <c r="G13" s="10">
        <v>33.380000000000003</v>
      </c>
      <c r="H13" s="109"/>
      <c r="J13">
        <v>2019</v>
      </c>
      <c r="K13" s="65">
        <v>5.1550000000000002</v>
      </c>
    </row>
    <row r="14" spans="3:11" ht="18">
      <c r="C14" s="153">
        <v>44286</v>
      </c>
      <c r="D14" s="154">
        <v>233.29</v>
      </c>
      <c r="E14" s="155">
        <v>7.34</v>
      </c>
      <c r="F14" s="11">
        <f>AVERAGE(E11:E14)</f>
        <v>8.43</v>
      </c>
      <c r="G14" s="10">
        <v>31.78</v>
      </c>
      <c r="H14" s="109"/>
      <c r="J14">
        <v>2018</v>
      </c>
      <c r="K14" s="65">
        <v>2.6575000000000002</v>
      </c>
    </row>
    <row r="15" spans="3:11" ht="18">
      <c r="C15" s="150">
        <v>44196</v>
      </c>
      <c r="D15" s="151">
        <v>219.58</v>
      </c>
      <c r="E15" s="152">
        <v>6.71</v>
      </c>
      <c r="F15" s="11"/>
      <c r="G15" s="10">
        <v>32.72</v>
      </c>
      <c r="H15" s="109"/>
      <c r="J15">
        <v>2017</v>
      </c>
      <c r="K15" s="29">
        <v>2.34</v>
      </c>
    </row>
    <row r="16" spans="3:11" ht="18">
      <c r="C16" s="150">
        <v>44104</v>
      </c>
      <c r="D16" s="151">
        <v>207.1</v>
      </c>
      <c r="E16" s="152">
        <v>6.19</v>
      </c>
      <c r="F16" s="11"/>
      <c r="G16" s="10">
        <v>33.46</v>
      </c>
      <c r="H16" s="109"/>
      <c r="J16">
        <v>2016</v>
      </c>
      <c r="K16" s="65">
        <v>1.8774999999999999</v>
      </c>
    </row>
    <row r="17" spans="3:11" ht="18">
      <c r="C17" s="150">
        <v>44012</v>
      </c>
      <c r="D17" s="151">
        <v>199.89</v>
      </c>
      <c r="E17" s="152">
        <v>5.75</v>
      </c>
      <c r="F17" s="11"/>
      <c r="G17" s="10">
        <v>34.76</v>
      </c>
      <c r="H17" s="109"/>
      <c r="J17">
        <v>2015</v>
      </c>
      <c r="K17" s="29">
        <v>1.69</v>
      </c>
    </row>
    <row r="18" spans="3:11" ht="18">
      <c r="C18" s="150">
        <v>43921</v>
      </c>
      <c r="D18" s="151">
        <v>154.47999999999999</v>
      </c>
      <c r="E18" s="152">
        <v>6</v>
      </c>
      <c r="F18" s="11">
        <f>AVERAGE(E15:E18)</f>
        <v>6.1624999999999996</v>
      </c>
      <c r="G18" s="10">
        <v>25.75</v>
      </c>
      <c r="H18" s="109"/>
      <c r="J18">
        <v>2014</v>
      </c>
      <c r="K18" s="65">
        <v>2.5824999999999996</v>
      </c>
    </row>
    <row r="19" spans="3:11" ht="18">
      <c r="C19" s="147">
        <v>43830</v>
      </c>
      <c r="D19" s="148">
        <v>154.05000000000001</v>
      </c>
      <c r="E19" s="149">
        <v>5.74</v>
      </c>
      <c r="F19" s="11"/>
      <c r="G19" s="10">
        <v>26.84</v>
      </c>
      <c r="H19" s="109"/>
      <c r="J19">
        <v>2013</v>
      </c>
      <c r="K19" s="65">
        <v>2.4874999999999998</v>
      </c>
    </row>
    <row r="20" spans="3:11" ht="18">
      <c r="C20" s="147">
        <v>43738</v>
      </c>
      <c r="D20" s="148">
        <v>135.35</v>
      </c>
      <c r="E20" s="149">
        <v>5.31</v>
      </c>
      <c r="F20" s="11"/>
      <c r="G20" s="10">
        <v>25.49</v>
      </c>
      <c r="H20" s="109"/>
      <c r="J20">
        <v>2012</v>
      </c>
      <c r="K20" s="65">
        <v>2.1074999999999999</v>
      </c>
    </row>
    <row r="21" spans="3:11" ht="18">
      <c r="C21" s="147">
        <v>43646</v>
      </c>
      <c r="D21" s="148">
        <v>130.41999999999999</v>
      </c>
      <c r="E21" s="149">
        <v>5.07</v>
      </c>
      <c r="F21" s="11"/>
      <c r="G21" s="10">
        <v>25.72</v>
      </c>
      <c r="H21" s="109"/>
      <c r="J21">
        <v>2011</v>
      </c>
      <c r="K21" s="65">
        <v>2.6774999999999998</v>
      </c>
    </row>
    <row r="22" spans="3:11" ht="18">
      <c r="C22" s="147">
        <v>43555</v>
      </c>
      <c r="D22" s="148">
        <v>114.4</v>
      </c>
      <c r="E22" s="149">
        <v>4.5</v>
      </c>
      <c r="F22" s="11">
        <f>AVERAGE(E19:E22)</f>
        <v>5.1550000000000002</v>
      </c>
      <c r="G22" s="10">
        <v>25.42</v>
      </c>
      <c r="H22" s="109"/>
      <c r="J22">
        <v>2010</v>
      </c>
      <c r="K22" s="65">
        <v>2.1800000000000002</v>
      </c>
    </row>
    <row r="23" spans="3:11" ht="18">
      <c r="C23" s="144">
        <v>43465</v>
      </c>
      <c r="D23" s="145">
        <v>98.1</v>
      </c>
      <c r="E23" s="146">
        <v>4.3099999999999996</v>
      </c>
      <c r="F23" s="11"/>
      <c r="G23" s="10">
        <v>22.76</v>
      </c>
      <c r="H23" s="109"/>
      <c r="J23">
        <v>2009</v>
      </c>
      <c r="K23" s="29">
        <v>1.81</v>
      </c>
    </row>
    <row r="24" spans="3:11" ht="18">
      <c r="C24" s="144">
        <v>43373</v>
      </c>
      <c r="D24" s="145">
        <v>109.99</v>
      </c>
      <c r="E24" s="146">
        <v>2.41</v>
      </c>
      <c r="F24" s="11"/>
      <c r="G24" s="10">
        <v>45.64</v>
      </c>
      <c r="H24" s="109"/>
    </row>
    <row r="25" spans="3:11" ht="18">
      <c r="C25" s="144">
        <v>43281</v>
      </c>
      <c r="D25" s="145">
        <v>94.46</v>
      </c>
      <c r="E25" s="146">
        <v>2.11</v>
      </c>
      <c r="F25" s="11"/>
      <c r="G25" s="10">
        <v>44.77</v>
      </c>
      <c r="H25" s="109"/>
    </row>
    <row r="26" spans="3:11" ht="18">
      <c r="C26" s="144">
        <v>43190</v>
      </c>
      <c r="D26" s="145">
        <v>87.05</v>
      </c>
      <c r="E26" s="146">
        <v>1.8</v>
      </c>
      <c r="F26" s="11">
        <f>AVERAGE(E23:E26)</f>
        <v>2.6575000000000002</v>
      </c>
      <c r="G26" s="10">
        <v>48.36</v>
      </c>
      <c r="H26" s="109"/>
    </row>
    <row r="27" spans="3:11" ht="18">
      <c r="C27" s="141">
        <v>43100</v>
      </c>
      <c r="D27" s="142">
        <v>81.209999999999994</v>
      </c>
      <c r="E27" s="143">
        <v>1.46</v>
      </c>
      <c r="F27" s="11"/>
      <c r="G27" s="10">
        <v>55.63</v>
      </c>
      <c r="H27" s="109"/>
    </row>
    <row r="28" spans="3:11" ht="18">
      <c r="C28" s="141">
        <v>43008</v>
      </c>
      <c r="D28" s="142">
        <v>70.37</v>
      </c>
      <c r="E28" s="143">
        <v>2.94</v>
      </c>
      <c r="F28" s="11"/>
      <c r="G28" s="10">
        <v>23.93</v>
      </c>
      <c r="H28" s="109"/>
    </row>
    <row r="29" spans="3:11" ht="18">
      <c r="C29" s="141">
        <v>42916</v>
      </c>
      <c r="D29" s="142">
        <v>64.77</v>
      </c>
      <c r="E29" s="143">
        <v>2.7</v>
      </c>
      <c r="F29" s="11"/>
      <c r="G29" s="10">
        <v>23.99</v>
      </c>
      <c r="H29" s="109"/>
    </row>
    <row r="30" spans="3:11" ht="18">
      <c r="C30" s="141">
        <v>42825</v>
      </c>
      <c r="D30" s="142">
        <v>61.54</v>
      </c>
      <c r="E30" s="143">
        <v>2.2599999999999998</v>
      </c>
      <c r="F30" s="11">
        <f>AVERAGE(E27:E30)</f>
        <v>2.34</v>
      </c>
      <c r="G30" s="10">
        <v>27.23</v>
      </c>
      <c r="H30" s="109"/>
    </row>
    <row r="31" spans="3:11" ht="18">
      <c r="C31" s="138">
        <v>42735</v>
      </c>
      <c r="D31" s="139">
        <v>57.71</v>
      </c>
      <c r="E31" s="140">
        <v>2.12</v>
      </c>
      <c r="F31" s="11"/>
      <c r="G31" s="10">
        <v>27.22</v>
      </c>
      <c r="H31" s="109"/>
    </row>
    <row r="32" spans="3:11" ht="18">
      <c r="C32" s="138">
        <v>42643</v>
      </c>
      <c r="D32" s="139">
        <v>53.14</v>
      </c>
      <c r="E32" s="140">
        <v>2.08</v>
      </c>
      <c r="F32" s="11"/>
      <c r="G32" s="10">
        <v>25.55</v>
      </c>
      <c r="H32" s="109"/>
    </row>
    <row r="33" spans="3:8" ht="18">
      <c r="C33" s="138">
        <v>42551</v>
      </c>
      <c r="D33" s="139">
        <v>46.92</v>
      </c>
      <c r="E33" s="140">
        <v>2.0499999999999998</v>
      </c>
      <c r="F33" s="11"/>
      <c r="G33" s="10">
        <v>22.89</v>
      </c>
      <c r="H33" s="109"/>
    </row>
    <row r="34" spans="3:8" ht="18">
      <c r="C34" s="138">
        <v>42460</v>
      </c>
      <c r="D34" s="139">
        <v>50.28</v>
      </c>
      <c r="E34" s="140">
        <v>1.26</v>
      </c>
      <c r="F34" s="11">
        <f>AVERAGE(E31:E34)</f>
        <v>1.8774999999999999</v>
      </c>
      <c r="G34" s="10">
        <v>39.909999999999997</v>
      </c>
      <c r="H34" s="109"/>
    </row>
    <row r="35" spans="3:8" ht="18">
      <c r="C35" s="135">
        <v>42369</v>
      </c>
      <c r="D35" s="136">
        <v>50.16</v>
      </c>
      <c r="E35" s="137">
        <v>1.4</v>
      </c>
      <c r="F35" s="11"/>
      <c r="G35" s="10">
        <v>35.83</v>
      </c>
      <c r="H35" s="109"/>
    </row>
    <row r="36" spans="3:8" ht="18">
      <c r="C36" s="135">
        <v>42277</v>
      </c>
      <c r="D36" s="136">
        <v>39.69</v>
      </c>
      <c r="E36" s="137">
        <v>1.49</v>
      </c>
      <c r="F36" s="11"/>
      <c r="G36" s="10">
        <v>26.64</v>
      </c>
      <c r="H36" s="109"/>
    </row>
    <row r="37" spans="3:8" ht="18">
      <c r="C37" s="135">
        <v>42185</v>
      </c>
      <c r="D37" s="136">
        <v>39.39</v>
      </c>
      <c r="E37" s="137">
        <v>1.46</v>
      </c>
      <c r="F37" s="11"/>
      <c r="G37" s="10">
        <v>26.98</v>
      </c>
      <c r="H37" s="109"/>
    </row>
    <row r="38" spans="3:8" ht="18">
      <c r="C38" s="135">
        <v>42094</v>
      </c>
      <c r="D38" s="136">
        <v>36.03</v>
      </c>
      <c r="E38" s="137">
        <v>2.41</v>
      </c>
      <c r="F38" s="11">
        <f>AVERAGE(E35:E38)</f>
        <v>1.69</v>
      </c>
      <c r="G38" s="10">
        <v>14.95</v>
      </c>
      <c r="H38" s="109"/>
    </row>
    <row r="39" spans="3:8" ht="18">
      <c r="C39" s="132">
        <v>42004</v>
      </c>
      <c r="D39" s="133">
        <v>40.880000000000003</v>
      </c>
      <c r="E39" s="134">
        <v>2.48</v>
      </c>
      <c r="F39" s="11"/>
      <c r="G39" s="10">
        <v>16.48</v>
      </c>
      <c r="H39" s="109"/>
    </row>
    <row r="40" spans="3:8" ht="18">
      <c r="C40" s="132">
        <v>41912</v>
      </c>
      <c r="D40" s="133">
        <v>40.54</v>
      </c>
      <c r="E40" s="134">
        <v>2.5499999999999998</v>
      </c>
      <c r="F40" s="11"/>
      <c r="G40" s="10">
        <v>15.9</v>
      </c>
      <c r="H40" s="109"/>
    </row>
    <row r="41" spans="3:8" ht="18">
      <c r="C41" s="132">
        <v>41820</v>
      </c>
      <c r="D41" s="133">
        <v>36.24</v>
      </c>
      <c r="E41" s="134">
        <v>2.63</v>
      </c>
      <c r="F41" s="11"/>
      <c r="G41" s="10">
        <v>13.78</v>
      </c>
      <c r="H41" s="109"/>
    </row>
    <row r="42" spans="3:8" ht="18">
      <c r="C42" s="132">
        <v>41729</v>
      </c>
      <c r="D42" s="133">
        <v>35.380000000000003</v>
      </c>
      <c r="E42" s="134">
        <v>2.67</v>
      </c>
      <c r="F42" s="11">
        <f>AVERAGE(E39:E42)</f>
        <v>2.5824999999999996</v>
      </c>
      <c r="G42" s="10">
        <v>13.25</v>
      </c>
      <c r="H42" s="109"/>
    </row>
    <row r="43" spans="3:8" ht="18">
      <c r="C43" s="129">
        <v>41639</v>
      </c>
      <c r="D43" s="130">
        <v>32.049999999999997</v>
      </c>
      <c r="E43" s="131">
        <v>2.71</v>
      </c>
      <c r="F43" s="11"/>
      <c r="G43" s="10">
        <v>11.83</v>
      </c>
      <c r="H43" s="109"/>
    </row>
    <row r="44" spans="3:8" ht="18">
      <c r="C44" s="129">
        <v>41547</v>
      </c>
      <c r="D44" s="130">
        <v>28.3</v>
      </c>
      <c r="E44" s="131">
        <v>2.69</v>
      </c>
      <c r="F44" s="11"/>
      <c r="G44" s="10">
        <v>10.52</v>
      </c>
      <c r="H44" s="109"/>
    </row>
    <row r="45" spans="3:8" ht="18">
      <c r="C45" s="129">
        <v>41455</v>
      </c>
      <c r="D45" s="130">
        <v>29.16</v>
      </c>
      <c r="E45" s="131">
        <v>2.6</v>
      </c>
      <c r="F45" s="11"/>
      <c r="G45" s="10">
        <v>11.22</v>
      </c>
      <c r="H45" s="109"/>
    </row>
    <row r="46" spans="3:8" ht="18">
      <c r="C46" s="129">
        <v>41364</v>
      </c>
      <c r="D46" s="130">
        <v>23.98</v>
      </c>
      <c r="E46" s="131">
        <v>1.95</v>
      </c>
      <c r="F46" s="11">
        <f>AVERAGE(E43:E46)</f>
        <v>2.4874999999999998</v>
      </c>
      <c r="G46" s="10">
        <v>12.3</v>
      </c>
      <c r="H46" s="109"/>
    </row>
    <row r="47" spans="3:8" ht="18">
      <c r="C47" s="126">
        <v>41274</v>
      </c>
      <c r="D47" s="127">
        <v>22.21</v>
      </c>
      <c r="E47" s="128">
        <v>1.83</v>
      </c>
      <c r="F47" s="11"/>
      <c r="G47" s="10">
        <v>12.14</v>
      </c>
      <c r="H47" s="109"/>
    </row>
    <row r="48" spans="3:8" ht="18">
      <c r="C48" s="126">
        <v>41182</v>
      </c>
      <c r="D48" s="127">
        <v>24.54</v>
      </c>
      <c r="E48" s="128">
        <v>1.85</v>
      </c>
      <c r="F48" s="11"/>
      <c r="G48" s="10">
        <v>13.27</v>
      </c>
      <c r="H48" s="109"/>
    </row>
    <row r="49" spans="3:8" ht="18">
      <c r="C49" s="126">
        <v>41090</v>
      </c>
      <c r="D49" s="127">
        <v>25.06</v>
      </c>
      <c r="E49" s="128">
        <v>2</v>
      </c>
      <c r="F49" s="11"/>
      <c r="G49" s="10">
        <v>12.53</v>
      </c>
      <c r="H49" s="109"/>
    </row>
    <row r="50" spans="3:8" ht="18">
      <c r="C50" s="126">
        <v>40999</v>
      </c>
      <c r="D50" s="127">
        <v>26.25</v>
      </c>
      <c r="E50" s="128">
        <v>2.75</v>
      </c>
      <c r="F50" s="11">
        <f>AVERAGE(E47:E50)</f>
        <v>2.1074999999999999</v>
      </c>
      <c r="G50" s="10">
        <v>9.5500000000000007</v>
      </c>
      <c r="H50" s="109"/>
    </row>
    <row r="51" spans="3:8" ht="18">
      <c r="C51" s="123">
        <v>40908</v>
      </c>
      <c r="D51" s="124">
        <v>20.99</v>
      </c>
      <c r="E51" s="125">
        <v>2.76</v>
      </c>
      <c r="F51" s="11"/>
      <c r="G51" s="10">
        <v>7.6</v>
      </c>
      <c r="H51" s="109"/>
    </row>
    <row r="52" spans="3:8" ht="18">
      <c r="C52" s="123">
        <v>40816</v>
      </c>
      <c r="D52" s="124">
        <v>19.97</v>
      </c>
      <c r="E52" s="125">
        <v>2.75</v>
      </c>
      <c r="F52" s="11"/>
      <c r="G52" s="10">
        <v>7.26</v>
      </c>
      <c r="H52" s="109"/>
    </row>
    <row r="53" spans="3:8" ht="18">
      <c r="C53" s="123">
        <v>40724</v>
      </c>
      <c r="D53" s="124">
        <v>20.73</v>
      </c>
      <c r="E53" s="125">
        <v>2.69</v>
      </c>
      <c r="F53" s="11"/>
      <c r="G53" s="10">
        <v>7.71</v>
      </c>
      <c r="H53" s="109"/>
    </row>
    <row r="54" spans="3:8" ht="18">
      <c r="C54" s="123">
        <v>40633</v>
      </c>
      <c r="D54" s="124">
        <v>20.12</v>
      </c>
      <c r="E54" s="125">
        <v>2.5099999999999998</v>
      </c>
      <c r="F54" s="11">
        <f>AVERAGE(E51:E54)</f>
        <v>2.6774999999999998</v>
      </c>
      <c r="G54" s="10">
        <v>8.01</v>
      </c>
      <c r="H54" s="109"/>
    </row>
    <row r="55" spans="3:8" ht="18">
      <c r="C55" s="120">
        <v>40543</v>
      </c>
      <c r="D55" s="121">
        <v>21.98</v>
      </c>
      <c r="E55" s="122">
        <v>2.35</v>
      </c>
      <c r="F55" s="11"/>
      <c r="G55" s="10">
        <v>9.35</v>
      </c>
      <c r="H55" s="109"/>
    </row>
    <row r="56" spans="3:8" ht="18">
      <c r="C56" s="120">
        <v>40451</v>
      </c>
      <c r="D56" s="121">
        <v>19.170000000000002</v>
      </c>
      <c r="E56" s="122">
        <v>2.3199999999999998</v>
      </c>
      <c r="F56" s="11"/>
      <c r="G56" s="10">
        <v>8.26</v>
      </c>
      <c r="H56" s="109"/>
    </row>
    <row r="57" spans="3:8" ht="18">
      <c r="C57" s="120">
        <v>40359</v>
      </c>
      <c r="D57" s="121">
        <v>17.920000000000002</v>
      </c>
      <c r="E57" s="122">
        <v>2.1</v>
      </c>
      <c r="F57" s="11"/>
      <c r="G57" s="10">
        <v>8.5299999999999994</v>
      </c>
      <c r="H57" s="109"/>
    </row>
    <row r="58" spans="3:8" ht="18">
      <c r="C58" s="120">
        <v>40268</v>
      </c>
      <c r="D58" s="121">
        <v>22.7</v>
      </c>
      <c r="E58" s="122">
        <v>1.93</v>
      </c>
      <c r="F58" s="11">
        <f>AVERAGE(E55:E58)</f>
        <v>2.1749999999999998</v>
      </c>
      <c r="G58" s="10">
        <v>11.76</v>
      </c>
      <c r="H58" s="109"/>
    </row>
    <row r="59" spans="3:8" ht="18">
      <c r="C59" s="117">
        <v>40178</v>
      </c>
      <c r="D59" s="118">
        <v>23.52</v>
      </c>
      <c r="E59" s="119">
        <v>1.81</v>
      </c>
      <c r="F59" s="11">
        <f>AVERAGE(E59)</f>
        <v>1.81</v>
      </c>
      <c r="G59" s="10">
        <v>12.99</v>
      </c>
      <c r="H59" s="10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18.012857142857143</v>
      </c>
      <c r="C9" s="29">
        <f>(1+(B9/100))</f>
        <v>1.1801285714285714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9.4410285714285713</v>
      </c>
      <c r="C20" s="37">
        <f t="shared" si="4"/>
        <v>11.141627560816326</v>
      </c>
      <c r="D20" s="27">
        <f t="shared" si="4"/>
        <v>13.14855301673537</v>
      </c>
      <c r="E20" s="26">
        <f t="shared" si="4"/>
        <v>15.516983087992745</v>
      </c>
      <c r="F20" s="27">
        <f t="shared" si="4"/>
        <v>18.312035084514182</v>
      </c>
      <c r="G20" s="26">
        <f t="shared" si="4"/>
        <v>21.610555804237599</v>
      </c>
      <c r="H20" s="26">
        <f t="shared" si="4"/>
        <v>25.50323434903234</v>
      </c>
      <c r="I20" s="26">
        <f t="shared" si="4"/>
        <v>30.09709551913161</v>
      </c>
      <c r="J20" s="26">
        <f t="shared" si="4"/>
        <v>35.518442339142048</v>
      </c>
      <c r="K20" s="27">
        <f t="shared" si="4"/>
        <v>41.91632861705979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410.89228177298031</v>
      </c>
      <c r="C30" s="21">
        <f>($B$5/$F16)*$F$20</f>
        <v>447.84868413214031</v>
      </c>
      <c r="D30" s="9">
        <f>($B$5/$K16)*$K$20</f>
        <v>556.41144181937773</v>
      </c>
    </row>
    <row r="31" spans="1:11" ht="20">
      <c r="A31" s="22" t="s">
        <v>19</v>
      </c>
      <c r="B31" s="9">
        <f>($B$5/$D17)*$D$20</f>
        <v>444.87585394969295</v>
      </c>
      <c r="C31" s="21">
        <f>($B$5/$F17)*$F$20</f>
        <v>511.82706757958891</v>
      </c>
      <c r="D31" s="9">
        <f>($B$5/$K17)*$K$20</f>
        <v>728.2759798330851</v>
      </c>
    </row>
    <row r="32" spans="1:11" ht="20">
      <c r="A32" s="22" t="s">
        <v>20</v>
      </c>
      <c r="B32" s="9">
        <f>($B$5/$D18)*$D$20</f>
        <v>528.29007656526039</v>
      </c>
      <c r="C32" s="21">
        <f>($B$5/$F18)*$F$20</f>
        <v>675.44391705175258</v>
      </c>
      <c r="D32" s="9">
        <f>($B$5/$K18)*$K$20</f>
        <v>1274.4829647078991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412.31228177298033</v>
      </c>
      <c r="C36" s="38">
        <f>C30+SUM(B24:F24)</f>
        <v>449.96868413214031</v>
      </c>
      <c r="D36" s="34">
        <f>D30+SUM(B24:K24)</f>
        <v>559.6914418193777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446.37585394969295</v>
      </c>
      <c r="C37" s="38">
        <f t="shared" ref="C37:C38" si="8">C31+SUM(B25:F25)</f>
        <v>514.10706757958894</v>
      </c>
      <c r="D37" s="34">
        <f t="shared" ref="D37:D38" si="9">D31+SUM(B25:K25)</f>
        <v>731.96597983308516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529.97007656526034</v>
      </c>
      <c r="C38" s="38">
        <f t="shared" si="8"/>
        <v>678.12391705175253</v>
      </c>
      <c r="D38" s="34">
        <f t="shared" si="9"/>
        <v>1279.352964707899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6.1624999999999996</v>
      </c>
      <c r="C2" s="58">
        <v>3</v>
      </c>
      <c r="D2" s="58">
        <f>ROUND(100*((($B2/$B4)^(1/COUNT($A2:$A4)) )-1),2)</f>
        <v>32.36</v>
      </c>
      <c r="F2" s="180" t="s">
        <v>62</v>
      </c>
      <c r="G2" s="68">
        <f t="shared" ref="G2:G12" si="0">ROUND(100*((($B2/$B4)^(1/COUNT($A2:$A4)) )-1),2)</f>
        <v>32.36</v>
      </c>
      <c r="H2" s="69">
        <f t="shared" ref="H2:H11" si="1">ROUND(100*((($B2/$B5)^(1/COUNT($A2:$A5)) )-1),2)</f>
        <v>27.39</v>
      </c>
      <c r="I2" s="68">
        <f t="shared" ref="I2:I10" si="2">ROUND(100*((($B2/$B6)^(1/COUNT($A2:$A6)) )-1),2)</f>
        <v>26.83</v>
      </c>
      <c r="J2" s="68">
        <f t="shared" ref="J2:J9" si="3">ROUND(100*((($B2/$B7)^(1/COUNT($A2:$A7)) )-1),2)</f>
        <v>24.06</v>
      </c>
      <c r="K2" s="68">
        <f t="shared" ref="K2:K8" si="4">ROUND(100*((($B2/$B8)^(1/COUNT($A2:$A8)) )-1),2)</f>
        <v>13.23</v>
      </c>
      <c r="L2" s="68">
        <f t="shared" ref="L2:L7" si="5">ROUND(100*((($B2/$B9)^(1/COUNT($A2:$A9)) )-1),2)</f>
        <v>12.01</v>
      </c>
      <c r="M2" s="68">
        <f>ROUND(100*((($B2/$B10)^(1/COUNT($A2:$A10)) )-1),2)</f>
        <v>12.66</v>
      </c>
      <c r="N2" s="68">
        <f>ROUND(100*((($B2/$B11)^(1/COUNT($A2:$A11)) )-1),2)</f>
        <v>8.69</v>
      </c>
    </row>
    <row r="3" spans="1:14" ht="18">
      <c r="A3" s="31">
        <v>2020</v>
      </c>
      <c r="B3" s="57">
        <f>輸入!M3</f>
        <v>5.1550000000000002</v>
      </c>
      <c r="C3" s="58">
        <v>4</v>
      </c>
      <c r="D3" s="58">
        <f>ROUND(100*((($B2/$B5)^(1/COUNT($A2:$A5)) )-1),2)</f>
        <v>27.39</v>
      </c>
      <c r="F3" s="180"/>
      <c r="G3" s="68">
        <f t="shared" si="0"/>
        <v>30.12</v>
      </c>
      <c r="H3" s="69">
        <f t="shared" si="1"/>
        <v>28.72</v>
      </c>
      <c r="I3" s="68">
        <f t="shared" si="2"/>
        <v>24.99</v>
      </c>
      <c r="J3" s="68">
        <f t="shared" si="3"/>
        <v>12.21</v>
      </c>
      <c r="K3" s="68">
        <f t="shared" si="4"/>
        <v>10.97</v>
      </c>
      <c r="L3" s="68">
        <f t="shared" si="5"/>
        <v>11.83</v>
      </c>
      <c r="M3" s="68">
        <f>ROUND(100*((($B3/$B11)^(1/COUNT($A3:$A11)) )-1),2)</f>
        <v>7.55</v>
      </c>
      <c r="N3" s="68">
        <f>ROUND(100*((($B3/$B12)^(1/COUNT($A3:$A12)) )-1),2)</f>
        <v>8.99</v>
      </c>
    </row>
    <row r="4" spans="1:14" ht="18">
      <c r="A4" s="31">
        <v>2019</v>
      </c>
      <c r="B4" s="57">
        <f>輸入!M4</f>
        <v>2.6575000000000002</v>
      </c>
      <c r="C4" s="58">
        <v>5</v>
      </c>
      <c r="D4" s="58">
        <f>ROUND(100*((($B$2/B6)^(1/COUNT($A$2:$A6)) )-1),2)</f>
        <v>26.83</v>
      </c>
      <c r="F4" s="180"/>
      <c r="G4" s="68">
        <f t="shared" si="0"/>
        <v>12.28</v>
      </c>
      <c r="H4" s="69">
        <f t="shared" si="1"/>
        <v>11.98</v>
      </c>
      <c r="I4" s="68">
        <f t="shared" si="2"/>
        <v>0.56999999999999995</v>
      </c>
      <c r="J4" s="68">
        <f t="shared" si="3"/>
        <v>1.1100000000000001</v>
      </c>
      <c r="K4" s="68">
        <f t="shared" si="4"/>
        <v>3.37</v>
      </c>
      <c r="L4" s="68">
        <f t="shared" si="5"/>
        <v>-0.09</v>
      </c>
      <c r="M4" s="68">
        <f>ROUND(100*((($B4/$B12)^(1/COUNT($A4:$A12)) )-1),2)</f>
        <v>2.23</v>
      </c>
      <c r="N4" s="68" t="e">
        <f>ROUND(100*((($B4/$B13)^(1/COUNT($A4:$A13)) )-1),2)</f>
        <v>#DIV/0!</v>
      </c>
    </row>
    <row r="5" spans="1:14" ht="18">
      <c r="A5" s="31">
        <v>2018</v>
      </c>
      <c r="B5" s="57">
        <f>輸入!M5</f>
        <v>2.34</v>
      </c>
      <c r="C5" s="58">
        <v>6</v>
      </c>
      <c r="D5" s="58">
        <f>ROUND(100*((($B$2/B7)^(1/COUNT($A$2:$A7)) )-1),2)</f>
        <v>24.06</v>
      </c>
      <c r="F5" s="180"/>
      <c r="G5" s="68">
        <f t="shared" si="0"/>
        <v>11.46</v>
      </c>
      <c r="H5" s="69">
        <f t="shared" si="1"/>
        <v>-2.44</v>
      </c>
      <c r="I5" s="68">
        <f t="shared" si="2"/>
        <v>-1.22</v>
      </c>
      <c r="J5" s="68">
        <f t="shared" si="3"/>
        <v>1.76</v>
      </c>
      <c r="K5" s="68">
        <f t="shared" si="4"/>
        <v>-1.91</v>
      </c>
      <c r="L5" s="68">
        <f t="shared" si="5"/>
        <v>0.89</v>
      </c>
      <c r="M5" s="68" t="e">
        <f>ROUND(100*((($B5/$B13)^(1/COUNT($A5:$A13)) )-1),2)</f>
        <v>#DIV/0!</v>
      </c>
      <c r="N5" s="68" t="e">
        <f>ROUND(100*((($B5/$B14)^(1/COUNT($A5:$A14)) )-1),2)</f>
        <v>#DIV/0!</v>
      </c>
    </row>
    <row r="6" spans="1:14" ht="18">
      <c r="A6" s="31">
        <v>2017</v>
      </c>
      <c r="B6" s="57">
        <f>輸入!M6</f>
        <v>1.8774999999999999</v>
      </c>
      <c r="C6" s="58">
        <v>7</v>
      </c>
      <c r="D6" s="58">
        <f>ROUND(100*((($B$2/B8)^(1/COUNT($A$2:$A8)) )-1),2)</f>
        <v>13.23</v>
      </c>
      <c r="F6" s="180"/>
      <c r="G6" s="68">
        <f t="shared" si="0"/>
        <v>-10.08</v>
      </c>
      <c r="H6" s="69">
        <f t="shared" si="1"/>
        <v>-6.79</v>
      </c>
      <c r="I6" s="68">
        <f t="shared" si="2"/>
        <v>-2.2799999999999998</v>
      </c>
      <c r="J6" s="68">
        <f t="shared" si="3"/>
        <v>-5.74</v>
      </c>
      <c r="K6" s="68">
        <f t="shared" si="4"/>
        <v>-2.11</v>
      </c>
      <c r="L6" s="68" t="e">
        <f t="shared" si="5"/>
        <v>#DIV/0!</v>
      </c>
      <c r="M6" s="68" t="e">
        <f>ROUND(100*((($B6/$B14)^(1/COUNT($A6:$A14)) )-1),2)</f>
        <v>#DIV/0!</v>
      </c>
    </row>
    <row r="7" spans="1:14" ht="18">
      <c r="A7" s="31">
        <v>2016</v>
      </c>
      <c r="B7" s="57">
        <f>輸入!M7</f>
        <v>1.69</v>
      </c>
      <c r="C7" s="58">
        <v>8</v>
      </c>
      <c r="D7" s="58">
        <f>ROUND(100*((($B$2/B9)^(1/COUNT($A$2:$A9)) )-1),2)</f>
        <v>12.01</v>
      </c>
      <c r="F7" s="180"/>
      <c r="G7" s="68">
        <f t="shared" si="0"/>
        <v>-12.09</v>
      </c>
      <c r="H7" s="69">
        <f t="shared" si="1"/>
        <v>-5.37</v>
      </c>
      <c r="I7" s="68">
        <f t="shared" si="2"/>
        <v>-8.7899999999999991</v>
      </c>
      <c r="J7" s="68">
        <f t="shared" si="3"/>
        <v>-4.1500000000000004</v>
      </c>
      <c r="K7" s="68" t="e">
        <f t="shared" si="4"/>
        <v>#DIV/0!</v>
      </c>
      <c r="L7" s="68" t="e">
        <f t="shared" si="5"/>
        <v>#DIV/0!</v>
      </c>
    </row>
    <row r="8" spans="1:14" ht="18">
      <c r="A8" s="31">
        <v>2015</v>
      </c>
      <c r="B8" s="57">
        <f>輸入!M8</f>
        <v>2.5824999999999996</v>
      </c>
      <c r="C8" s="58">
        <v>9</v>
      </c>
      <c r="D8" s="58">
        <f>ROUND(100*((($B$2/B10)^(1/COUNT($A$2:$A10)) )-1),2)</f>
        <v>12.66</v>
      </c>
      <c r="F8" s="180"/>
      <c r="G8" s="68">
        <f t="shared" si="0"/>
        <v>7.01</v>
      </c>
      <c r="H8" s="69">
        <f t="shared" si="1"/>
        <v>-0.9</v>
      </c>
      <c r="I8" s="68">
        <f t="shared" si="2"/>
        <v>3.45</v>
      </c>
      <c r="J8" s="68" t="e">
        <f t="shared" si="3"/>
        <v>#DIV/0!</v>
      </c>
      <c r="K8" s="68" t="e">
        <f t="shared" si="4"/>
        <v>#DIV/0!</v>
      </c>
    </row>
    <row r="9" spans="1:14" ht="18">
      <c r="A9" s="31">
        <v>2014</v>
      </c>
      <c r="B9" s="57">
        <f>輸入!M9</f>
        <v>2.4874999999999998</v>
      </c>
      <c r="C9" s="58">
        <v>10</v>
      </c>
      <c r="D9" s="58">
        <f>ROUND(100*((($B$2/B11)^(1/COUNT($A$2:$A11)) )-1),2)</f>
        <v>8.69</v>
      </c>
      <c r="F9" s="180"/>
      <c r="G9" s="68">
        <f t="shared" si="0"/>
        <v>-2.42</v>
      </c>
      <c r="H9" s="69">
        <f t="shared" si="1"/>
        <v>3.35</v>
      </c>
      <c r="I9" s="68" t="e">
        <f t="shared" si="2"/>
        <v>#DIV/0!</v>
      </c>
      <c r="J9" s="68" t="e">
        <f t="shared" si="3"/>
        <v>#DIV/0!</v>
      </c>
    </row>
    <row r="10" spans="1:14" ht="18">
      <c r="A10" s="31">
        <v>2013</v>
      </c>
      <c r="B10" s="57">
        <f>輸入!M10</f>
        <v>2.1074999999999999</v>
      </c>
      <c r="C10" s="58">
        <v>11</v>
      </c>
      <c r="D10" s="58">
        <f>ROUND(100*((($B$2/B12)^(1/COUNT($A$2:$A12)) )-1),2)</f>
        <v>9.91</v>
      </c>
      <c r="F10" s="180"/>
      <c r="G10" s="68">
        <f t="shared" si="0"/>
        <v>-1.1200000000000001</v>
      </c>
      <c r="H10" s="69" t="e">
        <f t="shared" si="1"/>
        <v>#DIV/0!</v>
      </c>
      <c r="I10" s="68" t="e">
        <f t="shared" si="2"/>
        <v>#DIV/0!</v>
      </c>
    </row>
    <row r="11" spans="1:14" ht="18">
      <c r="A11" s="31">
        <v>2012</v>
      </c>
      <c r="B11" s="57">
        <f>輸入!M11</f>
        <v>2.6774999999999998</v>
      </c>
      <c r="C11" s="58">
        <v>12</v>
      </c>
      <c r="D11" s="58" t="e">
        <f>ROUND(100*((($B$2/B13)^(1/COUNT($A$2:$A13)) )-1),2)</f>
        <v>#DIV/0!</v>
      </c>
      <c r="F11" s="180"/>
      <c r="G11" s="68" t="e">
        <f t="shared" si="0"/>
        <v>#DIV/0!</v>
      </c>
      <c r="H11" s="69" t="e">
        <f t="shared" si="1"/>
        <v>#DIV/0!</v>
      </c>
    </row>
    <row r="12" spans="1:14" ht="18">
      <c r="A12" s="31">
        <v>2011</v>
      </c>
      <c r="B12" s="57">
        <f>輸入!M12</f>
        <v>2.1800000000000002</v>
      </c>
      <c r="C12" s="58">
        <v>13</v>
      </c>
      <c r="D12" s="58" t="e">
        <f>ROUND(100*((($B$2/B14)^(1/COUNT($A$2:$A14)) )-1),2)</f>
        <v>#DIV/0!</v>
      </c>
      <c r="F12" s="180"/>
      <c r="G12" s="68" t="e">
        <f t="shared" si="0"/>
        <v>#DIV/0!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0</v>
      </c>
      <c r="C13" s="29"/>
    </row>
    <row r="14" spans="1:14" ht="18">
      <c r="A14" s="31">
        <v>2009</v>
      </c>
      <c r="B14" s="57">
        <f>輸入!M14</f>
        <v>0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3.31</v>
      </c>
      <c r="H17" s="58">
        <f>輸入!K5</f>
        <v>25.23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 t="e">
        <f>(1+AVERAGE(輸入!L20:'輸入'!L30)/100)</f>
        <v>#DIV/0!</v>
      </c>
      <c r="H19" s="67" t="e">
        <f>(1+AVERAGE(輸入!N20:'輸入'!N28)/100)</f>
        <v>#DIV/0!</v>
      </c>
      <c r="I19" s="67" t="e">
        <f>(1+AVERAGE(輸入!S20:'輸入'!S23)/100)</f>
        <v>#DIV/0!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 t="e">
        <f t="shared" ref="G21:I22" si="6">$H16*G$20*$G16*G$19</f>
        <v>#DIV/0!</v>
      </c>
      <c r="H21" s="71" t="e">
        <f t="shared" si="6"/>
        <v>#DIV/0!</v>
      </c>
      <c r="I21" s="71" t="e">
        <f t="shared" si="6"/>
        <v>#DIV/0!</v>
      </c>
    </row>
    <row r="22" spans="6:18">
      <c r="F22" s="70" t="s">
        <v>59</v>
      </c>
      <c r="G22" s="72" t="e">
        <f t="shared" si="6"/>
        <v>#DIV/0!</v>
      </c>
      <c r="H22" s="72" t="e">
        <f t="shared" si="6"/>
        <v>#DIV/0!</v>
      </c>
      <c r="I22" s="72" t="e">
        <f t="shared" si="6"/>
        <v>#DIV/0!</v>
      </c>
    </row>
    <row r="23" spans="6:18" ht="25">
      <c r="F23" s="70" t="s">
        <v>60</v>
      </c>
      <c r="G23" s="71" t="e">
        <f>G22*(1.05)^3</f>
        <v>#DIV/0!</v>
      </c>
      <c r="H23" s="71" t="e">
        <f>H22*(1.05)^5</f>
        <v>#DIV/0!</v>
      </c>
      <c r="I23" s="71" t="e">
        <f>I22*(1.05)^10</f>
        <v>#DIV/0!</v>
      </c>
    </row>
    <row r="27" spans="6:18">
      <c r="F27" s="62" t="s">
        <v>64</v>
      </c>
      <c r="G27" s="82" t="e">
        <f>ROUND(I19-1,2)*100</f>
        <v>#DIV/0!</v>
      </c>
      <c r="H27" s="81" t="e">
        <f>ROUND(H19-1,2)*100</f>
        <v>#DIV/0!</v>
      </c>
      <c r="I27" s="81" t="e">
        <f>ROUND(G19-1,2)*100</f>
        <v>#DIV/0!</v>
      </c>
      <c r="J27" s="86" t="e">
        <f>G27-I27</f>
        <v>#DIV/0!</v>
      </c>
    </row>
    <row r="28" spans="6:18">
      <c r="G28" s="181" t="e">
        <f>G27-H27</f>
        <v>#DIV/0!</v>
      </c>
      <c r="H28" s="182"/>
      <c r="I28" s="83" t="e">
        <f>ROUND(I21-H21,1)</f>
        <v>#DIV/0!</v>
      </c>
    </row>
    <row r="29" spans="6:18">
      <c r="H29" s="183" t="e">
        <f>H27-I27</f>
        <v>#DIV/0!</v>
      </c>
      <c r="I29" s="183"/>
      <c r="J29" s="84" t="e">
        <f>ROUND(H21-G21,1)</f>
        <v>#DIV/0!</v>
      </c>
      <c r="K29" s="85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 t="e">
        <f>ROUND(K29/J27,2)</f>
        <v>#DIV/0!</v>
      </c>
      <c r="M30" s="1" t="s">
        <v>66</v>
      </c>
      <c r="N30" s="88" t="e">
        <f>$H21-($H$27-N29)*$L$30</f>
        <v>#DIV/0!</v>
      </c>
      <c r="O30" s="88" t="e">
        <f>$H21-($H$27-O29)*$L$30</f>
        <v>#DIV/0!</v>
      </c>
      <c r="P30" s="88" t="e">
        <f>$H21-($H$27-P29)*$L$30</f>
        <v>#DIV/0!</v>
      </c>
      <c r="Q30" s="88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2022-07-22T06:48:32Z</dcterms:modified>
</cp:coreProperties>
</file>