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nny/Desktop/stuff/美股資料/MSFT/"/>
    </mc:Choice>
  </mc:AlternateContent>
  <xr:revisionPtr revIDLastSave="0" documentId="13_ncr:1_{69FFE0A5-852B-A649-B22B-FB60C28CE424}" xr6:coauthVersionLast="47" xr6:coauthVersionMax="47" xr10:uidLastSave="{00000000-0000-0000-0000-000000000000}"/>
  <bookViews>
    <workbookView xWindow="1440" yWindow="780" windowWidth="25940" windowHeight="15140" activeTab="1" xr2:uid="{7BE21583-5D16-4846-9B49-7381C2CD4ADE}"/>
  </bookViews>
  <sheets>
    <sheet name="查詢網站" sheetId="5" r:id="rId1"/>
    <sheet name="輸入" sheetId="8" r:id="rId2"/>
    <sheet name="工作表1" sheetId="12" r:id="rId3"/>
    <sheet name="現金流量折現法(PE+EPS)" sheetId="4" r:id="rId4"/>
    <sheet name="EPS &amp; PE 成長率法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8" l="1"/>
  <c r="K2" i="8"/>
  <c r="K5" i="8"/>
  <c r="N14" i="8"/>
  <c r="F58" i="12"/>
  <c r="F10" i="12"/>
  <c r="F14" i="12"/>
  <c r="F18" i="12"/>
  <c r="F22" i="12"/>
  <c r="F26" i="12"/>
  <c r="F30" i="12"/>
  <c r="F34" i="12"/>
  <c r="F38" i="12"/>
  <c r="F42" i="12"/>
  <c r="F46" i="12"/>
  <c r="F50" i="12"/>
  <c r="F54" i="12"/>
  <c r="F59" i="12"/>
  <c r="B8" i="11"/>
  <c r="B9" i="11"/>
  <c r="B10" i="11"/>
  <c r="B11" i="11"/>
  <c r="B12" i="11"/>
  <c r="B13" i="11"/>
  <c r="B14" i="11"/>
  <c r="B2" i="11"/>
  <c r="D2" i="11" s="1"/>
  <c r="B3" i="11"/>
  <c r="B4" i="11"/>
  <c r="B5" i="11"/>
  <c r="B6" i="11"/>
  <c r="B7" i="11"/>
  <c r="L17" i="8"/>
  <c r="Q13" i="8"/>
  <c r="P13" i="8"/>
  <c r="W36" i="8"/>
  <c r="Y34" i="8"/>
  <c r="B9" i="8" l="1"/>
  <c r="G17" i="11" l="1"/>
  <c r="G16" i="11"/>
  <c r="I16" i="11"/>
  <c r="G20" i="11" s="1"/>
  <c r="H16" i="11"/>
  <c r="H17" i="11"/>
  <c r="I20" i="11" l="1"/>
  <c r="H20" i="11"/>
  <c r="D5" i="11" l="1"/>
  <c r="O5" i="8" s="1"/>
  <c r="G2" i="11"/>
  <c r="L20" i="8" s="1"/>
  <c r="D3" i="11"/>
  <c r="O3" i="8" s="1"/>
  <c r="G4" i="11"/>
  <c r="G3" i="11"/>
  <c r="L21" i="8" s="1"/>
  <c r="G10" i="11"/>
  <c r="L28" i="8" s="1"/>
  <c r="G11" i="11"/>
  <c r="L29" i="8" s="1"/>
  <c r="G9" i="11"/>
  <c r="L27" i="8" s="1"/>
  <c r="I7" i="11"/>
  <c r="N25" i="8" s="1"/>
  <c r="I6" i="11"/>
  <c r="I9" i="11"/>
  <c r="N27" i="8" s="1"/>
  <c r="J9" i="11"/>
  <c r="O27" i="8" s="1"/>
  <c r="H9" i="11"/>
  <c r="M27" i="8" s="1"/>
  <c r="I8" i="11"/>
  <c r="N26" i="8" s="1"/>
  <c r="J8" i="11"/>
  <c r="O26" i="8" s="1"/>
  <c r="K8" i="11"/>
  <c r="P26" i="8" s="1"/>
  <c r="H8" i="11"/>
  <c r="M26" i="8" s="1"/>
  <c r="G8" i="11"/>
  <c r="L26" i="8" s="1"/>
  <c r="J7" i="11"/>
  <c r="O25" i="8" s="1"/>
  <c r="H7" i="11"/>
  <c r="M25" i="8" s="1"/>
  <c r="G7" i="11"/>
  <c r="L25" i="8" s="1"/>
  <c r="L7" i="11"/>
  <c r="Q25" i="8" s="1"/>
  <c r="K7" i="11"/>
  <c r="P25" i="8" s="1"/>
  <c r="H5" i="11"/>
  <c r="M23" i="8" s="1"/>
  <c r="G5" i="11"/>
  <c r="L23" i="8" s="1"/>
  <c r="J5" i="11"/>
  <c r="O23" i="8" s="1"/>
  <c r="L5" i="11"/>
  <c r="Q23" i="8" s="1"/>
  <c r="I5" i="11"/>
  <c r="N23" i="8" s="1"/>
  <c r="M5" i="11"/>
  <c r="R23" i="8" s="1"/>
  <c r="N5" i="11"/>
  <c r="S23" i="8" s="1"/>
  <c r="K5" i="11"/>
  <c r="P23" i="8" s="1"/>
  <c r="G12" i="11"/>
  <c r="L30" i="8" s="1"/>
  <c r="N4" i="11"/>
  <c r="K4" i="11"/>
  <c r="P22" i="8" s="1"/>
  <c r="M4" i="11"/>
  <c r="R22" i="8" s="1"/>
  <c r="H4" i="11"/>
  <c r="M22" i="8" s="1"/>
  <c r="L4" i="11"/>
  <c r="Q22" i="8" s="1"/>
  <c r="I4" i="11"/>
  <c r="N22" i="8" s="1"/>
  <c r="J4" i="11"/>
  <c r="O22" i="8" s="1"/>
  <c r="I10" i="11"/>
  <c r="N28" i="8" s="1"/>
  <c r="H10" i="11"/>
  <c r="M28" i="8" s="1"/>
  <c r="M2" i="11"/>
  <c r="R20" i="8" s="1"/>
  <c r="O2" i="8"/>
  <c r="N2" i="11"/>
  <c r="I2" i="11"/>
  <c r="K2" i="11"/>
  <c r="P20" i="8" s="1"/>
  <c r="J2" i="11"/>
  <c r="O20" i="8" s="1"/>
  <c r="L2" i="11"/>
  <c r="Q20" i="8" s="1"/>
  <c r="H2" i="11"/>
  <c r="M20" i="8" s="1"/>
  <c r="M6" i="11"/>
  <c r="R24" i="8" s="1"/>
  <c r="J6" i="11"/>
  <c r="O24" i="8" s="1"/>
  <c r="H6" i="11"/>
  <c r="M24" i="8" s="1"/>
  <c r="G6" i="11"/>
  <c r="K6" i="11"/>
  <c r="P24" i="8" s="1"/>
  <c r="L6" i="11"/>
  <c r="Q24" i="8" s="1"/>
  <c r="H11" i="11"/>
  <c r="M29" i="8" s="1"/>
  <c r="N3" i="11"/>
  <c r="S21" i="8" s="1"/>
  <c r="K3" i="11"/>
  <c r="P21" i="8" s="1"/>
  <c r="L3" i="11"/>
  <c r="Q21" i="8" s="1"/>
  <c r="I3" i="11"/>
  <c r="N21" i="8" s="1"/>
  <c r="M3" i="11"/>
  <c r="R21" i="8" s="1"/>
  <c r="J3" i="11"/>
  <c r="O21" i="8" s="1"/>
  <c r="H3" i="11"/>
  <c r="M21" i="8" s="1"/>
  <c r="D7" i="11"/>
  <c r="O7" i="8" s="1"/>
  <c r="D8" i="11"/>
  <c r="O8" i="8" s="1"/>
  <c r="D10" i="11"/>
  <c r="O10" i="8" s="1"/>
  <c r="D12" i="11"/>
  <c r="D6" i="11"/>
  <c r="O6" i="8" s="1"/>
  <c r="D11" i="11"/>
  <c r="O11" i="8" s="1"/>
  <c r="D4" i="11"/>
  <c r="O4" i="8" s="1"/>
  <c r="D9" i="11"/>
  <c r="O9" i="8" s="1"/>
  <c r="B11" i="4"/>
  <c r="B12" i="4"/>
  <c r="B10" i="4"/>
  <c r="C2" i="8"/>
  <c r="C4" i="8"/>
  <c r="C7" i="8"/>
  <c r="C3" i="8"/>
  <c r="C10" i="8"/>
  <c r="C9" i="8"/>
  <c r="B9" i="4"/>
  <c r="C9" i="4" s="1"/>
  <c r="B8" i="4"/>
  <c r="B7" i="4"/>
  <c r="B6" i="4"/>
  <c r="B5" i="4"/>
  <c r="B4" i="4"/>
  <c r="H18" i="4" s="1"/>
  <c r="B3" i="4"/>
  <c r="I17" i="4" s="1"/>
  <c r="B2" i="4"/>
  <c r="I16" i="4" s="1"/>
  <c r="B1" i="4"/>
  <c r="H19" i="11" l="1"/>
  <c r="G19" i="11"/>
  <c r="I19" i="11"/>
  <c r="G27" i="11" s="1"/>
  <c r="B20" i="4"/>
  <c r="E18" i="4"/>
  <c r="G17" i="4"/>
  <c r="D16" i="4"/>
  <c r="H17" i="4"/>
  <c r="B16" i="4"/>
  <c r="B18" i="4"/>
  <c r="I18" i="4"/>
  <c r="G18" i="4"/>
  <c r="F18" i="4"/>
  <c r="D20" i="4"/>
  <c r="B17" i="4"/>
  <c r="D18" i="4"/>
  <c r="E17" i="4"/>
  <c r="K18" i="4"/>
  <c r="D17" i="4"/>
  <c r="F17" i="4"/>
  <c r="C18" i="4"/>
  <c r="J18" i="4"/>
  <c r="K17" i="4"/>
  <c r="C17" i="4"/>
  <c r="J17" i="4"/>
  <c r="E16" i="4"/>
  <c r="K16" i="4"/>
  <c r="C16" i="4"/>
  <c r="J16" i="4"/>
  <c r="H16" i="4"/>
  <c r="G16" i="4"/>
  <c r="F16" i="4"/>
  <c r="J20" i="4"/>
  <c r="I20" i="4"/>
  <c r="H20" i="4"/>
  <c r="G20" i="4"/>
  <c r="F20" i="4"/>
  <c r="E20" i="4"/>
  <c r="C20" i="4"/>
  <c r="K20" i="4"/>
  <c r="I21" i="11" l="1"/>
  <c r="D25" i="8" s="1"/>
  <c r="I27" i="11"/>
  <c r="J27" i="11" s="1"/>
  <c r="B24" i="8"/>
  <c r="H27" i="11"/>
  <c r="G28" i="11" s="1"/>
  <c r="C24" i="8"/>
  <c r="I22" i="11"/>
  <c r="I23" i="11" s="1"/>
  <c r="D26" i="8" s="1"/>
  <c r="D24" i="8"/>
  <c r="H21" i="11"/>
  <c r="H22" i="11"/>
  <c r="H23" i="11" s="1"/>
  <c r="G21" i="11"/>
  <c r="B25" i="8" s="1"/>
  <c r="G22" i="11"/>
  <c r="G23" i="11" s="1"/>
  <c r="B26" i="8" s="1"/>
  <c r="B30" i="4"/>
  <c r="B18" i="8" s="1"/>
  <c r="C31" i="4"/>
  <c r="C19" i="8" s="1"/>
  <c r="D30" i="4"/>
  <c r="D18" i="8" s="1"/>
  <c r="C30" i="4"/>
  <c r="C18" i="8" s="1"/>
  <c r="D31" i="4"/>
  <c r="D19" i="8" s="1"/>
  <c r="D32" i="4"/>
  <c r="D20" i="8" s="1"/>
  <c r="B31" i="4"/>
  <c r="B19" i="8" s="1"/>
  <c r="C32" i="4"/>
  <c r="C20" i="8" s="1"/>
  <c r="B32" i="4"/>
  <c r="B20" i="8" s="1"/>
  <c r="C7" i="4"/>
  <c r="F19" i="4" s="1"/>
  <c r="H29" i="11" l="1"/>
  <c r="C26" i="8"/>
  <c r="J29" i="11"/>
  <c r="C25" i="8"/>
  <c r="I28" i="11"/>
  <c r="F26" i="4"/>
  <c r="F24" i="4"/>
  <c r="F25" i="4"/>
  <c r="C19" i="4"/>
  <c r="B19" i="4"/>
  <c r="J19" i="4"/>
  <c r="H19" i="4"/>
  <c r="K19" i="4"/>
  <c r="I19" i="4"/>
  <c r="E19" i="4"/>
  <c r="G19" i="4"/>
  <c r="D19" i="4"/>
  <c r="K29" i="11" l="1"/>
  <c r="L30" i="11" s="1"/>
  <c r="N30" i="11" s="1"/>
  <c r="I24" i="4"/>
  <c r="I26" i="4"/>
  <c r="I25" i="4"/>
  <c r="H24" i="4"/>
  <c r="H25" i="4"/>
  <c r="H26" i="4"/>
  <c r="C24" i="4"/>
  <c r="C25" i="4"/>
  <c r="C26" i="4"/>
  <c r="E25" i="4"/>
  <c r="E26" i="4"/>
  <c r="E24" i="4"/>
  <c r="K25" i="4"/>
  <c r="K26" i="4"/>
  <c r="K24" i="4"/>
  <c r="J25" i="4"/>
  <c r="J24" i="4"/>
  <c r="J26" i="4"/>
  <c r="B24" i="4"/>
  <c r="B25" i="4"/>
  <c r="B26" i="4"/>
  <c r="D25" i="4"/>
  <c r="D26" i="4"/>
  <c r="D24" i="4"/>
  <c r="G25" i="4"/>
  <c r="G26" i="4"/>
  <c r="G24" i="4"/>
  <c r="P30" i="11" l="1"/>
  <c r="O30" i="11"/>
  <c r="Q30" i="11"/>
  <c r="D38" i="4"/>
  <c r="B38" i="4"/>
  <c r="C38" i="4"/>
  <c r="C37" i="4"/>
  <c r="B37" i="4"/>
  <c r="D37" i="4"/>
  <c r="D36" i="4"/>
  <c r="B36" i="4"/>
  <c r="C36" i="4"/>
</calcChain>
</file>

<file path=xl/sharedStrings.xml><?xml version="1.0" encoding="utf-8"?>
<sst xmlns="http://schemas.openxmlformats.org/spreadsheetml/2006/main" count="134" uniqueCount="90">
  <si>
    <t>10 年報酬率對應表</t>
    <phoneticPr fontId="2" type="noConversion"/>
  </si>
  <si>
    <t>便宜價的折現率(%)</t>
    <phoneticPr fontId="2" type="noConversion"/>
  </si>
  <si>
    <t>合理價的折現率(%)</t>
    <phoneticPr fontId="2" type="noConversion"/>
  </si>
  <si>
    <t>昂貴價的折現率(%)</t>
    <phoneticPr fontId="2" type="noConversion"/>
  </si>
  <si>
    <t>股利</t>
    <phoneticPr fontId="2" type="noConversion"/>
  </si>
  <si>
    <t>10 年股利對應表</t>
    <phoneticPr fontId="2" type="noConversion"/>
  </si>
  <si>
    <t>EPS</t>
    <phoneticPr fontId="2" type="noConversion"/>
  </si>
  <si>
    <t>預估最後報酬率 (%)_便宜價</t>
    <phoneticPr fontId="2" type="noConversion"/>
  </si>
  <si>
    <t>預估最後報酬率 (%)_合理價</t>
    <phoneticPr fontId="2" type="noConversion"/>
  </si>
  <si>
    <t>預估最後報酬率 (%)_昂貴價</t>
    <phoneticPr fontId="2" type="noConversion"/>
  </si>
  <si>
    <t>預估最後賣出時本益比(P/E)</t>
    <phoneticPr fontId="2" type="noConversion"/>
  </si>
  <si>
    <t>幾年後賣出</t>
    <phoneticPr fontId="2" type="noConversion"/>
  </si>
  <si>
    <t>目前便宜價(價格+股利)</t>
    <phoneticPr fontId="2" type="noConversion"/>
  </si>
  <si>
    <t>目前合理價(價格+股利)</t>
    <phoneticPr fontId="2" type="noConversion"/>
  </si>
  <si>
    <t>目前昂貴價(價格+股利)</t>
    <phoneticPr fontId="2" type="noConversion"/>
  </si>
  <si>
    <t>3年</t>
    <phoneticPr fontId="2" type="noConversion"/>
  </si>
  <si>
    <t>5年</t>
    <phoneticPr fontId="2" type="noConversion"/>
  </si>
  <si>
    <t>10年</t>
    <phoneticPr fontId="2" type="noConversion"/>
  </si>
  <si>
    <t>目前便宜價</t>
    <phoneticPr fontId="2" type="noConversion"/>
  </si>
  <si>
    <t>目前合理價</t>
    <phoneticPr fontId="2" type="noConversion"/>
  </si>
  <si>
    <t>目前昂貴價</t>
    <phoneticPr fontId="2" type="noConversion"/>
  </si>
  <si>
    <t>股息成長率</t>
    <phoneticPr fontId="2" type="noConversion"/>
  </si>
  <si>
    <t>現在股價</t>
    <phoneticPr fontId="2" type="noConversion"/>
  </si>
  <si>
    <t>年度</t>
    <phoneticPr fontId="2" type="noConversion"/>
  </si>
  <si>
    <t>EPS成長率 ( 預估)</t>
    <phoneticPr fontId="2" type="noConversion"/>
  </si>
  <si>
    <t>歷年股價</t>
    <phoneticPr fontId="2" type="noConversion"/>
  </si>
  <si>
    <t>https://strike.market/stocks/V</t>
    <phoneticPr fontId="2" type="noConversion"/>
  </si>
  <si>
    <t>名稱</t>
    <phoneticPr fontId="2" type="noConversion"/>
  </si>
  <si>
    <t>網址</t>
    <phoneticPr fontId="2" type="noConversion"/>
  </si>
  <si>
    <t>https://www.macrotrends.net/stocks/charts/V/visa/pe-ratio</t>
    <phoneticPr fontId="2" type="noConversion"/>
  </si>
  <si>
    <t>PE, EPS查詢</t>
    <phoneticPr fontId="2" type="noConversion"/>
  </si>
  <si>
    <t>https://wealth.businessweekly.com.tw/m/GArticle.aspx?id=ARTL000139852</t>
    <phoneticPr fontId="2" type="noConversion"/>
  </si>
  <si>
    <t>教學參考: DCF With EPS</t>
    <phoneticPr fontId="2" type="noConversion"/>
  </si>
  <si>
    <t>教學參考: DCF With Cash Flow</t>
    <phoneticPr fontId="2" type="noConversion"/>
  </si>
  <si>
    <t>教學參考: DCF With PE</t>
    <phoneticPr fontId="2" type="noConversion"/>
  </si>
  <si>
    <t>https://teddygoschool.com/how-to-calculate-the-valuation-of-a-company/</t>
    <phoneticPr fontId="2" type="noConversion"/>
  </si>
  <si>
    <t>https://rich01.com/discounted-cash-flow-dcf-model/</t>
    <phoneticPr fontId="2" type="noConversion"/>
  </si>
  <si>
    <t>標準差</t>
    <phoneticPr fontId="2" type="noConversion"/>
  </si>
  <si>
    <t>通膨 (%)</t>
    <phoneticPr fontId="2" type="noConversion"/>
  </si>
  <si>
    <t>http://www.rocketfinancial.com/Financials.aspx?fID=3916&amp;p=2&amp;pw=129186&amp;rID=3</t>
    <phoneticPr fontId="2" type="noConversion"/>
  </si>
  <si>
    <t>Cash Flow 查詢</t>
    <phoneticPr fontId="2" type="noConversion"/>
  </si>
  <si>
    <t>自估</t>
    <phoneticPr fontId="2" type="noConversion"/>
  </si>
  <si>
    <t>預估每股現金流</t>
    <phoneticPr fontId="2" type="noConversion"/>
  </si>
  <si>
    <t>現金流量折現法(PE+EPS)</t>
    <phoneticPr fontId="2" type="noConversion"/>
  </si>
  <si>
    <t>現金流成長率 (%)</t>
    <phoneticPr fontId="2" type="noConversion"/>
  </si>
  <si>
    <t>本益比PE</t>
    <phoneticPr fontId="2" type="noConversion"/>
  </si>
  <si>
    <r>
      <t xml:space="preserve">估 </t>
    </r>
    <r>
      <rPr>
        <sz val="20"/>
        <color rgb="FFFFFF00"/>
        <rFont val="新細明體"/>
        <family val="1"/>
        <charset val="136"/>
      </rPr>
      <t>2022</t>
    </r>
    <phoneticPr fontId="2" type="noConversion"/>
  </si>
  <si>
    <t>https://www.gurufocus.com/stock/MCD/dcf</t>
    <phoneticPr fontId="2" type="noConversion"/>
  </si>
  <si>
    <t>GuruFocus  估值網站：</t>
    <phoneticPr fontId="2" type="noConversion"/>
  </si>
  <si>
    <t>中位數</t>
    <phoneticPr fontId="2" type="noConversion"/>
  </si>
  <si>
    <t>EPS成長率法</t>
    <phoneticPr fontId="2" type="noConversion"/>
  </si>
  <si>
    <t>Financial Transaction Servicess : PE</t>
    <phoneticPr fontId="2" type="noConversion"/>
  </si>
  <si>
    <t>EPS成長率</t>
    <phoneticPr fontId="2" type="noConversion"/>
  </si>
  <si>
    <t>P/E成長率</t>
    <phoneticPr fontId="2" type="noConversion"/>
  </si>
  <si>
    <t>1本益比成長率 %(看圖斜率)</t>
    <phoneticPr fontId="2" type="noConversion"/>
  </si>
  <si>
    <t>去頭去尾取平均</t>
    <phoneticPr fontId="2" type="noConversion"/>
  </si>
  <si>
    <t>預估EPS</t>
    <phoneticPr fontId="2" type="noConversion"/>
  </si>
  <si>
    <t>預估PE</t>
    <phoneticPr fontId="2" type="noConversion"/>
  </si>
  <si>
    <t>EPS 成長率</t>
    <phoneticPr fontId="2" type="noConversion"/>
  </si>
  <si>
    <t>歷史水位</t>
    <phoneticPr fontId="2" type="noConversion"/>
  </si>
  <si>
    <t>通膨後</t>
    <phoneticPr fontId="2" type="noConversion"/>
  </si>
  <si>
    <t>計算年度</t>
    <phoneticPr fontId="2" type="noConversion"/>
  </si>
  <si>
    <t>Time Shift</t>
    <phoneticPr fontId="2" type="noConversion"/>
  </si>
  <si>
    <t>歷史平均</t>
    <phoneticPr fontId="2" type="noConversion"/>
  </si>
  <si>
    <t>報酬率</t>
    <phoneticPr fontId="2" type="noConversion"/>
  </si>
  <si>
    <t>自估報酬率</t>
    <phoneticPr fontId="2" type="noConversion"/>
  </si>
  <si>
    <t>價格</t>
    <phoneticPr fontId="2" type="noConversion"/>
  </si>
  <si>
    <r>
      <t>預估最後賣出時</t>
    </r>
    <r>
      <rPr>
        <sz val="12"/>
        <color rgb="FFFF0000"/>
        <rFont val="新細明體"/>
        <family val="1"/>
        <charset val="136"/>
      </rPr>
      <t xml:space="preserve"> 本益比(P/E)</t>
    </r>
    <phoneticPr fontId="2" type="noConversion"/>
  </si>
  <si>
    <r>
      <rPr>
        <sz val="12"/>
        <color theme="1"/>
        <rFont val="新細明體"/>
        <family val="1"/>
        <charset val="136"/>
      </rPr>
      <t xml:space="preserve">預估 </t>
    </r>
    <r>
      <rPr>
        <sz val="12"/>
        <color rgb="FFFF0000"/>
        <rFont val="新細明體"/>
        <family val="2"/>
        <charset val="136"/>
        <scheme val="minor"/>
      </rPr>
      <t>EPS</t>
    </r>
    <phoneticPr fontId="2" type="noConversion"/>
  </si>
  <si>
    <r>
      <rPr>
        <sz val="12"/>
        <color theme="1"/>
        <rFont val="新細明體"/>
        <family val="1"/>
        <charset val="136"/>
      </rPr>
      <t>預估</t>
    </r>
    <r>
      <rPr>
        <sz val="12"/>
        <color rgb="FFFF0000"/>
        <rFont val="新細明體"/>
        <family val="1"/>
        <charset val="136"/>
      </rPr>
      <t xml:space="preserve"> EPS成長率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2" type="noConversion"/>
  </si>
  <si>
    <t>前年+國際情勢</t>
    <phoneticPr fontId="2" type="noConversion"/>
  </si>
  <si>
    <t>看線圖</t>
    <phoneticPr fontId="2" type="noConversion"/>
  </si>
  <si>
    <t>EPS 計算年度</t>
    <phoneticPr fontId="2" type="noConversion"/>
  </si>
  <si>
    <t xml:space="preserve">Time Shift (去頭去尾取平均) </t>
    <phoneticPr fontId="2" type="noConversion"/>
  </si>
  <si>
    <t>7/22 股價</t>
    <phoneticPr fontId="2" type="noConversion"/>
  </si>
  <si>
    <t>7/22 EPS</t>
    <phoneticPr fontId="2" type="noConversion"/>
  </si>
  <si>
    <t>↓= PE*EPS</t>
    <phoneticPr fontId="2" type="noConversion"/>
  </si>
  <si>
    <t>7/22 P/E</t>
    <phoneticPr fontId="2" type="noConversion"/>
  </si>
  <si>
    <t>MSFT</t>
    <phoneticPr fontId="2" type="noConversion"/>
  </si>
  <si>
    <t>https://www.wsj.com/market-data/quotes/MSFT</t>
  </si>
  <si>
    <t>4(~2018)</t>
    <phoneticPr fontId="2" type="noConversion"/>
  </si>
  <si>
    <t>5(~2017)</t>
    <phoneticPr fontId="2" type="noConversion"/>
  </si>
  <si>
    <t>6(~2016)</t>
    <phoneticPr fontId="2" type="noConversion"/>
  </si>
  <si>
    <t>7(~2015)</t>
    <phoneticPr fontId="2" type="noConversion"/>
  </si>
  <si>
    <t>8(~2014)</t>
    <phoneticPr fontId="2" type="noConversion"/>
  </si>
  <si>
    <t>9(~2013)</t>
    <phoneticPr fontId="2" type="noConversion"/>
  </si>
  <si>
    <t>10(~2012)</t>
    <phoneticPr fontId="2" type="noConversion"/>
  </si>
  <si>
    <t>11(~2011)</t>
    <phoneticPr fontId="2" type="noConversion"/>
  </si>
  <si>
    <t>12(~2010)</t>
    <phoneticPr fontId="2" type="noConversion"/>
  </si>
  <si>
    <t>3 (~2019)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</si>
</sst>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76" formatCode="_(* #,##0_);_(* \(#,##0\);_(* &quot;-&quot;??_);_(@_)"/>
    <numFmt numFmtId="177" formatCode="0.0"/>
    <numFmt numFmtId="178" formatCode="0.000"/>
    <numFmt numFmtId="179" formatCode="0.00_ "/>
    <numFmt numFmtId="180" formatCode="0.0_ "/>
  </numFmts>
  <fonts count="4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rgb="FFFF0000"/>
      <name val="新細明體"/>
      <family val="1"/>
      <charset val="136"/>
      <scheme val="minor"/>
    </font>
    <font>
      <b/>
      <sz val="14"/>
      <color rgb="FF7030A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color rgb="FF4A4D4B"/>
      <name val="Arial"/>
      <family val="2"/>
    </font>
    <font>
      <b/>
      <sz val="12"/>
      <color rgb="FF7030A0"/>
      <name val="新細明體"/>
      <family val="1"/>
      <charset val="136"/>
      <scheme val="minor"/>
    </font>
    <font>
      <sz val="26"/>
      <color theme="1"/>
      <name val="新細明體"/>
      <family val="2"/>
      <charset val="136"/>
      <scheme val="minor"/>
    </font>
    <font>
      <sz val="22"/>
      <color rgb="FF7030A0"/>
      <name val="新細明體"/>
      <family val="2"/>
      <charset val="136"/>
      <scheme val="minor"/>
    </font>
    <font>
      <b/>
      <sz val="26"/>
      <color rgb="FFFFFF00"/>
      <name val="新細明體"/>
      <family val="1"/>
      <charset val="136"/>
      <scheme val="minor"/>
    </font>
    <font>
      <sz val="12"/>
      <color theme="2"/>
      <name val="新細明體"/>
      <family val="1"/>
      <charset val="136"/>
      <scheme val="minor"/>
    </font>
    <font>
      <sz val="12"/>
      <color theme="2"/>
      <name val="新細明體"/>
      <family val="2"/>
      <charset val="136"/>
      <scheme val="minor"/>
    </font>
    <font>
      <b/>
      <sz val="16"/>
      <color theme="2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20"/>
      <color theme="0"/>
      <name val="新細明體"/>
      <family val="1"/>
      <charset val="136"/>
      <scheme val="minor"/>
    </font>
    <font>
      <sz val="20"/>
      <color rgb="FFFF0000"/>
      <name val="新細明體"/>
      <family val="1"/>
      <charset val="136"/>
      <scheme val="minor"/>
    </font>
    <font>
      <u/>
      <sz val="20"/>
      <color theme="4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b/>
      <sz val="14"/>
      <color rgb="FFFFFF00"/>
      <name val="新細明體"/>
      <family val="1"/>
      <charset val="136"/>
      <scheme val="minor"/>
    </font>
    <font>
      <b/>
      <sz val="16"/>
      <color theme="2" tint="-9.9978637043366805E-2"/>
      <name val="新細明體"/>
      <family val="1"/>
      <charset val="136"/>
      <scheme val="minor"/>
    </font>
    <font>
      <sz val="20"/>
      <color rgb="FFFFFF00"/>
      <name val="新細明體"/>
      <family val="1"/>
      <charset val="136"/>
    </font>
    <font>
      <b/>
      <sz val="16"/>
      <color rgb="FFFFFF00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rgb="FFFF0000"/>
      <name val="新細明體"/>
      <family val="2"/>
      <charset val="136"/>
      <scheme val="minor"/>
    </font>
    <font>
      <sz val="14"/>
      <color theme="2"/>
      <name val="新細明體"/>
      <family val="2"/>
      <charset val="136"/>
      <scheme val="minor"/>
    </font>
    <font>
      <sz val="18"/>
      <color rgb="FF7030A0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6"/>
      <color rgb="FFFF0000"/>
      <name val="新細明體"/>
      <family val="2"/>
      <charset val="136"/>
      <scheme val="minor"/>
    </font>
    <font>
      <sz val="18"/>
      <color rgb="FFFF0000"/>
      <name val="新細明體"/>
      <family val="1"/>
      <charset val="136"/>
      <scheme val="minor"/>
    </font>
    <font>
      <sz val="18"/>
      <color rgb="FF7030A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8"/>
      <color theme="0"/>
      <name val="新細明體"/>
      <family val="1"/>
      <charset val="136"/>
    </font>
    <font>
      <sz val="24"/>
      <color rgb="FF7030A0"/>
      <name val="新細明體"/>
      <family val="2"/>
      <charset val="136"/>
      <scheme val="minor"/>
    </font>
    <font>
      <sz val="16"/>
      <color rgb="FFFF0000"/>
      <name val="新細明體"/>
      <family val="1"/>
      <charset val="136"/>
    </font>
    <font>
      <sz val="16"/>
      <color theme="0"/>
      <name val="新細明體"/>
      <family val="1"/>
      <charset val="136"/>
      <scheme val="minor"/>
    </font>
    <font>
      <sz val="18"/>
      <color theme="0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C000"/>
      <name val="Arial"/>
      <family val="2"/>
    </font>
    <font>
      <sz val="14"/>
      <color rgb="FF444444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6" borderId="1" xfId="0" applyNumberFormat="1" applyFill="1" applyBorder="1" applyAlignment="1"/>
    <xf numFmtId="2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2" fontId="0" fillId="9" borderId="1" xfId="0" applyNumberFormat="1" applyFill="1" applyBorder="1" applyAlignment="1"/>
    <xf numFmtId="0" fontId="3" fillId="4" borderId="1" xfId="0" applyFont="1" applyFill="1" applyBorder="1" applyAlignment="1"/>
    <xf numFmtId="2" fontId="4" fillId="8" borderId="1" xfId="0" applyNumberFormat="1" applyFont="1" applyFill="1" applyBorder="1" applyAlignment="1">
      <alignment horizontal="center"/>
    </xf>
    <xf numFmtId="0" fontId="6" fillId="0" borderId="0" xfId="0" applyFont="1">
      <alignment vertical="center"/>
    </xf>
    <xf numFmtId="8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0" fillId="12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2" fontId="7" fillId="9" borderId="1" xfId="0" applyNumberFormat="1" applyFont="1" applyFill="1" applyBorder="1" applyAlignment="1"/>
    <xf numFmtId="0" fontId="7" fillId="2" borderId="1" xfId="0" applyFont="1" applyFill="1" applyBorder="1" applyAlignment="1">
      <alignment vertical="center"/>
    </xf>
    <xf numFmtId="2" fontId="7" fillId="6" borderId="1" xfId="0" applyNumberFormat="1" applyFont="1" applyFill="1" applyBorder="1" applyAlignment="1"/>
    <xf numFmtId="0" fontId="7" fillId="0" borderId="0" xfId="0" applyFont="1">
      <alignment vertical="center"/>
    </xf>
    <xf numFmtId="2" fontId="0" fillId="8" borderId="1" xfId="0" applyNumberFormat="1" applyFill="1" applyBorder="1" applyAlignment="1">
      <alignment horizontal="center"/>
    </xf>
    <xf numFmtId="2" fontId="4" fillId="8" borderId="1" xfId="0" applyNumberFormat="1" applyFont="1" applyFill="1" applyBorder="1" applyAlignment="1"/>
    <xf numFmtId="0" fontId="0" fillId="7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5" fillId="9" borderId="2" xfId="0" applyNumberFormat="1" applyFont="1" applyFill="1" applyBorder="1" applyAlignment="1">
      <alignment vertical="center"/>
    </xf>
    <xf numFmtId="2" fontId="7" fillId="9" borderId="2" xfId="0" applyNumberFormat="1" applyFont="1" applyFill="1" applyBorder="1" applyAlignment="1">
      <alignment vertical="center"/>
    </xf>
    <xf numFmtId="2" fontId="5" fillId="9" borderId="1" xfId="0" applyNumberFormat="1" applyFont="1" applyFill="1" applyBorder="1">
      <alignment vertical="center"/>
    </xf>
    <xf numFmtId="2" fontId="7" fillId="9" borderId="1" xfId="0" applyNumberFormat="1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4" borderId="1" xfId="0" applyFont="1" applyFill="1" applyBorder="1" applyAlignment="1"/>
    <xf numFmtId="0" fontId="0" fillId="0" borderId="0" xfId="0" applyAlignment="1">
      <alignment vertical="center"/>
    </xf>
    <xf numFmtId="2" fontId="5" fillId="9" borderId="1" xfId="0" applyNumberFormat="1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5" fillId="0" borderId="0" xfId="0" applyFont="1">
      <alignment vertical="center"/>
    </xf>
    <xf numFmtId="0" fontId="16" fillId="10" borderId="1" xfId="0" applyFont="1" applyFill="1" applyBorder="1" applyAlignment="1">
      <alignment horizontal="center" vertical="center"/>
    </xf>
    <xf numFmtId="0" fontId="18" fillId="0" borderId="1" xfId="3" applyFont="1" applyBorder="1">
      <alignment vertical="center"/>
    </xf>
    <xf numFmtId="0" fontId="17" fillId="11" borderId="1" xfId="0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0" fontId="16" fillId="1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/>
    <xf numFmtId="176" fontId="21" fillId="4" borderId="1" xfId="2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3" fillId="4" borderId="1" xfId="2" applyNumberFormat="1" applyFont="1" applyFill="1" applyBorder="1" applyAlignment="1">
      <alignment horizontal="right"/>
    </xf>
    <xf numFmtId="0" fontId="21" fillId="4" borderId="1" xfId="2" applyNumberFormat="1" applyFont="1" applyFill="1" applyBorder="1" applyAlignment="1">
      <alignment horizontal="right"/>
    </xf>
    <xf numFmtId="0" fontId="16" fillId="15" borderId="1" xfId="0" applyFont="1" applyFill="1" applyBorder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10" fontId="9" fillId="0" borderId="0" xfId="1" applyNumberFormat="1" applyFont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8" fontId="0" fillId="0" borderId="1" xfId="0" applyNumberFormat="1" applyBorder="1">
      <alignment vertical="center"/>
    </xf>
    <xf numFmtId="0" fontId="0" fillId="9" borderId="1" xfId="0" applyFill="1" applyBorder="1" applyAlignment="1">
      <alignment horizontal="center" vertical="center"/>
    </xf>
    <xf numFmtId="177" fontId="13" fillId="4" borderId="1" xfId="2" applyNumberFormat="1" applyFont="1" applyFill="1" applyBorder="1" applyAlignment="1">
      <alignment horizontal="right"/>
    </xf>
    <xf numFmtId="0" fontId="28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28" fillId="17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12" borderId="1" xfId="0" applyNumberFormat="1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0" fillId="18" borderId="3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2" fontId="29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30" fillId="0" borderId="0" xfId="0" applyFont="1">
      <alignment vertical="center"/>
    </xf>
    <xf numFmtId="0" fontId="30" fillId="13" borderId="3" xfId="0" applyFont="1" applyFill="1" applyBorder="1" applyAlignment="1">
      <alignment horizontal="center" vertical="center"/>
    </xf>
    <xf numFmtId="0" fontId="26" fillId="13" borderId="1" xfId="0" applyFont="1" applyFill="1" applyBorder="1" applyAlignment="1">
      <alignment horizontal="center" vertical="center"/>
    </xf>
    <xf numFmtId="0" fontId="32" fillId="13" borderId="1" xfId="0" applyFont="1" applyFill="1" applyBorder="1" applyAlignment="1">
      <alignment horizontal="center" vertical="center"/>
    </xf>
    <xf numFmtId="0" fontId="31" fillId="0" borderId="1" xfId="0" applyFont="1" applyBorder="1">
      <alignment vertical="center"/>
    </xf>
    <xf numFmtId="0" fontId="30" fillId="7" borderId="1" xfId="0" applyFont="1" applyFill="1" applyBorder="1" applyAlignment="1">
      <alignment horizontal="left" vertical="center"/>
    </xf>
    <xf numFmtId="8" fontId="0" fillId="9" borderId="1" xfId="0" applyNumberFormat="1" applyFill="1" applyBorder="1" applyAlignment="1">
      <alignment horizontal="center" vertical="center"/>
    </xf>
    <xf numFmtId="2" fontId="0" fillId="0" borderId="1" xfId="1" applyNumberFormat="1" applyFont="1" applyBorder="1">
      <alignment vertical="center"/>
    </xf>
    <xf numFmtId="1" fontId="0" fillId="0" borderId="1" xfId="1" applyNumberFormat="1" applyFont="1" applyBorder="1">
      <alignment vertical="center"/>
    </xf>
    <xf numFmtId="180" fontId="0" fillId="19" borderId="1" xfId="0" applyNumberFormat="1" applyFill="1" applyBorder="1">
      <alignment vertical="center"/>
    </xf>
    <xf numFmtId="2" fontId="0" fillId="19" borderId="1" xfId="0" applyNumberFormat="1" applyFill="1" applyBorder="1">
      <alignment vertical="center"/>
    </xf>
    <xf numFmtId="180" fontId="0" fillId="8" borderId="0" xfId="0" applyNumberFormat="1" applyFill="1">
      <alignment vertical="center"/>
    </xf>
    <xf numFmtId="179" fontId="0" fillId="8" borderId="0" xfId="0" applyNumberFormat="1" applyFill="1">
      <alignment vertical="center"/>
    </xf>
    <xf numFmtId="0" fontId="0" fillId="8" borderId="0" xfId="0" applyFill="1">
      <alignment vertical="center"/>
    </xf>
    <xf numFmtId="177" fontId="0" fillId="0" borderId="1" xfId="0" applyNumberFormat="1" applyBorder="1" applyAlignment="1">
      <alignment horizontal="center" vertical="center"/>
    </xf>
    <xf numFmtId="0" fontId="12" fillId="0" borderId="0" xfId="0" applyFont="1">
      <alignment vertical="center"/>
    </xf>
    <xf numFmtId="2" fontId="12" fillId="0" borderId="0" xfId="0" applyNumberFormat="1" applyFont="1">
      <alignment vertical="center"/>
    </xf>
    <xf numFmtId="177" fontId="11" fillId="0" borderId="0" xfId="0" applyNumberFormat="1" applyFont="1" applyAlignment="1">
      <alignment horizontal="center" vertical="center"/>
    </xf>
    <xf numFmtId="9" fontId="4" fillId="8" borderId="1" xfId="1" applyFont="1" applyFill="1" applyBorder="1" applyAlignment="1">
      <alignment horizontal="center"/>
    </xf>
    <xf numFmtId="0" fontId="36" fillId="3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40" fillId="13" borderId="1" xfId="0" applyFont="1" applyFill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0" fillId="13" borderId="3" xfId="0" applyFont="1" applyFill="1" applyBorder="1" applyAlignment="1">
      <alignment horizontal="center" vertical="center" wrapText="1"/>
    </xf>
    <xf numFmtId="0" fontId="41" fillId="13" borderId="3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43" fillId="5" borderId="1" xfId="0" applyFont="1" applyFill="1" applyBorder="1">
      <alignment vertical="center"/>
    </xf>
    <xf numFmtId="0" fontId="43" fillId="0" borderId="0" xfId="0" applyFont="1">
      <alignment vertic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44" fillId="24" borderId="1" xfId="0" applyFont="1" applyFill="1" applyBorder="1" applyAlignment="1">
      <alignment horizontal="center" vertical="center"/>
    </xf>
    <xf numFmtId="0" fontId="45" fillId="0" borderId="1" xfId="0" applyFont="1" applyBorder="1">
      <alignment vertical="center"/>
    </xf>
    <xf numFmtId="0" fontId="14" fillId="0" borderId="0" xfId="3">
      <alignment vertical="center"/>
    </xf>
    <xf numFmtId="0" fontId="46" fillId="0" borderId="0" xfId="0" applyFont="1">
      <alignment vertical="center"/>
    </xf>
    <xf numFmtId="14" fontId="46" fillId="0" borderId="1" xfId="0" applyNumberFormat="1" applyFont="1" applyBorder="1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14" fontId="46" fillId="17" borderId="1" xfId="0" applyNumberFormat="1" applyFont="1" applyFill="1" applyBorder="1">
      <alignment vertical="center"/>
    </xf>
    <xf numFmtId="14" fontId="46" fillId="0" borderId="1" xfId="0" applyNumberFormat="1" applyFont="1" applyFill="1" applyBorder="1">
      <alignment vertical="center"/>
    </xf>
    <xf numFmtId="14" fontId="6" fillId="26" borderId="0" xfId="0" applyNumberFormat="1" applyFont="1" applyFill="1">
      <alignment vertical="center"/>
    </xf>
    <xf numFmtId="0" fontId="6" fillId="26" borderId="0" xfId="0" applyFont="1" applyFill="1">
      <alignment vertical="center"/>
    </xf>
    <xf numFmtId="8" fontId="6" fillId="26" borderId="0" xfId="0" applyNumberFormat="1" applyFont="1" applyFill="1">
      <alignment vertical="center"/>
    </xf>
    <xf numFmtId="14" fontId="6" fillId="9" borderId="0" xfId="0" applyNumberFormat="1" applyFont="1" applyFill="1">
      <alignment vertical="center"/>
    </xf>
    <xf numFmtId="0" fontId="6" fillId="9" borderId="0" xfId="0" applyFont="1" applyFill="1">
      <alignment vertical="center"/>
    </xf>
    <xf numFmtId="8" fontId="6" fillId="9" borderId="0" xfId="0" applyNumberFormat="1" applyFont="1" applyFill="1">
      <alignment vertical="center"/>
    </xf>
    <xf numFmtId="14" fontId="6" fillId="11" borderId="0" xfId="0" applyNumberFormat="1" applyFont="1" applyFill="1">
      <alignment vertical="center"/>
    </xf>
    <xf numFmtId="0" fontId="6" fillId="11" borderId="0" xfId="0" applyFont="1" applyFill="1">
      <alignment vertical="center"/>
    </xf>
    <xf numFmtId="8" fontId="6" fillId="11" borderId="0" xfId="0" applyNumberFormat="1" applyFont="1" applyFill="1">
      <alignment vertical="center"/>
    </xf>
    <xf numFmtId="14" fontId="6" fillId="27" borderId="0" xfId="0" applyNumberFormat="1" applyFont="1" applyFill="1">
      <alignment vertical="center"/>
    </xf>
    <xf numFmtId="0" fontId="6" fillId="27" borderId="0" xfId="0" applyFont="1" applyFill="1">
      <alignment vertical="center"/>
    </xf>
    <xf numFmtId="8" fontId="6" fillId="27" borderId="0" xfId="0" applyNumberFormat="1" applyFont="1" applyFill="1">
      <alignment vertical="center"/>
    </xf>
    <xf numFmtId="14" fontId="6" fillId="5" borderId="0" xfId="0" applyNumberFormat="1" applyFont="1" applyFill="1">
      <alignment vertical="center"/>
    </xf>
    <xf numFmtId="0" fontId="6" fillId="5" borderId="0" xfId="0" applyFont="1" applyFill="1">
      <alignment vertical="center"/>
    </xf>
    <xf numFmtId="8" fontId="6" fillId="5" borderId="0" xfId="0" applyNumberFormat="1" applyFont="1" applyFill="1">
      <alignment vertical="center"/>
    </xf>
    <xf numFmtId="14" fontId="6" fillId="25" borderId="0" xfId="0" applyNumberFormat="1" applyFont="1" applyFill="1">
      <alignment vertical="center"/>
    </xf>
    <xf numFmtId="0" fontId="6" fillId="25" borderId="0" xfId="0" applyFont="1" applyFill="1">
      <alignment vertical="center"/>
    </xf>
    <xf numFmtId="8" fontId="6" fillId="25" borderId="0" xfId="0" applyNumberFormat="1" applyFont="1" applyFill="1">
      <alignment vertical="center"/>
    </xf>
    <xf numFmtId="14" fontId="6" fillId="16" borderId="0" xfId="0" applyNumberFormat="1" applyFont="1" applyFill="1">
      <alignment vertical="center"/>
    </xf>
    <xf numFmtId="0" fontId="6" fillId="16" borderId="0" xfId="0" applyFont="1" applyFill="1">
      <alignment vertical="center"/>
    </xf>
    <xf numFmtId="8" fontId="6" fillId="16" borderId="0" xfId="0" applyNumberFormat="1" applyFont="1" applyFill="1">
      <alignment vertical="center"/>
    </xf>
    <xf numFmtId="14" fontId="6" fillId="8" borderId="0" xfId="0" applyNumberFormat="1" applyFont="1" applyFill="1">
      <alignment vertical="center"/>
    </xf>
    <xf numFmtId="0" fontId="6" fillId="8" borderId="0" xfId="0" applyFont="1" applyFill="1">
      <alignment vertical="center"/>
    </xf>
    <xf numFmtId="8" fontId="6" fillId="8" borderId="0" xfId="0" applyNumberFormat="1" applyFont="1" applyFill="1">
      <alignment vertical="center"/>
    </xf>
    <xf numFmtId="14" fontId="6" fillId="22" borderId="0" xfId="0" applyNumberFormat="1" applyFont="1" applyFill="1">
      <alignment vertical="center"/>
    </xf>
    <xf numFmtId="0" fontId="6" fillId="22" borderId="0" xfId="0" applyFont="1" applyFill="1">
      <alignment vertical="center"/>
    </xf>
    <xf numFmtId="8" fontId="6" fillId="22" borderId="0" xfId="0" applyNumberFormat="1" applyFont="1" applyFill="1">
      <alignment vertical="center"/>
    </xf>
    <xf numFmtId="14" fontId="6" fillId="23" borderId="0" xfId="0" applyNumberFormat="1" applyFont="1" applyFill="1">
      <alignment vertical="center"/>
    </xf>
    <xf numFmtId="0" fontId="6" fillId="23" borderId="0" xfId="0" applyFont="1" applyFill="1">
      <alignment vertical="center"/>
    </xf>
    <xf numFmtId="8" fontId="6" fillId="23" borderId="0" xfId="0" applyNumberFormat="1" applyFont="1" applyFill="1">
      <alignment vertical="center"/>
    </xf>
    <xf numFmtId="14" fontId="6" fillId="28" borderId="0" xfId="0" applyNumberFormat="1" applyFont="1" applyFill="1">
      <alignment vertical="center"/>
    </xf>
    <xf numFmtId="0" fontId="6" fillId="28" borderId="0" xfId="0" applyFont="1" applyFill="1">
      <alignment vertical="center"/>
    </xf>
    <xf numFmtId="8" fontId="6" fillId="28" borderId="0" xfId="0" applyNumberFormat="1" applyFont="1" applyFill="1">
      <alignment vertical="center"/>
    </xf>
    <xf numFmtId="14" fontId="6" fillId="29" borderId="0" xfId="0" applyNumberFormat="1" applyFont="1" applyFill="1">
      <alignment vertical="center"/>
    </xf>
    <xf numFmtId="0" fontId="6" fillId="29" borderId="0" xfId="0" applyFont="1" applyFill="1">
      <alignment vertical="center"/>
    </xf>
    <xf numFmtId="8" fontId="6" fillId="29" borderId="0" xfId="0" applyNumberFormat="1" applyFont="1" applyFill="1">
      <alignment vertical="center"/>
    </xf>
    <xf numFmtId="14" fontId="6" fillId="30" borderId="0" xfId="0" applyNumberFormat="1" applyFont="1" applyFill="1">
      <alignment vertical="center"/>
    </xf>
    <xf numFmtId="0" fontId="6" fillId="30" borderId="0" xfId="0" applyFont="1" applyFill="1">
      <alignment vertical="center"/>
    </xf>
    <xf numFmtId="8" fontId="6" fillId="30" borderId="0" xfId="0" applyNumberFormat="1" applyFont="1" applyFill="1">
      <alignment vertical="center"/>
    </xf>
    <xf numFmtId="14" fontId="6" fillId="18" borderId="0" xfId="0" applyNumberFormat="1" applyFont="1" applyFill="1">
      <alignment vertical="center"/>
    </xf>
    <xf numFmtId="0" fontId="6" fillId="18" borderId="0" xfId="0" applyFont="1" applyFill="1">
      <alignment vertical="center"/>
    </xf>
    <xf numFmtId="8" fontId="6" fillId="18" borderId="0" xfId="0" applyNumberFormat="1" applyFont="1" applyFill="1">
      <alignment vertical="center"/>
    </xf>
    <xf numFmtId="0" fontId="44" fillId="24" borderId="9" xfId="0" applyFont="1" applyFill="1" applyBorder="1" applyAlignment="1">
      <alignment horizontal="center" vertical="center"/>
    </xf>
    <xf numFmtId="0" fontId="44" fillId="24" borderId="8" xfId="0" applyFont="1" applyFill="1" applyBorder="1" applyAlignment="1">
      <alignment horizontal="center" vertical="center"/>
    </xf>
    <xf numFmtId="2" fontId="44" fillId="14" borderId="10" xfId="0" applyNumberFormat="1" applyFont="1" applyFill="1" applyBorder="1" applyAlignment="1">
      <alignment horizontal="center" vertical="center"/>
    </xf>
    <xf numFmtId="2" fontId="44" fillId="14" borderId="0" xfId="0" applyNumberFormat="1" applyFont="1" applyFill="1" applyAlignment="1">
      <alignment horizontal="center" vertical="center"/>
    </xf>
    <xf numFmtId="0" fontId="42" fillId="21" borderId="3" xfId="0" applyFont="1" applyFill="1" applyBorder="1" applyAlignment="1">
      <alignment horizontal="center" vertical="center" wrapText="1"/>
    </xf>
    <xf numFmtId="0" fontId="30" fillId="13" borderId="8" xfId="0" applyFont="1" applyFill="1" applyBorder="1" applyAlignment="1">
      <alignment horizontal="center" vertical="center"/>
    </xf>
    <xf numFmtId="0" fontId="30" fillId="13" borderId="0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center" vertical="center"/>
    </xf>
    <xf numFmtId="8" fontId="33" fillId="0" borderId="1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30" fillId="13" borderId="5" xfId="0" applyFont="1" applyFill="1" applyBorder="1" applyAlignment="1">
      <alignment horizontal="center" vertical="center"/>
    </xf>
    <xf numFmtId="0" fontId="30" fillId="13" borderId="6" xfId="0" applyFont="1" applyFill="1" applyBorder="1" applyAlignment="1">
      <alignment horizontal="center" vertical="center"/>
    </xf>
    <xf numFmtId="0" fontId="25" fillId="13" borderId="1" xfId="0" applyFont="1" applyFill="1" applyBorder="1" applyAlignment="1">
      <alignment horizontal="center" vertical="center"/>
    </xf>
    <xf numFmtId="0" fontId="38" fillId="20" borderId="2" xfId="0" applyFont="1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14" fillId="0" borderId="1" xfId="3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</cellXfs>
  <cellStyles count="4">
    <cellStyle name="一般" xfId="0" builtinId="0"/>
    <cellStyle name="千分位" xfId="2" builtinId="3"/>
    <cellStyle name="百分比" xfId="1" builtinId="5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6">
                    <a:lumMod val="50000"/>
                    <a:alpha val="72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203909797328563E-2"/>
                  <c:y val="0.325667972999973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輸入!$I$6:$I$52</c:f>
              <c:numCache>
                <c:formatCode>m/d/yy</c:formatCode>
                <c:ptCount val="47"/>
                <c:pt idx="0">
                  <c:v>44377</c:v>
                </c:pt>
                <c:pt idx="1">
                  <c:v>44286</c:v>
                </c:pt>
                <c:pt idx="2">
                  <c:v>44196</c:v>
                </c:pt>
                <c:pt idx="3">
                  <c:v>44104</c:v>
                </c:pt>
                <c:pt idx="4">
                  <c:v>44012</c:v>
                </c:pt>
                <c:pt idx="5">
                  <c:v>43921</c:v>
                </c:pt>
                <c:pt idx="6">
                  <c:v>43830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43465</c:v>
                </c:pt>
                <c:pt idx="11">
                  <c:v>43373</c:v>
                </c:pt>
                <c:pt idx="12">
                  <c:v>43281</c:v>
                </c:pt>
                <c:pt idx="13">
                  <c:v>43190</c:v>
                </c:pt>
                <c:pt idx="14">
                  <c:v>43100</c:v>
                </c:pt>
                <c:pt idx="15">
                  <c:v>43008</c:v>
                </c:pt>
                <c:pt idx="16">
                  <c:v>42916</c:v>
                </c:pt>
                <c:pt idx="17">
                  <c:v>42825</c:v>
                </c:pt>
                <c:pt idx="18">
                  <c:v>42735</c:v>
                </c:pt>
                <c:pt idx="19">
                  <c:v>42643</c:v>
                </c:pt>
                <c:pt idx="20">
                  <c:v>42551</c:v>
                </c:pt>
                <c:pt idx="21">
                  <c:v>42460</c:v>
                </c:pt>
                <c:pt idx="22">
                  <c:v>42369</c:v>
                </c:pt>
                <c:pt idx="23">
                  <c:v>42277</c:v>
                </c:pt>
                <c:pt idx="24">
                  <c:v>42185</c:v>
                </c:pt>
                <c:pt idx="25">
                  <c:v>42094</c:v>
                </c:pt>
                <c:pt idx="26">
                  <c:v>42004</c:v>
                </c:pt>
                <c:pt idx="27">
                  <c:v>41912</c:v>
                </c:pt>
                <c:pt idx="28">
                  <c:v>41820</c:v>
                </c:pt>
                <c:pt idx="29">
                  <c:v>41729</c:v>
                </c:pt>
                <c:pt idx="30">
                  <c:v>41639</c:v>
                </c:pt>
                <c:pt idx="31">
                  <c:v>41547</c:v>
                </c:pt>
                <c:pt idx="32">
                  <c:v>41455</c:v>
                </c:pt>
                <c:pt idx="33">
                  <c:v>41364</c:v>
                </c:pt>
                <c:pt idx="34">
                  <c:v>41274</c:v>
                </c:pt>
                <c:pt idx="35">
                  <c:v>41182</c:v>
                </c:pt>
                <c:pt idx="36">
                  <c:v>41090</c:v>
                </c:pt>
                <c:pt idx="37">
                  <c:v>40999</c:v>
                </c:pt>
                <c:pt idx="38">
                  <c:v>40908</c:v>
                </c:pt>
                <c:pt idx="39">
                  <c:v>40816</c:v>
                </c:pt>
                <c:pt idx="40">
                  <c:v>40724</c:v>
                </c:pt>
                <c:pt idx="41">
                  <c:v>40633</c:v>
                </c:pt>
                <c:pt idx="42">
                  <c:v>40543</c:v>
                </c:pt>
                <c:pt idx="43">
                  <c:v>40451</c:v>
                </c:pt>
                <c:pt idx="44">
                  <c:v>40359</c:v>
                </c:pt>
                <c:pt idx="45">
                  <c:v>40268</c:v>
                </c:pt>
                <c:pt idx="46">
                  <c:v>40178</c:v>
                </c:pt>
              </c:numCache>
            </c:numRef>
          </c:xVal>
          <c:yVal>
            <c:numRef>
              <c:f>輸入!$J$6:$J$52</c:f>
              <c:numCache>
                <c:formatCode>General</c:formatCode>
                <c:ptCount val="47"/>
                <c:pt idx="0">
                  <c:v>33.380000000000003</c:v>
                </c:pt>
                <c:pt idx="1">
                  <c:v>31.78</c:v>
                </c:pt>
                <c:pt idx="2">
                  <c:v>32.72</c:v>
                </c:pt>
                <c:pt idx="3">
                  <c:v>33.46</c:v>
                </c:pt>
                <c:pt idx="4">
                  <c:v>34.76</c:v>
                </c:pt>
                <c:pt idx="5">
                  <c:v>25.75</c:v>
                </c:pt>
                <c:pt idx="6">
                  <c:v>26.84</c:v>
                </c:pt>
                <c:pt idx="7">
                  <c:v>25.49</c:v>
                </c:pt>
                <c:pt idx="8">
                  <c:v>25.72</c:v>
                </c:pt>
                <c:pt idx="9">
                  <c:v>25.42</c:v>
                </c:pt>
                <c:pt idx="10">
                  <c:v>22.76</c:v>
                </c:pt>
                <c:pt idx="15">
                  <c:v>23.93</c:v>
                </c:pt>
                <c:pt idx="16">
                  <c:v>23.99</c:v>
                </c:pt>
                <c:pt idx="17">
                  <c:v>27.23</c:v>
                </c:pt>
                <c:pt idx="18">
                  <c:v>27.22</c:v>
                </c:pt>
                <c:pt idx="19">
                  <c:v>25.55</c:v>
                </c:pt>
                <c:pt idx="20">
                  <c:v>22.89</c:v>
                </c:pt>
                <c:pt idx="23">
                  <c:v>26.64</c:v>
                </c:pt>
                <c:pt idx="24">
                  <c:v>26.98</c:v>
                </c:pt>
                <c:pt idx="25">
                  <c:v>14.95</c:v>
                </c:pt>
                <c:pt idx="26">
                  <c:v>16.48</c:v>
                </c:pt>
                <c:pt idx="27">
                  <c:v>15.9</c:v>
                </c:pt>
                <c:pt idx="28">
                  <c:v>13.78</c:v>
                </c:pt>
                <c:pt idx="29">
                  <c:v>13.25</c:v>
                </c:pt>
                <c:pt idx="30">
                  <c:v>11.83</c:v>
                </c:pt>
                <c:pt idx="31">
                  <c:v>10.52</c:v>
                </c:pt>
                <c:pt idx="32">
                  <c:v>11.22</c:v>
                </c:pt>
                <c:pt idx="33">
                  <c:v>12.3</c:v>
                </c:pt>
                <c:pt idx="34">
                  <c:v>12.14</c:v>
                </c:pt>
                <c:pt idx="35">
                  <c:v>13.27</c:v>
                </c:pt>
                <c:pt idx="36">
                  <c:v>12.53</c:v>
                </c:pt>
                <c:pt idx="37">
                  <c:v>9.5500000000000007</c:v>
                </c:pt>
                <c:pt idx="38">
                  <c:v>7.6</c:v>
                </c:pt>
                <c:pt idx="39">
                  <c:v>7.26</c:v>
                </c:pt>
                <c:pt idx="40">
                  <c:v>7.71</c:v>
                </c:pt>
                <c:pt idx="41">
                  <c:v>8.01</c:v>
                </c:pt>
                <c:pt idx="42">
                  <c:v>9.35</c:v>
                </c:pt>
                <c:pt idx="43">
                  <c:v>8.26</c:v>
                </c:pt>
                <c:pt idx="44">
                  <c:v>8.5299999999999994</c:v>
                </c:pt>
                <c:pt idx="45">
                  <c:v>11.76</c:v>
                </c:pt>
                <c:pt idx="46">
                  <c:v>12.99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29-C746-AE2C-D7809F07F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587440"/>
        <c:axId val="1090654976"/>
      </c:scatterChart>
      <c:valAx>
        <c:axId val="109058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0654976"/>
        <c:crosses val="autoZero"/>
        <c:crossBetween val="midCat"/>
      </c:valAx>
      <c:valAx>
        <c:axId val="10906549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0587440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0" cap="flat" cmpd="sng" algn="ctr">
      <a:solidFill>
        <a:schemeClr val="bg2">
          <a:lumMod val="50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174040</xdr:colOff>
      <xdr:row>30</xdr:row>
      <xdr:rowOff>28024</xdr:rowOff>
    </xdr:from>
    <xdr:to>
      <xdr:col>21</xdr:col>
      <xdr:colOff>553837</xdr:colOff>
      <xdr:row>52</xdr:row>
      <xdr:rowOff>192106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958B63F-B164-008A-0DC3-937798F2F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511632</xdr:colOff>
      <xdr:row>33</xdr:row>
      <xdr:rowOff>130229</xdr:rowOff>
    </xdr:from>
    <xdr:to>
      <xdr:col>20</xdr:col>
      <xdr:colOff>613232</xdr:colOff>
      <xdr:row>33</xdr:row>
      <xdr:rowOff>224454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11C6E6C0-2653-D646-9A4D-B4146CC3B1C0}"/>
            </a:ext>
          </a:extLst>
        </xdr:cNvPr>
        <xdr:cNvSpPr/>
      </xdr:nvSpPr>
      <xdr:spPr>
        <a:xfrm>
          <a:off x="19573283" y="9707660"/>
          <a:ext cx="101600" cy="9422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929171</xdr:colOff>
      <xdr:row>38</xdr:row>
      <xdr:rowOff>80656</xdr:rowOff>
    </xdr:from>
    <xdr:to>
      <xdr:col>21</xdr:col>
      <xdr:colOff>245489</xdr:colOff>
      <xdr:row>42</xdr:row>
      <xdr:rowOff>114051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6A40A3C2-1C9F-28F5-A795-93CD17B243FD}"/>
            </a:ext>
          </a:extLst>
        </xdr:cNvPr>
        <xdr:cNvGrpSpPr/>
      </xdr:nvGrpSpPr>
      <xdr:grpSpPr>
        <a:xfrm rot="19902948">
          <a:off x="12706909" y="10754704"/>
          <a:ext cx="7707390" cy="940537"/>
          <a:chOff x="2792018" y="12195471"/>
          <a:chExt cx="7735082" cy="962239"/>
        </a:xfrm>
      </xdr:grpSpPr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82C8A544-0656-B741-B1D5-8C5EFFD173F5}"/>
              </a:ext>
            </a:extLst>
          </xdr:cNvPr>
          <xdr:cNvCxnSpPr/>
        </xdr:nvCxnSpPr>
        <xdr:spPr>
          <a:xfrm flipV="1">
            <a:off x="2794059" y="12672074"/>
            <a:ext cx="7703699" cy="14338"/>
          </a:xfrm>
          <a:prstGeom prst="line">
            <a:avLst/>
          </a:prstGeom>
          <a:ln w="25400">
            <a:solidFill>
              <a:schemeClr val="tx1">
                <a:alpha val="36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接點 15">
            <a:extLst>
              <a:ext uri="{FF2B5EF4-FFF2-40B4-BE49-F238E27FC236}">
                <a16:creationId xmlns:a16="http://schemas.microsoft.com/office/drawing/2014/main" id="{7181871E-5306-7645-AE9C-5B5495BE9900}"/>
              </a:ext>
            </a:extLst>
          </xdr:cNvPr>
          <xdr:cNvCxnSpPr/>
        </xdr:nvCxnSpPr>
        <xdr:spPr>
          <a:xfrm flipV="1">
            <a:off x="2792018" y="13157709"/>
            <a:ext cx="7692649" cy="1"/>
          </a:xfrm>
          <a:prstGeom prst="line">
            <a:avLst/>
          </a:prstGeom>
          <a:ln w="25400">
            <a:solidFill>
              <a:srgbClr val="92D050">
                <a:alpha val="36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接點 5">
            <a:extLst>
              <a:ext uri="{FF2B5EF4-FFF2-40B4-BE49-F238E27FC236}">
                <a16:creationId xmlns:a16="http://schemas.microsoft.com/office/drawing/2014/main" id="{4D6BA7AD-E9C6-A449-924A-B1F375326F12}"/>
              </a:ext>
            </a:extLst>
          </xdr:cNvPr>
          <xdr:cNvCxnSpPr/>
        </xdr:nvCxnSpPr>
        <xdr:spPr>
          <a:xfrm flipV="1">
            <a:off x="2803156" y="12437364"/>
            <a:ext cx="7716229" cy="70090"/>
          </a:xfrm>
          <a:prstGeom prst="line">
            <a:avLst/>
          </a:prstGeom>
          <a:ln w="25400" cmpd="tri">
            <a:solidFill>
              <a:srgbClr val="7030A0">
                <a:alpha val="36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接點 4">
            <a:extLst>
              <a:ext uri="{FF2B5EF4-FFF2-40B4-BE49-F238E27FC236}">
                <a16:creationId xmlns:a16="http://schemas.microsoft.com/office/drawing/2014/main" id="{5BF93C86-3B7F-494B-8A28-301734E87234}"/>
              </a:ext>
            </a:extLst>
          </xdr:cNvPr>
          <xdr:cNvCxnSpPr/>
        </xdr:nvCxnSpPr>
        <xdr:spPr>
          <a:xfrm flipV="1">
            <a:off x="2798292" y="12195471"/>
            <a:ext cx="7703699" cy="14338"/>
          </a:xfrm>
          <a:prstGeom prst="line">
            <a:avLst/>
          </a:prstGeom>
          <a:ln w="25400">
            <a:solidFill>
              <a:srgbClr val="FF0000">
                <a:alpha val="36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接點 9">
            <a:extLst>
              <a:ext uri="{FF2B5EF4-FFF2-40B4-BE49-F238E27FC236}">
                <a16:creationId xmlns:a16="http://schemas.microsoft.com/office/drawing/2014/main" id="{3F15E14F-8B38-6D44-96C7-685A3727753A}"/>
              </a:ext>
            </a:extLst>
          </xdr:cNvPr>
          <xdr:cNvCxnSpPr/>
        </xdr:nvCxnSpPr>
        <xdr:spPr>
          <a:xfrm flipV="1">
            <a:off x="2812177" y="12899986"/>
            <a:ext cx="7714923" cy="93035"/>
          </a:xfrm>
          <a:prstGeom prst="line">
            <a:avLst/>
          </a:prstGeom>
          <a:ln w="25400" cmpd="tri">
            <a:solidFill>
              <a:srgbClr val="7030A0">
                <a:alpha val="36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620318</xdr:colOff>
      <xdr:row>33</xdr:row>
      <xdr:rowOff>257380</xdr:rowOff>
    </xdr:from>
    <xdr:to>
      <xdr:col>24</xdr:col>
      <xdr:colOff>493318</xdr:colOff>
      <xdr:row>37</xdr:row>
      <xdr:rowOff>168363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3CCC6CBB-3B65-BB4C-9279-7C7984646ACF}"/>
            </a:ext>
          </a:extLst>
        </xdr:cNvPr>
        <xdr:cNvGrpSpPr/>
      </xdr:nvGrpSpPr>
      <xdr:grpSpPr>
        <a:xfrm>
          <a:off x="19715675" y="9661428"/>
          <a:ext cx="3441095" cy="954197"/>
          <a:chOff x="6426711" y="9674260"/>
          <a:chExt cx="2021916" cy="1660640"/>
        </a:xfrm>
      </xdr:grpSpPr>
      <xdr:cxnSp macro="">
        <xdr:nvCxnSpPr>
          <xdr:cNvPr id="15" name="直線接點 14">
            <a:extLst>
              <a:ext uri="{FF2B5EF4-FFF2-40B4-BE49-F238E27FC236}">
                <a16:creationId xmlns:a16="http://schemas.microsoft.com/office/drawing/2014/main" id="{59903CE1-CDC4-B6A0-CDBD-6B3CEC14426E}"/>
              </a:ext>
            </a:extLst>
          </xdr:cNvPr>
          <xdr:cNvCxnSpPr>
            <a:stCxn id="17" idx="1"/>
          </xdr:cNvCxnSpPr>
        </xdr:nvCxnSpPr>
        <xdr:spPr>
          <a:xfrm flipH="1" flipV="1">
            <a:off x="6426711" y="9674260"/>
            <a:ext cx="910753" cy="1387749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文字方塊 16">
            <a:extLst>
              <a:ext uri="{FF2B5EF4-FFF2-40B4-BE49-F238E27FC236}">
                <a16:creationId xmlns:a16="http://schemas.microsoft.com/office/drawing/2014/main" id="{5EAB1A15-F4D7-3E05-7A19-2A7E433B60D5}"/>
              </a:ext>
            </a:extLst>
          </xdr:cNvPr>
          <xdr:cNvSpPr txBox="1"/>
        </xdr:nvSpPr>
        <xdr:spPr>
          <a:xfrm>
            <a:off x="7337463" y="10789117"/>
            <a:ext cx="1111164" cy="545783"/>
          </a:xfrm>
          <a:prstGeom prst="rect">
            <a:avLst/>
          </a:prstGeom>
          <a:solidFill>
            <a:srgbClr val="FFFF00"/>
          </a:solidFill>
          <a:ln w="73025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TW" sz="1400">
                <a:solidFill>
                  <a:srgbClr val="002060"/>
                </a:solidFill>
              </a:rPr>
              <a:t>2021 10/15:PRICE  304</a:t>
            </a:r>
            <a:endParaRPr lang="zh-TW" altLang="en-US" sz="1400">
              <a:solidFill>
                <a:srgbClr val="00206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alth.businessweekly.com.tw/m/GArticle.aspx?id=ARTL000139852" TargetMode="External"/><Relationship Id="rId2" Type="http://schemas.openxmlformats.org/officeDocument/2006/relationships/hyperlink" Target="https://www.macrotrends.net/stocks/charts/V/visa/pe-ratio" TargetMode="External"/><Relationship Id="rId1" Type="http://schemas.openxmlformats.org/officeDocument/2006/relationships/hyperlink" Target="https://strike.market/stocks/V" TargetMode="External"/><Relationship Id="rId6" Type="http://schemas.openxmlformats.org/officeDocument/2006/relationships/hyperlink" Target="http://www.rocketfinancial.com/Financials.aspx?fID=3916&amp;p=2&amp;pw=129186&amp;rID=3" TargetMode="External"/><Relationship Id="rId5" Type="http://schemas.openxmlformats.org/officeDocument/2006/relationships/hyperlink" Target="https://rich01.com/discounted-cash-flow-dcf-model/" TargetMode="External"/><Relationship Id="rId4" Type="http://schemas.openxmlformats.org/officeDocument/2006/relationships/hyperlink" Target="https://teddygoschool.com/how-to-calculate-the-valuation-of-a-compan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sj.com/market-data/quotes/MSFT" TargetMode="External"/><Relationship Id="rId2" Type="http://schemas.openxmlformats.org/officeDocument/2006/relationships/hyperlink" Target="https://www.gurufocus.com/stock/MCD/dcf" TargetMode="External"/><Relationship Id="rId1" Type="http://schemas.openxmlformats.org/officeDocument/2006/relationships/hyperlink" Target="https://www.gurufocus.com/stock/MCD/dc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684A-7945-F842-8680-266E8831CA46}">
  <dimension ref="A1:B7"/>
  <sheetViews>
    <sheetView zoomScale="111" workbookViewId="0">
      <selection activeCell="B3" sqref="B3"/>
    </sheetView>
  </sheetViews>
  <sheetFormatPr baseColWidth="10" defaultRowHeight="27"/>
  <cols>
    <col min="1" max="1" width="45.6640625" style="39" bestFit="1" customWidth="1"/>
    <col min="2" max="2" width="110.1640625" style="39" bestFit="1" customWidth="1"/>
  </cols>
  <sheetData>
    <row r="1" spans="1:2">
      <c r="A1" s="44" t="s">
        <v>27</v>
      </c>
      <c r="B1" s="40" t="s">
        <v>28</v>
      </c>
    </row>
    <row r="2" spans="1:2">
      <c r="A2" s="42" t="s">
        <v>25</v>
      </c>
      <c r="B2" s="41" t="s">
        <v>26</v>
      </c>
    </row>
    <row r="3" spans="1:2">
      <c r="A3" s="42" t="s">
        <v>30</v>
      </c>
      <c r="B3" s="41" t="s">
        <v>29</v>
      </c>
    </row>
    <row r="4" spans="1:2">
      <c r="A4" s="42" t="s">
        <v>40</v>
      </c>
      <c r="B4" s="41" t="s">
        <v>39</v>
      </c>
    </row>
    <row r="5" spans="1:2">
      <c r="A5" s="43" t="s">
        <v>34</v>
      </c>
      <c r="B5" s="41" t="s">
        <v>31</v>
      </c>
    </row>
    <row r="6" spans="1:2">
      <c r="A6" s="43" t="s">
        <v>32</v>
      </c>
      <c r="B6" s="41" t="s">
        <v>35</v>
      </c>
    </row>
    <row r="7" spans="1:2">
      <c r="A7" s="43" t="s">
        <v>33</v>
      </c>
      <c r="B7" s="41" t="s">
        <v>36</v>
      </c>
    </row>
  </sheetData>
  <phoneticPr fontId="2" type="noConversion"/>
  <hyperlinks>
    <hyperlink ref="B2" r:id="rId1" xr:uid="{748B3291-6DE5-D34F-A0B1-EDF9729FB9ED}"/>
    <hyperlink ref="B3" r:id="rId2" xr:uid="{C04B0562-F306-3244-8A21-1CAB3328C774}"/>
    <hyperlink ref="B5" r:id="rId3" xr:uid="{D40CC75B-DB38-6540-B912-BF2DA1342F56}"/>
    <hyperlink ref="B6" r:id="rId4" xr:uid="{4CD816DF-55E9-714E-BA7A-41A18AECB623}"/>
    <hyperlink ref="B7" r:id="rId5" xr:uid="{3E9055EA-7160-F74E-B35A-47B1DB5D22E1}"/>
    <hyperlink ref="B4" r:id="rId6" xr:uid="{52D166DF-799E-6E4D-9433-E96752BEA6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5EE3-EBB7-9844-9E88-CF9E8FA23434}">
  <dimension ref="A1:Z109"/>
  <sheetViews>
    <sheetView tabSelected="1" topLeftCell="C27" zoomScale="84" zoomScaleNormal="75" workbookViewId="0">
      <selection activeCell="J28" sqref="J28"/>
    </sheetView>
  </sheetViews>
  <sheetFormatPr baseColWidth="10" defaultRowHeight="15"/>
  <cols>
    <col min="1" max="1" width="34.6640625" customWidth="1"/>
    <col min="2" max="2" width="14" customWidth="1"/>
    <col min="3" max="3" width="10.33203125" style="29" customWidth="1"/>
    <col min="4" max="4" width="21" style="29" customWidth="1"/>
    <col min="5" max="5" width="3.5" customWidth="1"/>
    <col min="6" max="7" width="19" customWidth="1"/>
    <col min="8" max="8" width="4.33203125" customWidth="1"/>
    <col min="9" max="9" width="15.5" bestFit="1" customWidth="1"/>
    <col min="10" max="10" width="12.83203125" customWidth="1"/>
    <col min="11" max="11" width="13.5" bestFit="1" customWidth="1"/>
    <col min="12" max="13" width="9.5" bestFit="1" customWidth="1"/>
    <col min="14" max="14" width="12" customWidth="1"/>
    <col min="15" max="15" width="13.6640625" customWidth="1"/>
    <col min="16" max="16" width="7.83203125" customWidth="1"/>
    <col min="17" max="17" width="4.6640625" customWidth="1"/>
    <col min="18" max="18" width="3.6640625" customWidth="1"/>
    <col min="19" max="19" width="5.5" customWidth="1"/>
    <col min="20" max="20" width="16.33203125" customWidth="1"/>
    <col min="21" max="21" width="14.1640625" bestFit="1" customWidth="1"/>
  </cols>
  <sheetData>
    <row r="1" spans="1:20" ht="36">
      <c r="A1" s="28" t="s">
        <v>22</v>
      </c>
      <c r="B1" s="48">
        <v>155.35</v>
      </c>
      <c r="C1" s="52" t="s">
        <v>78</v>
      </c>
      <c r="D1" s="51" t="s">
        <v>46</v>
      </c>
      <c r="F1" s="171" t="s">
        <v>51</v>
      </c>
      <c r="G1" s="171"/>
      <c r="H1" s="74"/>
      <c r="I1" s="30" t="s">
        <v>23</v>
      </c>
      <c r="J1" s="96" t="s">
        <v>45</v>
      </c>
      <c r="K1" s="75" t="s">
        <v>37</v>
      </c>
      <c r="L1" s="76" t="s">
        <v>23</v>
      </c>
      <c r="M1" s="77" t="s">
        <v>6</v>
      </c>
      <c r="N1" s="76" t="s">
        <v>61</v>
      </c>
      <c r="O1" s="77" t="s">
        <v>52</v>
      </c>
      <c r="Q1" s="55"/>
    </row>
    <row r="2" spans="1:20" ht="29">
      <c r="A2" s="14" t="s">
        <v>7</v>
      </c>
      <c r="B2" s="8">
        <v>13</v>
      </c>
      <c r="C2" s="29">
        <f>(1+(B2/100))</f>
        <v>1.1299999999999999</v>
      </c>
      <c r="F2" s="172" t="s">
        <v>49</v>
      </c>
      <c r="G2" s="174"/>
      <c r="I2" s="115">
        <v>44763</v>
      </c>
      <c r="J2" s="10">
        <v>27.65</v>
      </c>
      <c r="K2" s="97">
        <f>ROUND(STDEV(J6:J15),2)</f>
        <v>3.97</v>
      </c>
      <c r="L2" s="104">
        <v>2021</v>
      </c>
      <c r="M2" s="104">
        <v>8.43</v>
      </c>
      <c r="N2" s="63" t="s">
        <v>89</v>
      </c>
      <c r="O2" s="64">
        <f>'EPS &amp; PE 成長率法'!D2</f>
        <v>17.809999999999999</v>
      </c>
      <c r="P2" s="29">
        <v>17.809999999999999</v>
      </c>
      <c r="Q2" s="55"/>
      <c r="T2">
        <f>304/9</f>
        <v>33.777777777777779</v>
      </c>
    </row>
    <row r="3" spans="1:20" ht="29">
      <c r="A3" s="14" t="s">
        <v>8</v>
      </c>
      <c r="B3" s="8">
        <v>10</v>
      </c>
      <c r="C3" s="29">
        <f>(1+(B3/100))</f>
        <v>1.1000000000000001</v>
      </c>
      <c r="F3" s="173"/>
      <c r="G3" s="174"/>
      <c r="I3" s="115">
        <v>44651</v>
      </c>
      <c r="J3" s="10">
        <v>32.1</v>
      </c>
      <c r="K3" s="163" t="s">
        <v>63</v>
      </c>
      <c r="L3" s="104">
        <v>2020</v>
      </c>
      <c r="M3" s="113">
        <v>6.1624999999999996</v>
      </c>
      <c r="N3" s="61" t="s">
        <v>80</v>
      </c>
      <c r="O3" s="60">
        <f>'EPS &amp; PE 成長率法'!D3</f>
        <v>33.46</v>
      </c>
      <c r="P3" s="29"/>
      <c r="Q3" s="55"/>
    </row>
    <row r="4" spans="1:20" ht="22" customHeight="1">
      <c r="A4" s="14" t="s">
        <v>9</v>
      </c>
      <c r="B4" s="8">
        <v>4</v>
      </c>
      <c r="C4" s="29">
        <f>(1+(B4/100))</f>
        <v>1.04</v>
      </c>
      <c r="F4" s="94">
        <v>1</v>
      </c>
      <c r="G4" s="54"/>
      <c r="I4" s="115">
        <v>44561</v>
      </c>
      <c r="J4" s="10">
        <v>35.659999999999997</v>
      </c>
      <c r="K4" s="164"/>
      <c r="L4" s="104">
        <v>2019</v>
      </c>
      <c r="M4" s="113">
        <v>5.1550000000000002</v>
      </c>
      <c r="N4" s="61" t="s">
        <v>81</v>
      </c>
      <c r="O4" s="60">
        <f>'EPS &amp; PE 成長率法'!D4</f>
        <v>29.22</v>
      </c>
      <c r="P4" s="29">
        <v>29.22</v>
      </c>
      <c r="Q4" s="55"/>
    </row>
    <row r="5" spans="1:20" ht="29">
      <c r="A5" s="14" t="s">
        <v>67</v>
      </c>
      <c r="B5" s="8">
        <v>45</v>
      </c>
      <c r="D5" s="53" t="s">
        <v>71</v>
      </c>
      <c r="F5" s="94">
        <v>2</v>
      </c>
      <c r="G5" s="54"/>
      <c r="I5" s="115">
        <v>44469</v>
      </c>
      <c r="J5" s="10">
        <v>31.34</v>
      </c>
      <c r="K5" s="98">
        <f>ROUND(AVERAGE(J6:J15),2)</f>
        <v>29.53</v>
      </c>
      <c r="L5" s="112">
        <v>2018</v>
      </c>
      <c r="M5" s="111">
        <v>2.6575000000000002</v>
      </c>
      <c r="N5" s="61" t="s">
        <v>82</v>
      </c>
      <c r="O5" s="60">
        <f>'EPS &amp; PE 成長率法'!D5</f>
        <v>28.44</v>
      </c>
      <c r="P5" s="29">
        <v>28.44</v>
      </c>
      <c r="Q5" s="55"/>
    </row>
    <row r="6" spans="1:20" ht="22" customHeight="1">
      <c r="A6" s="14" t="s">
        <v>4</v>
      </c>
      <c r="B6" s="35">
        <v>0.6</v>
      </c>
      <c r="F6" s="94">
        <v>3</v>
      </c>
      <c r="G6" s="95"/>
      <c r="I6" s="114">
        <v>44377</v>
      </c>
      <c r="J6" s="10">
        <v>33.380000000000003</v>
      </c>
      <c r="K6" s="10"/>
      <c r="L6" s="112">
        <v>2017</v>
      </c>
      <c r="M6" s="62">
        <v>2.34</v>
      </c>
      <c r="N6" s="61" t="s">
        <v>83</v>
      </c>
      <c r="O6" s="60">
        <f>'EPS &amp; PE 成長率法'!D6</f>
        <v>25.81</v>
      </c>
      <c r="P6" s="29">
        <v>25.81</v>
      </c>
    </row>
    <row r="7" spans="1:20" ht="22" customHeight="1">
      <c r="A7" s="14" t="s">
        <v>21</v>
      </c>
      <c r="B7" s="35">
        <v>0</v>
      </c>
      <c r="C7" s="29">
        <f>(1+(B7/100))</f>
        <v>1</v>
      </c>
      <c r="F7" s="94">
        <v>4</v>
      </c>
      <c r="G7" s="54"/>
      <c r="I7" s="114">
        <v>44286</v>
      </c>
      <c r="J7" s="10">
        <v>31.78</v>
      </c>
      <c r="K7" s="10"/>
      <c r="L7" s="112">
        <v>2016</v>
      </c>
      <c r="M7" s="111">
        <v>1.8774999999999999</v>
      </c>
      <c r="N7" s="61" t="s">
        <v>84</v>
      </c>
      <c r="O7" s="60">
        <f>'EPS &amp; PE 成長率法'!D7</f>
        <v>15.94</v>
      </c>
      <c r="P7" s="29">
        <v>15.94</v>
      </c>
    </row>
    <row r="8" spans="1:20" ht="22" customHeight="1">
      <c r="A8" s="93" t="s">
        <v>68</v>
      </c>
      <c r="B8" s="8">
        <v>8</v>
      </c>
      <c r="D8" s="62" t="s">
        <v>70</v>
      </c>
      <c r="F8" s="94">
        <v>5</v>
      </c>
      <c r="G8" s="54"/>
      <c r="I8" s="114">
        <v>44196</v>
      </c>
      <c r="J8" s="10">
        <v>32.72</v>
      </c>
      <c r="K8" s="10"/>
      <c r="L8" s="112">
        <v>2015</v>
      </c>
      <c r="M8" s="62">
        <v>1.69</v>
      </c>
      <c r="N8" s="61" t="s">
        <v>85</v>
      </c>
      <c r="O8" s="60">
        <f>'EPS &amp; PE 成長率法'!D8</f>
        <v>14.52</v>
      </c>
      <c r="P8" s="29">
        <v>14.52</v>
      </c>
    </row>
    <row r="9" spans="1:20" ht="22" customHeight="1">
      <c r="A9" s="45" t="s">
        <v>69</v>
      </c>
      <c r="B9" s="59">
        <f>N14</f>
        <v>19.817500000000003</v>
      </c>
      <c r="C9" s="29">
        <f>(1+(B9/100))</f>
        <v>1.198175</v>
      </c>
      <c r="F9" s="94">
        <v>6</v>
      </c>
      <c r="G9" s="54"/>
      <c r="I9" s="114">
        <v>44104</v>
      </c>
      <c r="J9" s="10">
        <v>33.46</v>
      </c>
      <c r="K9" s="10"/>
      <c r="L9" s="112">
        <v>2014</v>
      </c>
      <c r="M9" s="111">
        <v>2.5824999999999996</v>
      </c>
      <c r="N9" s="61" t="s">
        <v>86</v>
      </c>
      <c r="O9" s="60">
        <f>'EPS &amp; PE 成長率法'!D9</f>
        <v>14.87</v>
      </c>
      <c r="P9" s="29">
        <v>14.87</v>
      </c>
    </row>
    <row r="10" spans="1:20" ht="18" customHeight="1">
      <c r="A10" s="45" t="s">
        <v>38</v>
      </c>
      <c r="B10" s="49">
        <v>5</v>
      </c>
      <c r="C10" s="29">
        <f>(1+(B10/100))</f>
        <v>1.05</v>
      </c>
      <c r="D10" s="62" t="s">
        <v>41</v>
      </c>
      <c r="F10" s="94">
        <v>7</v>
      </c>
      <c r="G10" s="54"/>
      <c r="I10" s="114">
        <v>44012</v>
      </c>
      <c r="J10" s="10">
        <v>34.76</v>
      </c>
      <c r="K10" s="10"/>
      <c r="L10" s="112">
        <v>2013</v>
      </c>
      <c r="M10" s="111">
        <v>2.4874999999999998</v>
      </c>
      <c r="N10" s="61" t="s">
        <v>87</v>
      </c>
      <c r="O10" s="60">
        <f>'EPS &amp; PE 成長率法'!D10</f>
        <v>10.99</v>
      </c>
      <c r="P10" s="29"/>
    </row>
    <row r="11" spans="1:20" ht="22">
      <c r="A11" s="45" t="s">
        <v>54</v>
      </c>
      <c r="B11" s="49">
        <v>0.74</v>
      </c>
      <c r="F11" s="94">
        <v>8</v>
      </c>
      <c r="G11" s="54"/>
      <c r="I11" s="114">
        <v>43921</v>
      </c>
      <c r="J11" s="10">
        <v>25.75</v>
      </c>
      <c r="K11" s="10"/>
      <c r="L11" s="112">
        <v>2012</v>
      </c>
      <c r="M11" s="111">
        <v>2.1074999999999999</v>
      </c>
      <c r="N11" s="61" t="s">
        <v>88</v>
      </c>
      <c r="O11" s="60">
        <f>'EPS &amp; PE 成長率法'!D11</f>
        <v>11.93</v>
      </c>
      <c r="P11" s="29">
        <v>11.93</v>
      </c>
    </row>
    <row r="12" spans="1:20" ht="22" customHeight="1">
      <c r="F12" s="94">
        <v>9</v>
      </c>
      <c r="G12" s="54"/>
      <c r="I12" s="114">
        <v>43830</v>
      </c>
      <c r="J12" s="10">
        <v>26.84</v>
      </c>
      <c r="K12" s="10"/>
      <c r="L12" s="112">
        <v>2011</v>
      </c>
      <c r="M12" s="111">
        <v>2.6774999999999998</v>
      </c>
      <c r="N12" s="61"/>
      <c r="O12" s="60"/>
      <c r="P12" s="29"/>
    </row>
    <row r="13" spans="1:20" ht="22" customHeight="1">
      <c r="A13" s="176" t="s">
        <v>48</v>
      </c>
      <c r="B13" s="177"/>
      <c r="F13" s="94">
        <v>10</v>
      </c>
      <c r="G13" s="54"/>
      <c r="I13" s="114">
        <v>43738</v>
      </c>
      <c r="J13" s="10">
        <v>25.49</v>
      </c>
      <c r="K13" s="10"/>
      <c r="L13" s="112">
        <v>2010</v>
      </c>
      <c r="M13" s="111">
        <v>2.1800000000000002</v>
      </c>
      <c r="N13" s="169" t="s">
        <v>55</v>
      </c>
      <c r="O13" s="170"/>
      <c r="P13">
        <f>MIN(P2:P12)</f>
        <v>11.93</v>
      </c>
      <c r="Q13">
        <f>MAX(P2:P12)</f>
        <v>29.22</v>
      </c>
    </row>
    <row r="14" spans="1:20" ht="20" customHeight="1">
      <c r="A14" s="175" t="s">
        <v>47</v>
      </c>
      <c r="B14" s="175"/>
      <c r="F14" s="94">
        <v>11</v>
      </c>
      <c r="G14" s="54"/>
      <c r="I14" s="114">
        <v>43646</v>
      </c>
      <c r="J14" s="10">
        <v>25.72</v>
      </c>
      <c r="K14" s="10"/>
      <c r="L14" s="112"/>
      <c r="M14" s="111"/>
      <c r="N14" s="168">
        <f>AVERAGE(P2:P12)</f>
        <v>19.817500000000003</v>
      </c>
      <c r="O14" s="168"/>
    </row>
    <row r="15" spans="1:20" ht="22">
      <c r="F15" s="94">
        <v>12</v>
      </c>
      <c r="G15" s="54"/>
      <c r="I15" s="114">
        <v>43555</v>
      </c>
      <c r="J15" s="10">
        <v>25.42</v>
      </c>
      <c r="K15" s="10"/>
      <c r="L15" s="165" t="s">
        <v>63</v>
      </c>
      <c r="M15" s="165"/>
    </row>
    <row r="16" spans="1:20" ht="26" customHeight="1">
      <c r="A16" s="78" t="s">
        <v>43</v>
      </c>
      <c r="F16" s="94">
        <v>13</v>
      </c>
      <c r="G16" s="54"/>
      <c r="I16" s="115">
        <v>43465</v>
      </c>
      <c r="J16" s="10">
        <v>22.76</v>
      </c>
      <c r="K16" s="10"/>
      <c r="L16" s="165"/>
      <c r="M16" s="165"/>
      <c r="N16" s="10"/>
      <c r="O16" s="11"/>
    </row>
    <row r="17" spans="1:23" ht="24" customHeight="1">
      <c r="A17" s="79" t="s">
        <v>11</v>
      </c>
      <c r="B17" s="20" t="s">
        <v>15</v>
      </c>
      <c r="C17" s="20" t="s">
        <v>16</v>
      </c>
      <c r="D17" s="20" t="s">
        <v>17</v>
      </c>
      <c r="F17" s="94">
        <v>14</v>
      </c>
      <c r="G17" s="54"/>
      <c r="I17" s="115">
        <v>43373</v>
      </c>
      <c r="J17" s="10"/>
      <c r="K17" s="10"/>
      <c r="L17" s="166">
        <f>ROUND(AVERAGE(M2:M7),2)</f>
        <v>4.4400000000000004</v>
      </c>
      <c r="M17" s="167"/>
      <c r="N17" s="10"/>
      <c r="O17" s="10"/>
    </row>
    <row r="18" spans="1:23" ht="18" customHeight="1">
      <c r="A18" s="79" t="s">
        <v>18</v>
      </c>
      <c r="B18" s="9">
        <f>'現金流量折現法(PE+EPS)'!B30</f>
        <v>430.03199604290234</v>
      </c>
      <c r="C18" s="9">
        <f>'現金流量折現法(PE+EPS)'!C30</f>
        <v>483.15440851390036</v>
      </c>
      <c r="D18" s="9">
        <f>'現金流量折現法(PE+EPS)'!D30</f>
        <v>647.59776348598905</v>
      </c>
      <c r="F18" s="94">
        <v>15</v>
      </c>
      <c r="G18" s="54"/>
      <c r="I18" s="115">
        <v>43281</v>
      </c>
      <c r="J18" s="10"/>
      <c r="K18" s="10"/>
      <c r="N18" s="10"/>
      <c r="O18" s="10"/>
    </row>
    <row r="19" spans="1:23" ht="47" customHeight="1">
      <c r="A19" s="79" t="s">
        <v>19</v>
      </c>
      <c r="B19" s="9">
        <f>'現金流量折現法(PE+EPS)'!B31</f>
        <v>465.59855210660101</v>
      </c>
      <c r="C19" s="9">
        <f>'現金流量折現法(PE+EPS)'!C31</f>
        <v>552.17646687302897</v>
      </c>
      <c r="D19" s="9">
        <f>'現金流量折現法(PE+EPS)'!D31</f>
        <v>847.62796070173863</v>
      </c>
      <c r="F19" s="94">
        <v>16</v>
      </c>
      <c r="G19" s="54"/>
      <c r="I19" s="115">
        <v>43190</v>
      </c>
      <c r="J19" s="10"/>
      <c r="K19" s="99" t="s">
        <v>72</v>
      </c>
      <c r="L19" s="75">
        <v>3</v>
      </c>
      <c r="M19" s="100">
        <v>4</v>
      </c>
      <c r="N19" s="75">
        <v>5</v>
      </c>
      <c r="O19" s="100">
        <v>6</v>
      </c>
      <c r="P19" s="100">
        <v>7</v>
      </c>
      <c r="Q19" s="100">
        <v>8</v>
      </c>
      <c r="R19" s="100">
        <v>9</v>
      </c>
      <c r="S19" s="75">
        <v>10</v>
      </c>
    </row>
    <row r="20" spans="1:23" ht="20" customHeight="1">
      <c r="A20" s="79" t="s">
        <v>20</v>
      </c>
      <c r="B20" s="9">
        <f>'現金流量折現法(PE+EPS)'!B32</f>
        <v>552.89828062658864</v>
      </c>
      <c r="C20" s="9">
        <f>'現金流量折現法(PE+EPS)'!C32</f>
        <v>728.69189480784974</v>
      </c>
      <c r="D20" s="9">
        <f>'現金流量折現法(PE+EPS)'!D32</f>
        <v>1483.3489312280426</v>
      </c>
      <c r="F20" s="94">
        <v>17</v>
      </c>
      <c r="G20" s="54"/>
      <c r="I20" s="115">
        <v>43100</v>
      </c>
      <c r="J20" s="10"/>
      <c r="K20" s="162" t="s">
        <v>73</v>
      </c>
      <c r="L20" s="101">
        <f>'EPS &amp; PE 成長率法'!G2</f>
        <v>17.809999999999999</v>
      </c>
      <c r="M20" s="102">
        <f>'EPS &amp; PE 成長率法'!H2</f>
        <v>33.46</v>
      </c>
      <c r="N20" s="101"/>
      <c r="O20" s="102">
        <f>'EPS &amp; PE 成長率法'!J2</f>
        <v>28.44</v>
      </c>
      <c r="P20" s="102">
        <f>'EPS &amp; PE 成長率法'!K2</f>
        <v>25.81</v>
      </c>
      <c r="Q20" s="102">
        <f>'EPS &amp; PE 成長率法'!L2</f>
        <v>15.94</v>
      </c>
      <c r="R20" s="102">
        <f>'EPS &amp; PE 成長率法'!M2</f>
        <v>14.52</v>
      </c>
      <c r="S20" s="101"/>
    </row>
    <row r="21" spans="1:23" ht="18" customHeight="1">
      <c r="A21" s="74"/>
      <c r="C21"/>
      <c r="D21"/>
      <c r="F21" s="94">
        <v>18</v>
      </c>
      <c r="G21" s="54"/>
      <c r="I21" s="115">
        <v>43008</v>
      </c>
      <c r="J21" s="10">
        <v>23.93</v>
      </c>
      <c r="K21" s="162"/>
      <c r="L21" s="101">
        <f>'EPS &amp; PE 成長率法'!G3</f>
        <v>32.36</v>
      </c>
      <c r="M21" s="102">
        <f>'EPS &amp; PE 成長率法'!H3</f>
        <v>27.39</v>
      </c>
      <c r="N21" s="101">
        <f>'EPS &amp; PE 成長率法'!I3</f>
        <v>26.83</v>
      </c>
      <c r="O21" s="102">
        <f>'EPS &amp; PE 成長率法'!J3</f>
        <v>24.06</v>
      </c>
      <c r="P21" s="102">
        <f>'EPS &amp; PE 成長率法'!K3</f>
        <v>13.23</v>
      </c>
      <c r="Q21" s="102">
        <f>'EPS &amp; PE 成長率法'!L3</f>
        <v>12.01</v>
      </c>
      <c r="R21" s="102">
        <f>'EPS &amp; PE 成長率法'!M3</f>
        <v>12.66</v>
      </c>
      <c r="S21" s="101">
        <f>'EPS &amp; PE 成長率法'!N3</f>
        <v>8.69</v>
      </c>
    </row>
    <row r="22" spans="1:23" ht="18" customHeight="1">
      <c r="A22" s="78" t="s">
        <v>50</v>
      </c>
      <c r="F22" s="94">
        <v>19</v>
      </c>
      <c r="G22" s="54"/>
      <c r="I22" s="115">
        <v>42916</v>
      </c>
      <c r="J22" s="10">
        <v>23.99</v>
      </c>
      <c r="K22" s="162"/>
      <c r="L22" s="101"/>
      <c r="M22" s="102">
        <f>'EPS &amp; PE 成長率法'!H4</f>
        <v>28.72</v>
      </c>
      <c r="N22" s="101">
        <f>'EPS &amp; PE 成長率法'!I4</f>
        <v>24.99</v>
      </c>
      <c r="O22" s="102">
        <f>'EPS &amp; PE 成長率法'!J4</f>
        <v>12.21</v>
      </c>
      <c r="P22" s="102">
        <f>'EPS &amp; PE 成長率法'!K4</f>
        <v>10.97</v>
      </c>
      <c r="Q22" s="102">
        <f>'EPS &amp; PE 成長率法'!L4</f>
        <v>11.83</v>
      </c>
      <c r="R22" s="102">
        <f>'EPS &amp; PE 成長率法'!M4</f>
        <v>7.55</v>
      </c>
      <c r="S22" s="101"/>
    </row>
    <row r="23" spans="1:23" ht="20" customHeight="1">
      <c r="A23" s="79" t="s">
        <v>11</v>
      </c>
      <c r="B23" s="20" t="s">
        <v>15</v>
      </c>
      <c r="C23" s="20" t="s">
        <v>16</v>
      </c>
      <c r="D23" s="20" t="s">
        <v>17</v>
      </c>
      <c r="F23" s="94">
        <v>20</v>
      </c>
      <c r="G23" s="54"/>
      <c r="I23" s="115">
        <v>42825</v>
      </c>
      <c r="J23" s="10">
        <v>27.23</v>
      </c>
      <c r="K23" s="162"/>
      <c r="L23" s="101">
        <f>'EPS &amp; PE 成長率法'!G5</f>
        <v>12.28</v>
      </c>
      <c r="M23" s="102">
        <f>'EPS &amp; PE 成長率法'!H5</f>
        <v>11.98</v>
      </c>
      <c r="N23" s="101">
        <f>'EPS &amp; PE 成長率法'!I5</f>
        <v>0.56999999999999995</v>
      </c>
      <c r="O23" s="102">
        <f>'EPS &amp; PE 成長率法'!J5</f>
        <v>1.1100000000000001</v>
      </c>
      <c r="P23" s="102">
        <f>'EPS &amp; PE 成長率法'!K5</f>
        <v>3.37</v>
      </c>
      <c r="Q23" s="102">
        <f>'EPS &amp; PE 成長率法'!L5</f>
        <v>-0.09</v>
      </c>
      <c r="R23" s="102">
        <f>'EPS &amp; PE 成長率法'!M5</f>
        <v>2.23</v>
      </c>
      <c r="S23" s="101" t="e">
        <f>'EPS &amp; PE 成長率法'!N5</f>
        <v>#DIV/0!</v>
      </c>
    </row>
    <row r="24" spans="1:23" ht="18" customHeight="1">
      <c r="A24" s="79" t="s">
        <v>64</v>
      </c>
      <c r="B24" s="92" t="e">
        <f>'EPS &amp; PE 成長率法'!G19-1</f>
        <v>#DIV/0!</v>
      </c>
      <c r="C24" s="92" t="e">
        <f>'EPS &amp; PE 成長率法'!H19-1</f>
        <v>#DIV/0!</v>
      </c>
      <c r="D24" s="92" t="e">
        <f>'EPS &amp; PE 成長率法'!I19-1</f>
        <v>#DIV/0!</v>
      </c>
      <c r="F24" s="94">
        <v>21</v>
      </c>
      <c r="G24" s="54"/>
      <c r="I24" s="110">
        <v>42735</v>
      </c>
      <c r="J24" s="10">
        <v>27.22</v>
      </c>
      <c r="K24" s="162"/>
      <c r="L24" s="101"/>
      <c r="M24" s="102">
        <f>'EPS &amp; PE 成長率法'!H6</f>
        <v>-2.44</v>
      </c>
      <c r="N24" s="101"/>
      <c r="O24" s="102">
        <f>'EPS &amp; PE 成長率法'!J6</f>
        <v>1.76</v>
      </c>
      <c r="P24" s="102">
        <f>'EPS &amp; PE 成長率法'!K6</f>
        <v>-1.91</v>
      </c>
      <c r="Q24" s="102">
        <f>'EPS &amp; PE 成長率法'!L6</f>
        <v>0.89</v>
      </c>
      <c r="R24" s="102" t="e">
        <f>'EPS &amp; PE 成長率法'!M6</f>
        <v>#DIV/0!</v>
      </c>
    </row>
    <row r="25" spans="1:23" ht="20" customHeight="1">
      <c r="A25" s="79" t="s">
        <v>41</v>
      </c>
      <c r="B25" s="9" t="e">
        <f>'EPS &amp; PE 成長率法'!G21</f>
        <v>#DIV/0!</v>
      </c>
      <c r="C25" s="9" t="e">
        <f>'EPS &amp; PE 成長率法'!H21</f>
        <v>#DIV/0!</v>
      </c>
      <c r="D25" s="9" t="e">
        <f>'EPS &amp; PE 成長率法'!I21</f>
        <v>#DIV/0!</v>
      </c>
      <c r="F25" s="94">
        <v>22</v>
      </c>
      <c r="G25" s="54"/>
      <c r="I25" s="110">
        <v>42643</v>
      </c>
      <c r="J25" s="10">
        <v>25.55</v>
      </c>
      <c r="K25" s="162"/>
      <c r="L25" s="101">
        <f>'EPS &amp; PE 成長率法'!G7</f>
        <v>-10.08</v>
      </c>
      <c r="M25" s="102">
        <f>'EPS &amp; PE 成長率法'!H7</f>
        <v>-6.79</v>
      </c>
      <c r="N25" s="101">
        <f>'EPS &amp; PE 成長率法'!I7</f>
        <v>-2.2799999999999998</v>
      </c>
      <c r="O25" s="102">
        <f>'EPS &amp; PE 成長率法'!J7</f>
        <v>-5.74</v>
      </c>
      <c r="P25" s="102">
        <f>'EPS &amp; PE 成長率法'!K7</f>
        <v>-2.11</v>
      </c>
      <c r="Q25" s="102" t="e">
        <f>'EPS &amp; PE 成長率法'!L7</f>
        <v>#DIV/0!</v>
      </c>
      <c r="R25" s="103"/>
    </row>
    <row r="26" spans="1:23" ht="18" customHeight="1">
      <c r="A26" s="79" t="s">
        <v>59</v>
      </c>
      <c r="B26" s="9" t="e">
        <f>'EPS &amp; PE 成長率法'!G23</f>
        <v>#DIV/0!</v>
      </c>
      <c r="C26" s="9" t="e">
        <f>'EPS &amp; PE 成長率法'!H23</f>
        <v>#DIV/0!</v>
      </c>
      <c r="D26" s="9" t="e">
        <f>'EPS &amp; PE 成長率法'!I23</f>
        <v>#DIV/0!</v>
      </c>
      <c r="F26" s="94">
        <v>23</v>
      </c>
      <c r="G26" s="54"/>
      <c r="I26" s="110">
        <v>42551</v>
      </c>
      <c r="J26" s="10">
        <v>22.89</v>
      </c>
      <c r="K26" s="162"/>
      <c r="L26" s="101">
        <f>'EPS &amp; PE 成長率法'!G8</f>
        <v>-12.09</v>
      </c>
      <c r="M26" s="102">
        <f>'EPS &amp; PE 成長率法'!H8</f>
        <v>-5.37</v>
      </c>
      <c r="N26" s="101">
        <f>'EPS &amp; PE 成長率法'!I8</f>
        <v>-8.7899999999999991</v>
      </c>
      <c r="O26" s="102">
        <f>'EPS &amp; PE 成長率法'!J8</f>
        <v>-4.1500000000000004</v>
      </c>
      <c r="P26" s="102" t="e">
        <f>'EPS &amp; PE 成長率法'!K8</f>
        <v>#DIV/0!</v>
      </c>
      <c r="Q26" s="103"/>
      <c r="R26" s="103"/>
    </row>
    <row r="27" spans="1:23" ht="18" customHeight="1">
      <c r="F27" s="94">
        <v>24</v>
      </c>
      <c r="G27" s="54"/>
      <c r="I27" s="110">
        <v>42460</v>
      </c>
      <c r="J27" s="10"/>
      <c r="K27" s="162"/>
      <c r="L27" s="101">
        <f>'EPS &amp; PE 成長率法'!G9</f>
        <v>7.01</v>
      </c>
      <c r="M27" s="102">
        <f>'EPS &amp; PE 成長率法'!H9</f>
        <v>-0.9</v>
      </c>
      <c r="N27" s="101">
        <f>'EPS &amp; PE 成長率法'!I9</f>
        <v>3.45</v>
      </c>
      <c r="O27" s="102" t="e">
        <f>'EPS &amp; PE 成長率法'!J9</f>
        <v>#DIV/0!</v>
      </c>
      <c r="P27" s="103"/>
      <c r="Q27" s="103"/>
      <c r="R27" s="103"/>
    </row>
    <row r="28" spans="1:23" ht="22">
      <c r="C28"/>
      <c r="F28" s="94">
        <v>25</v>
      </c>
      <c r="G28" s="54"/>
      <c r="I28" s="110">
        <v>42369</v>
      </c>
      <c r="J28" s="10"/>
      <c r="K28" s="162"/>
      <c r="L28" s="101">
        <f>'EPS &amp; PE 成長率法'!G10</f>
        <v>-2.42</v>
      </c>
      <c r="M28" s="102">
        <f>'EPS &amp; PE 成長率法'!H10</f>
        <v>3.35</v>
      </c>
      <c r="N28" s="101" t="e">
        <f>'EPS &amp; PE 成長率法'!I10</f>
        <v>#DIV/0!</v>
      </c>
      <c r="O28" s="103"/>
      <c r="P28" s="103"/>
      <c r="Q28" s="103"/>
      <c r="R28" s="103"/>
    </row>
    <row r="29" spans="1:23" ht="18" customHeight="1">
      <c r="F29" s="94">
        <v>26</v>
      </c>
      <c r="G29" s="54"/>
      <c r="I29" s="110">
        <v>42277</v>
      </c>
      <c r="J29" s="10">
        <v>26.64</v>
      </c>
      <c r="K29" s="162"/>
      <c r="L29" s="101">
        <f>'EPS &amp; PE 成長率法'!G11</f>
        <v>-1.1200000000000001</v>
      </c>
      <c r="M29" s="102" t="e">
        <f>'EPS &amp; PE 成長率法'!H11</f>
        <v>#DIV/0!</v>
      </c>
      <c r="O29" s="103"/>
      <c r="P29" s="103"/>
      <c r="Q29" s="103"/>
      <c r="R29" s="103"/>
    </row>
    <row r="30" spans="1:23" ht="20" customHeight="1">
      <c r="F30" s="94">
        <v>27</v>
      </c>
      <c r="G30" s="54"/>
      <c r="I30" s="110">
        <v>42185</v>
      </c>
      <c r="J30" s="10">
        <v>26.98</v>
      </c>
      <c r="K30" s="162"/>
      <c r="L30" s="101" t="e">
        <f>'EPS &amp; PE 成長率法'!G12</f>
        <v>#DIV/0!</v>
      </c>
      <c r="O30" s="65"/>
      <c r="P30" s="65"/>
      <c r="Q30" s="65"/>
      <c r="R30" s="65"/>
    </row>
    <row r="31" spans="1:23" ht="22">
      <c r="F31" s="94">
        <v>28</v>
      </c>
      <c r="G31" s="54"/>
      <c r="I31" s="110">
        <v>42094</v>
      </c>
      <c r="J31" s="10">
        <v>14.95</v>
      </c>
    </row>
    <row r="32" spans="1:23" ht="22">
      <c r="A32" s="29"/>
      <c r="B32" s="29"/>
      <c r="F32" s="94">
        <v>29</v>
      </c>
      <c r="G32" s="54"/>
      <c r="I32" s="110">
        <v>42004</v>
      </c>
      <c r="J32" s="10">
        <v>16.48</v>
      </c>
      <c r="W32" s="108" t="s">
        <v>79</v>
      </c>
    </row>
    <row r="33" spans="6:26" ht="22">
      <c r="F33" s="94">
        <v>30</v>
      </c>
      <c r="G33" s="54"/>
      <c r="I33" s="110">
        <v>41912</v>
      </c>
      <c r="J33" s="10">
        <v>15.9</v>
      </c>
      <c r="W33" s="106" t="s">
        <v>74</v>
      </c>
      <c r="X33" s="106" t="s">
        <v>75</v>
      </c>
      <c r="Y33" s="107" t="s">
        <v>76</v>
      </c>
    </row>
    <row r="34" spans="6:26" ht="22">
      <c r="F34" s="94">
        <v>31</v>
      </c>
      <c r="G34" s="54"/>
      <c r="I34" s="110">
        <v>41820</v>
      </c>
      <c r="J34" s="10">
        <v>13.78</v>
      </c>
      <c r="W34" s="62">
        <v>264.83999999999997</v>
      </c>
      <c r="X34" s="62">
        <v>9.58</v>
      </c>
      <c r="Y34" s="105">
        <f>Y36*Z34</f>
        <v>184.5</v>
      </c>
      <c r="Z34" s="105">
        <v>6.15</v>
      </c>
    </row>
    <row r="35" spans="6:26" ht="22">
      <c r="F35" s="94">
        <v>32</v>
      </c>
      <c r="G35" s="54"/>
      <c r="I35" s="110">
        <v>41729</v>
      </c>
      <c r="J35" s="10">
        <v>13.25</v>
      </c>
      <c r="W35" s="158" t="s">
        <v>77</v>
      </c>
      <c r="X35" s="159"/>
    </row>
    <row r="36" spans="6:26" ht="22">
      <c r="F36" s="94">
        <v>33</v>
      </c>
      <c r="G36" s="54"/>
      <c r="I36" s="110">
        <v>41639</v>
      </c>
      <c r="J36" s="10">
        <v>11.83</v>
      </c>
      <c r="W36" s="160">
        <f>W34/X34</f>
        <v>27.645093945720248</v>
      </c>
      <c r="X36" s="161"/>
      <c r="Y36" s="105">
        <v>30</v>
      </c>
    </row>
    <row r="37" spans="6:26" ht="18">
      <c r="I37" s="110">
        <v>41547</v>
      </c>
      <c r="J37" s="10">
        <v>10.52</v>
      </c>
    </row>
    <row r="38" spans="6:26" ht="18">
      <c r="I38" s="110">
        <v>41455</v>
      </c>
      <c r="J38" s="10">
        <v>11.22</v>
      </c>
    </row>
    <row r="39" spans="6:26" ht="18">
      <c r="I39" s="110">
        <v>41364</v>
      </c>
      <c r="J39" s="10">
        <v>12.3</v>
      </c>
    </row>
    <row r="40" spans="6:26" ht="18">
      <c r="I40" s="110">
        <v>41274</v>
      </c>
      <c r="J40" s="10">
        <v>12.14</v>
      </c>
    </row>
    <row r="41" spans="6:26" ht="18">
      <c r="I41" s="110">
        <v>41182</v>
      </c>
      <c r="J41" s="10">
        <v>13.27</v>
      </c>
    </row>
    <row r="42" spans="6:26" ht="18">
      <c r="I42" s="110">
        <v>41090</v>
      </c>
      <c r="J42" s="10">
        <v>12.53</v>
      </c>
    </row>
    <row r="43" spans="6:26" ht="18">
      <c r="I43" s="110">
        <v>40999</v>
      </c>
      <c r="J43" s="10">
        <v>9.5500000000000007</v>
      </c>
    </row>
    <row r="44" spans="6:26" ht="18">
      <c r="I44" s="110">
        <v>40908</v>
      </c>
      <c r="J44" s="10">
        <v>7.6</v>
      </c>
    </row>
    <row r="45" spans="6:26" ht="18">
      <c r="I45" s="110">
        <v>40816</v>
      </c>
      <c r="J45" s="10">
        <v>7.26</v>
      </c>
    </row>
    <row r="46" spans="6:26" ht="18">
      <c r="I46" s="110">
        <v>40724</v>
      </c>
      <c r="J46" s="10">
        <v>7.71</v>
      </c>
    </row>
    <row r="47" spans="6:26" ht="18">
      <c r="I47" s="110">
        <v>40633</v>
      </c>
      <c r="J47" s="10">
        <v>8.01</v>
      </c>
    </row>
    <row r="48" spans="6:26" ht="18">
      <c r="I48" s="110">
        <v>40543</v>
      </c>
      <c r="J48" s="10">
        <v>9.35</v>
      </c>
      <c r="K48" s="11"/>
    </row>
    <row r="49" spans="6:13" ht="18">
      <c r="I49" s="110">
        <v>40451</v>
      </c>
      <c r="J49" s="10">
        <v>8.26</v>
      </c>
      <c r="K49" s="11"/>
    </row>
    <row r="50" spans="6:13" ht="18" customHeight="1">
      <c r="I50" s="110">
        <v>40359</v>
      </c>
      <c r="J50" s="10">
        <v>8.5299999999999994</v>
      </c>
      <c r="K50" s="11"/>
    </row>
    <row r="51" spans="6:13" ht="18">
      <c r="I51" s="110">
        <v>40268</v>
      </c>
      <c r="J51" s="10">
        <v>11.76</v>
      </c>
      <c r="K51" s="11"/>
    </row>
    <row r="52" spans="6:13" ht="18" customHeight="1">
      <c r="I52" s="110">
        <v>40178</v>
      </c>
      <c r="J52" s="10">
        <v>12.99</v>
      </c>
      <c r="K52" s="11"/>
    </row>
    <row r="53" spans="6:13" ht="18" customHeight="1">
      <c r="I53" s="12"/>
      <c r="K53" s="11"/>
    </row>
    <row r="54" spans="6:13" ht="18" customHeight="1">
      <c r="I54" s="12"/>
      <c r="K54" s="11"/>
    </row>
    <row r="55" spans="6:13" ht="18">
      <c r="I55" s="12"/>
      <c r="K55" s="11"/>
    </row>
    <row r="56" spans="6:13" ht="18" customHeight="1">
      <c r="I56" s="12"/>
      <c r="J56" s="10"/>
      <c r="K56" s="10"/>
      <c r="L56" s="10"/>
      <c r="M56" s="10"/>
    </row>
    <row r="57" spans="6:13" ht="18" customHeight="1">
      <c r="I57" s="12"/>
      <c r="J57" s="10"/>
      <c r="K57" s="11"/>
      <c r="L57" s="10"/>
      <c r="M57" s="10"/>
    </row>
    <row r="58" spans="6:13" ht="18">
      <c r="I58" s="12"/>
      <c r="J58" s="10"/>
      <c r="K58" s="11"/>
      <c r="L58" s="10"/>
      <c r="M58" s="10"/>
    </row>
    <row r="59" spans="6:13" ht="18">
      <c r="F59" s="12"/>
      <c r="G59" s="10"/>
      <c r="I59" s="10"/>
      <c r="J59" s="10"/>
      <c r="K59" s="11"/>
      <c r="L59" s="10"/>
      <c r="M59" s="10"/>
    </row>
    <row r="60" spans="6:13" ht="18">
      <c r="F60" s="12"/>
      <c r="G60" s="10"/>
      <c r="I60" s="10"/>
      <c r="J60" s="10"/>
      <c r="K60" s="11"/>
      <c r="L60" s="10"/>
      <c r="M60" s="10"/>
    </row>
    <row r="61" spans="6:13" ht="18">
      <c r="F61" s="12"/>
      <c r="G61" s="10"/>
      <c r="I61" s="10"/>
      <c r="J61" s="10"/>
      <c r="K61" s="11"/>
      <c r="L61" s="10"/>
      <c r="M61" s="10"/>
    </row>
    <row r="62" spans="6:13" ht="18">
      <c r="F62" s="12"/>
      <c r="G62" s="10"/>
      <c r="I62" s="10"/>
      <c r="J62" s="10"/>
      <c r="K62" s="11"/>
      <c r="L62" s="10"/>
      <c r="M62" s="10"/>
    </row>
    <row r="63" spans="6:13" ht="18">
      <c r="F63" s="12"/>
      <c r="G63" s="10"/>
      <c r="I63" s="10"/>
      <c r="J63" s="10"/>
      <c r="K63" s="11"/>
      <c r="L63" s="10"/>
      <c r="M63" s="10"/>
    </row>
    <row r="64" spans="6:13" ht="18">
      <c r="F64" s="12"/>
      <c r="G64" s="10"/>
      <c r="I64" s="10"/>
      <c r="J64" s="10"/>
      <c r="K64" s="11"/>
      <c r="L64" s="10"/>
      <c r="M64" s="10"/>
    </row>
    <row r="65" spans="6:13" ht="18">
      <c r="F65" s="12"/>
      <c r="G65" s="10"/>
      <c r="I65" s="10"/>
      <c r="J65" s="10"/>
      <c r="K65" s="11"/>
      <c r="L65" s="10"/>
      <c r="M65" s="10"/>
    </row>
    <row r="66" spans="6:13" ht="18">
      <c r="F66" s="12"/>
      <c r="G66" s="10"/>
      <c r="I66" s="10"/>
      <c r="J66" s="10"/>
      <c r="K66" s="11"/>
      <c r="L66" s="10"/>
      <c r="M66" s="10"/>
    </row>
    <row r="67" spans="6:13" ht="18">
      <c r="F67" s="12"/>
      <c r="G67" s="10"/>
      <c r="I67" s="10"/>
      <c r="J67" s="10"/>
      <c r="K67" s="11"/>
      <c r="L67" s="10"/>
      <c r="M67" s="10"/>
    </row>
    <row r="68" spans="6:13" ht="18" customHeight="1">
      <c r="F68" s="12"/>
      <c r="G68" s="10"/>
      <c r="I68" s="10"/>
      <c r="J68" s="10"/>
      <c r="K68" s="11"/>
      <c r="L68" s="10"/>
      <c r="M68" s="10"/>
    </row>
    <row r="69" spans="6:13" ht="18" customHeight="1">
      <c r="F69" s="12"/>
      <c r="G69" s="10"/>
      <c r="I69" s="10"/>
      <c r="J69" s="10"/>
      <c r="K69" s="11"/>
      <c r="L69" s="10"/>
      <c r="M69" s="10"/>
    </row>
    <row r="70" spans="6:13" ht="18">
      <c r="F70" s="12"/>
      <c r="G70" s="10"/>
      <c r="I70" s="10"/>
      <c r="J70" s="10"/>
      <c r="K70" s="11"/>
      <c r="L70" s="10"/>
      <c r="M70" s="10"/>
    </row>
    <row r="71" spans="6:13" ht="18" customHeight="1">
      <c r="F71" s="12"/>
      <c r="G71" s="10"/>
      <c r="I71" s="10"/>
      <c r="J71" s="10"/>
      <c r="K71" s="11"/>
      <c r="L71" s="10"/>
      <c r="M71" s="10"/>
    </row>
    <row r="72" spans="6:13" ht="18" customHeight="1">
      <c r="F72" s="12"/>
      <c r="G72" s="10"/>
      <c r="I72" s="10"/>
      <c r="J72" s="10"/>
      <c r="K72" s="11"/>
      <c r="L72" s="10"/>
      <c r="M72" s="10"/>
    </row>
    <row r="73" spans="6:13" ht="18">
      <c r="F73" s="12"/>
      <c r="G73" s="10"/>
      <c r="I73" s="10"/>
      <c r="J73" s="10"/>
      <c r="K73" s="11"/>
      <c r="L73" s="10"/>
      <c r="M73" s="10"/>
    </row>
    <row r="74" spans="6:13" ht="18">
      <c r="F74" s="12"/>
      <c r="G74" s="10"/>
      <c r="I74" s="10"/>
      <c r="J74" s="10"/>
      <c r="K74" s="11"/>
      <c r="L74" s="10"/>
      <c r="M74" s="10"/>
    </row>
    <row r="75" spans="6:13" ht="18">
      <c r="F75" s="12"/>
      <c r="G75" s="10"/>
      <c r="I75" s="10"/>
      <c r="J75" s="10"/>
      <c r="K75" s="11"/>
      <c r="L75" s="10"/>
      <c r="M75" s="10"/>
    </row>
    <row r="76" spans="6:13" ht="18">
      <c r="F76" s="12"/>
      <c r="G76" s="10"/>
      <c r="I76" s="10"/>
      <c r="J76" s="10"/>
      <c r="K76" s="11"/>
      <c r="L76" s="10"/>
      <c r="M76" s="10"/>
    </row>
    <row r="77" spans="6:13" ht="18">
      <c r="F77" s="12"/>
      <c r="G77" s="10"/>
      <c r="I77" s="10"/>
      <c r="J77" s="10"/>
      <c r="K77" s="11"/>
      <c r="L77" s="10"/>
      <c r="M77" s="10"/>
    </row>
    <row r="78" spans="6:13" ht="18">
      <c r="F78" s="12"/>
      <c r="G78" s="10"/>
      <c r="I78" s="10"/>
      <c r="J78" s="10"/>
      <c r="K78" s="11"/>
      <c r="L78" s="10"/>
      <c r="M78" s="10"/>
    </row>
    <row r="79" spans="6:13" ht="18">
      <c r="F79" s="12"/>
      <c r="G79" s="10"/>
      <c r="I79" s="10"/>
      <c r="J79" s="10"/>
      <c r="K79" s="11"/>
      <c r="L79" s="10"/>
      <c r="M79" s="10"/>
    </row>
    <row r="80" spans="6:13" ht="18">
      <c r="F80" s="12"/>
      <c r="G80" s="10"/>
      <c r="I80" s="10"/>
      <c r="J80" s="10"/>
      <c r="K80" s="11"/>
      <c r="L80" s="10"/>
      <c r="M80" s="10"/>
    </row>
    <row r="81" spans="6:13" ht="18">
      <c r="F81" s="12"/>
      <c r="G81" s="10"/>
      <c r="I81" s="10"/>
      <c r="J81" s="10"/>
      <c r="K81" s="11"/>
      <c r="L81" s="10"/>
      <c r="M81" s="10"/>
    </row>
    <row r="82" spans="6:13" ht="18">
      <c r="F82" s="12"/>
      <c r="G82" s="10"/>
      <c r="I82" s="10"/>
      <c r="J82" s="10"/>
      <c r="K82" s="11"/>
      <c r="L82" s="10"/>
      <c r="M82" s="10"/>
    </row>
    <row r="83" spans="6:13" ht="18">
      <c r="F83" s="12"/>
      <c r="G83" s="10"/>
      <c r="I83" s="10"/>
      <c r="J83" s="10"/>
      <c r="K83" s="11"/>
      <c r="L83" s="10"/>
      <c r="M83" s="10"/>
    </row>
    <row r="84" spans="6:13" ht="18">
      <c r="F84" s="12"/>
      <c r="G84" s="10"/>
      <c r="I84" s="10"/>
      <c r="J84" s="10"/>
      <c r="K84" s="11"/>
      <c r="L84" s="10"/>
      <c r="M84" s="10"/>
    </row>
    <row r="85" spans="6:13" ht="18">
      <c r="F85" s="12"/>
      <c r="G85" s="10"/>
      <c r="I85" s="10"/>
      <c r="J85" s="10"/>
      <c r="K85" s="11"/>
      <c r="L85" s="10"/>
      <c r="M85" s="10"/>
    </row>
    <row r="86" spans="6:13" ht="18">
      <c r="F86" s="12"/>
      <c r="G86" s="10"/>
      <c r="I86" s="10"/>
      <c r="J86" s="10"/>
      <c r="K86" s="11"/>
      <c r="L86" s="10"/>
      <c r="M86" s="10"/>
    </row>
    <row r="87" spans="6:13" ht="18">
      <c r="F87" s="12"/>
      <c r="G87" s="10"/>
      <c r="I87" s="10"/>
      <c r="J87" s="10"/>
      <c r="K87" s="11"/>
      <c r="L87" s="10"/>
      <c r="M87" s="10"/>
    </row>
    <row r="88" spans="6:13" ht="18">
      <c r="F88" s="12"/>
      <c r="G88" s="10"/>
      <c r="I88" s="10"/>
      <c r="J88" s="10"/>
      <c r="K88" s="11"/>
      <c r="L88" s="10"/>
      <c r="M88" s="10"/>
    </row>
    <row r="89" spans="6:13" ht="18">
      <c r="F89" s="12"/>
      <c r="G89" s="10"/>
      <c r="I89" s="10"/>
      <c r="J89" s="10"/>
      <c r="K89" s="11"/>
      <c r="L89" s="10"/>
      <c r="M89" s="10"/>
    </row>
    <row r="90" spans="6:13" ht="18">
      <c r="F90" s="12"/>
      <c r="G90" s="10"/>
      <c r="I90" s="10"/>
      <c r="J90" s="10"/>
      <c r="K90" s="11"/>
      <c r="L90" s="10"/>
      <c r="M90" s="10"/>
    </row>
    <row r="91" spans="6:13" ht="18">
      <c r="F91" s="12"/>
      <c r="G91" s="10"/>
      <c r="I91" s="10"/>
      <c r="J91" s="10"/>
      <c r="K91" s="11"/>
      <c r="L91" s="10"/>
      <c r="M91" s="10"/>
    </row>
    <row r="92" spans="6:13" ht="18">
      <c r="F92" s="12"/>
      <c r="G92" s="10"/>
      <c r="I92" s="10"/>
      <c r="J92" s="10"/>
      <c r="K92" s="11"/>
      <c r="L92" s="10"/>
      <c r="M92" s="10"/>
    </row>
    <row r="93" spans="6:13" ht="18">
      <c r="F93" s="12"/>
      <c r="G93" s="10"/>
      <c r="I93" s="10"/>
      <c r="J93" s="10"/>
      <c r="K93" s="11"/>
      <c r="L93" s="10"/>
      <c r="M93" s="10"/>
    </row>
    <row r="94" spans="6:13" ht="18">
      <c r="F94" s="12"/>
      <c r="G94" s="10"/>
      <c r="I94" s="10"/>
      <c r="J94" s="10"/>
      <c r="K94" s="11"/>
      <c r="L94" s="10"/>
      <c r="M94" s="10"/>
    </row>
    <row r="95" spans="6:13" ht="18">
      <c r="F95" s="12"/>
      <c r="G95" s="10"/>
      <c r="I95" s="10"/>
      <c r="J95" s="10"/>
      <c r="K95" s="11"/>
      <c r="L95" s="10"/>
      <c r="M95" s="10"/>
    </row>
    <row r="96" spans="6:13" ht="18">
      <c r="F96" s="12"/>
      <c r="G96" s="10"/>
      <c r="I96" s="10"/>
      <c r="J96" s="10"/>
      <c r="K96" s="11"/>
      <c r="L96" s="10"/>
      <c r="M96" s="10"/>
    </row>
    <row r="97" spans="6:13" ht="18">
      <c r="F97" s="12"/>
      <c r="G97" s="10"/>
      <c r="I97" s="10"/>
      <c r="J97" s="10"/>
      <c r="K97" s="11"/>
      <c r="L97" s="10"/>
      <c r="M97" s="10"/>
    </row>
    <row r="98" spans="6:13" ht="18">
      <c r="F98" s="12"/>
      <c r="G98" s="10"/>
      <c r="I98" s="10"/>
      <c r="J98" s="10"/>
      <c r="K98" s="11"/>
      <c r="L98" s="10"/>
      <c r="M98" s="10"/>
    </row>
    <row r="99" spans="6:13" ht="18">
      <c r="F99" s="12"/>
      <c r="G99" s="10"/>
      <c r="I99" s="10"/>
      <c r="J99" s="10"/>
      <c r="K99" s="11"/>
      <c r="L99" s="10"/>
      <c r="M99" s="10"/>
    </row>
    <row r="100" spans="6:13" ht="18">
      <c r="F100" s="12"/>
      <c r="G100" s="10"/>
      <c r="I100" s="10"/>
      <c r="J100" s="10"/>
      <c r="K100" s="11"/>
      <c r="L100" s="10"/>
      <c r="M100" s="10"/>
    </row>
    <row r="101" spans="6:13" ht="18">
      <c r="F101" s="12"/>
      <c r="G101" s="10"/>
      <c r="I101" s="10"/>
      <c r="J101" s="10"/>
      <c r="K101" s="11"/>
      <c r="L101" s="10"/>
      <c r="M101" s="10"/>
    </row>
    <row r="102" spans="6:13" ht="18">
      <c r="F102" s="12"/>
      <c r="G102" s="10"/>
      <c r="I102" s="10"/>
      <c r="J102" s="10"/>
      <c r="K102" s="11"/>
      <c r="L102" s="10"/>
      <c r="M102" s="10"/>
    </row>
    <row r="103" spans="6:13" ht="18">
      <c r="F103" s="12"/>
      <c r="G103" s="10"/>
      <c r="I103" s="10"/>
      <c r="J103" s="10"/>
      <c r="K103" s="11"/>
      <c r="L103" s="10"/>
      <c r="M103" s="10"/>
    </row>
    <row r="104" spans="6:13" ht="18">
      <c r="F104" s="12"/>
      <c r="G104" s="10"/>
      <c r="I104" s="10"/>
      <c r="J104" s="10"/>
      <c r="K104" s="11"/>
      <c r="L104" s="10"/>
      <c r="M104" s="10"/>
    </row>
    <row r="105" spans="6:13" ht="18">
      <c r="F105" s="12"/>
      <c r="G105" s="10"/>
      <c r="I105" s="10"/>
      <c r="J105" s="10"/>
      <c r="K105" s="11"/>
      <c r="L105" s="10"/>
      <c r="M105" s="10"/>
    </row>
    <row r="106" spans="6:13" ht="18">
      <c r="F106" s="12"/>
      <c r="G106" s="10"/>
      <c r="I106" s="10"/>
      <c r="J106" s="10"/>
      <c r="K106" s="11"/>
      <c r="L106" s="10"/>
      <c r="M106" s="10"/>
    </row>
    <row r="107" spans="6:13" ht="18">
      <c r="F107" s="12"/>
      <c r="G107" s="10"/>
      <c r="I107" s="10"/>
      <c r="J107" s="10"/>
      <c r="K107" s="11"/>
      <c r="L107" s="10"/>
      <c r="M107" s="10"/>
    </row>
    <row r="108" spans="6:13" ht="18">
      <c r="F108" s="12"/>
      <c r="G108" s="10"/>
      <c r="I108" s="10"/>
    </row>
    <row r="109" spans="6:13" ht="18">
      <c r="F109" s="12"/>
      <c r="G109" s="10"/>
      <c r="I109" s="10"/>
    </row>
  </sheetData>
  <mergeCells count="13">
    <mergeCell ref="F1:G1"/>
    <mergeCell ref="F2:F3"/>
    <mergeCell ref="G2:G3"/>
    <mergeCell ref="A14:B14"/>
    <mergeCell ref="A13:B13"/>
    <mergeCell ref="W35:X35"/>
    <mergeCell ref="W36:X36"/>
    <mergeCell ref="K20:K30"/>
    <mergeCell ref="K3:K4"/>
    <mergeCell ref="L15:M16"/>
    <mergeCell ref="L17:M17"/>
    <mergeCell ref="N14:O14"/>
    <mergeCell ref="N13:O13"/>
  </mergeCells>
  <phoneticPr fontId="2" type="noConversion"/>
  <hyperlinks>
    <hyperlink ref="A14:B14" r:id="rId1" display="https://www.gurufocus.com/stock/MCD/dcf" xr:uid="{6FF18A12-6AE7-BF40-AB12-EAE59040EFA9}"/>
    <hyperlink ref="A14" r:id="rId2" xr:uid="{8015311B-E140-7B44-8FAD-2C22D6CE458D}"/>
    <hyperlink ref="W32" r:id="rId3" xr:uid="{14ED890A-3C46-9F49-9BC2-0130CBD22A74}"/>
  </hyperlinks>
  <pageMargins left="0.7" right="0.7" top="0.75" bottom="0.75" header="0.3" footer="0.3"/>
  <pageSetup paperSize="9" orientation="portrait" horizontalDpi="0" verticalDpi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698E-9500-B14C-BBF0-DBCDCE93E93C}">
  <dimension ref="C8:K59"/>
  <sheetViews>
    <sheetView topLeftCell="A7" workbookViewId="0">
      <selection activeCell="E12" sqref="E12"/>
    </sheetView>
  </sheetViews>
  <sheetFormatPr baseColWidth="10" defaultRowHeight="15"/>
  <cols>
    <col min="3" max="3" width="23.5" customWidth="1"/>
    <col min="9" max="9" width="10.83203125" style="29"/>
    <col min="11" max="11" width="8" bestFit="1" customWidth="1"/>
  </cols>
  <sheetData>
    <row r="8" spans="3:11">
      <c r="E8" s="29" t="s">
        <v>6</v>
      </c>
    </row>
    <row r="9" spans="3:11" ht="18">
      <c r="C9" s="155">
        <v>44763</v>
      </c>
      <c r="D9" s="156">
        <v>264.83999999999997</v>
      </c>
      <c r="E9" s="156"/>
      <c r="F9" s="10"/>
      <c r="G9" s="10">
        <v>27.65</v>
      </c>
      <c r="H9" s="109"/>
    </row>
    <row r="10" spans="3:11" ht="18">
      <c r="C10" s="155">
        <v>44651</v>
      </c>
      <c r="D10" s="156">
        <v>307.56</v>
      </c>
      <c r="E10" s="157">
        <v>9.58</v>
      </c>
      <c r="F10" s="11">
        <f>AVERAGE(E7:E10)</f>
        <v>9.58</v>
      </c>
      <c r="G10" s="10">
        <v>32.1</v>
      </c>
      <c r="H10" s="109"/>
      <c r="J10">
        <v>2022</v>
      </c>
      <c r="K10" s="29">
        <v>9.58</v>
      </c>
    </row>
    <row r="11" spans="3:11" ht="18">
      <c r="C11" s="152">
        <v>44561</v>
      </c>
      <c r="D11" s="153">
        <v>334.81</v>
      </c>
      <c r="E11" s="154">
        <v>9.39</v>
      </c>
      <c r="F11" s="11"/>
      <c r="G11" s="10">
        <v>35.659999999999997</v>
      </c>
      <c r="H11" s="109"/>
      <c r="J11">
        <v>2021</v>
      </c>
      <c r="K11" s="29">
        <v>8.43</v>
      </c>
    </row>
    <row r="12" spans="3:11" ht="18">
      <c r="C12" s="152">
        <v>44469</v>
      </c>
      <c r="D12" s="153">
        <v>280.14</v>
      </c>
      <c r="E12" s="154">
        <v>8.94</v>
      </c>
      <c r="F12" s="11"/>
      <c r="G12" s="10">
        <v>31.34</v>
      </c>
      <c r="H12" s="109"/>
      <c r="J12">
        <v>2020</v>
      </c>
      <c r="K12" s="65">
        <v>6.1624999999999996</v>
      </c>
    </row>
    <row r="13" spans="3:11" ht="18">
      <c r="C13" s="152">
        <v>44377</v>
      </c>
      <c r="D13" s="153">
        <v>268.67</v>
      </c>
      <c r="E13" s="154">
        <v>8.0500000000000007</v>
      </c>
      <c r="F13" s="11"/>
      <c r="G13" s="10">
        <v>33.380000000000003</v>
      </c>
      <c r="H13" s="109"/>
      <c r="J13">
        <v>2019</v>
      </c>
      <c r="K13" s="65">
        <v>5.1550000000000002</v>
      </c>
    </row>
    <row r="14" spans="3:11" ht="18">
      <c r="C14" s="152">
        <v>44286</v>
      </c>
      <c r="D14" s="153">
        <v>233.29</v>
      </c>
      <c r="E14" s="154">
        <v>7.34</v>
      </c>
      <c r="F14" s="11">
        <f>AVERAGE(E11:E14)</f>
        <v>8.43</v>
      </c>
      <c r="G14" s="10">
        <v>31.78</v>
      </c>
      <c r="H14" s="109"/>
      <c r="J14">
        <v>2018</v>
      </c>
      <c r="K14" s="65">
        <v>2.6575000000000002</v>
      </c>
    </row>
    <row r="15" spans="3:11" ht="18">
      <c r="C15" s="149">
        <v>44196</v>
      </c>
      <c r="D15" s="150">
        <v>219.58</v>
      </c>
      <c r="E15" s="151">
        <v>6.71</v>
      </c>
      <c r="F15" s="11"/>
      <c r="G15" s="10">
        <v>32.72</v>
      </c>
      <c r="H15" s="109"/>
      <c r="J15">
        <v>2017</v>
      </c>
      <c r="K15" s="29">
        <v>2.34</v>
      </c>
    </row>
    <row r="16" spans="3:11" ht="18">
      <c r="C16" s="149">
        <v>44104</v>
      </c>
      <c r="D16" s="150">
        <v>207.1</v>
      </c>
      <c r="E16" s="151">
        <v>6.19</v>
      </c>
      <c r="F16" s="11"/>
      <c r="G16" s="10">
        <v>33.46</v>
      </c>
      <c r="H16" s="109"/>
      <c r="J16">
        <v>2016</v>
      </c>
      <c r="K16" s="65">
        <v>1.8774999999999999</v>
      </c>
    </row>
    <row r="17" spans="3:11" ht="18">
      <c r="C17" s="149">
        <v>44012</v>
      </c>
      <c r="D17" s="150">
        <v>199.89</v>
      </c>
      <c r="E17" s="151">
        <v>5.75</v>
      </c>
      <c r="F17" s="11"/>
      <c r="G17" s="10">
        <v>34.76</v>
      </c>
      <c r="H17" s="109"/>
      <c r="J17">
        <v>2015</v>
      </c>
      <c r="K17" s="29">
        <v>1.69</v>
      </c>
    </row>
    <row r="18" spans="3:11" ht="18">
      <c r="C18" s="149">
        <v>43921</v>
      </c>
      <c r="D18" s="150">
        <v>154.47999999999999</v>
      </c>
      <c r="E18" s="151">
        <v>6</v>
      </c>
      <c r="F18" s="11">
        <f>AVERAGE(E15:E18)</f>
        <v>6.1624999999999996</v>
      </c>
      <c r="G18" s="10">
        <v>25.75</v>
      </c>
      <c r="H18" s="109"/>
      <c r="J18">
        <v>2014</v>
      </c>
      <c r="K18" s="65">
        <v>2.5824999999999996</v>
      </c>
    </row>
    <row r="19" spans="3:11" ht="18">
      <c r="C19" s="146">
        <v>43830</v>
      </c>
      <c r="D19" s="147">
        <v>154.05000000000001</v>
      </c>
      <c r="E19" s="148">
        <v>5.74</v>
      </c>
      <c r="F19" s="11"/>
      <c r="G19" s="10">
        <v>26.84</v>
      </c>
      <c r="H19" s="109"/>
      <c r="J19">
        <v>2013</v>
      </c>
      <c r="K19" s="65">
        <v>2.4874999999999998</v>
      </c>
    </row>
    <row r="20" spans="3:11" ht="18">
      <c r="C20" s="146">
        <v>43738</v>
      </c>
      <c r="D20" s="147">
        <v>135.35</v>
      </c>
      <c r="E20" s="148">
        <v>5.31</v>
      </c>
      <c r="F20" s="11"/>
      <c r="G20" s="10">
        <v>25.49</v>
      </c>
      <c r="H20" s="109"/>
      <c r="J20">
        <v>2012</v>
      </c>
      <c r="K20" s="65">
        <v>2.1074999999999999</v>
      </c>
    </row>
    <row r="21" spans="3:11" ht="18">
      <c r="C21" s="146">
        <v>43646</v>
      </c>
      <c r="D21" s="147">
        <v>130.41999999999999</v>
      </c>
      <c r="E21" s="148">
        <v>5.07</v>
      </c>
      <c r="F21" s="11"/>
      <c r="G21" s="10">
        <v>25.72</v>
      </c>
      <c r="H21" s="109"/>
      <c r="J21">
        <v>2011</v>
      </c>
      <c r="K21" s="65">
        <v>2.6774999999999998</v>
      </c>
    </row>
    <row r="22" spans="3:11" ht="18">
      <c r="C22" s="146">
        <v>43555</v>
      </c>
      <c r="D22" s="147">
        <v>114.4</v>
      </c>
      <c r="E22" s="148">
        <v>4.5</v>
      </c>
      <c r="F22" s="11">
        <f>AVERAGE(E19:E22)</f>
        <v>5.1550000000000002</v>
      </c>
      <c r="G22" s="10">
        <v>25.42</v>
      </c>
      <c r="H22" s="109"/>
      <c r="J22">
        <v>2010</v>
      </c>
      <c r="K22" s="65">
        <v>2.1800000000000002</v>
      </c>
    </row>
    <row r="23" spans="3:11" ht="18">
      <c r="C23" s="143">
        <v>43465</v>
      </c>
      <c r="D23" s="144">
        <v>98.1</v>
      </c>
      <c r="E23" s="145">
        <v>4.3099999999999996</v>
      </c>
      <c r="F23" s="11"/>
      <c r="G23" s="10">
        <v>22.76</v>
      </c>
      <c r="H23" s="109"/>
      <c r="J23">
        <v>2009</v>
      </c>
      <c r="K23" s="29">
        <v>1.81</v>
      </c>
    </row>
    <row r="24" spans="3:11" ht="18">
      <c r="C24" s="143">
        <v>43373</v>
      </c>
      <c r="D24" s="144">
        <v>109.99</v>
      </c>
      <c r="E24" s="145">
        <v>2.41</v>
      </c>
      <c r="F24" s="11"/>
      <c r="G24" s="10">
        <v>45.64</v>
      </c>
      <c r="H24" s="109"/>
    </row>
    <row r="25" spans="3:11" ht="18">
      <c r="C25" s="143">
        <v>43281</v>
      </c>
      <c r="D25" s="144">
        <v>94.46</v>
      </c>
      <c r="E25" s="145">
        <v>2.11</v>
      </c>
      <c r="F25" s="11"/>
      <c r="G25" s="10">
        <v>44.77</v>
      </c>
      <c r="H25" s="109"/>
    </row>
    <row r="26" spans="3:11" ht="18">
      <c r="C26" s="143">
        <v>43190</v>
      </c>
      <c r="D26" s="144">
        <v>87.05</v>
      </c>
      <c r="E26" s="145">
        <v>1.8</v>
      </c>
      <c r="F26" s="11">
        <f>AVERAGE(E23:E26)</f>
        <v>2.6575000000000002</v>
      </c>
      <c r="G26" s="10">
        <v>48.36</v>
      </c>
      <c r="H26" s="109"/>
    </row>
    <row r="27" spans="3:11" ht="18">
      <c r="C27" s="140">
        <v>43100</v>
      </c>
      <c r="D27" s="141">
        <v>81.209999999999994</v>
      </c>
      <c r="E27" s="142">
        <v>1.46</v>
      </c>
      <c r="F27" s="11"/>
      <c r="G27" s="10">
        <v>55.63</v>
      </c>
      <c r="H27" s="109"/>
    </row>
    <row r="28" spans="3:11" ht="18">
      <c r="C28" s="140">
        <v>43008</v>
      </c>
      <c r="D28" s="141">
        <v>70.37</v>
      </c>
      <c r="E28" s="142">
        <v>2.94</v>
      </c>
      <c r="F28" s="11"/>
      <c r="G28" s="10">
        <v>23.93</v>
      </c>
      <c r="H28" s="109"/>
    </row>
    <row r="29" spans="3:11" ht="18">
      <c r="C29" s="140">
        <v>42916</v>
      </c>
      <c r="D29" s="141">
        <v>64.77</v>
      </c>
      <c r="E29" s="142">
        <v>2.7</v>
      </c>
      <c r="F29" s="11"/>
      <c r="G29" s="10">
        <v>23.99</v>
      </c>
      <c r="H29" s="109"/>
    </row>
    <row r="30" spans="3:11" ht="18">
      <c r="C30" s="140">
        <v>42825</v>
      </c>
      <c r="D30" s="141">
        <v>61.54</v>
      </c>
      <c r="E30" s="142">
        <v>2.2599999999999998</v>
      </c>
      <c r="F30" s="11">
        <f>AVERAGE(E27:E30)</f>
        <v>2.34</v>
      </c>
      <c r="G30" s="10">
        <v>27.23</v>
      </c>
      <c r="H30" s="109"/>
    </row>
    <row r="31" spans="3:11" ht="18">
      <c r="C31" s="137">
        <v>42735</v>
      </c>
      <c r="D31" s="138">
        <v>57.71</v>
      </c>
      <c r="E31" s="139">
        <v>2.12</v>
      </c>
      <c r="F31" s="11"/>
      <c r="G31" s="10">
        <v>27.22</v>
      </c>
      <c r="H31" s="109"/>
    </row>
    <row r="32" spans="3:11" ht="18">
      <c r="C32" s="137">
        <v>42643</v>
      </c>
      <c r="D32" s="138">
        <v>53.14</v>
      </c>
      <c r="E32" s="139">
        <v>2.08</v>
      </c>
      <c r="F32" s="11"/>
      <c r="G32" s="10">
        <v>25.55</v>
      </c>
      <c r="H32" s="109"/>
    </row>
    <row r="33" spans="3:8" ht="18">
      <c r="C33" s="137">
        <v>42551</v>
      </c>
      <c r="D33" s="138">
        <v>46.92</v>
      </c>
      <c r="E33" s="139">
        <v>2.0499999999999998</v>
      </c>
      <c r="F33" s="11"/>
      <c r="G33" s="10">
        <v>22.89</v>
      </c>
      <c r="H33" s="109"/>
    </row>
    <row r="34" spans="3:8" ht="18">
      <c r="C34" s="137">
        <v>42460</v>
      </c>
      <c r="D34" s="138">
        <v>50.28</v>
      </c>
      <c r="E34" s="139">
        <v>1.26</v>
      </c>
      <c r="F34" s="11">
        <f>AVERAGE(E31:E34)</f>
        <v>1.8774999999999999</v>
      </c>
      <c r="G34" s="10">
        <v>39.909999999999997</v>
      </c>
      <c r="H34" s="109"/>
    </row>
    <row r="35" spans="3:8" ht="18">
      <c r="C35" s="134">
        <v>42369</v>
      </c>
      <c r="D35" s="135">
        <v>50.16</v>
      </c>
      <c r="E35" s="136">
        <v>1.4</v>
      </c>
      <c r="F35" s="11"/>
      <c r="G35" s="10">
        <v>35.83</v>
      </c>
      <c r="H35" s="109"/>
    </row>
    <row r="36" spans="3:8" ht="18">
      <c r="C36" s="134">
        <v>42277</v>
      </c>
      <c r="D36" s="135">
        <v>39.69</v>
      </c>
      <c r="E36" s="136">
        <v>1.49</v>
      </c>
      <c r="F36" s="11"/>
      <c r="G36" s="10">
        <v>26.64</v>
      </c>
      <c r="H36" s="109"/>
    </row>
    <row r="37" spans="3:8" ht="18">
      <c r="C37" s="134">
        <v>42185</v>
      </c>
      <c r="D37" s="135">
        <v>39.39</v>
      </c>
      <c r="E37" s="136">
        <v>1.46</v>
      </c>
      <c r="F37" s="11"/>
      <c r="G37" s="10">
        <v>26.98</v>
      </c>
      <c r="H37" s="109"/>
    </row>
    <row r="38" spans="3:8" ht="18">
      <c r="C38" s="134">
        <v>42094</v>
      </c>
      <c r="D38" s="135">
        <v>36.03</v>
      </c>
      <c r="E38" s="136">
        <v>2.41</v>
      </c>
      <c r="F38" s="11">
        <f>AVERAGE(E35:E38)</f>
        <v>1.69</v>
      </c>
      <c r="G38" s="10">
        <v>14.95</v>
      </c>
      <c r="H38" s="109"/>
    </row>
    <row r="39" spans="3:8" ht="18">
      <c r="C39" s="131">
        <v>42004</v>
      </c>
      <c r="D39" s="132">
        <v>40.880000000000003</v>
      </c>
      <c r="E39" s="133">
        <v>2.48</v>
      </c>
      <c r="F39" s="11"/>
      <c r="G39" s="10">
        <v>16.48</v>
      </c>
      <c r="H39" s="109"/>
    </row>
    <row r="40" spans="3:8" ht="18">
      <c r="C40" s="131">
        <v>41912</v>
      </c>
      <c r="D40" s="132">
        <v>40.54</v>
      </c>
      <c r="E40" s="133">
        <v>2.5499999999999998</v>
      </c>
      <c r="F40" s="11"/>
      <c r="G40" s="10">
        <v>15.9</v>
      </c>
      <c r="H40" s="109"/>
    </row>
    <row r="41" spans="3:8" ht="18">
      <c r="C41" s="131">
        <v>41820</v>
      </c>
      <c r="D41" s="132">
        <v>36.24</v>
      </c>
      <c r="E41" s="133">
        <v>2.63</v>
      </c>
      <c r="F41" s="11"/>
      <c r="G41" s="10">
        <v>13.78</v>
      </c>
      <c r="H41" s="109"/>
    </row>
    <row r="42" spans="3:8" ht="18">
      <c r="C42" s="131">
        <v>41729</v>
      </c>
      <c r="D42" s="132">
        <v>35.380000000000003</v>
      </c>
      <c r="E42" s="133">
        <v>2.67</v>
      </c>
      <c r="F42" s="11">
        <f>AVERAGE(E39:E42)</f>
        <v>2.5824999999999996</v>
      </c>
      <c r="G42" s="10">
        <v>13.25</v>
      </c>
      <c r="H42" s="109"/>
    </row>
    <row r="43" spans="3:8" ht="18">
      <c r="C43" s="128">
        <v>41639</v>
      </c>
      <c r="D43" s="129">
        <v>32.049999999999997</v>
      </c>
      <c r="E43" s="130">
        <v>2.71</v>
      </c>
      <c r="F43" s="11"/>
      <c r="G43" s="10">
        <v>11.83</v>
      </c>
      <c r="H43" s="109"/>
    </row>
    <row r="44" spans="3:8" ht="18">
      <c r="C44" s="128">
        <v>41547</v>
      </c>
      <c r="D44" s="129">
        <v>28.3</v>
      </c>
      <c r="E44" s="130">
        <v>2.69</v>
      </c>
      <c r="F44" s="11"/>
      <c r="G44" s="10">
        <v>10.52</v>
      </c>
      <c r="H44" s="109"/>
    </row>
    <row r="45" spans="3:8" ht="18">
      <c r="C45" s="128">
        <v>41455</v>
      </c>
      <c r="D45" s="129">
        <v>29.16</v>
      </c>
      <c r="E45" s="130">
        <v>2.6</v>
      </c>
      <c r="F45" s="11"/>
      <c r="G45" s="10">
        <v>11.22</v>
      </c>
      <c r="H45" s="109"/>
    </row>
    <row r="46" spans="3:8" ht="18">
      <c r="C46" s="128">
        <v>41364</v>
      </c>
      <c r="D46" s="129">
        <v>23.98</v>
      </c>
      <c r="E46" s="130">
        <v>1.95</v>
      </c>
      <c r="F46" s="11">
        <f>AVERAGE(E43:E46)</f>
        <v>2.4874999999999998</v>
      </c>
      <c r="G46" s="10">
        <v>12.3</v>
      </c>
      <c r="H46" s="109"/>
    </row>
    <row r="47" spans="3:8" ht="18">
      <c r="C47" s="125">
        <v>41274</v>
      </c>
      <c r="D47" s="126">
        <v>22.21</v>
      </c>
      <c r="E47" s="127">
        <v>1.83</v>
      </c>
      <c r="F47" s="11"/>
      <c r="G47" s="10">
        <v>12.14</v>
      </c>
      <c r="H47" s="109"/>
    </row>
    <row r="48" spans="3:8" ht="18">
      <c r="C48" s="125">
        <v>41182</v>
      </c>
      <c r="D48" s="126">
        <v>24.54</v>
      </c>
      <c r="E48" s="127">
        <v>1.85</v>
      </c>
      <c r="F48" s="11"/>
      <c r="G48" s="10">
        <v>13.27</v>
      </c>
      <c r="H48" s="109"/>
    </row>
    <row r="49" spans="3:8" ht="18">
      <c r="C49" s="125">
        <v>41090</v>
      </c>
      <c r="D49" s="126">
        <v>25.06</v>
      </c>
      <c r="E49" s="127">
        <v>2</v>
      </c>
      <c r="F49" s="11"/>
      <c r="G49" s="10">
        <v>12.53</v>
      </c>
      <c r="H49" s="109"/>
    </row>
    <row r="50" spans="3:8" ht="18">
      <c r="C50" s="125">
        <v>40999</v>
      </c>
      <c r="D50" s="126">
        <v>26.25</v>
      </c>
      <c r="E50" s="127">
        <v>2.75</v>
      </c>
      <c r="F50" s="11">
        <f>AVERAGE(E47:E50)</f>
        <v>2.1074999999999999</v>
      </c>
      <c r="G50" s="10">
        <v>9.5500000000000007</v>
      </c>
      <c r="H50" s="109"/>
    </row>
    <row r="51" spans="3:8" ht="18">
      <c r="C51" s="122">
        <v>40908</v>
      </c>
      <c r="D51" s="123">
        <v>20.99</v>
      </c>
      <c r="E51" s="124">
        <v>2.76</v>
      </c>
      <c r="F51" s="11"/>
      <c r="G51" s="10">
        <v>7.6</v>
      </c>
      <c r="H51" s="109"/>
    </row>
    <row r="52" spans="3:8" ht="18">
      <c r="C52" s="122">
        <v>40816</v>
      </c>
      <c r="D52" s="123">
        <v>19.97</v>
      </c>
      <c r="E52" s="124">
        <v>2.75</v>
      </c>
      <c r="F52" s="11"/>
      <c r="G52" s="10">
        <v>7.26</v>
      </c>
      <c r="H52" s="109"/>
    </row>
    <row r="53" spans="3:8" ht="18">
      <c r="C53" s="122">
        <v>40724</v>
      </c>
      <c r="D53" s="123">
        <v>20.73</v>
      </c>
      <c r="E53" s="124">
        <v>2.69</v>
      </c>
      <c r="F53" s="11"/>
      <c r="G53" s="10">
        <v>7.71</v>
      </c>
      <c r="H53" s="109"/>
    </row>
    <row r="54" spans="3:8" ht="18">
      <c r="C54" s="122">
        <v>40633</v>
      </c>
      <c r="D54" s="123">
        <v>20.12</v>
      </c>
      <c r="E54" s="124">
        <v>2.5099999999999998</v>
      </c>
      <c r="F54" s="11">
        <f>AVERAGE(E51:E54)</f>
        <v>2.6774999999999998</v>
      </c>
      <c r="G54" s="10">
        <v>8.01</v>
      </c>
      <c r="H54" s="109"/>
    </row>
    <row r="55" spans="3:8" ht="18">
      <c r="C55" s="119">
        <v>40543</v>
      </c>
      <c r="D55" s="120">
        <v>21.98</v>
      </c>
      <c r="E55" s="121">
        <v>2.35</v>
      </c>
      <c r="F55" s="11"/>
      <c r="G55" s="10">
        <v>9.35</v>
      </c>
      <c r="H55" s="109"/>
    </row>
    <row r="56" spans="3:8" ht="18">
      <c r="C56" s="119">
        <v>40451</v>
      </c>
      <c r="D56" s="120">
        <v>19.170000000000002</v>
      </c>
      <c r="E56" s="121">
        <v>2.3199999999999998</v>
      </c>
      <c r="F56" s="11"/>
      <c r="G56" s="10">
        <v>8.26</v>
      </c>
      <c r="H56" s="109"/>
    </row>
    <row r="57" spans="3:8" ht="18">
      <c r="C57" s="119">
        <v>40359</v>
      </c>
      <c r="D57" s="120">
        <v>17.920000000000002</v>
      </c>
      <c r="E57" s="121">
        <v>2.1</v>
      </c>
      <c r="F57" s="11"/>
      <c r="G57" s="10">
        <v>8.5299999999999994</v>
      </c>
      <c r="H57" s="109"/>
    </row>
    <row r="58" spans="3:8" ht="18">
      <c r="C58" s="119">
        <v>40268</v>
      </c>
      <c r="D58" s="120">
        <v>22.7</v>
      </c>
      <c r="E58" s="121">
        <v>1.93</v>
      </c>
      <c r="F58" s="11">
        <f>AVERAGE(E55:E58)</f>
        <v>2.1749999999999998</v>
      </c>
      <c r="G58" s="10">
        <v>11.76</v>
      </c>
      <c r="H58" s="109"/>
    </row>
    <row r="59" spans="3:8" ht="18">
      <c r="C59" s="116">
        <v>40178</v>
      </c>
      <c r="D59" s="117">
        <v>23.52</v>
      </c>
      <c r="E59" s="118">
        <v>1.81</v>
      </c>
      <c r="F59" s="11">
        <f>AVERAGE(E59)</f>
        <v>1.81</v>
      </c>
      <c r="G59" s="10">
        <v>12.99</v>
      </c>
      <c r="H59" s="10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AC42-9AA1-0345-9370-E14DA0107421}">
  <dimension ref="A1:FY38"/>
  <sheetViews>
    <sheetView workbookViewId="0">
      <selection activeCell="O11" sqref="O11"/>
    </sheetView>
  </sheetViews>
  <sheetFormatPr baseColWidth="10" defaultRowHeight="15"/>
  <cols>
    <col min="1" max="1" width="25.83203125" customWidth="1"/>
    <col min="2" max="2" width="10.33203125" customWidth="1"/>
    <col min="3" max="3" width="8.33203125" style="36" customWidth="1"/>
    <col min="4" max="4" width="11.83203125" customWidth="1"/>
    <col min="7" max="7" width="11.33203125" customWidth="1"/>
    <col min="17" max="17" width="13" customWidth="1"/>
  </cols>
  <sheetData>
    <row r="1" spans="1:11" ht="20">
      <c r="A1" s="14" t="s">
        <v>22</v>
      </c>
      <c r="B1" s="46">
        <f>輸入!B1</f>
        <v>155.35</v>
      </c>
    </row>
    <row r="2" spans="1:11" ht="22" customHeight="1">
      <c r="A2" s="14" t="s">
        <v>7</v>
      </c>
      <c r="B2" s="8">
        <f>輸入!B2</f>
        <v>13</v>
      </c>
    </row>
    <row r="3" spans="1:11" ht="22" customHeight="1">
      <c r="A3" s="14" t="s">
        <v>8</v>
      </c>
      <c r="B3" s="8">
        <f>輸入!B3</f>
        <v>10</v>
      </c>
    </row>
    <row r="4" spans="1:11" ht="22" customHeight="1">
      <c r="A4" s="14" t="s">
        <v>9</v>
      </c>
      <c r="B4" s="8">
        <f>輸入!B4</f>
        <v>4</v>
      </c>
    </row>
    <row r="5" spans="1:11" ht="22" customHeight="1">
      <c r="A5" s="14" t="s">
        <v>10</v>
      </c>
      <c r="B5" s="8">
        <f>輸入!B5</f>
        <v>45</v>
      </c>
    </row>
    <row r="6" spans="1:11" ht="22">
      <c r="A6" s="14" t="s">
        <v>4</v>
      </c>
      <c r="B6" s="35">
        <f>輸入!B6</f>
        <v>0.6</v>
      </c>
    </row>
    <row r="7" spans="1:11" ht="22">
      <c r="A7" s="14" t="s">
        <v>21</v>
      </c>
      <c r="B7" s="35">
        <f>輸入!B7</f>
        <v>0</v>
      </c>
      <c r="C7" s="29">
        <f>輸入!C7</f>
        <v>1</v>
      </c>
    </row>
    <row r="8" spans="1:11" ht="22">
      <c r="A8" s="14" t="s">
        <v>6</v>
      </c>
      <c r="B8" s="8">
        <f>輸入!B8</f>
        <v>8</v>
      </c>
      <c r="C8" s="29"/>
    </row>
    <row r="9" spans="1:11" ht="22">
      <c r="A9" s="14" t="s">
        <v>24</v>
      </c>
      <c r="B9" s="8">
        <f>輸入!B9</f>
        <v>19.817500000000003</v>
      </c>
      <c r="C9" s="29">
        <f>(1+(B9/100))</f>
        <v>1.198175</v>
      </c>
    </row>
    <row r="10" spans="1:11" ht="22">
      <c r="A10" s="45" t="s">
        <v>38</v>
      </c>
      <c r="B10" s="47">
        <f>輸入!B10</f>
        <v>5</v>
      </c>
    </row>
    <row r="11" spans="1:11" ht="22">
      <c r="A11" s="45" t="s">
        <v>42</v>
      </c>
      <c r="B11" s="50">
        <f>輸入!B11</f>
        <v>0.74</v>
      </c>
    </row>
    <row r="12" spans="1:11" ht="22">
      <c r="A12" s="45" t="s">
        <v>44</v>
      </c>
      <c r="B12" s="50" t="e">
        <f>輸入!#REF!</f>
        <v>#REF!</v>
      </c>
    </row>
    <row r="15" spans="1:11">
      <c r="A15" s="1" t="s">
        <v>0</v>
      </c>
      <c r="B15" s="6">
        <v>1</v>
      </c>
      <c r="C15" s="6">
        <v>2</v>
      </c>
      <c r="D15" s="15">
        <v>3</v>
      </c>
      <c r="E15" s="6">
        <v>4</v>
      </c>
      <c r="F15" s="15">
        <v>5</v>
      </c>
      <c r="G15" s="6">
        <v>6</v>
      </c>
      <c r="H15" s="6">
        <v>7</v>
      </c>
      <c r="I15" s="6">
        <v>8</v>
      </c>
      <c r="J15" s="6">
        <v>9</v>
      </c>
      <c r="K15" s="15">
        <v>10</v>
      </c>
    </row>
    <row r="16" spans="1:11">
      <c r="A16" s="1" t="s">
        <v>1</v>
      </c>
      <c r="B16" s="7">
        <f>ROUND((1+($B2/100))^B$15,2)</f>
        <v>1.1299999999999999</v>
      </c>
      <c r="C16" s="7">
        <f t="shared" ref="C16:K16" si="0">ROUND((1+($B2/100))^C$15,2)</f>
        <v>1.28</v>
      </c>
      <c r="D16" s="16">
        <f t="shared" si="0"/>
        <v>1.44</v>
      </c>
      <c r="E16" s="7">
        <f t="shared" si="0"/>
        <v>1.63</v>
      </c>
      <c r="F16" s="16">
        <f t="shared" si="0"/>
        <v>1.84</v>
      </c>
      <c r="G16" s="7">
        <f t="shared" si="0"/>
        <v>2.08</v>
      </c>
      <c r="H16" s="7">
        <f t="shared" si="0"/>
        <v>2.35</v>
      </c>
      <c r="I16" s="7">
        <f t="shared" si="0"/>
        <v>2.66</v>
      </c>
      <c r="J16" s="7">
        <f t="shared" si="0"/>
        <v>3</v>
      </c>
      <c r="K16" s="16">
        <f t="shared" si="0"/>
        <v>3.39</v>
      </c>
    </row>
    <row r="17" spans="1:11">
      <c r="A17" s="1" t="s">
        <v>2</v>
      </c>
      <c r="B17" s="7">
        <f>ROUND((1+($B3/100))^B$15,2)</f>
        <v>1.1000000000000001</v>
      </c>
      <c r="C17" s="7">
        <f t="shared" ref="C17:K17" si="1">ROUND((1+($B3/100))^C$15,2)</f>
        <v>1.21</v>
      </c>
      <c r="D17" s="16">
        <f t="shared" si="1"/>
        <v>1.33</v>
      </c>
      <c r="E17" s="7">
        <f t="shared" si="1"/>
        <v>1.46</v>
      </c>
      <c r="F17" s="16">
        <f t="shared" si="1"/>
        <v>1.61</v>
      </c>
      <c r="G17" s="7">
        <f t="shared" si="1"/>
        <v>1.77</v>
      </c>
      <c r="H17" s="7">
        <f t="shared" si="1"/>
        <v>1.95</v>
      </c>
      <c r="I17" s="7">
        <f t="shared" si="1"/>
        <v>2.14</v>
      </c>
      <c r="J17" s="7">
        <f t="shared" si="1"/>
        <v>2.36</v>
      </c>
      <c r="K17" s="16">
        <f t="shared" si="1"/>
        <v>2.59</v>
      </c>
    </row>
    <row r="18" spans="1:11">
      <c r="A18" s="1" t="s">
        <v>3</v>
      </c>
      <c r="B18" s="7">
        <f>ROUND((1+($B4/100))^B$15,2)</f>
        <v>1.04</v>
      </c>
      <c r="C18" s="7">
        <f t="shared" ref="C18:K18" si="2">ROUND((1+($B4/100))^C$15,2)</f>
        <v>1.08</v>
      </c>
      <c r="D18" s="16">
        <f t="shared" si="2"/>
        <v>1.1200000000000001</v>
      </c>
      <c r="E18" s="7">
        <f t="shared" si="2"/>
        <v>1.17</v>
      </c>
      <c r="F18" s="16">
        <f t="shared" si="2"/>
        <v>1.22</v>
      </c>
      <c r="G18" s="7">
        <f t="shared" si="2"/>
        <v>1.27</v>
      </c>
      <c r="H18" s="7">
        <f t="shared" si="2"/>
        <v>1.32</v>
      </c>
      <c r="I18" s="7">
        <f t="shared" si="2"/>
        <v>1.37</v>
      </c>
      <c r="J18" s="7">
        <f t="shared" si="2"/>
        <v>1.42</v>
      </c>
      <c r="K18" s="16">
        <f t="shared" si="2"/>
        <v>1.48</v>
      </c>
    </row>
    <row r="19" spans="1:11">
      <c r="A19" s="1" t="s">
        <v>4</v>
      </c>
      <c r="B19" s="24">
        <f t="shared" ref="B19:K19" si="3">$B6*($C$7^(B23))</f>
        <v>0.6</v>
      </c>
      <c r="C19" s="24">
        <f t="shared" si="3"/>
        <v>0.6</v>
      </c>
      <c r="D19" s="25">
        <f t="shared" si="3"/>
        <v>0.6</v>
      </c>
      <c r="E19" s="24">
        <f t="shared" si="3"/>
        <v>0.6</v>
      </c>
      <c r="F19" s="25">
        <f t="shared" si="3"/>
        <v>0.6</v>
      </c>
      <c r="G19" s="24">
        <f t="shared" si="3"/>
        <v>0.6</v>
      </c>
      <c r="H19" s="24">
        <f t="shared" si="3"/>
        <v>0.6</v>
      </c>
      <c r="I19" s="24">
        <f t="shared" si="3"/>
        <v>0.6</v>
      </c>
      <c r="J19" s="24">
        <f t="shared" si="3"/>
        <v>0.6</v>
      </c>
      <c r="K19" s="25">
        <f t="shared" si="3"/>
        <v>0.6</v>
      </c>
    </row>
    <row r="20" spans="1:11">
      <c r="A20" s="1" t="s">
        <v>6</v>
      </c>
      <c r="B20" s="26">
        <f t="shared" ref="B20:K20" si="4">$B8*($C9^(B15))</f>
        <v>9.5853999999999999</v>
      </c>
      <c r="C20" s="37">
        <f t="shared" si="4"/>
        <v>11.484986644999999</v>
      </c>
      <c r="D20" s="27">
        <f t="shared" si="4"/>
        <v>13.761023873372874</v>
      </c>
      <c r="E20" s="26">
        <f t="shared" si="4"/>
        <v>16.488114779478543</v>
      </c>
      <c r="F20" s="27">
        <f t="shared" si="4"/>
        <v>19.755646925901704</v>
      </c>
      <c r="G20" s="26">
        <f t="shared" si="4"/>
        <v>23.670722255442271</v>
      </c>
      <c r="H20" s="26">
        <f t="shared" si="4"/>
        <v>28.361667638414545</v>
      </c>
      <c r="I20" s="26">
        <f t="shared" si="4"/>
        <v>33.982241122657349</v>
      </c>
      <c r="J20" s="26">
        <f t="shared" si="4"/>
        <v>40.71667175713997</v>
      </c>
      <c r="K20" s="27">
        <f t="shared" si="4"/>
        <v>48.785698182611178</v>
      </c>
    </row>
    <row r="23" spans="1:11">
      <c r="A23" s="2" t="s">
        <v>5</v>
      </c>
      <c r="B23" s="5">
        <v>1</v>
      </c>
      <c r="C23" s="5">
        <v>2</v>
      </c>
      <c r="D23" s="17">
        <v>3</v>
      </c>
      <c r="E23" s="5">
        <v>4</v>
      </c>
      <c r="F23" s="17">
        <v>5</v>
      </c>
      <c r="G23" s="5">
        <v>6</v>
      </c>
      <c r="H23" s="5">
        <v>7</v>
      </c>
      <c r="I23" s="5">
        <v>8</v>
      </c>
      <c r="J23" s="5">
        <v>9</v>
      </c>
      <c r="K23" s="17">
        <v>10</v>
      </c>
    </row>
    <row r="24" spans="1:11">
      <c r="A24" s="2" t="s">
        <v>1</v>
      </c>
      <c r="B24" s="3">
        <f t="shared" ref="B24:K24" si="5">ROUND(B$19/B16,2)</f>
        <v>0.53</v>
      </c>
      <c r="C24" s="3">
        <f t="shared" si="5"/>
        <v>0.47</v>
      </c>
      <c r="D24" s="18">
        <f t="shared" si="5"/>
        <v>0.42</v>
      </c>
      <c r="E24" s="3">
        <f t="shared" si="5"/>
        <v>0.37</v>
      </c>
      <c r="F24" s="18">
        <f t="shared" si="5"/>
        <v>0.33</v>
      </c>
      <c r="G24" s="3">
        <f t="shared" si="5"/>
        <v>0.28999999999999998</v>
      </c>
      <c r="H24" s="3">
        <f t="shared" si="5"/>
        <v>0.26</v>
      </c>
      <c r="I24" s="3">
        <f t="shared" si="5"/>
        <v>0.23</v>
      </c>
      <c r="J24" s="3">
        <f t="shared" si="5"/>
        <v>0.2</v>
      </c>
      <c r="K24" s="18">
        <f t="shared" si="5"/>
        <v>0.18</v>
      </c>
    </row>
    <row r="25" spans="1:11">
      <c r="A25" s="2" t="s">
        <v>2</v>
      </c>
      <c r="B25" s="3">
        <f t="shared" ref="B25:K25" si="6">ROUND(B$19/B17,2)</f>
        <v>0.55000000000000004</v>
      </c>
      <c r="C25" s="3">
        <f t="shared" si="6"/>
        <v>0.5</v>
      </c>
      <c r="D25" s="18">
        <f t="shared" si="6"/>
        <v>0.45</v>
      </c>
      <c r="E25" s="3">
        <f t="shared" si="6"/>
        <v>0.41</v>
      </c>
      <c r="F25" s="18">
        <f t="shared" si="6"/>
        <v>0.37</v>
      </c>
      <c r="G25" s="3">
        <f t="shared" si="6"/>
        <v>0.34</v>
      </c>
      <c r="H25" s="3">
        <f t="shared" si="6"/>
        <v>0.31</v>
      </c>
      <c r="I25" s="3">
        <f t="shared" si="6"/>
        <v>0.28000000000000003</v>
      </c>
      <c r="J25" s="3">
        <f t="shared" si="6"/>
        <v>0.25</v>
      </c>
      <c r="K25" s="18">
        <f t="shared" si="6"/>
        <v>0.23</v>
      </c>
    </row>
    <row r="26" spans="1:11">
      <c r="A26" s="2" t="s">
        <v>3</v>
      </c>
      <c r="B26" s="3">
        <f t="shared" ref="B26:K26" si="7">ROUND(B$19/B18,2)</f>
        <v>0.57999999999999996</v>
      </c>
      <c r="C26" s="3">
        <f t="shared" si="7"/>
        <v>0.56000000000000005</v>
      </c>
      <c r="D26" s="18">
        <f t="shared" si="7"/>
        <v>0.54</v>
      </c>
      <c r="E26" s="3">
        <f t="shared" si="7"/>
        <v>0.51</v>
      </c>
      <c r="F26" s="18">
        <f t="shared" si="7"/>
        <v>0.49</v>
      </c>
      <c r="G26" s="3">
        <f t="shared" si="7"/>
        <v>0.47</v>
      </c>
      <c r="H26" s="3">
        <f t="shared" si="7"/>
        <v>0.45</v>
      </c>
      <c r="I26" s="3">
        <f t="shared" si="7"/>
        <v>0.44</v>
      </c>
      <c r="J26" s="3">
        <f t="shared" si="7"/>
        <v>0.42</v>
      </c>
      <c r="K26" s="18">
        <f t="shared" si="7"/>
        <v>0.41</v>
      </c>
    </row>
    <row r="27" spans="1:11">
      <c r="F27" s="19"/>
      <c r="K27" s="19"/>
    </row>
    <row r="28" spans="1:11">
      <c r="F28" s="19"/>
      <c r="K28" s="19"/>
    </row>
    <row r="29" spans="1:11">
      <c r="A29" s="22" t="s">
        <v>11</v>
      </c>
      <c r="B29" s="20" t="s">
        <v>15</v>
      </c>
      <c r="C29" s="20" t="s">
        <v>16</v>
      </c>
      <c r="D29" s="20" t="s">
        <v>17</v>
      </c>
    </row>
    <row r="30" spans="1:11" ht="20">
      <c r="A30" s="22" t="s">
        <v>18</v>
      </c>
      <c r="B30" s="9">
        <f>($B$5/$D16)*$D$20</f>
        <v>430.03199604290234</v>
      </c>
      <c r="C30" s="21">
        <f>($B$5/$F16)*$F$20</f>
        <v>483.15440851390036</v>
      </c>
      <c r="D30" s="9">
        <f>($B$5/$K16)*$K$20</f>
        <v>647.59776348598905</v>
      </c>
    </row>
    <row r="31" spans="1:11" ht="20">
      <c r="A31" s="22" t="s">
        <v>19</v>
      </c>
      <c r="B31" s="9">
        <f>($B$5/$D17)*$D$20</f>
        <v>465.59855210660101</v>
      </c>
      <c r="C31" s="21">
        <f>($B$5/$F17)*$F$20</f>
        <v>552.17646687302897</v>
      </c>
      <c r="D31" s="9">
        <f>($B$5/$K17)*$K$20</f>
        <v>847.62796070173863</v>
      </c>
    </row>
    <row r="32" spans="1:11" ht="20">
      <c r="A32" s="22" t="s">
        <v>20</v>
      </c>
      <c r="B32" s="9">
        <f>($B$5/$D18)*$D$20</f>
        <v>552.89828062658864</v>
      </c>
      <c r="C32" s="21">
        <f>($B$5/$F18)*$F$20</f>
        <v>728.69189480784974</v>
      </c>
      <c r="D32" s="9">
        <f>($B$5/$K18)*$K$20</f>
        <v>1483.3489312280426</v>
      </c>
    </row>
    <row r="33" spans="1:181">
      <c r="A33" s="23"/>
    </row>
    <row r="34" spans="1:181">
      <c r="A34" s="23"/>
      <c r="B34" s="4"/>
    </row>
    <row r="35" spans="1:181" s="13" customFormat="1">
      <c r="A35" s="33" t="s">
        <v>11</v>
      </c>
      <c r="B35" s="34" t="s">
        <v>15</v>
      </c>
      <c r="C35" s="38" t="s">
        <v>16</v>
      </c>
      <c r="D35" s="34" t="s">
        <v>17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</row>
    <row r="36" spans="1:181" s="13" customFormat="1">
      <c r="A36" s="34" t="s">
        <v>12</v>
      </c>
      <c r="B36" s="34">
        <f>B30+SUM(B24:D24)</f>
        <v>431.45199604290235</v>
      </c>
      <c r="C36" s="38">
        <f>C30+SUM(B24:F24)</f>
        <v>485.27440851390037</v>
      </c>
      <c r="D36" s="34">
        <f>D30+SUM(B24:K24)</f>
        <v>650.87776348598902</v>
      </c>
      <c r="E36"/>
      <c r="F36"/>
      <c r="G36" s="32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</row>
    <row r="37" spans="1:181" s="13" customFormat="1">
      <c r="A37" s="34" t="s">
        <v>13</v>
      </c>
      <c r="B37" s="34">
        <f>B31+SUM(B25:D25)</f>
        <v>467.09855210660101</v>
      </c>
      <c r="C37" s="38">
        <f>C31+SUM(B25:F25)</f>
        <v>554.45646687302894</v>
      </c>
      <c r="D37" s="34">
        <f>D31+SUM(B25:K25)</f>
        <v>851.31796070173868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</row>
    <row r="38" spans="1:181" s="13" customFormat="1">
      <c r="A38" s="34" t="s">
        <v>14</v>
      </c>
      <c r="B38" s="34">
        <f>B32+SUM(B26:D26)</f>
        <v>554.57828062658859</v>
      </c>
      <c r="C38" s="38">
        <f>C32+SUM(B26:F26)</f>
        <v>731.37189480784969</v>
      </c>
      <c r="D38" s="34">
        <f>D32+SUM(B26:K26)</f>
        <v>1488.2189312280425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4A88-CC3F-AC4A-9DBA-ECF21015375A}">
  <dimension ref="A1:R39"/>
  <sheetViews>
    <sheetView zoomScale="101" workbookViewId="0">
      <selection activeCell="C23" sqref="C23"/>
    </sheetView>
  </sheetViews>
  <sheetFormatPr baseColWidth="10" defaultRowHeight="15"/>
  <cols>
    <col min="3" max="3" width="10" bestFit="1" customWidth="1"/>
    <col min="4" max="4" width="10" style="29" bestFit="1" customWidth="1"/>
    <col min="6" max="6" width="10.83203125" style="29"/>
    <col min="8" max="8" width="9.33203125" bestFit="1" customWidth="1"/>
    <col min="9" max="9" width="10.6640625" bestFit="1" customWidth="1"/>
  </cols>
  <sheetData>
    <row r="1" spans="1:14" ht="25">
      <c r="A1" s="30" t="s">
        <v>23</v>
      </c>
      <c r="B1" s="56" t="s">
        <v>6</v>
      </c>
      <c r="C1" s="1" t="s">
        <v>61</v>
      </c>
      <c r="D1" s="1" t="s">
        <v>52</v>
      </c>
      <c r="F1" s="1" t="s">
        <v>61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</row>
    <row r="2" spans="1:14" ht="18">
      <c r="A2" s="31">
        <v>2021</v>
      </c>
      <c r="B2" s="57">
        <f>輸入!M2</f>
        <v>8.43</v>
      </c>
      <c r="C2" s="58">
        <v>3</v>
      </c>
      <c r="D2" s="58">
        <f>ROUND(100*((($B2/$B4)^(1/COUNT($A2:$A4)) )-1),2)</f>
        <v>17.809999999999999</v>
      </c>
      <c r="F2" s="178" t="s">
        <v>62</v>
      </c>
      <c r="G2" s="68">
        <f t="shared" ref="G2:G12" si="0">ROUND(100*((($B2/$B4)^(1/COUNT($A2:$A4)) )-1),2)</f>
        <v>17.809999999999999</v>
      </c>
      <c r="H2" s="69">
        <f t="shared" ref="H2:H11" si="1">ROUND(100*((($B2/$B5)^(1/COUNT($A2:$A5)) )-1),2)</f>
        <v>33.46</v>
      </c>
      <c r="I2" s="68">
        <f t="shared" ref="I2:I10" si="2">ROUND(100*((($B2/$B6)^(1/COUNT($A2:$A6)) )-1),2)</f>
        <v>29.22</v>
      </c>
      <c r="J2" s="68">
        <f t="shared" ref="J2:J9" si="3">ROUND(100*((($B2/$B7)^(1/COUNT($A2:$A7)) )-1),2)</f>
        <v>28.44</v>
      </c>
      <c r="K2" s="68">
        <f t="shared" ref="K2:K8" si="4">ROUND(100*((($B2/$B8)^(1/COUNT($A2:$A8)) )-1),2)</f>
        <v>25.81</v>
      </c>
      <c r="L2" s="68">
        <f t="shared" ref="L2:L7" si="5">ROUND(100*((($B2/$B9)^(1/COUNT($A2:$A9)) )-1),2)</f>
        <v>15.94</v>
      </c>
      <c r="M2" s="68">
        <f>ROUND(100*((($B2/$B10)^(1/COUNT($A2:$A10)) )-1),2)</f>
        <v>14.52</v>
      </c>
      <c r="N2" s="68">
        <f>ROUND(100*((($B2/$B11)^(1/COUNT($A2:$A11)) )-1),2)</f>
        <v>14.87</v>
      </c>
    </row>
    <row r="3" spans="1:14" ht="18">
      <c r="A3" s="31">
        <v>2020</v>
      </c>
      <c r="B3" s="57">
        <f>輸入!M3</f>
        <v>6.1624999999999996</v>
      </c>
      <c r="C3" s="58">
        <v>4</v>
      </c>
      <c r="D3" s="58">
        <f>ROUND(100*((($B2/$B5)^(1/COUNT($A2:$A5)) )-1),2)</f>
        <v>33.46</v>
      </c>
      <c r="F3" s="178"/>
      <c r="G3" s="68">
        <f t="shared" si="0"/>
        <v>32.36</v>
      </c>
      <c r="H3" s="69">
        <f t="shared" si="1"/>
        <v>27.39</v>
      </c>
      <c r="I3" s="68">
        <f t="shared" si="2"/>
        <v>26.83</v>
      </c>
      <c r="J3" s="68">
        <f t="shared" si="3"/>
        <v>24.06</v>
      </c>
      <c r="K3" s="68">
        <f t="shared" si="4"/>
        <v>13.23</v>
      </c>
      <c r="L3" s="68">
        <f t="shared" si="5"/>
        <v>12.01</v>
      </c>
      <c r="M3" s="68">
        <f>ROUND(100*((($B3/$B11)^(1/COUNT($A3:$A11)) )-1),2)</f>
        <v>12.66</v>
      </c>
      <c r="N3" s="68">
        <f>ROUND(100*((($B3/$B12)^(1/COUNT($A3:$A12)) )-1),2)</f>
        <v>8.69</v>
      </c>
    </row>
    <row r="4" spans="1:14" ht="18">
      <c r="A4" s="31">
        <v>2019</v>
      </c>
      <c r="B4" s="57">
        <f>輸入!M4</f>
        <v>5.1550000000000002</v>
      </c>
      <c r="C4" s="58">
        <v>5</v>
      </c>
      <c r="D4" s="58">
        <f>ROUND(100*((($B$2/B6)^(1/COUNT($A$2:$A6)) )-1),2)</f>
        <v>29.22</v>
      </c>
      <c r="F4" s="178"/>
      <c r="G4" s="68">
        <f t="shared" si="0"/>
        <v>30.12</v>
      </c>
      <c r="H4" s="69">
        <f t="shared" si="1"/>
        <v>28.72</v>
      </c>
      <c r="I4" s="68">
        <f t="shared" si="2"/>
        <v>24.99</v>
      </c>
      <c r="J4" s="68">
        <f t="shared" si="3"/>
        <v>12.21</v>
      </c>
      <c r="K4" s="68">
        <f t="shared" si="4"/>
        <v>10.97</v>
      </c>
      <c r="L4" s="68">
        <f t="shared" si="5"/>
        <v>11.83</v>
      </c>
      <c r="M4" s="68">
        <f>ROUND(100*((($B4/$B12)^(1/COUNT($A4:$A12)) )-1),2)</f>
        <v>7.55</v>
      </c>
      <c r="N4" s="68">
        <f>ROUND(100*((($B4/$B13)^(1/COUNT($A4:$A13)) )-1),2)</f>
        <v>8.99</v>
      </c>
    </row>
    <row r="5" spans="1:14" ht="18">
      <c r="A5" s="31">
        <v>2018</v>
      </c>
      <c r="B5" s="57">
        <f>輸入!M5</f>
        <v>2.6575000000000002</v>
      </c>
      <c r="C5" s="58">
        <v>6</v>
      </c>
      <c r="D5" s="58">
        <f>ROUND(100*((($B$2/B7)^(1/COUNT($A$2:$A7)) )-1),2)</f>
        <v>28.44</v>
      </c>
      <c r="F5" s="178"/>
      <c r="G5" s="68">
        <f t="shared" si="0"/>
        <v>12.28</v>
      </c>
      <c r="H5" s="69">
        <f t="shared" si="1"/>
        <v>11.98</v>
      </c>
      <c r="I5" s="68">
        <f t="shared" si="2"/>
        <v>0.56999999999999995</v>
      </c>
      <c r="J5" s="68">
        <f t="shared" si="3"/>
        <v>1.1100000000000001</v>
      </c>
      <c r="K5" s="68">
        <f t="shared" si="4"/>
        <v>3.37</v>
      </c>
      <c r="L5" s="68">
        <f t="shared" si="5"/>
        <v>-0.09</v>
      </c>
      <c r="M5" s="68">
        <f>ROUND(100*((($B5/$B13)^(1/COUNT($A5:$A13)) )-1),2)</f>
        <v>2.23</v>
      </c>
      <c r="N5" s="68" t="e">
        <f>ROUND(100*((($B5/$B14)^(1/COUNT($A5:$A14)) )-1),2)</f>
        <v>#DIV/0!</v>
      </c>
    </row>
    <row r="6" spans="1:14" ht="18">
      <c r="A6" s="31">
        <v>2017</v>
      </c>
      <c r="B6" s="57">
        <f>輸入!M6</f>
        <v>2.34</v>
      </c>
      <c r="C6" s="58">
        <v>7</v>
      </c>
      <c r="D6" s="58">
        <f>ROUND(100*((($B$2/B8)^(1/COUNT($A$2:$A8)) )-1),2)</f>
        <v>25.81</v>
      </c>
      <c r="F6" s="178"/>
      <c r="G6" s="68">
        <f t="shared" si="0"/>
        <v>11.46</v>
      </c>
      <c r="H6" s="69">
        <f t="shared" si="1"/>
        <v>-2.44</v>
      </c>
      <c r="I6" s="68">
        <f t="shared" si="2"/>
        <v>-1.22</v>
      </c>
      <c r="J6" s="68">
        <f t="shared" si="3"/>
        <v>1.76</v>
      </c>
      <c r="K6" s="68">
        <f t="shared" si="4"/>
        <v>-1.91</v>
      </c>
      <c r="L6" s="68">
        <f t="shared" si="5"/>
        <v>0.89</v>
      </c>
      <c r="M6" s="68" t="e">
        <f>ROUND(100*((($B6/$B14)^(1/COUNT($A6:$A14)) )-1),2)</f>
        <v>#DIV/0!</v>
      </c>
    </row>
    <row r="7" spans="1:14" ht="18">
      <c r="A7" s="31">
        <v>2016</v>
      </c>
      <c r="B7" s="57">
        <f>輸入!M7</f>
        <v>1.8774999999999999</v>
      </c>
      <c r="C7" s="58">
        <v>8</v>
      </c>
      <c r="D7" s="58">
        <f>ROUND(100*((($B$2/B9)^(1/COUNT($A$2:$A9)) )-1),2)</f>
        <v>15.94</v>
      </c>
      <c r="F7" s="178"/>
      <c r="G7" s="68">
        <f t="shared" si="0"/>
        <v>-10.08</v>
      </c>
      <c r="H7" s="69">
        <f t="shared" si="1"/>
        <v>-6.79</v>
      </c>
      <c r="I7" s="68">
        <f t="shared" si="2"/>
        <v>-2.2799999999999998</v>
      </c>
      <c r="J7" s="68">
        <f t="shared" si="3"/>
        <v>-5.74</v>
      </c>
      <c r="K7" s="68">
        <f t="shared" si="4"/>
        <v>-2.11</v>
      </c>
      <c r="L7" s="68" t="e">
        <f t="shared" si="5"/>
        <v>#DIV/0!</v>
      </c>
    </row>
    <row r="8" spans="1:14" ht="18">
      <c r="A8" s="31">
        <v>2015</v>
      </c>
      <c r="B8" s="57">
        <f>輸入!M8</f>
        <v>1.69</v>
      </c>
      <c r="C8" s="58">
        <v>9</v>
      </c>
      <c r="D8" s="58">
        <f>ROUND(100*((($B$2/B10)^(1/COUNT($A$2:$A10)) )-1),2)</f>
        <v>14.52</v>
      </c>
      <c r="F8" s="178"/>
      <c r="G8" s="68">
        <f t="shared" si="0"/>
        <v>-12.09</v>
      </c>
      <c r="H8" s="69">
        <f t="shared" si="1"/>
        <v>-5.37</v>
      </c>
      <c r="I8" s="68">
        <f t="shared" si="2"/>
        <v>-8.7899999999999991</v>
      </c>
      <c r="J8" s="68">
        <f t="shared" si="3"/>
        <v>-4.1500000000000004</v>
      </c>
      <c r="K8" s="68" t="e">
        <f t="shared" si="4"/>
        <v>#DIV/0!</v>
      </c>
    </row>
    <row r="9" spans="1:14" ht="18">
      <c r="A9" s="31">
        <v>2014</v>
      </c>
      <c r="B9" s="57">
        <f>輸入!M9</f>
        <v>2.5824999999999996</v>
      </c>
      <c r="C9" s="58">
        <v>10</v>
      </c>
      <c r="D9" s="58">
        <f>ROUND(100*((($B$2/B11)^(1/COUNT($A$2:$A11)) )-1),2)</f>
        <v>14.87</v>
      </c>
      <c r="F9" s="178"/>
      <c r="G9" s="68">
        <f t="shared" si="0"/>
        <v>7.01</v>
      </c>
      <c r="H9" s="69">
        <f t="shared" si="1"/>
        <v>-0.9</v>
      </c>
      <c r="I9" s="68">
        <f t="shared" si="2"/>
        <v>3.45</v>
      </c>
      <c r="J9" s="68" t="e">
        <f t="shared" si="3"/>
        <v>#DIV/0!</v>
      </c>
    </row>
    <row r="10" spans="1:14" ht="18">
      <c r="A10" s="31">
        <v>2013</v>
      </c>
      <c r="B10" s="57">
        <f>輸入!M10</f>
        <v>2.4874999999999998</v>
      </c>
      <c r="C10" s="58">
        <v>11</v>
      </c>
      <c r="D10" s="58">
        <f>ROUND(100*((($B$2/B12)^(1/COUNT($A$2:$A12)) )-1),2)</f>
        <v>10.99</v>
      </c>
      <c r="F10" s="178"/>
      <c r="G10" s="68">
        <f t="shared" si="0"/>
        <v>-2.42</v>
      </c>
      <c r="H10" s="69">
        <f t="shared" si="1"/>
        <v>3.35</v>
      </c>
      <c r="I10" s="68" t="e">
        <f t="shared" si="2"/>
        <v>#DIV/0!</v>
      </c>
    </row>
    <row r="11" spans="1:14" ht="18">
      <c r="A11" s="31">
        <v>2012</v>
      </c>
      <c r="B11" s="57">
        <f>輸入!M11</f>
        <v>2.1074999999999999</v>
      </c>
      <c r="C11" s="58">
        <v>12</v>
      </c>
      <c r="D11" s="58">
        <f>ROUND(100*((($B$2/B13)^(1/COUNT($A$2:$A13)) )-1),2)</f>
        <v>11.93</v>
      </c>
      <c r="F11" s="178"/>
      <c r="G11" s="68">
        <f t="shared" si="0"/>
        <v>-1.1200000000000001</v>
      </c>
      <c r="H11" s="69" t="e">
        <f t="shared" si="1"/>
        <v>#DIV/0!</v>
      </c>
    </row>
    <row r="12" spans="1:14" ht="18">
      <c r="A12" s="31">
        <v>2011</v>
      </c>
      <c r="B12" s="57">
        <f>輸入!M12</f>
        <v>2.6774999999999998</v>
      </c>
      <c r="C12" s="58">
        <v>13</v>
      </c>
      <c r="D12" s="58" t="e">
        <f>ROUND(100*((($B$2/B14)^(1/COUNT($A$2:$A14)) )-1),2)</f>
        <v>#DIV/0!</v>
      </c>
      <c r="F12" s="178"/>
      <c r="G12" s="68" t="e">
        <f t="shared" si="0"/>
        <v>#DIV/0!</v>
      </c>
      <c r="J12" s="65"/>
      <c r="K12" s="65"/>
      <c r="L12" s="65"/>
      <c r="M12" s="65"/>
    </row>
    <row r="13" spans="1:14" ht="18">
      <c r="A13" s="31">
        <v>2010</v>
      </c>
      <c r="B13" s="57">
        <f>輸入!M13</f>
        <v>2.1800000000000002</v>
      </c>
      <c r="C13" s="29"/>
    </row>
    <row r="14" spans="1:14" ht="18">
      <c r="A14" s="31">
        <v>2009</v>
      </c>
      <c r="B14" s="57">
        <f>輸入!M14</f>
        <v>0</v>
      </c>
      <c r="D14"/>
    </row>
    <row r="15" spans="1:14">
      <c r="F15" s="62"/>
      <c r="G15" s="1" t="s">
        <v>56</v>
      </c>
      <c r="H15" s="1" t="s">
        <v>57</v>
      </c>
      <c r="I15" s="1" t="s">
        <v>53</v>
      </c>
    </row>
    <row r="16" spans="1:14">
      <c r="F16" s="1" t="s">
        <v>41</v>
      </c>
      <c r="G16" s="58">
        <f>輸入!B8</f>
        <v>8</v>
      </c>
      <c r="H16" s="58">
        <f>輸入!B5</f>
        <v>45</v>
      </c>
      <c r="I16" s="58">
        <f>輸入!B11</f>
        <v>0.74</v>
      </c>
    </row>
    <row r="17" spans="6:18">
      <c r="F17" s="1" t="s">
        <v>59</v>
      </c>
      <c r="G17" s="80">
        <f>輸入!L17</f>
        <v>4.4400000000000004</v>
      </c>
      <c r="H17" s="58">
        <f>輸入!K5</f>
        <v>29.53</v>
      </c>
      <c r="I17" s="73"/>
    </row>
    <row r="18" spans="6:18">
      <c r="F18" s="1" t="s">
        <v>61</v>
      </c>
      <c r="G18" s="1">
        <v>3</v>
      </c>
      <c r="H18" s="1">
        <v>5</v>
      </c>
      <c r="I18" s="1">
        <v>10</v>
      </c>
    </row>
    <row r="19" spans="6:18">
      <c r="F19" s="70" t="s">
        <v>58</v>
      </c>
      <c r="G19" s="67" t="e">
        <f>(1+AVERAGE(輸入!L20:'輸入'!L30)/100)</f>
        <v>#DIV/0!</v>
      </c>
      <c r="H19" s="67" t="e">
        <f>(1+AVERAGE(輸入!N20:'輸入'!N28)/100)</f>
        <v>#DIV/0!</v>
      </c>
      <c r="I19" s="67" t="e">
        <f>(1+AVERAGE(輸入!S20:'輸入'!S23)/100)</f>
        <v>#DIV/0!</v>
      </c>
    </row>
    <row r="20" spans="6:18">
      <c r="F20" s="70" t="s">
        <v>53</v>
      </c>
      <c r="G20" s="67">
        <f>ROUND((1+$I16/100)^G1,2)</f>
        <v>1.02</v>
      </c>
      <c r="H20" s="67">
        <f>ROUND((1+$I16/100)^I1,2)</f>
        <v>1.04</v>
      </c>
      <c r="I20" s="67">
        <f>ROUND((1+$I16/100)^N1,2)</f>
        <v>1.08</v>
      </c>
    </row>
    <row r="21" spans="6:18" ht="25">
      <c r="F21" s="70" t="s">
        <v>41</v>
      </c>
      <c r="G21" s="71" t="e">
        <f t="shared" ref="G21:I22" si="6">$H16*G$20*$G16*G$19</f>
        <v>#DIV/0!</v>
      </c>
      <c r="H21" s="71" t="e">
        <f t="shared" si="6"/>
        <v>#DIV/0!</v>
      </c>
      <c r="I21" s="71" t="e">
        <f t="shared" si="6"/>
        <v>#DIV/0!</v>
      </c>
    </row>
    <row r="22" spans="6:18">
      <c r="F22" s="70" t="s">
        <v>59</v>
      </c>
      <c r="G22" s="72" t="e">
        <f t="shared" si="6"/>
        <v>#DIV/0!</v>
      </c>
      <c r="H22" s="72" t="e">
        <f t="shared" si="6"/>
        <v>#DIV/0!</v>
      </c>
      <c r="I22" s="72" t="e">
        <f t="shared" si="6"/>
        <v>#DIV/0!</v>
      </c>
    </row>
    <row r="23" spans="6:18" ht="25">
      <c r="F23" s="70" t="s">
        <v>60</v>
      </c>
      <c r="G23" s="71" t="e">
        <f>G22*(1.05)^3</f>
        <v>#DIV/0!</v>
      </c>
      <c r="H23" s="71" t="e">
        <f>H22*(1.05)^5</f>
        <v>#DIV/0!</v>
      </c>
      <c r="I23" s="71" t="e">
        <f>I22*(1.05)^10</f>
        <v>#DIV/0!</v>
      </c>
    </row>
    <row r="27" spans="6:18">
      <c r="F27" s="62" t="s">
        <v>64</v>
      </c>
      <c r="G27" s="82" t="e">
        <f>ROUND(I19-1,2)*100</f>
        <v>#DIV/0!</v>
      </c>
      <c r="H27" s="81" t="e">
        <f>ROUND(H19-1,2)*100</f>
        <v>#DIV/0!</v>
      </c>
      <c r="I27" s="81" t="e">
        <f>ROUND(G19-1,2)*100</f>
        <v>#DIV/0!</v>
      </c>
      <c r="J27" s="86" t="e">
        <f>G27-I27</f>
        <v>#DIV/0!</v>
      </c>
    </row>
    <row r="28" spans="6:18">
      <c r="G28" s="179" t="e">
        <f>G27-H27</f>
        <v>#DIV/0!</v>
      </c>
      <c r="H28" s="180"/>
      <c r="I28" s="83" t="e">
        <f>ROUND(I21-H21,1)</f>
        <v>#DIV/0!</v>
      </c>
    </row>
    <row r="29" spans="6:18">
      <c r="H29" s="181" t="e">
        <f>H27-I27</f>
        <v>#DIV/0!</v>
      </c>
      <c r="I29" s="181"/>
      <c r="J29" s="84" t="e">
        <f>ROUND(H21-G21,1)</f>
        <v>#DIV/0!</v>
      </c>
      <c r="K29" s="85" t="e">
        <f>ROUND(AVERAGE(I28,J29),0)*2</f>
        <v>#DIV/0!</v>
      </c>
      <c r="M29" s="1" t="s">
        <v>65</v>
      </c>
      <c r="N29" s="1">
        <v>5</v>
      </c>
      <c r="O29" s="1">
        <v>10</v>
      </c>
      <c r="P29" s="1">
        <v>15</v>
      </c>
      <c r="Q29" s="1">
        <v>20</v>
      </c>
    </row>
    <row r="30" spans="6:18">
      <c r="G30" s="29"/>
      <c r="H30" s="29"/>
      <c r="L30" s="87" t="e">
        <f>ROUND(K29/J27,2)</f>
        <v>#DIV/0!</v>
      </c>
      <c r="M30" s="1" t="s">
        <v>66</v>
      </c>
      <c r="N30" s="88" t="e">
        <f>$H21-($H$27-N29)*$L$30</f>
        <v>#DIV/0!</v>
      </c>
      <c r="O30" s="88" t="e">
        <f>$H21-($H$27-O29)*$L$30</f>
        <v>#DIV/0!</v>
      </c>
      <c r="P30" s="88" t="e">
        <f>$H21-($H$27-P29)*$L$30</f>
        <v>#DIV/0!</v>
      </c>
      <c r="Q30" s="88" t="e">
        <f>$H21-($H$27-Q29)*$L$30</f>
        <v>#DIV/0!</v>
      </c>
    </row>
    <row r="31" spans="6:18">
      <c r="G31" s="29"/>
      <c r="H31" s="29"/>
    </row>
    <row r="32" spans="6:18">
      <c r="G32" s="29"/>
      <c r="H32" s="29"/>
      <c r="I32" s="90"/>
      <c r="J32" s="89"/>
      <c r="K32" s="89"/>
      <c r="L32" s="90"/>
      <c r="M32" s="90"/>
      <c r="N32" s="90"/>
      <c r="O32" s="90"/>
      <c r="P32" s="90"/>
      <c r="Q32" s="90"/>
      <c r="R32" s="90"/>
    </row>
    <row r="33" spans="6:18">
      <c r="G33" s="29"/>
      <c r="H33" s="29"/>
      <c r="I33" s="89"/>
      <c r="J33" s="90"/>
      <c r="K33" s="89"/>
      <c r="L33" s="90"/>
      <c r="M33" s="90"/>
      <c r="N33" s="90"/>
      <c r="O33" s="90"/>
      <c r="P33" s="90"/>
      <c r="Q33" s="90"/>
      <c r="R33" s="90"/>
    </row>
    <row r="34" spans="6:18">
      <c r="F34" s="66"/>
      <c r="G34" s="66"/>
      <c r="H34" s="91"/>
      <c r="I34" s="91"/>
      <c r="J34" s="89"/>
      <c r="K34" s="89"/>
      <c r="L34" s="90"/>
      <c r="M34" s="90"/>
      <c r="N34" s="90"/>
      <c r="O34" s="90"/>
      <c r="P34" s="90"/>
      <c r="Q34" s="90"/>
      <c r="R34" s="90"/>
    </row>
    <row r="35" spans="6:18">
      <c r="H35" s="89"/>
      <c r="I35" s="89"/>
      <c r="J35" s="89"/>
      <c r="K35" s="89"/>
      <c r="L35" s="90"/>
      <c r="M35" s="90"/>
      <c r="N35" s="90"/>
      <c r="O35" s="90"/>
      <c r="P35" s="90"/>
      <c r="Q35" s="90"/>
      <c r="R35" s="90"/>
    </row>
    <row r="36" spans="6:18">
      <c r="H36" s="89"/>
      <c r="I36" s="89"/>
      <c r="J36" s="89"/>
      <c r="K36" s="89"/>
      <c r="L36" s="90"/>
      <c r="M36" s="90"/>
      <c r="N36" s="90"/>
      <c r="O36" s="90"/>
      <c r="P36" s="90"/>
      <c r="Q36" s="90"/>
      <c r="R36" s="90"/>
    </row>
    <row r="37" spans="6:18">
      <c r="L37" s="90"/>
      <c r="M37" s="90"/>
      <c r="N37" s="90"/>
      <c r="O37" s="90"/>
      <c r="P37" s="90"/>
      <c r="Q37" s="90"/>
      <c r="R37" s="90"/>
    </row>
    <row r="38" spans="6:18">
      <c r="L38" s="90"/>
      <c r="M38" s="90"/>
      <c r="N38" s="90"/>
      <c r="O38" s="90"/>
      <c r="P38" s="90"/>
      <c r="Q38" s="90"/>
      <c r="R38" s="90"/>
    </row>
    <row r="39" spans="6:18">
      <c r="L39" s="90"/>
      <c r="M39" s="90"/>
      <c r="N39" s="90"/>
      <c r="O39" s="90"/>
      <c r="P39" s="90"/>
      <c r="Q39" s="90"/>
      <c r="R39" s="90"/>
    </row>
  </sheetData>
  <mergeCells count="3">
    <mergeCell ref="F2:F12"/>
    <mergeCell ref="G28:H28"/>
    <mergeCell ref="H29:I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查詢網站</vt:lpstr>
      <vt:lpstr>輸入</vt:lpstr>
      <vt:lpstr>工作表1</vt:lpstr>
      <vt:lpstr>現金流量折現法(PE+EPS)</vt:lpstr>
      <vt:lpstr>EPS &amp; PE 成長率法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2022-04-29T16:18:56Z</dcterms:created>
  <dcterms:modified xsi:type="dcterms:W3CDTF">2022-07-22T07:47:52Z</dcterms:modified>
</cp:coreProperties>
</file>