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3895" windowHeight="8955"/>
  </bookViews>
  <sheets>
    <sheet name="PL CGS;18" sheetId="1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B50" i="1"/>
  <c r="W34"/>
  <c r="X32"/>
  <c r="F29"/>
  <c r="H37" s="1"/>
  <c r="D29"/>
  <c r="L26"/>
  <c r="V26" s="1"/>
  <c r="J26"/>
  <c r="H26"/>
  <c r="P26" s="1"/>
  <c r="P25"/>
  <c r="L25"/>
  <c r="V25" s="1"/>
  <c r="J25"/>
  <c r="H25"/>
  <c r="P24"/>
  <c r="L24"/>
  <c r="V24" s="1"/>
  <c r="J24"/>
  <c r="H24"/>
  <c r="P23"/>
  <c r="L23"/>
  <c r="V23" s="1"/>
  <c r="J23"/>
  <c r="H23"/>
  <c r="P22"/>
  <c r="L22"/>
  <c r="L20" s="1"/>
  <c r="V20" s="1"/>
  <c r="J22"/>
  <c r="H22"/>
  <c r="H20" s="1"/>
  <c r="P21"/>
  <c r="L21"/>
  <c r="V21" s="1"/>
  <c r="J21"/>
  <c r="H21"/>
  <c r="T20"/>
  <c r="S20"/>
  <c r="N20"/>
  <c r="J20"/>
  <c r="V18"/>
  <c r="U18"/>
  <c r="T18"/>
  <c r="H18"/>
  <c r="V17"/>
  <c r="U17"/>
  <c r="V16"/>
  <c r="U16"/>
  <c r="H16"/>
  <c r="P16" s="1"/>
  <c r="V15"/>
  <c r="U15"/>
  <c r="P15"/>
  <c r="H15"/>
  <c r="Z15" s="1"/>
  <c r="Z14"/>
  <c r="N14"/>
  <c r="L14"/>
  <c r="V14" s="1"/>
  <c r="J14"/>
  <c r="U14" s="1"/>
  <c r="H14"/>
  <c r="P14" s="1"/>
  <c r="N13"/>
  <c r="N28" s="1"/>
  <c r="N29" s="1"/>
  <c r="L13"/>
  <c r="L28" s="1"/>
  <c r="J13"/>
  <c r="U13" s="1"/>
  <c r="T11"/>
  <c r="T9"/>
  <c r="Q29" l="1"/>
  <c r="L29"/>
  <c r="P20"/>
  <c r="V13"/>
  <c r="Z16"/>
  <c r="V22"/>
  <c r="U25"/>
  <c r="U26"/>
  <c r="J29"/>
  <c r="H13"/>
  <c r="AA22"/>
  <c r="AA33"/>
  <c r="H29" l="1"/>
  <c r="P28"/>
</calcChain>
</file>

<file path=xl/sharedStrings.xml><?xml version="1.0" encoding="utf-8"?>
<sst xmlns="http://schemas.openxmlformats.org/spreadsheetml/2006/main" count="47" uniqueCount="43">
  <si>
    <t xml:space="preserve"> CHITTAGONG GOLDEN SERVICES LIMITED</t>
  </si>
  <si>
    <t>(DHAKA BRANCH)</t>
  </si>
  <si>
    <t xml:space="preserve">Statement of Profit or Loss and other Comprehensive Income </t>
  </si>
  <si>
    <t>For the year ended 30th June 2018</t>
  </si>
  <si>
    <t>NOTES</t>
  </si>
  <si>
    <t>2018</t>
  </si>
  <si>
    <t>2017</t>
  </si>
  <si>
    <t>01.09.2015</t>
  </si>
  <si>
    <t xml:space="preserve">01.09.2014  </t>
  </si>
  <si>
    <t>B D</t>
  </si>
  <si>
    <t xml:space="preserve">to    </t>
  </si>
  <si>
    <t>01.09.2014</t>
  </si>
  <si>
    <t>PARTICULARS:</t>
  </si>
  <si>
    <t>30.06.2016</t>
  </si>
  <si>
    <t>31.08.2015</t>
  </si>
  <si>
    <t>2014</t>
  </si>
  <si>
    <t>2013</t>
  </si>
  <si>
    <t>2015</t>
  </si>
  <si>
    <t xml:space="preserve"> 30.06.2016</t>
  </si>
  <si>
    <t>INCOME:</t>
  </si>
  <si>
    <t>Tuition Fees</t>
  </si>
  <si>
    <t>Admission Fees</t>
  </si>
  <si>
    <t>Annual Miscellaneous Charges</t>
  </si>
  <si>
    <t>Late Fine</t>
  </si>
  <si>
    <t>Bank Interest</t>
  </si>
  <si>
    <t>EXPENDITURE:</t>
  </si>
  <si>
    <t>Administrative Expenses</t>
  </si>
  <si>
    <t>6.00</t>
  </si>
  <si>
    <t>Educational  and Cultural Expenses</t>
  </si>
  <si>
    <t>7.00</t>
  </si>
  <si>
    <t>Sports &amp; School Events</t>
  </si>
  <si>
    <t>8.00</t>
  </si>
  <si>
    <t>Science &amp; Laboratory Expenses</t>
  </si>
  <si>
    <t>9.00</t>
  </si>
  <si>
    <t>Other Expenses</t>
  </si>
  <si>
    <t>10.00</t>
  </si>
  <si>
    <t>Depreciation Expenses</t>
  </si>
  <si>
    <t>Net Profit for the year transferred to the Retained Earnings</t>
  </si>
  <si>
    <r>
      <t>Note</t>
    </r>
    <r>
      <rPr>
        <sz val="11"/>
        <rFont val="Verdana"/>
        <family val="2"/>
      </rPr>
      <t>: The annexed notes form an integral part of these financial statements.</t>
    </r>
  </si>
  <si>
    <t>=E29-E33</t>
  </si>
  <si>
    <t xml:space="preserve">                    MANAGING DIRECTOR.............................                   DIRECTOR………………...  </t>
  </si>
  <si>
    <t>SHAFIQ BASAK &amp; CO.</t>
  </si>
  <si>
    <t>CHARTERED ACCOUNTANTS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</si>
</sst>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name val="Verdana"/>
      <family val="2"/>
    </font>
    <font>
      <b/>
      <u/>
      <sz val="11"/>
      <color indexed="9"/>
      <name val="Verdana"/>
      <family val="2"/>
    </font>
    <font>
      <sz val="11"/>
      <color indexed="9"/>
      <name val="Verdana"/>
      <family val="2"/>
    </font>
    <font>
      <sz val="11"/>
      <color indexed="10"/>
      <name val="Verdana"/>
      <family val="2"/>
    </font>
    <font>
      <sz val="11"/>
      <name val="Verdana"/>
      <family val="2"/>
    </font>
    <font>
      <b/>
      <u/>
      <sz val="11"/>
      <color indexed="8"/>
      <name val="Verdana"/>
      <family val="2"/>
    </font>
    <font>
      <b/>
      <sz val="11"/>
      <name val="Verdana"/>
      <family val="2"/>
    </font>
    <font>
      <b/>
      <sz val="11"/>
      <color indexed="10"/>
      <name val="Verdana"/>
      <family val="2"/>
    </font>
    <font>
      <sz val="11"/>
      <name val="Arial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1" applyFont="1" applyFill="1" applyAlignment="1"/>
    <xf numFmtId="0" fontId="2" fillId="0" borderId="0" xfId="1" applyFont="1" applyFill="1" applyBorder="1" applyAlignment="1">
      <alignment horizontal="center"/>
    </xf>
    <xf numFmtId="0" fontId="3" fillId="0" borderId="0" xfId="1" applyFont="1" applyFill="1" applyAlignment="1"/>
    <xf numFmtId="0" fontId="4" fillId="0" borderId="0" xfId="1" applyFont="1" applyFill="1"/>
    <xf numFmtId="164" fontId="5" fillId="0" borderId="0" xfId="2" applyNumberFormat="1" applyFont="1" applyFill="1"/>
    <xf numFmtId="43" fontId="5" fillId="0" borderId="0" xfId="2" applyFont="1" applyFill="1"/>
    <xf numFmtId="0" fontId="5" fillId="0" borderId="0" xfId="1" applyFont="1" applyFill="1"/>
    <xf numFmtId="0" fontId="6" fillId="0" borderId="0" xfId="1" applyFont="1" applyFill="1"/>
    <xf numFmtId="0" fontId="6" fillId="0" borderId="0" xfId="1" applyFont="1"/>
    <xf numFmtId="0" fontId="7" fillId="0" borderId="0" xfId="1" applyFont="1" applyFill="1" applyAlignment="1">
      <alignment horizontal="center"/>
    </xf>
    <xf numFmtId="0" fontId="7" fillId="0" borderId="0" xfId="1" applyFont="1" applyFill="1" applyAlignment="1"/>
    <xf numFmtId="0" fontId="7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164" fontId="6" fillId="0" borderId="0" xfId="2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4" fillId="0" borderId="0" xfId="1" applyFont="1"/>
    <xf numFmtId="164" fontId="5" fillId="0" borderId="0" xfId="2" applyNumberFormat="1" applyFont="1"/>
    <xf numFmtId="43" fontId="5" fillId="0" borderId="0" xfId="2" applyFont="1"/>
    <xf numFmtId="0" fontId="5" fillId="0" borderId="0" xfId="1" applyFont="1"/>
    <xf numFmtId="49" fontId="6" fillId="0" borderId="0" xfId="1" applyNumberFormat="1" applyFont="1"/>
    <xf numFmtId="164" fontId="6" fillId="0" borderId="0" xfId="2" applyNumberFormat="1" applyFont="1"/>
    <xf numFmtId="0" fontId="6" fillId="0" borderId="0" xfId="1" applyFont="1" applyBorder="1"/>
    <xf numFmtId="164" fontId="5" fillId="0" borderId="1" xfId="2" applyNumberFormat="1" applyFont="1" applyBorder="1"/>
    <xf numFmtId="49" fontId="8" fillId="0" borderId="2" xfId="1" applyNumberFormat="1" applyFont="1" applyBorder="1" applyAlignment="1">
      <alignment horizontal="center" vertical="center"/>
    </xf>
    <xf numFmtId="164" fontId="8" fillId="0" borderId="2" xfId="2" quotePrefix="1" applyNumberFormat="1" applyFont="1" applyBorder="1" applyAlignment="1">
      <alignment horizontal="center" vertical="center"/>
    </xf>
    <xf numFmtId="49" fontId="8" fillId="0" borderId="0" xfId="1" applyNumberFormat="1" applyFont="1" applyBorder="1" applyAlignment="1">
      <alignment horizontal="center"/>
    </xf>
    <xf numFmtId="49" fontId="6" fillId="0" borderId="0" xfId="1" applyNumberFormat="1" applyFont="1" applyBorder="1"/>
    <xf numFmtId="164" fontId="8" fillId="0" borderId="2" xfId="2" applyNumberFormat="1" applyFont="1" applyBorder="1" applyAlignment="1">
      <alignment horizontal="center"/>
    </xf>
    <xf numFmtId="164" fontId="5" fillId="0" borderId="3" xfId="2" applyNumberFormat="1" applyFont="1" applyBorder="1"/>
    <xf numFmtId="49" fontId="8" fillId="0" borderId="1" xfId="1" applyNumberFormat="1" applyFont="1" applyBorder="1" applyAlignment="1">
      <alignment horizontal="center" vertical="center"/>
    </xf>
    <xf numFmtId="164" fontId="8" fillId="0" borderId="1" xfId="2" quotePrefix="1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/>
    </xf>
    <xf numFmtId="164" fontId="5" fillId="0" borderId="0" xfId="2" applyNumberFormat="1" applyFont="1" applyBorder="1"/>
    <xf numFmtId="164" fontId="8" fillId="0" borderId="0" xfId="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right"/>
    </xf>
    <xf numFmtId="164" fontId="8" fillId="0" borderId="0" xfId="2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49" fontId="8" fillId="0" borderId="3" xfId="1" applyNumberFormat="1" applyFont="1" applyBorder="1" applyAlignment="1">
      <alignment horizontal="center" vertical="center"/>
    </xf>
    <xf numFmtId="164" fontId="8" fillId="0" borderId="3" xfId="2" quotePrefix="1" applyNumberFormat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/>
    </xf>
    <xf numFmtId="164" fontId="8" fillId="0" borderId="4" xfId="2" quotePrefix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4" xfId="1" quotePrefix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49" fontId="6" fillId="0" borderId="0" xfId="2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/>
    </xf>
    <xf numFmtId="164" fontId="6" fillId="0" borderId="0" xfId="2" applyNumberFormat="1" applyFont="1" applyAlignment="1">
      <alignment horizontal="left"/>
    </xf>
    <xf numFmtId="43" fontId="8" fillId="0" borderId="0" xfId="2" applyFont="1" applyBorder="1" applyAlignment="1">
      <alignment horizontal="center"/>
    </xf>
    <xf numFmtId="43" fontId="6" fillId="0" borderId="0" xfId="2" applyFont="1" applyAlignment="1">
      <alignment horizontal="left"/>
    </xf>
    <xf numFmtId="0" fontId="2" fillId="0" borderId="0" xfId="1" applyFont="1"/>
    <xf numFmtId="49" fontId="6" fillId="0" borderId="0" xfId="1" quotePrefix="1" applyNumberFormat="1" applyFont="1" applyAlignment="1">
      <alignment horizontal="center"/>
    </xf>
    <xf numFmtId="164" fontId="6" fillId="0" borderId="0" xfId="2" quotePrefix="1" applyNumberFormat="1" applyFont="1" applyAlignment="1">
      <alignment horizontal="center"/>
    </xf>
    <xf numFmtId="164" fontId="6" fillId="0" borderId="0" xfId="2" applyNumberFormat="1" applyFont="1" applyBorder="1"/>
    <xf numFmtId="3" fontId="4" fillId="0" borderId="0" xfId="1" applyNumberFormat="1" applyFont="1"/>
    <xf numFmtId="43" fontId="9" fillId="0" borderId="0" xfId="2" applyFont="1"/>
    <xf numFmtId="164" fontId="5" fillId="0" borderId="0" xfId="1" applyNumberFormat="1" applyFont="1"/>
    <xf numFmtId="164" fontId="8" fillId="0" borderId="0" xfId="1" applyNumberFormat="1" applyFont="1" applyBorder="1"/>
    <xf numFmtId="164" fontId="6" fillId="0" borderId="2" xfId="2" applyNumberFormat="1" applyFont="1" applyBorder="1"/>
    <xf numFmtId="164" fontId="6" fillId="0" borderId="2" xfId="2" quotePrefix="1" applyNumberFormat="1" applyFont="1" applyBorder="1" applyAlignment="1">
      <alignment horizontal="center"/>
    </xf>
    <xf numFmtId="164" fontId="6" fillId="0" borderId="2" xfId="2" applyNumberFormat="1" applyFont="1" applyBorder="1" applyAlignment="1">
      <alignment horizontal="left"/>
    </xf>
    <xf numFmtId="43" fontId="5" fillId="0" borderId="0" xfId="2" applyFont="1" applyBorder="1"/>
    <xf numFmtId="164" fontId="9" fillId="0" borderId="0" xfId="2" applyNumberFormat="1" applyFont="1" applyBorder="1"/>
    <xf numFmtId="164" fontId="6" fillId="0" borderId="0" xfId="1" applyNumberFormat="1" applyFont="1"/>
    <xf numFmtId="164" fontId="6" fillId="0" borderId="1" xfId="2" applyNumberFormat="1" applyFont="1" applyBorder="1" applyAlignment="1">
      <alignment horizontal="center"/>
    </xf>
    <xf numFmtId="164" fontId="6" fillId="0" borderId="1" xfId="2" quotePrefix="1" applyNumberFormat="1" applyFont="1" applyBorder="1" applyAlignment="1">
      <alignment horizontal="center"/>
    </xf>
    <xf numFmtId="164" fontId="6" fillId="0" borderId="1" xfId="2" applyNumberFormat="1" applyFont="1" applyBorder="1" applyAlignment="1">
      <alignment horizontal="left"/>
    </xf>
    <xf numFmtId="164" fontId="4" fillId="0" borderId="1" xfId="2" applyNumberFormat="1" applyFont="1" applyBorder="1" applyAlignment="1">
      <alignment horizontal="left"/>
    </xf>
    <xf numFmtId="164" fontId="6" fillId="0" borderId="3" xfId="2" applyNumberFormat="1" applyFont="1" applyBorder="1" applyAlignment="1">
      <alignment horizontal="center"/>
    </xf>
    <xf numFmtId="164" fontId="10" fillId="0" borderId="3" xfId="2" applyNumberFormat="1" applyFont="1" applyFill="1" applyBorder="1"/>
    <xf numFmtId="164" fontId="6" fillId="0" borderId="3" xfId="2" quotePrefix="1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left"/>
    </xf>
    <xf numFmtId="164" fontId="6" fillId="0" borderId="0" xfId="1" applyNumberFormat="1" applyFont="1" applyBorder="1"/>
    <xf numFmtId="3" fontId="4" fillId="0" borderId="5" xfId="1" applyNumberFormat="1" applyFont="1" applyBorder="1"/>
    <xf numFmtId="3" fontId="6" fillId="0" borderId="0" xfId="1" applyNumberFormat="1" applyFont="1"/>
    <xf numFmtId="164" fontId="6" fillId="2" borderId="2" xfId="2" applyNumberFormat="1" applyFont="1" applyFill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165" fontId="6" fillId="0" borderId="0" xfId="2" applyNumberFormat="1" applyFont="1"/>
    <xf numFmtId="164" fontId="6" fillId="2" borderId="1" xfId="2" applyNumberFormat="1" applyFont="1" applyFill="1" applyBorder="1" applyAlignment="1">
      <alignment horizontal="center"/>
    </xf>
    <xf numFmtId="164" fontId="6" fillId="0" borderId="1" xfId="2" applyNumberFormat="1" applyFont="1" applyBorder="1"/>
    <xf numFmtId="164" fontId="6" fillId="0" borderId="0" xfId="2" applyNumberFormat="1" applyFont="1" applyBorder="1" applyAlignment="1">
      <alignment horizontal="justify" vertical="justify"/>
    </xf>
    <xf numFmtId="164" fontId="6" fillId="0" borderId="3" xfId="2" applyNumberFormat="1" applyFont="1" applyBorder="1" applyAlignment="1">
      <alignment horizontal="justify" vertical="justify"/>
    </xf>
    <xf numFmtId="164" fontId="8" fillId="0" borderId="6" xfId="2" applyNumberFormat="1" applyFont="1" applyBorder="1"/>
    <xf numFmtId="0" fontId="8" fillId="0" borderId="0" xfId="1" applyFont="1"/>
    <xf numFmtId="0" fontId="11" fillId="0" borderId="0" xfId="1" applyFont="1"/>
    <xf numFmtId="43" fontId="8" fillId="0" borderId="0" xfId="2" applyFont="1" applyAlignment="1">
      <alignment horizontal="right"/>
    </xf>
    <xf numFmtId="164" fontId="8" fillId="0" borderId="0" xfId="2" applyNumberFormat="1" applyFont="1" applyBorder="1"/>
    <xf numFmtId="164" fontId="4" fillId="0" borderId="0" xfId="1" applyNumberFormat="1" applyFont="1"/>
    <xf numFmtId="49" fontId="6" fillId="0" borderId="0" xfId="2" applyNumberFormat="1" applyFont="1" applyAlignment="1">
      <alignment horizontal="left"/>
    </xf>
    <xf numFmtId="164" fontId="5" fillId="0" borderId="0" xfId="2" applyNumberFormat="1" applyFont="1" applyAlignment="1">
      <alignment horizontal="left"/>
    </xf>
    <xf numFmtId="43" fontId="6" fillId="0" borderId="0" xfId="2" applyFont="1"/>
    <xf numFmtId="164" fontId="4" fillId="0" borderId="6" xfId="2" applyNumberFormat="1" applyFont="1" applyBorder="1"/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43" fontId="6" fillId="0" borderId="0" xfId="2" applyFont="1" applyBorder="1"/>
    <xf numFmtId="3" fontId="5" fillId="0" borderId="0" xfId="1" applyNumberFormat="1" applyFont="1"/>
    <xf numFmtId="43" fontId="4" fillId="0" borderId="0" xfId="2" applyFont="1"/>
    <xf numFmtId="49" fontId="4" fillId="0" borderId="0" xfId="1" applyNumberFormat="1" applyFont="1"/>
    <xf numFmtId="164" fontId="4" fillId="0" borderId="0" xfId="2" applyNumberFormat="1" applyFont="1"/>
    <xf numFmtId="2" fontId="5" fillId="0" borderId="0" xfId="2" applyNumberFormat="1" applyFont="1"/>
    <xf numFmtId="49" fontId="5" fillId="0" borderId="0" xfId="1" applyNumberFormat="1" applyFont="1"/>
    <xf numFmtId="0" fontId="8" fillId="0" borderId="0" xfId="1" applyFont="1" applyAlignment="1">
      <alignment horizontal="center"/>
    </xf>
    <xf numFmtId="0" fontId="9" fillId="0" borderId="0" xfId="1" applyFont="1" applyAlignment="1"/>
    <xf numFmtId="0" fontId="8" fillId="0" borderId="0" xfId="1" applyFont="1" applyAlignment="1"/>
    <xf numFmtId="0" fontId="6" fillId="0" borderId="0" xfId="1" applyFont="1" applyAlignment="1">
      <alignment horizontal="center"/>
    </xf>
    <xf numFmtId="0" fontId="5" fillId="0" borderId="0" xfId="1" applyFont="1" applyAlignment="1"/>
    <xf numFmtId="0" fontId="6" fillId="0" borderId="0" xfId="1" applyFont="1" applyAlignment="1"/>
  </cellXfs>
  <cellStyles count="6">
    <cellStyle name="Comma 10" xfId="3"/>
    <cellStyle name="Comma 12" xfId="4"/>
    <cellStyle name="Comma 2" xfId="2"/>
    <cellStyle name="Normal" xfId="0" builtinId="0"/>
    <cellStyle name="Normal 2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_/DB/DB-2018/CGS%20DB%20Extra%20Working%202014-15%20-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Chart%20of%20Accounts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CGS-DB%20%2030.06.2018%20(Accounts)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k Analysis 22115"/>
      <sheetName val="AC 21936"/>
      <sheetName val="AC 30113"/>
      <sheetName val="Adv.Rent"/>
      <sheetName val="TRF &amp; Outclear 22115"/>
      <sheetName val="22115 old"/>
      <sheetName val="Sheet1"/>
    </sheetNames>
    <sheetDataSet>
      <sheetData sheetId="0">
        <row r="21">
          <cell r="D21">
            <v>122136264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S CGS;18"/>
      <sheetName val="PL CGS;18"/>
      <sheetName val="FA Tax 2018"/>
      <sheetName val="Notes CGS DB'18"/>
    </sheetNames>
    <sheetDataSet>
      <sheetData sheetId="0">
        <row r="29">
          <cell r="K29">
            <v>898940</v>
          </cell>
        </row>
        <row r="34">
          <cell r="K34">
            <v>4188500</v>
          </cell>
        </row>
        <row r="35">
          <cell r="K35">
            <v>3347400</v>
          </cell>
        </row>
        <row r="36">
          <cell r="K36">
            <v>10790000</v>
          </cell>
        </row>
        <row r="62">
          <cell r="B62" t="str">
            <v xml:space="preserve">Chittagong: November 20, 2018   </v>
          </cell>
        </row>
      </sheetData>
      <sheetData sheetId="1"/>
      <sheetData sheetId="2"/>
      <sheetData sheetId="3">
        <row r="82">
          <cell r="I82">
            <v>85381514.603999972</v>
          </cell>
          <cell r="K82">
            <v>89265419.099999994</v>
          </cell>
          <cell r="M82">
            <v>76890540</v>
          </cell>
          <cell r="Z82">
            <v>89297539.270666644</v>
          </cell>
        </row>
        <row r="102">
          <cell r="I102">
            <v>5970198.1280000005</v>
          </cell>
          <cell r="K102">
            <v>7041943.8900000015</v>
          </cell>
          <cell r="M102">
            <v>6466021</v>
          </cell>
          <cell r="Z102">
            <v>6478588.378800001</v>
          </cell>
        </row>
        <row r="110">
          <cell r="I110">
            <v>3008588.14</v>
          </cell>
          <cell r="K110">
            <v>3629102</v>
          </cell>
          <cell r="M110">
            <v>3300090</v>
          </cell>
          <cell r="Z110">
            <v>2068588.14</v>
          </cell>
        </row>
        <row r="117">
          <cell r="I117">
            <v>2446314.4153999998</v>
          </cell>
          <cell r="K117">
            <v>2838473.13</v>
          </cell>
          <cell r="M117">
            <v>2557183</v>
          </cell>
          <cell r="Z117">
            <v>1646314.4154000001</v>
          </cell>
        </row>
        <row r="130">
          <cell r="I130">
            <v>2940236.2479999997</v>
          </cell>
          <cell r="K130">
            <v>3246925.0500000003</v>
          </cell>
          <cell r="M130">
            <v>2873385</v>
          </cell>
          <cell r="Z130">
            <v>1940235.5289999999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S CGS;16"/>
      <sheetName val="PL CGS;16"/>
      <sheetName val="FA Tax 2016"/>
      <sheetName val="Notes CGS DB'16"/>
      <sheetName val="Credit Side"/>
      <sheetName val="Sheet2"/>
      <sheetName val="Bank details"/>
      <sheetName val="RP AC"/>
      <sheetName val="Sheet1"/>
      <sheetName val="RP"/>
      <sheetName val="FA (Tax) 14"/>
      <sheetName val="RP Aug16"/>
      <sheetName val="BS"/>
      <sheetName val="BSs"/>
      <sheetName val="PL"/>
      <sheetName val="Note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1">
          <cell r="H31">
            <v>1626841.79941875</v>
          </cell>
        </row>
        <row r="113">
          <cell r="H113">
            <v>1312596.9083749999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AD52"/>
  <sheetViews>
    <sheetView tabSelected="1" topLeftCell="A7" zoomScale="115" zoomScaleNormal="115" zoomScaleSheetLayoutView="100" workbookViewId="0">
      <selection activeCell="B52" sqref="B52"/>
    </sheetView>
  </sheetViews>
  <sheetFormatPr defaultRowHeight="15" customHeight="1"/>
  <cols>
    <col min="1" max="1" width="6.140625" style="10" customWidth="1"/>
    <col min="2" max="2" width="49.140625" style="10" customWidth="1"/>
    <col min="3" max="3" width="9.5703125" style="24" customWidth="1"/>
    <col min="4" max="4" width="21.5703125" style="24" customWidth="1"/>
    <col min="5" max="5" width="0.85546875" style="24" customWidth="1"/>
    <col min="6" max="6" width="22.85546875" style="24" customWidth="1"/>
    <col min="7" max="7" width="1.140625" style="24" hidden="1" customWidth="1"/>
    <col min="8" max="8" width="20.5703125" style="25" hidden="1" customWidth="1"/>
    <col min="9" max="9" width="0.7109375" style="24" hidden="1" customWidth="1"/>
    <col min="10" max="10" width="17.28515625" style="25" hidden="1" customWidth="1"/>
    <col min="11" max="11" width="1.28515625" style="24" hidden="1" customWidth="1"/>
    <col min="12" max="12" width="18.140625" style="25" hidden="1" customWidth="1"/>
    <col min="13" max="13" width="1.42578125" style="10" hidden="1" customWidth="1"/>
    <col min="14" max="14" width="15.85546875" style="10" hidden="1" customWidth="1"/>
    <col min="15" max="15" width="1.85546875" style="26" hidden="1" customWidth="1"/>
    <col min="16" max="16" width="17.85546875" style="26" hidden="1" customWidth="1"/>
    <col min="17" max="17" width="13.5703125" style="20" hidden="1" customWidth="1"/>
    <col min="18" max="18" width="9.140625" style="20" hidden="1" customWidth="1"/>
    <col min="19" max="19" width="13.140625" style="20" hidden="1" customWidth="1"/>
    <col min="20" max="20" width="21.42578125" style="21" hidden="1" customWidth="1"/>
    <col min="21" max="21" width="13.42578125" style="22" hidden="1" customWidth="1"/>
    <col min="22" max="22" width="13.5703125" style="22" hidden="1" customWidth="1"/>
    <col min="23" max="23" width="10.7109375" style="22" hidden="1" customWidth="1"/>
    <col min="24" max="24" width="13.28515625" style="23" hidden="1" customWidth="1"/>
    <col min="25" max="25" width="0.5703125" style="10" customWidth="1"/>
    <col min="26" max="26" width="17.28515625" style="10" hidden="1" customWidth="1"/>
    <col min="27" max="27" width="15.5703125" style="10" hidden="1" customWidth="1"/>
    <col min="28" max="30" width="9.140625" style="10" hidden="1" customWidth="1"/>
    <col min="31" max="16384" width="9.140625" style="10"/>
  </cols>
  <sheetData>
    <row r="1" spans="1:28" ht="18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3"/>
      <c r="Q1" s="4"/>
      <c r="R1" s="4"/>
      <c r="S1" s="5"/>
      <c r="T1" s="6"/>
      <c r="U1" s="7"/>
      <c r="V1" s="7"/>
      <c r="W1" s="7"/>
      <c r="X1" s="8"/>
      <c r="Y1" s="9"/>
      <c r="Z1" s="9"/>
    </row>
    <row r="2" spans="1:28" ht="18" customHeight="1">
      <c r="A2" s="11" t="s">
        <v>1</v>
      </c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  <c r="O2" s="12"/>
      <c r="P2" s="13"/>
      <c r="Q2" s="4"/>
      <c r="R2" s="4"/>
      <c r="S2" s="5"/>
      <c r="T2" s="6"/>
      <c r="U2" s="7"/>
      <c r="V2" s="7"/>
      <c r="W2" s="7"/>
      <c r="X2" s="8"/>
      <c r="Y2" s="9"/>
      <c r="Z2" s="9"/>
    </row>
    <row r="3" spans="1:28" ht="18" customHeight="1">
      <c r="A3" s="1" t="s">
        <v>2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3"/>
      <c r="Q3" s="14"/>
      <c r="R3" s="14"/>
      <c r="S3" s="5"/>
      <c r="T3" s="6"/>
      <c r="U3" s="7"/>
      <c r="V3" s="7"/>
      <c r="W3" s="7"/>
      <c r="X3" s="8"/>
      <c r="Y3" s="9"/>
      <c r="Z3" s="9"/>
    </row>
    <row r="4" spans="1:28" ht="18" customHeight="1">
      <c r="A4" s="1" t="s">
        <v>3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3"/>
      <c r="Q4" s="14"/>
      <c r="R4" s="14"/>
      <c r="S4" s="5"/>
      <c r="T4" s="6"/>
      <c r="U4" s="7"/>
      <c r="V4" s="7"/>
      <c r="W4" s="7"/>
      <c r="X4" s="8"/>
      <c r="Y4" s="9"/>
      <c r="Z4" s="9"/>
    </row>
    <row r="5" spans="1:28" ht="14.25" customHeight="1">
      <c r="B5" s="15"/>
      <c r="C5" s="16"/>
      <c r="D5" s="16"/>
      <c r="E5" s="16"/>
      <c r="F5" s="16"/>
      <c r="G5" s="16"/>
      <c r="H5" s="17"/>
      <c r="I5" s="16"/>
      <c r="J5" s="17"/>
      <c r="K5" s="16"/>
      <c r="L5" s="17"/>
      <c r="M5" s="18"/>
      <c r="N5" s="18"/>
      <c r="O5" s="19"/>
      <c r="P5" s="19"/>
    </row>
    <row r="6" spans="1:28" ht="14.25" customHeight="1">
      <c r="B6" s="15"/>
      <c r="C6" s="16"/>
      <c r="D6" s="16"/>
      <c r="E6" s="16"/>
      <c r="F6" s="16"/>
      <c r="G6" s="16"/>
      <c r="H6" s="17"/>
      <c r="I6" s="16"/>
      <c r="J6" s="17"/>
      <c r="K6" s="16"/>
      <c r="L6" s="17"/>
      <c r="M6" s="18"/>
      <c r="N6" s="18"/>
      <c r="O6" s="19"/>
      <c r="P6" s="19"/>
    </row>
    <row r="7" spans="1:28" ht="14.25" customHeight="1">
      <c r="B7" s="15"/>
      <c r="C7" s="16"/>
      <c r="D7" s="16"/>
      <c r="E7" s="16"/>
      <c r="F7" s="16"/>
      <c r="G7" s="16"/>
      <c r="H7" s="17"/>
      <c r="I7" s="16"/>
      <c r="J7" s="17"/>
      <c r="K7" s="16"/>
      <c r="L7" s="17"/>
      <c r="M7" s="18"/>
      <c r="N7" s="18"/>
      <c r="O7" s="19"/>
      <c r="P7" s="19"/>
    </row>
    <row r="8" spans="1:28" ht="12" customHeight="1">
      <c r="T8" s="27"/>
    </row>
    <row r="9" spans="1:28" ht="14.25" customHeight="1">
      <c r="C9" s="28" t="s">
        <v>4</v>
      </c>
      <c r="D9" s="29" t="s">
        <v>5</v>
      </c>
      <c r="E9" s="30"/>
      <c r="F9" s="29" t="s">
        <v>6</v>
      </c>
      <c r="G9" s="31"/>
      <c r="H9" s="32" t="s">
        <v>7</v>
      </c>
      <c r="J9" s="32" t="s">
        <v>8</v>
      </c>
      <c r="P9" s="26" t="s">
        <v>9</v>
      </c>
      <c r="T9" s="33">
        <f>'[1]Bank Analysis 22115'!$D$21</f>
        <v>122136264</v>
      </c>
    </row>
    <row r="10" spans="1:28" ht="7.5" hidden="1" customHeight="1">
      <c r="C10" s="34"/>
      <c r="D10" s="35"/>
      <c r="E10" s="31"/>
      <c r="F10" s="35"/>
      <c r="G10" s="31"/>
      <c r="H10" s="36" t="s">
        <v>10</v>
      </c>
      <c r="J10" s="36" t="s">
        <v>10</v>
      </c>
      <c r="T10" s="37"/>
      <c r="Z10" s="38" t="s">
        <v>7</v>
      </c>
      <c r="AA10" s="39"/>
      <c r="AB10" s="40" t="s">
        <v>11</v>
      </c>
    </row>
    <row r="11" spans="1:28" ht="15" customHeight="1">
      <c r="A11" s="41" t="s">
        <v>12</v>
      </c>
      <c r="B11" s="26"/>
      <c r="C11" s="42"/>
      <c r="D11" s="43"/>
      <c r="E11" s="31"/>
      <c r="F11" s="43"/>
      <c r="G11" s="30"/>
      <c r="H11" s="44" t="s">
        <v>13</v>
      </c>
      <c r="J11" s="44" t="s">
        <v>14</v>
      </c>
      <c r="K11" s="30"/>
      <c r="L11" s="45" t="s">
        <v>15</v>
      </c>
      <c r="M11" s="46"/>
      <c r="N11" s="47" t="s">
        <v>16</v>
      </c>
      <c r="O11" s="46"/>
      <c r="P11" s="46"/>
      <c r="T11" s="21" t="e">
        <f>#REF!-T9</f>
        <v>#REF!</v>
      </c>
      <c r="U11" s="45" t="s">
        <v>17</v>
      </c>
      <c r="V11" s="45" t="s">
        <v>15</v>
      </c>
      <c r="Z11" s="48" t="s">
        <v>18</v>
      </c>
      <c r="AA11" s="39"/>
      <c r="AB11" s="40" t="s">
        <v>14</v>
      </c>
    </row>
    <row r="12" spans="1:28" ht="15" customHeight="1">
      <c r="A12" s="26"/>
      <c r="B12" s="26"/>
      <c r="C12" s="49"/>
      <c r="D12" s="49"/>
      <c r="E12" s="49"/>
      <c r="F12" s="49"/>
      <c r="G12" s="49"/>
      <c r="H12" s="50"/>
      <c r="I12" s="49"/>
      <c r="J12" s="50"/>
      <c r="K12" s="49"/>
      <c r="L12" s="51"/>
      <c r="M12" s="52"/>
      <c r="N12" s="53"/>
      <c r="O12" s="52"/>
      <c r="P12" s="52"/>
    </row>
    <row r="13" spans="1:28" ht="18" customHeight="1">
      <c r="A13" s="54" t="s">
        <v>19</v>
      </c>
      <c r="C13" s="55"/>
      <c r="D13" s="25"/>
      <c r="E13" s="55"/>
      <c r="F13" s="25"/>
      <c r="G13" s="56"/>
      <c r="H13" s="25">
        <f>SUM(H14:H18)</f>
        <v>133025186.77</v>
      </c>
      <c r="I13" s="56"/>
      <c r="J13" s="25">
        <f>SUM(J14:J18)</f>
        <v>110750863.03</v>
      </c>
      <c r="K13" s="55"/>
      <c r="L13" s="25">
        <f>SUM(L14:L18)</f>
        <v>96018328</v>
      </c>
      <c r="M13" s="25"/>
      <c r="N13" s="25">
        <f>SUM(N14:N18)</f>
        <v>59282454</v>
      </c>
      <c r="O13" s="57"/>
      <c r="P13" s="57"/>
      <c r="S13" s="58">
        <v>22302000</v>
      </c>
      <c r="U13" s="59">
        <f t="shared" ref="U13:U18" si="0">(J13-L13)/J13*100</f>
        <v>13.302411039460052</v>
      </c>
      <c r="V13" s="59">
        <f t="shared" ref="V13:V18" si="1">(L13-N13)/L13*100</f>
        <v>38.259231091797389</v>
      </c>
      <c r="X13" s="60">
        <v>110750863.03</v>
      </c>
    </row>
    <row r="14" spans="1:28" ht="18" customHeight="1">
      <c r="A14" s="10" t="s">
        <v>20</v>
      </c>
      <c r="C14" s="61"/>
      <c r="D14" s="62"/>
      <c r="E14" s="61"/>
      <c r="F14" s="62"/>
      <c r="G14" s="56"/>
      <c r="H14" s="63">
        <f>108264137-'[2]BS CGS;18'!I35+'[2]BS CGS;18'!K35+'[2]BS CGS;18'!I29-'[2]BS CGS;18'!K29-87-14000000-1500000</f>
        <v>95212510</v>
      </c>
      <c r="I14" s="56"/>
      <c r="J14" s="63">
        <f>89710500+124000</f>
        <v>89834500</v>
      </c>
      <c r="K14" s="55"/>
      <c r="L14" s="64">
        <f>73721770-2535100+2240300+1230100-1020300+30</f>
        <v>73636800</v>
      </c>
      <c r="M14" s="65"/>
      <c r="N14" s="64">
        <f>42382260+605770</f>
        <v>42988030</v>
      </c>
      <c r="O14" s="57"/>
      <c r="P14" s="57">
        <f>H14-83050500</f>
        <v>12162010</v>
      </c>
      <c r="T14" s="66">
        <v>107620931</v>
      </c>
      <c r="U14" s="22">
        <f t="shared" si="0"/>
        <v>18.030600715760649</v>
      </c>
      <c r="V14" s="22">
        <f t="shared" si="1"/>
        <v>41.621539773591465</v>
      </c>
      <c r="W14" s="65"/>
      <c r="X14" s="60">
        <v>93024500</v>
      </c>
      <c r="Z14" s="67">
        <f>H14-83050500</f>
        <v>12162010</v>
      </c>
    </row>
    <row r="15" spans="1:28" ht="18" customHeight="1">
      <c r="A15" s="10" t="s">
        <v>21</v>
      </c>
      <c r="C15" s="16"/>
      <c r="D15" s="68"/>
      <c r="E15" s="16"/>
      <c r="F15" s="68"/>
      <c r="G15" s="56"/>
      <c r="H15" s="69">
        <f>18625734+'[2]BS CGS;18'!K36-'[2]BS CGS;18'!I36-5940000+9000000-10974329-34-71</f>
        <v>21501300</v>
      </c>
      <c r="I15" s="56"/>
      <c r="J15" s="69">
        <v>13531000</v>
      </c>
      <c r="K15" s="55"/>
      <c r="L15" s="70">
        <v>15096400</v>
      </c>
      <c r="M15" s="65"/>
      <c r="N15" s="70">
        <v>10755000</v>
      </c>
      <c r="O15" s="57"/>
      <c r="P15" s="69">
        <f>11020900-H15</f>
        <v>-10480400</v>
      </c>
      <c r="T15" s="66">
        <v>12625734</v>
      </c>
      <c r="U15" s="22">
        <f t="shared" si="0"/>
        <v>-11.568989727292884</v>
      </c>
      <c r="V15" s="22">
        <f t="shared" si="1"/>
        <v>28.757849553535941</v>
      </c>
      <c r="W15" s="10"/>
      <c r="X15" s="60">
        <v>11041000</v>
      </c>
      <c r="Z15" s="67">
        <f>H15-11060000</f>
        <v>10441300</v>
      </c>
    </row>
    <row r="16" spans="1:28" ht="18" customHeight="1">
      <c r="A16" s="10" t="s">
        <v>22</v>
      </c>
      <c r="C16" s="55"/>
      <c r="D16" s="68"/>
      <c r="E16" s="55"/>
      <c r="F16" s="68"/>
      <c r="G16" s="56"/>
      <c r="H16" s="69">
        <f>7140000-'[2]BS CGS;18'!I34+'[2]BS CGS;18'!K34+5000000-1500000</f>
        <v>14828500</v>
      </c>
      <c r="I16" s="56"/>
      <c r="J16" s="69">
        <v>6843000</v>
      </c>
      <c r="K16" s="55"/>
      <c r="L16" s="70">
        <v>6774000</v>
      </c>
      <c r="M16" s="65"/>
      <c r="N16" s="70">
        <v>5124000</v>
      </c>
      <c r="O16" s="57"/>
      <c r="P16" s="57">
        <f>H16-7893600</f>
        <v>6934900</v>
      </c>
      <c r="S16" s="58">
        <v>8235000</v>
      </c>
      <c r="T16" s="66">
        <v>5693600</v>
      </c>
      <c r="U16" s="22">
        <f t="shared" si="0"/>
        <v>1.0083296799649275</v>
      </c>
      <c r="V16" s="22">
        <f t="shared" si="1"/>
        <v>24.357838795394155</v>
      </c>
      <c r="W16" s="10"/>
      <c r="X16" s="60">
        <v>6143000</v>
      </c>
      <c r="Z16" s="67">
        <f>H16-7893600</f>
        <v>6934900</v>
      </c>
    </row>
    <row r="17" spans="1:27" ht="18" customHeight="1">
      <c r="A17" s="10" t="s">
        <v>23</v>
      </c>
      <c r="C17" s="55"/>
      <c r="D17" s="68"/>
      <c r="E17" s="55"/>
      <c r="F17" s="68"/>
      <c r="G17" s="56"/>
      <c r="H17" s="69">
        <v>498000</v>
      </c>
      <c r="I17" s="56"/>
      <c r="J17" s="69">
        <v>451000</v>
      </c>
      <c r="K17" s="55"/>
      <c r="L17" s="70">
        <v>405700</v>
      </c>
      <c r="M17" s="65"/>
      <c r="N17" s="70">
        <v>328565</v>
      </c>
      <c r="O17" s="57"/>
      <c r="P17" s="57"/>
      <c r="Q17" s="71">
        <v>328565</v>
      </c>
      <c r="S17" s="58">
        <v>2980000</v>
      </c>
      <c r="T17" s="66"/>
      <c r="U17" s="22">
        <f t="shared" si="0"/>
        <v>10.044345898004435</v>
      </c>
      <c r="V17" s="22">
        <f t="shared" si="1"/>
        <v>19.012817352723687</v>
      </c>
      <c r="W17" s="10"/>
      <c r="X17" s="60">
        <v>451000</v>
      </c>
    </row>
    <row r="18" spans="1:27" ht="18" customHeight="1">
      <c r="A18" s="10" t="s">
        <v>24</v>
      </c>
      <c r="C18" s="55"/>
      <c r="D18" s="72"/>
      <c r="E18" s="55"/>
      <c r="F18" s="72"/>
      <c r="G18" s="56"/>
      <c r="H18" s="73">
        <f>948343.77+36533</f>
        <v>984876.77</v>
      </c>
      <c r="I18" s="56"/>
      <c r="J18" s="74">
        <v>91363.03</v>
      </c>
      <c r="K18" s="55"/>
      <c r="L18" s="75">
        <v>105428</v>
      </c>
      <c r="M18" s="65"/>
      <c r="N18" s="75">
        <v>86859</v>
      </c>
      <c r="O18" s="57"/>
      <c r="P18" s="57"/>
      <c r="S18" s="58">
        <v>325100</v>
      </c>
      <c r="T18" s="37">
        <f>H15-'[2]BS CGS;18'!I36</f>
        <v>21501300</v>
      </c>
      <c r="U18" s="22">
        <f t="shared" si="0"/>
        <v>-15.394596698467641</v>
      </c>
      <c r="V18" s="22">
        <f t="shared" si="1"/>
        <v>17.612968091967979</v>
      </c>
      <c r="W18" s="10"/>
      <c r="X18" s="60">
        <v>91363.03</v>
      </c>
    </row>
    <row r="19" spans="1:27" ht="18" customHeight="1">
      <c r="D19" s="25"/>
      <c r="F19" s="25"/>
      <c r="G19" s="25"/>
      <c r="I19" s="25"/>
      <c r="P19" s="76"/>
      <c r="W19" s="10"/>
      <c r="X19" s="60"/>
    </row>
    <row r="20" spans="1:27" ht="18" customHeight="1">
      <c r="A20" s="54" t="s">
        <v>25</v>
      </c>
      <c r="B20" s="54"/>
      <c r="C20" s="55"/>
      <c r="D20" s="25"/>
      <c r="E20" s="55"/>
      <c r="F20" s="25"/>
      <c r="G20" s="56"/>
      <c r="H20" s="25" t="e">
        <f>H21+H22+H23+H24+H25+H26</f>
        <v>#REF!</v>
      </c>
      <c r="I20" s="56"/>
      <c r="J20" s="25">
        <f>J21+J22+J23+J24+J25+J26</f>
        <v>107648704.96941873</v>
      </c>
      <c r="K20" s="55"/>
      <c r="L20" s="25">
        <f>L21+L22+L23+L24+L25+L26</f>
        <v>93399815.908374995</v>
      </c>
      <c r="M20" s="25"/>
      <c r="N20" s="25">
        <f>N21+N22+N23+N24+N25+N26</f>
        <v>57633790</v>
      </c>
      <c r="O20" s="76"/>
      <c r="P20" s="25" t="e">
        <f>P21+P22+P23+P24+P25+P26</f>
        <v>#REF!</v>
      </c>
      <c r="S20" s="77">
        <f>SUM(S13:S19)</f>
        <v>33842100</v>
      </c>
      <c r="T20" s="21">
        <f>J15-'[2]BS CGS;18'!K36</f>
        <v>2741000</v>
      </c>
      <c r="U20" s="59"/>
      <c r="V20" s="59">
        <f>(L20-N20)/L20*100</f>
        <v>38.293465100039796</v>
      </c>
      <c r="W20" s="10"/>
      <c r="X20" s="10"/>
      <c r="Y20" s="78"/>
    </row>
    <row r="21" spans="1:27" ht="18" customHeight="1">
      <c r="A21" s="10" t="s">
        <v>26</v>
      </c>
      <c r="C21" s="55" t="s">
        <v>27</v>
      </c>
      <c r="D21" s="79"/>
      <c r="E21" s="55"/>
      <c r="F21" s="80"/>
      <c r="G21" s="17"/>
      <c r="H21" s="80">
        <f>'[2]Notes CGS DB''18'!I82</f>
        <v>85381514.603999972</v>
      </c>
      <c r="I21" s="17"/>
      <c r="J21" s="64">
        <f>'[2]Notes CGS DB''18'!K82</f>
        <v>89265419.099999994</v>
      </c>
      <c r="K21" s="16"/>
      <c r="L21" s="64">
        <f>'[2]Notes CGS DB''18'!M82</f>
        <v>76890540</v>
      </c>
      <c r="N21" s="64">
        <v>43774671</v>
      </c>
      <c r="O21" s="57"/>
      <c r="P21" s="62">
        <f>'[2]Notes CGS DB''18'!Z82</f>
        <v>89297539.270666644</v>
      </c>
      <c r="V21" s="22">
        <f t="shared" ref="V21:V26" si="2">(L21-N21)/L21*100</f>
        <v>43.068846960887512</v>
      </c>
      <c r="W21" s="10"/>
      <c r="X21" s="67"/>
      <c r="Y21" s="81"/>
    </row>
    <row r="22" spans="1:27" ht="18" customHeight="1">
      <c r="A22" s="10" t="s">
        <v>28</v>
      </c>
      <c r="C22" s="16" t="s">
        <v>29</v>
      </c>
      <c r="D22" s="82"/>
      <c r="E22" s="16"/>
      <c r="F22" s="68"/>
      <c r="G22" s="17"/>
      <c r="H22" s="68">
        <f>'[2]Notes CGS DB''18'!I102</f>
        <v>5970198.1280000005</v>
      </c>
      <c r="I22" s="17"/>
      <c r="J22" s="70">
        <f>'[2]Notes CGS DB''18'!K102</f>
        <v>7041943.8900000015</v>
      </c>
      <c r="K22" s="16"/>
      <c r="L22" s="70">
        <f>'[2]Notes CGS DB''18'!M102</f>
        <v>6466021</v>
      </c>
      <c r="N22" s="70">
        <v>5768221</v>
      </c>
      <c r="O22" s="57"/>
      <c r="P22" s="83">
        <f>'[2]Notes CGS DB''18'!Z102</f>
        <v>6478588.378800001</v>
      </c>
      <c r="V22" s="22">
        <f t="shared" si="2"/>
        <v>10.79179916056567</v>
      </c>
      <c r="W22" s="10"/>
      <c r="X22" s="67"/>
      <c r="Y22" s="81"/>
      <c r="AA22" s="67">
        <f>3250695-F29</f>
        <v>3250695</v>
      </c>
    </row>
    <row r="23" spans="1:27" ht="18" customHeight="1">
      <c r="A23" s="10" t="s">
        <v>30</v>
      </c>
      <c r="C23" s="16" t="s">
        <v>31</v>
      </c>
      <c r="D23" s="68"/>
      <c r="E23" s="16"/>
      <c r="F23" s="68"/>
      <c r="G23" s="17"/>
      <c r="H23" s="68">
        <f>'[2]Notes CGS DB''18'!I110</f>
        <v>3008588.14</v>
      </c>
      <c r="I23" s="17"/>
      <c r="J23" s="70">
        <f>'[2]Notes CGS DB''18'!K110</f>
        <v>3629102</v>
      </c>
      <c r="K23" s="16"/>
      <c r="L23" s="70">
        <f>'[2]Notes CGS DB''18'!M110</f>
        <v>3300090</v>
      </c>
      <c r="N23" s="70">
        <v>2638440</v>
      </c>
      <c r="O23" s="57"/>
      <c r="P23" s="83">
        <f>'[2]Notes CGS DB''18'!Z110</f>
        <v>2068588.14</v>
      </c>
      <c r="V23" s="22">
        <f t="shared" si="2"/>
        <v>20.049453196730997</v>
      </c>
      <c r="W23" s="10"/>
      <c r="X23" s="67"/>
      <c r="Y23" s="81"/>
    </row>
    <row r="24" spans="1:27" ht="18" customHeight="1">
      <c r="A24" s="10" t="s">
        <v>32</v>
      </c>
      <c r="C24" s="16" t="s">
        <v>33</v>
      </c>
      <c r="D24" s="68"/>
      <c r="E24" s="16"/>
      <c r="F24" s="68"/>
      <c r="G24" s="17"/>
      <c r="H24" s="68">
        <f>'[2]Notes CGS DB''18'!I117</f>
        <v>2446314.4153999998</v>
      </c>
      <c r="I24" s="17"/>
      <c r="J24" s="70">
        <f>'[2]Notes CGS DB''18'!K117</f>
        <v>2838473.13</v>
      </c>
      <c r="K24" s="16"/>
      <c r="L24" s="70">
        <f>'[2]Notes CGS DB''18'!M117</f>
        <v>2557183</v>
      </c>
      <c r="N24" s="70">
        <v>1792838</v>
      </c>
      <c r="O24" s="57"/>
      <c r="P24" s="83">
        <f>'[2]Notes CGS DB''18'!Z117</f>
        <v>1646314.4154000001</v>
      </c>
      <c r="V24" s="22">
        <f t="shared" si="2"/>
        <v>29.890117367431273</v>
      </c>
      <c r="W24" s="10"/>
      <c r="X24" s="67"/>
      <c r="Y24" s="81"/>
    </row>
    <row r="25" spans="1:27" ht="18" customHeight="1">
      <c r="A25" s="10" t="s">
        <v>34</v>
      </c>
      <c r="C25" s="55" t="s">
        <v>35</v>
      </c>
      <c r="D25" s="69"/>
      <c r="E25" s="55"/>
      <c r="F25" s="69"/>
      <c r="G25" s="17"/>
      <c r="H25" s="68">
        <f>'[2]Notes CGS DB''18'!I130</f>
        <v>2940236.2479999997</v>
      </c>
      <c r="I25" s="17"/>
      <c r="J25" s="70">
        <f>'[2]Notes CGS DB''18'!K130</f>
        <v>3246925.0500000003</v>
      </c>
      <c r="K25" s="16"/>
      <c r="L25" s="70">
        <f>'[2]Notes CGS DB''18'!M130</f>
        <v>2873385</v>
      </c>
      <c r="N25" s="70">
        <v>2245412</v>
      </c>
      <c r="O25" s="57"/>
      <c r="P25" s="83">
        <f>'[2]Notes CGS DB''18'!Z130</f>
        <v>1940235.5289999999</v>
      </c>
      <c r="U25" s="22">
        <f>(J25-L25)/J25*100</f>
        <v>11.50442477876107</v>
      </c>
      <c r="V25" s="22">
        <f t="shared" si="2"/>
        <v>21.854815835678128</v>
      </c>
      <c r="W25" s="10"/>
      <c r="X25" s="67"/>
      <c r="Y25" s="81"/>
    </row>
    <row r="26" spans="1:27" ht="18" customHeight="1">
      <c r="A26" s="10" t="s">
        <v>36</v>
      </c>
      <c r="C26" s="55"/>
      <c r="D26" s="74"/>
      <c r="E26" s="55"/>
      <c r="F26" s="74"/>
      <c r="G26" s="56"/>
      <c r="H26" s="74" t="e">
        <f>'[2]FA Tax 2018'!#REF!</f>
        <v>#REF!</v>
      </c>
      <c r="I26" s="56"/>
      <c r="J26" s="74">
        <f>'[3]FA (Tax) 14'!H31</f>
        <v>1626841.79941875</v>
      </c>
      <c r="K26" s="55"/>
      <c r="L26" s="75">
        <f>'[3]FA (Tax) 14'!H113</f>
        <v>1312596.9083749999</v>
      </c>
      <c r="N26" s="75">
        <v>1414208</v>
      </c>
      <c r="O26" s="84"/>
      <c r="P26" s="85" t="e">
        <f>H26</f>
        <v>#REF!</v>
      </c>
      <c r="U26" s="22">
        <f>(J26-L26)/J26*100</f>
        <v>19.316253808823074</v>
      </c>
      <c r="V26" s="22">
        <f t="shared" si="2"/>
        <v>-7.7412258840983448</v>
      </c>
      <c r="W26" s="10"/>
      <c r="X26" s="67"/>
      <c r="Y26" s="81"/>
    </row>
    <row r="27" spans="1:27" ht="16.5" customHeight="1" thickBot="1">
      <c r="C27" s="55"/>
      <c r="D27" s="55"/>
      <c r="E27" s="55"/>
      <c r="F27" s="55"/>
      <c r="G27" s="55"/>
      <c r="H27" s="56"/>
      <c r="I27" s="55"/>
      <c r="J27" s="56"/>
      <c r="K27" s="55"/>
      <c r="L27" s="51"/>
      <c r="N27" s="53"/>
      <c r="O27" s="84"/>
      <c r="P27" s="84"/>
      <c r="W27" s="10"/>
      <c r="X27" s="10"/>
      <c r="Y27" s="78"/>
      <c r="Z27" s="86"/>
    </row>
    <row r="28" spans="1:27" ht="4.5" customHeight="1" thickTop="1">
      <c r="A28" s="87"/>
      <c r="C28" s="55"/>
      <c r="D28" s="55"/>
      <c r="E28" s="55"/>
      <c r="F28" s="55"/>
      <c r="G28" s="55"/>
      <c r="H28" s="57"/>
      <c r="I28" s="55"/>
      <c r="J28" s="57"/>
      <c r="K28" s="55"/>
      <c r="L28" s="57">
        <f>L13-L20</f>
        <v>2618512.091625005</v>
      </c>
      <c r="M28" s="57"/>
      <c r="N28" s="57">
        <f>N13-N20</f>
        <v>1648664</v>
      </c>
      <c r="O28" s="84"/>
      <c r="P28" s="84" t="e">
        <f>H13-P20</f>
        <v>#REF!</v>
      </c>
      <c r="Q28" s="20">
        <v>2685471</v>
      </c>
      <c r="W28" s="10"/>
      <c r="X28" s="10"/>
      <c r="Y28" s="78"/>
    </row>
    <row r="29" spans="1:27" ht="15" customHeight="1" thickBot="1">
      <c r="A29" s="88" t="s">
        <v>37</v>
      </c>
      <c r="D29" s="86">
        <f>D13-D20</f>
        <v>0</v>
      </c>
      <c r="F29" s="86">
        <f>F13-F20</f>
        <v>0</v>
      </c>
      <c r="G29" s="89"/>
      <c r="H29" s="86" t="e">
        <f>H13-H20</f>
        <v>#REF!</v>
      </c>
      <c r="I29" s="89"/>
      <c r="J29" s="86">
        <f>J13-J20</f>
        <v>3102158.0605812669</v>
      </c>
      <c r="K29" s="89"/>
      <c r="L29" s="86" t="e">
        <f>L28+#REF!</f>
        <v>#REF!</v>
      </c>
      <c r="M29" s="90"/>
      <c r="N29" s="86" t="e">
        <f>N28+#REF!</f>
        <v>#REF!</v>
      </c>
      <c r="O29" s="61"/>
      <c r="P29" s="61"/>
      <c r="Q29" s="91">
        <f>SUM(L28-Q28)</f>
        <v>-66958.908374994993</v>
      </c>
      <c r="Z29" s="10">
        <v>2210160.1301034093</v>
      </c>
    </row>
    <row r="30" spans="1:27" ht="15" customHeight="1" thickTop="1" thickBot="1">
      <c r="A30" s="54"/>
      <c r="C30" s="92"/>
      <c r="D30" s="92"/>
      <c r="E30" s="92"/>
      <c r="F30" s="92"/>
      <c r="G30" s="92"/>
      <c r="H30" s="93"/>
      <c r="I30" s="92"/>
      <c r="J30" s="51"/>
      <c r="K30" s="92"/>
      <c r="L30" s="51"/>
      <c r="M30" s="94"/>
      <c r="O30" s="61"/>
      <c r="P30" s="61"/>
      <c r="S30" s="95">
        <v>33912583</v>
      </c>
    </row>
    <row r="31" spans="1:27" ht="15" customHeight="1" thickTop="1">
      <c r="A31" s="54"/>
      <c r="C31" s="92"/>
      <c r="D31" s="92"/>
      <c r="E31" s="92"/>
      <c r="F31" s="92"/>
      <c r="G31" s="92"/>
      <c r="H31" s="93"/>
      <c r="I31" s="92"/>
      <c r="J31" s="51"/>
      <c r="K31" s="92"/>
      <c r="L31" s="51"/>
      <c r="M31" s="94"/>
      <c r="N31" s="61"/>
      <c r="O31" s="61"/>
      <c r="P31" s="61"/>
    </row>
    <row r="32" spans="1:27" ht="15" customHeight="1">
      <c r="A32" s="54" t="s">
        <v>38</v>
      </c>
      <c r="C32" s="92"/>
      <c r="D32" s="92"/>
      <c r="E32" s="92"/>
      <c r="F32" s="92"/>
      <c r="G32" s="92"/>
      <c r="H32" s="93"/>
      <c r="I32" s="96"/>
      <c r="J32" s="97"/>
      <c r="K32" s="92"/>
      <c r="L32" s="51"/>
      <c r="M32" s="98"/>
      <c r="N32" s="98"/>
      <c r="O32" s="98"/>
      <c r="P32" s="98"/>
      <c r="X32" s="99">
        <f>Y18+Y19+Y23</f>
        <v>0</v>
      </c>
    </row>
    <row r="33" spans="1:27" ht="15" customHeight="1">
      <c r="F33" s="100">
        <v>2750700</v>
      </c>
      <c r="G33" s="101"/>
      <c r="H33" s="102"/>
      <c r="I33" s="101"/>
      <c r="J33" s="102">
        <v>2810487</v>
      </c>
      <c r="AA33" s="67">
        <f>F29-3250695</f>
        <v>-3250695</v>
      </c>
    </row>
    <row r="34" spans="1:27" ht="15" customHeight="1">
      <c r="F34" s="101"/>
      <c r="G34" s="101"/>
      <c r="H34" s="102"/>
      <c r="I34" s="101"/>
      <c r="J34" s="102"/>
      <c r="U34" s="25">
        <v>3200000</v>
      </c>
      <c r="V34" s="24"/>
      <c r="W34" s="25">
        <f>J28-U34</f>
        <v>-3200000</v>
      </c>
    </row>
    <row r="35" spans="1:27" ht="15" customHeight="1">
      <c r="F35" s="101"/>
      <c r="G35" s="101"/>
      <c r="H35" s="102"/>
      <c r="I35" s="101"/>
      <c r="J35" s="102"/>
      <c r="N35" s="67"/>
      <c r="U35" s="25"/>
      <c r="V35" s="24"/>
      <c r="W35" s="25"/>
    </row>
    <row r="36" spans="1:27" ht="15" customHeight="1">
      <c r="F36" s="101" t="s">
        <v>39</v>
      </c>
      <c r="G36" s="101"/>
      <c r="H36" s="101"/>
      <c r="I36" s="101"/>
      <c r="J36" s="91"/>
      <c r="K36" s="10"/>
      <c r="L36" s="10"/>
      <c r="U36" s="103"/>
    </row>
    <row r="37" spans="1:27" ht="15" customHeight="1">
      <c r="F37" s="101"/>
      <c r="G37" s="101"/>
      <c r="H37" s="102">
        <f>F29-F33</f>
        <v>-2750700</v>
      </c>
      <c r="I37" s="101"/>
      <c r="J37" s="20"/>
      <c r="K37" s="10"/>
      <c r="L37" s="10"/>
      <c r="U37" s="103"/>
    </row>
    <row r="38" spans="1:27" ht="15" customHeight="1">
      <c r="F38" s="101"/>
      <c r="G38" s="101"/>
      <c r="H38" s="102"/>
      <c r="U38" s="103"/>
    </row>
    <row r="39" spans="1:27" ht="15" customHeight="1">
      <c r="U39" s="103"/>
    </row>
    <row r="40" spans="1:27" ht="15" customHeight="1">
      <c r="U40" s="103"/>
    </row>
    <row r="41" spans="1:27" ht="15" customHeight="1">
      <c r="A41" s="10" t="s">
        <v>40</v>
      </c>
    </row>
    <row r="49" spans="2:14" ht="15" customHeight="1">
      <c r="C49" s="104"/>
      <c r="D49" s="104"/>
      <c r="E49" s="104"/>
      <c r="I49" s="104"/>
      <c r="J49" s="21"/>
      <c r="K49" s="104"/>
      <c r="L49" s="21"/>
    </row>
    <row r="50" spans="2:14" ht="15" customHeight="1">
      <c r="B50" s="10" t="str">
        <f>'[2]BS CGS;18'!B62</f>
        <v xml:space="preserve">Chittagong: November 20, 2018   </v>
      </c>
      <c r="C50" s="10"/>
      <c r="D50" s="105" t="s">
        <v>41</v>
      </c>
      <c r="E50" s="105"/>
      <c r="F50" s="105"/>
      <c r="G50" s="105"/>
      <c r="H50" s="105"/>
      <c r="I50" s="106"/>
      <c r="J50" s="106"/>
      <c r="K50" s="106"/>
      <c r="L50" s="106"/>
      <c r="M50" s="107"/>
      <c r="N50" s="107"/>
    </row>
    <row r="51" spans="2:14" ht="15" customHeight="1">
      <c r="C51" s="10"/>
      <c r="D51" s="108" t="s">
        <v>42</v>
      </c>
      <c r="E51" s="108"/>
      <c r="F51" s="108"/>
      <c r="G51" s="108"/>
      <c r="H51" s="108"/>
      <c r="I51" s="109"/>
      <c r="J51" s="109"/>
      <c r="K51" s="109"/>
      <c r="L51" s="109"/>
      <c r="M51" s="110"/>
      <c r="N51" s="110"/>
    </row>
    <row r="52" spans="2:14" ht="15" customHeight="1">
      <c r="C52" s="104"/>
      <c r="D52" s="104"/>
      <c r="E52" s="104"/>
      <c r="I52" s="104"/>
      <c r="J52" s="21"/>
      <c r="K52" s="104"/>
      <c r="L52" s="21"/>
    </row>
  </sheetData>
  <mergeCells count="9">
    <mergeCell ref="D50:H50"/>
    <mergeCell ref="D51:H51"/>
    <mergeCell ref="A1:H1"/>
    <mergeCell ref="A2:H2"/>
    <mergeCell ref="A3:H3"/>
    <mergeCell ref="A4:H4"/>
    <mergeCell ref="C9:C11"/>
    <mergeCell ref="D9:D11"/>
    <mergeCell ref="F9:F11"/>
  </mergeCells>
  <pageMargins left="1" right="0" top="0.75" bottom="0" header="0.5" footer="0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CGS;18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2019-10-01T13:52:38Z</dcterms:created>
  <dcterms:modified xsi:type="dcterms:W3CDTF">2019-10-01T13:52:59Z</dcterms:modified>
</cp:coreProperties>
</file>