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an/Documents/Pesquisa-USP/Pos_docs/Pos_Doc_FAPESP UFABC/hidraulica_plantas/Cmin/C_brachystachia/"/>
    </mc:Choice>
  </mc:AlternateContent>
  <xr:revisionPtr revIDLastSave="0" documentId="13_ncr:1_{DA1A35F5-A3A0-1C42-BE3B-330769CCB12B}" xr6:coauthVersionLast="45" xr6:coauthVersionMax="45" xr10:uidLastSave="{00000000-0000-0000-0000-000000000000}"/>
  <bookViews>
    <workbookView xWindow="0" yWindow="520" windowWidth="25040" windowHeight="14500" xr2:uid="{4198E969-3E02-2C45-A9AB-F68B44577CEF}"/>
  </bookViews>
  <sheets>
    <sheet name="Sheet1" sheetId="1" r:id="rId1"/>
    <sheet name="leaf_mode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6" i="1" l="1"/>
  <c r="R5" i="1"/>
  <c r="R14" i="1"/>
  <c r="R7" i="1"/>
  <c r="R8" i="1"/>
  <c r="R9" i="1"/>
  <c r="R10" i="1"/>
  <c r="R11" i="1"/>
  <c r="R12" i="1"/>
  <c r="R13" i="1"/>
  <c r="R6" i="1"/>
  <c r="U57" i="1"/>
  <c r="I7" i="2"/>
  <c r="S56" i="1"/>
  <c r="K17" i="2" l="1"/>
  <c r="T7" i="1"/>
  <c r="U7" i="1" s="1"/>
  <c r="S6" i="1"/>
  <c r="G75" i="1"/>
  <c r="G64" i="1"/>
  <c r="G51" i="1"/>
  <c r="G38" i="1"/>
  <c r="G26" i="1"/>
  <c r="G14" i="1"/>
  <c r="S68" i="1"/>
  <c r="S69" i="1"/>
  <c r="S70" i="1"/>
  <c r="S71" i="1"/>
  <c r="T71" i="1" s="1"/>
  <c r="S72" i="1"/>
  <c r="S73" i="1"/>
  <c r="S74" i="1"/>
  <c r="S75" i="1"/>
  <c r="T75" i="1" s="1"/>
  <c r="U75" i="1" s="1"/>
  <c r="S67" i="1"/>
  <c r="T67" i="1" s="1"/>
  <c r="V68" i="1" s="1"/>
  <c r="T68" i="1"/>
  <c r="T69" i="1"/>
  <c r="T70" i="1"/>
  <c r="T72" i="1"/>
  <c r="T73" i="1"/>
  <c r="T74" i="1"/>
  <c r="U72" i="1"/>
  <c r="T56" i="1"/>
  <c r="V57" i="1" s="1"/>
  <c r="S43" i="1"/>
  <c r="T43" i="1" s="1"/>
  <c r="T46" i="1"/>
  <c r="T50" i="1"/>
  <c r="I10" i="2"/>
  <c r="T22" i="1"/>
  <c r="S19" i="1"/>
  <c r="T19" i="1" s="1"/>
  <c r="U19" i="1" s="1"/>
  <c r="S20" i="1"/>
  <c r="T20" i="1" s="1"/>
  <c r="S21" i="1"/>
  <c r="T21" i="1" s="1"/>
  <c r="S22" i="1"/>
  <c r="S23" i="1"/>
  <c r="T23" i="1" s="1"/>
  <c r="U23" i="1" s="1"/>
  <c r="S24" i="1"/>
  <c r="T24" i="1" s="1"/>
  <c r="S25" i="1"/>
  <c r="T25" i="1" s="1"/>
  <c r="S26" i="1"/>
  <c r="T26" i="1" s="1"/>
  <c r="U26" i="1" s="1"/>
  <c r="S27" i="1"/>
  <c r="T27" i="1" s="1"/>
  <c r="U27" i="1" s="1"/>
  <c r="S18" i="1"/>
  <c r="T18" i="1" s="1"/>
  <c r="V19" i="1" s="1"/>
  <c r="S30" i="1"/>
  <c r="S64" i="1"/>
  <c r="T64" i="1" s="1"/>
  <c r="U64" i="1" s="1"/>
  <c r="S63" i="1"/>
  <c r="T63" i="1" s="1"/>
  <c r="S62" i="1"/>
  <c r="T62" i="1" s="1"/>
  <c r="U62" i="1" s="1"/>
  <c r="S61" i="1"/>
  <c r="T61" i="1" s="1"/>
  <c r="S60" i="1"/>
  <c r="T60" i="1" s="1"/>
  <c r="S59" i="1"/>
  <c r="T59" i="1" s="1"/>
  <c r="S58" i="1"/>
  <c r="T58" i="1" s="1"/>
  <c r="S57" i="1"/>
  <c r="T57" i="1" s="1"/>
  <c r="S51" i="1"/>
  <c r="T51" i="1" s="1"/>
  <c r="U51" i="1" s="1"/>
  <c r="S50" i="1"/>
  <c r="S49" i="1"/>
  <c r="T49" i="1" s="1"/>
  <c r="U49" i="1" s="1"/>
  <c r="S48" i="1"/>
  <c r="T48" i="1" s="1"/>
  <c r="S47" i="1"/>
  <c r="T47" i="1" s="1"/>
  <c r="S46" i="1"/>
  <c r="S45" i="1"/>
  <c r="T45" i="1" s="1"/>
  <c r="U45" i="1" s="1"/>
  <c r="S44" i="1"/>
  <c r="T44" i="1" s="1"/>
  <c r="S35" i="1"/>
  <c r="T35" i="1" s="1"/>
  <c r="S36" i="1"/>
  <c r="T36" i="1" s="1"/>
  <c r="U36" i="1" s="1"/>
  <c r="S37" i="1"/>
  <c r="T37" i="1" s="1"/>
  <c r="S38" i="1"/>
  <c r="T38" i="1" s="1"/>
  <c r="G74" i="1"/>
  <c r="G73" i="1"/>
  <c r="G72" i="1"/>
  <c r="G71" i="1"/>
  <c r="G70" i="1"/>
  <c r="G69" i="1"/>
  <c r="G68" i="1"/>
  <c r="G67" i="1"/>
  <c r="G63" i="1"/>
  <c r="G62" i="1"/>
  <c r="U61" i="1" s="1"/>
  <c r="G61" i="1"/>
  <c r="G60" i="1"/>
  <c r="U60" i="1" s="1"/>
  <c r="G59" i="1"/>
  <c r="G58" i="1"/>
  <c r="G57" i="1"/>
  <c r="G56" i="1"/>
  <c r="G50" i="1"/>
  <c r="U50" i="1" s="1"/>
  <c r="G49" i="1"/>
  <c r="G48" i="1"/>
  <c r="G47" i="1"/>
  <c r="U46" i="1" s="1"/>
  <c r="G46" i="1"/>
  <c r="G45" i="1"/>
  <c r="G44" i="1"/>
  <c r="G43" i="1"/>
  <c r="G37" i="1"/>
  <c r="G36" i="1"/>
  <c r="G35" i="1"/>
  <c r="G34" i="1"/>
  <c r="G33" i="1"/>
  <c r="G32" i="1"/>
  <c r="G31" i="1"/>
  <c r="G30" i="1"/>
  <c r="G25" i="1"/>
  <c r="G24" i="1"/>
  <c r="G23" i="1"/>
  <c r="G22" i="1"/>
  <c r="G21" i="1"/>
  <c r="G20" i="1"/>
  <c r="G19" i="1"/>
  <c r="G18" i="1"/>
  <c r="V79" i="1" l="1"/>
  <c r="V78" i="1"/>
  <c r="V44" i="1"/>
  <c r="U68" i="1"/>
  <c r="U20" i="1"/>
  <c r="U58" i="1"/>
  <c r="U37" i="1"/>
  <c r="U25" i="1"/>
  <c r="U38" i="1"/>
  <c r="U47" i="1"/>
  <c r="U35" i="1"/>
  <c r="U44" i="1"/>
  <c r="U48" i="1"/>
  <c r="U63" i="1"/>
  <c r="U59" i="1"/>
  <c r="U74" i="1"/>
  <c r="U69" i="1"/>
  <c r="U71" i="1"/>
  <c r="U24" i="1"/>
  <c r="U73" i="1"/>
  <c r="U70" i="1"/>
  <c r="V56" i="1" l="1"/>
  <c r="V43" i="1"/>
  <c r="V67" i="1"/>
  <c r="I9" i="2"/>
  <c r="S34" i="1"/>
  <c r="T34" i="1" s="1"/>
  <c r="U34" i="1" s="1"/>
  <c r="S33" i="1"/>
  <c r="T33" i="1" s="1"/>
  <c r="U33" i="1" s="1"/>
  <c r="S32" i="1"/>
  <c r="T32" i="1" s="1"/>
  <c r="U32" i="1" s="1"/>
  <c r="S31" i="1"/>
  <c r="T31" i="1" s="1"/>
  <c r="U31" i="1" s="1"/>
  <c r="T30" i="1"/>
  <c r="V31" i="1" s="1"/>
  <c r="U21" i="1"/>
  <c r="G6" i="1"/>
  <c r="V30" i="1" l="1"/>
  <c r="U22" i="1"/>
  <c r="V18" i="1" s="1"/>
  <c r="N7" i="2"/>
  <c r="C20" i="2"/>
  <c r="S7" i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U13" i="1" s="1"/>
  <c r="S14" i="1"/>
  <c r="T14" i="1" s="1"/>
  <c r="U14" i="1" s="1"/>
  <c r="G7" i="1"/>
  <c r="G8" i="1"/>
  <c r="G9" i="1"/>
  <c r="G10" i="1"/>
  <c r="G11" i="1"/>
  <c r="G12" i="1"/>
  <c r="G13" i="1"/>
  <c r="D7" i="2"/>
  <c r="H17" i="2"/>
  <c r="G17" i="2"/>
  <c r="F17" i="2"/>
  <c r="H16" i="2"/>
  <c r="G16" i="2"/>
  <c r="F16" i="2"/>
  <c r="I14" i="2"/>
  <c r="D14" i="2"/>
  <c r="K14" i="2" s="1"/>
  <c r="I13" i="2"/>
  <c r="D13" i="2"/>
  <c r="I12" i="2"/>
  <c r="D12" i="2"/>
  <c r="K12" i="2" s="1"/>
  <c r="I11" i="2"/>
  <c r="I17" i="2" s="1"/>
  <c r="D11" i="2"/>
  <c r="D10" i="2"/>
  <c r="K10" i="2" s="1"/>
  <c r="D9" i="2"/>
  <c r="I8" i="2"/>
  <c r="D8" i="2"/>
  <c r="K8" i="2" s="1"/>
  <c r="V7" i="1" l="1"/>
  <c r="U12" i="1"/>
  <c r="U11" i="1"/>
  <c r="U8" i="1"/>
  <c r="U10" i="1"/>
  <c r="I16" i="2"/>
  <c r="K11" i="2"/>
  <c r="U9" i="1"/>
  <c r="K9" i="2"/>
  <c r="K13" i="2"/>
  <c r="V6" i="1" l="1"/>
  <c r="K16" i="2"/>
</calcChain>
</file>

<file path=xl/sharedStrings.xml><?xml version="1.0" encoding="utf-8"?>
<sst xmlns="http://schemas.openxmlformats.org/spreadsheetml/2006/main" count="178" uniqueCount="57">
  <si>
    <t>Tabela condutancia estomatica minima - https://prometheusprotocols.net/function/gas-exchange-and-chlorophyll-fluorescence/stomatal-and-non-stomatal-conductance-and-transpiration/minimum-epidermal-conductance-gmin-a-k-a-cuticular-conductance/</t>
  </si>
  <si>
    <r>
      <t>Note: gmin_spreadsheet_tool was created by Lawren Sack, as a tool to be used with the Protocol "Minimum epidermal conductance (''g</t>
    </r>
    <r>
      <rPr>
        <vertAlign val="subscript"/>
        <sz val="11"/>
        <color indexed="8"/>
        <rFont val="Calibri"/>
        <family val="2"/>
      </rPr>
      <t>min</t>
    </r>
    <r>
      <rPr>
        <sz val="12"/>
        <color theme="1"/>
        <rFont val="Times"/>
        <family val="2"/>
      </rPr>
      <t xml:space="preserve">'', a.k.a. cuticular conductance)" for </t>
    </r>
    <r>
      <rPr>
        <i/>
        <sz val="11"/>
        <color indexed="8"/>
        <rFont val="Calibri"/>
        <family val="2"/>
      </rPr>
      <t>PrometheusWiki</t>
    </r>
  </si>
  <si>
    <t>Note: blue cells should be filled in</t>
  </si>
  <si>
    <t>Leaf 1</t>
  </si>
  <si>
    <t>hours</t>
  </si>
  <si>
    <t>min</t>
  </si>
  <si>
    <t>s</t>
  </si>
  <si>
    <t>time</t>
  </si>
  <si>
    <t>leaf_mass</t>
  </si>
  <si>
    <t>RH</t>
  </si>
  <si>
    <t>T</t>
  </si>
  <si>
    <t>VPsat</t>
  </si>
  <si>
    <t>mfVPD</t>
  </si>
  <si>
    <t>gmin calculated from intervals</t>
  </si>
  <si>
    <t>(min)</t>
  </si>
  <si>
    <t>(g)</t>
  </si>
  <si>
    <t>(%)</t>
  </si>
  <si>
    <t>(oC)</t>
  </si>
  <si>
    <t>kPa</t>
  </si>
  <si>
    <t>(mol mol-1)</t>
  </si>
  <si>
    <t>(mmol m-2 s-1)</t>
  </si>
  <si>
    <t>Atmospheric pressure (kPa)</t>
  </si>
  <si>
    <t>mean</t>
  </si>
  <si>
    <t>max/min</t>
  </si>
  <si>
    <t>calculated from slope</t>
  </si>
  <si>
    <r>
      <t>Initial leaf area (cm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</si>
  <si>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r>
      <t>Final leaf area (cm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</si>
  <si>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Graph shows leaf mass plotted against time; only the linear portion should be used for gmin calculation</t>
  </si>
  <si>
    <r>
      <t>Mean leaf area (cm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</si>
  <si>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Specie</t>
  </si>
  <si>
    <t>Leaf</t>
  </si>
  <si>
    <t>measure</t>
  </si>
  <si>
    <t>data</t>
  </si>
  <si>
    <t>hour</t>
  </si>
  <si>
    <t>Individual</t>
  </si>
  <si>
    <t>time_minutes</t>
  </si>
  <si>
    <t>weight_g</t>
  </si>
  <si>
    <t>obs: VP sat foi retirado da fomula 8.6 do capitulo 8 do Pearcy et al 1989; tem a tabela A7 no final tmb ou pode ser usado o link https://www.weather.gov/epz/wxcalc_vaporpressure</t>
  </si>
  <si>
    <t>Diamantina MG</t>
  </si>
  <si>
    <t>area</t>
  </si>
  <si>
    <t>perimento</t>
  </si>
  <si>
    <t>folha</t>
  </si>
  <si>
    <t>01_mai_2024</t>
  </si>
  <si>
    <t>C_brachystachia</t>
  </si>
  <si>
    <t>02_mai_2024</t>
  </si>
  <si>
    <t>temp_C</t>
  </si>
  <si>
    <t>umid_%</t>
  </si>
  <si>
    <t>Area moist_cm2</t>
  </si>
  <si>
    <t>Area dry_cm2</t>
  </si>
  <si>
    <t>weight dry_g</t>
  </si>
  <si>
    <t>weight wet_g</t>
  </si>
  <si>
    <t>Vpsat_Kpa</t>
  </si>
  <si>
    <t>mfVPD_mol mol-1</t>
  </si>
  <si>
    <t>gmin_mmol m-2 s-1</t>
  </si>
  <si>
    <t>media</t>
  </si>
  <si>
    <t>SD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</si>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</sst>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2" x14ac:knownFonts="1">
    <font>
      <sz val="12"/>
      <color theme="1"/>
      <name val="Times"/>
      <family val="2"/>
    </font>
    <font>
      <vertAlign val="subscript"/>
      <sz val="11"/>
      <color indexed="8"/>
      <name val="Calibri"/>
      <family val="2"/>
    </font>
    <font>
      <i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b/>
      <sz val="12"/>
      <color theme="1"/>
      <name val="Times"/>
      <family val="1"/>
    </font>
    <font>
      <sz val="10"/>
      <color theme="1"/>
      <name val="Times"/>
      <family val="2"/>
    </font>
    <font>
      <sz val="10"/>
      <name val="Arial"/>
      <family val="2"/>
    </font>
    <font>
      <sz val="12"/>
      <color rgb="FF000000"/>
      <name val="Times"/>
      <family val="2"/>
    </font>
    <font>
      <sz val="8"/>
      <name val="Times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0" fillId="2" borderId="0" xfId="0" applyFill="1"/>
    <xf numFmtId="0" fontId="5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3" borderId="0" xfId="0" applyFill="1"/>
    <xf numFmtId="0" fontId="0" fillId="4" borderId="0" xfId="0" applyFill="1"/>
    <xf numFmtId="21" fontId="0" fillId="0" borderId="0" xfId="0" applyNumberFormat="1"/>
    <xf numFmtId="20" fontId="0" fillId="0" borderId="0" xfId="0" applyNumberFormat="1"/>
    <xf numFmtId="0" fontId="7" fillId="0" borderId="0" xfId="0" applyFont="1" applyAlignment="1">
      <alignment horizontal="left"/>
    </xf>
    <xf numFmtId="165" fontId="0" fillId="0" borderId="0" xfId="0" applyNumberFormat="1"/>
    <xf numFmtId="164" fontId="0" fillId="0" borderId="0" xfId="0" applyNumberFormat="1" applyFill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7" fillId="5" borderId="0" xfId="0" applyFont="1" applyFill="1" applyAlignment="1">
      <alignment horizontal="left"/>
    </xf>
    <xf numFmtId="0" fontId="0" fillId="5" borderId="0" xfId="0" applyFill="1"/>
    <xf numFmtId="2" fontId="0" fillId="5" borderId="0" xfId="0" applyNumberFormat="1" applyFill="1"/>
    <xf numFmtId="0" fontId="7" fillId="0" borderId="0" xfId="0" applyFont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718149316188533"/>
                  <c:y val="-3.28304709024387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Sheet1!$G$6:$G$13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Sheet1!$H$6:$H$13</c:f>
              <c:numCache>
                <c:formatCode>General</c:formatCode>
                <c:ptCount val="8"/>
                <c:pt idx="0">
                  <c:v>0.69430000000000003</c:v>
                </c:pt>
                <c:pt idx="1">
                  <c:v>0.6895</c:v>
                </c:pt>
                <c:pt idx="2">
                  <c:v>0.6845</c:v>
                </c:pt>
                <c:pt idx="3">
                  <c:v>0.68010000000000004</c:v>
                </c:pt>
                <c:pt idx="4">
                  <c:v>0.67520000000000002</c:v>
                </c:pt>
                <c:pt idx="5">
                  <c:v>0.67059999999999997</c:v>
                </c:pt>
                <c:pt idx="6">
                  <c:v>0.66579999999999995</c:v>
                </c:pt>
                <c:pt idx="7">
                  <c:v>0.65920000000000001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FB-B74D-BC89-2546F28FC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35613315955662"/>
                  <c:y val="-0.4399775594051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Sheet1!$G$18:$G$25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Sheet1!$H$18:$H$25</c:f>
              <c:numCache>
                <c:formatCode>General</c:formatCode>
                <c:ptCount val="8"/>
                <c:pt idx="0">
                  <c:v>0.84970000000000001</c:v>
                </c:pt>
                <c:pt idx="1">
                  <c:v>0.84640000000000004</c:v>
                </c:pt>
                <c:pt idx="2">
                  <c:v>0.84299999999999997</c:v>
                </c:pt>
                <c:pt idx="3">
                  <c:v>0.83930000000000005</c:v>
                </c:pt>
                <c:pt idx="4">
                  <c:v>0.83599999999999997</c:v>
                </c:pt>
                <c:pt idx="5">
                  <c:v>0.83230000000000004</c:v>
                </c:pt>
                <c:pt idx="6">
                  <c:v>0.82930000000000004</c:v>
                </c:pt>
                <c:pt idx="7">
                  <c:v>0.82479999999999998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C-7444-82E3-07434EF9E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35613315955662"/>
                  <c:y val="-0.4399775594051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Sheet1!$G$30:$G$37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Sheet1!$H$30:$H$37</c:f>
              <c:numCache>
                <c:formatCode>General</c:formatCode>
                <c:ptCount val="8"/>
                <c:pt idx="0">
                  <c:v>1.7159</c:v>
                </c:pt>
                <c:pt idx="1">
                  <c:v>1.7027000000000001</c:v>
                </c:pt>
                <c:pt idx="2">
                  <c:v>1.6890000000000001</c:v>
                </c:pt>
                <c:pt idx="3">
                  <c:v>1.6763999999999999</c:v>
                </c:pt>
                <c:pt idx="4">
                  <c:v>1.6629</c:v>
                </c:pt>
                <c:pt idx="5">
                  <c:v>1.6505000000000001</c:v>
                </c:pt>
                <c:pt idx="6">
                  <c:v>1.6391</c:v>
                </c:pt>
                <c:pt idx="7">
                  <c:v>1.6257999999999999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CC-2744-99A3-A2D4F4606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35613315955662"/>
                  <c:y val="-0.4399775594051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Sheet1!$G$43:$G$50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Sheet1!$H$43:$H$50</c:f>
              <c:numCache>
                <c:formatCode>General</c:formatCode>
                <c:ptCount val="8"/>
                <c:pt idx="0">
                  <c:v>0.62270000000000003</c:v>
                </c:pt>
                <c:pt idx="1">
                  <c:v>0.62070000000000003</c:v>
                </c:pt>
                <c:pt idx="2">
                  <c:v>0.61799999999999999</c:v>
                </c:pt>
                <c:pt idx="3">
                  <c:v>0.61599999999999999</c:v>
                </c:pt>
                <c:pt idx="4">
                  <c:v>0.61350000000000005</c:v>
                </c:pt>
                <c:pt idx="5">
                  <c:v>0.6109</c:v>
                </c:pt>
                <c:pt idx="6">
                  <c:v>0.6089</c:v>
                </c:pt>
                <c:pt idx="7">
                  <c:v>0.60570000000000002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4-7F49-A25A-6CED581F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35613315955662"/>
                  <c:y val="-0.4399775594051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Sheet1!$G$56:$G$63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Sheet1!$H$56:$H$63</c:f>
              <c:numCache>
                <c:formatCode>General</c:formatCode>
                <c:ptCount val="8"/>
                <c:pt idx="0">
                  <c:v>0.61009999999999998</c:v>
                </c:pt>
                <c:pt idx="1">
                  <c:v>0.60499999999999998</c:v>
                </c:pt>
                <c:pt idx="2">
                  <c:v>0.60009999999999997</c:v>
                </c:pt>
                <c:pt idx="3">
                  <c:v>0.59550000000000003</c:v>
                </c:pt>
                <c:pt idx="4">
                  <c:v>0.59030000000000005</c:v>
                </c:pt>
                <c:pt idx="5">
                  <c:v>0.58530000000000004</c:v>
                </c:pt>
                <c:pt idx="6">
                  <c:v>0.58079999999999998</c:v>
                </c:pt>
                <c:pt idx="7">
                  <c:v>0.5736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50-854D-9E43-1C2EDBA3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635613315955662"/>
                  <c:y val="-0.43997755940519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Sheet1!$G$67:$G$74</c:f>
              <c:numCache>
                <c:formatCode>0.00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</c:numCache>
            </c:numRef>
          </c:xVal>
          <c:yVal>
            <c:numRef>
              <c:f>Sheet1!$H$67:$H$74</c:f>
              <c:numCache>
                <c:formatCode>General</c:formatCode>
                <c:ptCount val="8"/>
                <c:pt idx="0">
                  <c:v>1.3627</c:v>
                </c:pt>
                <c:pt idx="1">
                  <c:v>1.3532999999999999</c:v>
                </c:pt>
                <c:pt idx="2">
                  <c:v>1.3432999999999999</c:v>
                </c:pt>
                <c:pt idx="3">
                  <c:v>1.3345</c:v>
                </c:pt>
                <c:pt idx="4">
                  <c:v>1.3249</c:v>
                </c:pt>
                <c:pt idx="5">
                  <c:v>1.3163</c:v>
                </c:pt>
                <c:pt idx="6">
                  <c:v>1.3083</c:v>
                </c:pt>
                <c:pt idx="7">
                  <c:v>1.2985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2-B54D-88E8-437E4963E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730240"/>
        <c:axId val="1141074192"/>
      </c:scatterChart>
      <c:valAx>
        <c:axId val="114173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74192"/>
        <c:crosses val="autoZero"/>
        <c:crossBetween val="midCat"/>
      </c:valAx>
      <c:valAx>
        <c:axId val="1141074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7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47749759405074405"/>
                  <c:y val="-0.5977274715660539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[1]leaf!$D$7:$D$14</c:f>
              <c:numCache>
                <c:formatCode>General</c:formatCode>
                <c:ptCount val="8"/>
                <c:pt idx="0">
                  <c:v>0</c:v>
                </c:pt>
                <c:pt idx="1">
                  <c:v>22</c:v>
                </c:pt>
                <c:pt idx="2">
                  <c:v>43</c:v>
                </c:pt>
                <c:pt idx="3">
                  <c:v>68</c:v>
                </c:pt>
                <c:pt idx="4">
                  <c:v>88</c:v>
                </c:pt>
                <c:pt idx="5">
                  <c:v>109</c:v>
                </c:pt>
                <c:pt idx="6">
                  <c:v>130</c:v>
                </c:pt>
                <c:pt idx="7">
                  <c:v>152</c:v>
                </c:pt>
              </c:numCache>
            </c:numRef>
          </c:xVal>
          <c:yVal>
            <c:numRef>
              <c:f>[1]leaf!$E$7:$E$14</c:f>
              <c:numCache>
                <c:formatCode>General</c:formatCode>
                <c:ptCount val="8"/>
                <c:pt idx="0">
                  <c:v>3.4550000000000001</c:v>
                </c:pt>
                <c:pt idx="1">
                  <c:v>3.4005000000000001</c:v>
                </c:pt>
                <c:pt idx="2">
                  <c:v>3.3491</c:v>
                </c:pt>
                <c:pt idx="3">
                  <c:v>3.2833000000000001</c:v>
                </c:pt>
                <c:pt idx="4">
                  <c:v>3.2351000000000001</c:v>
                </c:pt>
                <c:pt idx="5">
                  <c:v>3.1831</c:v>
                </c:pt>
                <c:pt idx="6">
                  <c:v>3.1291000000000002</c:v>
                </c:pt>
                <c:pt idx="7">
                  <c:v>3.0762999999999998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2-6E45-ABDC-24C2AE6D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018336"/>
        <c:axId val="1"/>
      </c:scatterChart>
      <c:valAx>
        <c:axId val="114201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42018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9377465304807115"/>
          <c:y val="0.44241081015855177"/>
          <c:w val="0.18750582355466247"/>
          <c:h val="0.1659040538094569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11" l="0.70000000000000007" r="0.70000000000000007" t="0.75000000000000011" header="0.30000000000000004" footer="0.30000000000000004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73270</xdr:colOff>
      <xdr:row>3</xdr:row>
      <xdr:rowOff>44939</xdr:rowOff>
    </xdr:from>
    <xdr:to>
      <xdr:col>16</xdr:col>
      <xdr:colOff>732691</xdr:colOff>
      <xdr:row>14</xdr:row>
      <xdr:rowOff>127001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E3FB2-7617-3241-A00B-CC4913355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224693</xdr:colOff>
      <xdr:row>15</xdr:row>
      <xdr:rowOff>146538</xdr:rowOff>
    </xdr:from>
    <xdr:to>
      <xdr:col>17</xdr:col>
      <xdr:colOff>801077</xdr:colOff>
      <xdr:row>26</xdr:row>
      <xdr:rowOff>166078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4C5012-B2ED-694E-97C8-7A69A2F7E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9769</xdr:colOff>
      <xdr:row>28</xdr:row>
      <xdr:rowOff>87923</xdr:rowOff>
    </xdr:from>
    <xdr:to>
      <xdr:col>17</xdr:col>
      <xdr:colOff>586153</xdr:colOff>
      <xdr:row>39</xdr:row>
      <xdr:rowOff>107463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C19908-51FB-FF4C-8D13-C20871EA8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40</xdr:row>
      <xdr:rowOff>58616</xdr:rowOff>
    </xdr:from>
    <xdr:to>
      <xdr:col>17</xdr:col>
      <xdr:colOff>576384</xdr:colOff>
      <xdr:row>51</xdr:row>
      <xdr:rowOff>78156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8900D4-B7F6-A943-A31F-F4FB37F94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52</xdr:row>
      <xdr:rowOff>0</xdr:rowOff>
    </xdr:from>
    <xdr:to>
      <xdr:col>17</xdr:col>
      <xdr:colOff>576384</xdr:colOff>
      <xdr:row>63</xdr:row>
      <xdr:rowOff>19540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E8487B-FFCB-214C-9893-C587C4226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64</xdr:row>
      <xdr:rowOff>0</xdr:rowOff>
    </xdr:from>
    <xdr:to>
      <xdr:col>17</xdr:col>
      <xdr:colOff>576384</xdr:colOff>
      <xdr:row>74</xdr:row>
      <xdr:rowOff>19540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33FC229-38DE-F147-BD8F-BF3986BC9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20</xdr:row>
      <xdr:rowOff>50800</xdr:rowOff>
    </xdr:from>
    <xdr:to>
      <xdr:col>12</xdr:col>
      <xdr:colOff>406400</xdr:colOff>
      <xdr:row>34</xdr:row>
      <xdr:rowOff>139700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1BFCCC9B-0F00-6F4C-9A04-1DF9ACD20D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ian/Documents/Pesquisa-USP/2_Hidraulica%20de%20plantas/Codutancia%20foliar%20minima/74-gmin_spreadsheet_tool_LSack2010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f"/>
    </sheetNames>
    <sheetDataSet>
      <sheetData sheetId="0">
        <row r="7">
          <cell r="D7">
            <v>0</v>
          </cell>
          <cell r="E7">
            <v>3.4550000000000001</v>
          </cell>
        </row>
        <row r="8">
          <cell r="D8">
            <v>22</v>
          </cell>
          <cell r="E8">
            <v>3.4005000000000001</v>
          </cell>
        </row>
        <row r="9">
          <cell r="D9">
            <v>43</v>
          </cell>
          <cell r="E9">
            <v>3.3491</v>
          </cell>
        </row>
        <row r="10">
          <cell r="D10">
            <v>68</v>
          </cell>
          <cell r="E10">
            <v>3.2833000000000001</v>
          </cell>
        </row>
        <row r="11">
          <cell r="D11">
            <v>88</v>
          </cell>
          <cell r="E11">
            <v>3.2351000000000001</v>
          </cell>
        </row>
        <row r="12">
          <cell r="D12">
            <v>109</v>
          </cell>
          <cell r="E12">
            <v>3.1831</v>
          </cell>
        </row>
        <row r="13">
          <cell r="D13">
            <v>130</v>
          </cell>
          <cell r="E13">
            <v>3.1291000000000002</v>
          </cell>
        </row>
        <row r="14">
          <cell r="D14">
            <v>152</v>
          </cell>
          <cell r="E14">
            <v>3.0762999999999998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4BA2-F216-7043-8FA9-DCE9B042D1A3}">
  <dimension ref="A1:AF90"/>
  <sheetViews>
    <sheetView tabSelected="1" topLeftCell="H1" zoomScale="130" zoomScaleNormal="130" workbookViewId="0">
      <pane ySplit="1" topLeftCell="A57" activePane="bottomLeft" state="frozen"/>
      <selection pane="bottomLeft" activeCell="V1" sqref="V1:V1048576"/>
    </sheetView>
  </sheetViews>
  <sheetFormatPr baseColWidth="10" defaultRowHeight="16" x14ac:dyDescent="0.2"/>
  <cols>
    <col min="7" max="7" width="12.5" style="19" customWidth="1"/>
    <col min="8" max="10" width="10.83203125" style="19"/>
    <col min="20" max="20" width="9.33203125" customWidth="1"/>
    <col min="22" max="22" width="11.1640625" customWidth="1"/>
  </cols>
  <sheetData>
    <row r="1" spans="1:32" s="21" customFormat="1" ht="57" x14ac:dyDescent="0.2">
      <c r="A1" s="21" t="s">
        <v>29</v>
      </c>
      <c r="B1" s="21" t="s">
        <v>34</v>
      </c>
      <c r="C1" s="21" t="s">
        <v>30</v>
      </c>
      <c r="D1" s="21" t="s">
        <v>31</v>
      </c>
      <c r="E1" s="21" t="s">
        <v>32</v>
      </c>
      <c r="F1" s="21" t="s">
        <v>33</v>
      </c>
      <c r="G1" s="22" t="s">
        <v>35</v>
      </c>
      <c r="H1" s="22" t="s">
        <v>36</v>
      </c>
      <c r="I1" s="22" t="s">
        <v>45</v>
      </c>
      <c r="J1" s="22" t="s">
        <v>46</v>
      </c>
      <c r="K1" s="21" t="s">
        <v>47</v>
      </c>
      <c r="L1" s="21" t="s">
        <v>48</v>
      </c>
      <c r="M1" s="21" t="s">
        <v>49</v>
      </c>
      <c r="N1" s="21" t="s">
        <v>50</v>
      </c>
      <c r="R1" s="21" t="s">
        <v>56</v>
      </c>
      <c r="S1" s="23" t="s">
        <v>51</v>
      </c>
      <c r="T1" s="23" t="s">
        <v>52</v>
      </c>
      <c r="U1" s="23" t="s">
        <v>13</v>
      </c>
      <c r="V1" s="21" t="s">
        <v>53</v>
      </c>
      <c r="AA1" s="21">
        <v>1</v>
      </c>
      <c r="AB1" s="21">
        <v>0.108</v>
      </c>
      <c r="AC1" s="21">
        <v>1.468</v>
      </c>
    </row>
    <row r="2" spans="1:32" x14ac:dyDescent="0.2">
      <c r="A2" t="s">
        <v>0</v>
      </c>
      <c r="U2" s="5" t="s">
        <v>21</v>
      </c>
      <c r="V2" s="3"/>
      <c r="W2" s="4">
        <v>87.23</v>
      </c>
      <c r="X2" t="s">
        <v>38</v>
      </c>
    </row>
    <row r="3" spans="1:32" x14ac:dyDescent="0.2">
      <c r="A3" s="15" t="s">
        <v>37</v>
      </c>
      <c r="W3" s="4">
        <v>101.8</v>
      </c>
      <c r="AB3" t="s">
        <v>39</v>
      </c>
      <c r="AC3" t="s">
        <v>40</v>
      </c>
    </row>
    <row r="4" spans="1:32" s="12" customFormat="1" x14ac:dyDescent="0.2">
      <c r="G4" s="18"/>
      <c r="H4" s="18"/>
      <c r="I4" s="18"/>
      <c r="J4" s="18"/>
      <c r="S4" s="1"/>
      <c r="T4" s="1"/>
      <c r="U4" s="1"/>
    </row>
    <row r="5" spans="1:32" x14ac:dyDescent="0.2">
      <c r="A5" t="s">
        <v>43</v>
      </c>
      <c r="B5">
        <v>1</v>
      </c>
      <c r="C5">
        <v>1</v>
      </c>
      <c r="D5">
        <v>1</v>
      </c>
      <c r="E5" t="s">
        <v>42</v>
      </c>
      <c r="F5" s="10">
        <v>0.6875</v>
      </c>
      <c r="K5" s="14">
        <v>15.308999999999999</v>
      </c>
      <c r="L5" s="14"/>
      <c r="R5">
        <f>(610.78*EXP(23/(23+238.3)*17.2694)*((100-50)/100))/1000</f>
        <v>1.3964197994920702</v>
      </c>
      <c r="AA5">
        <v>1</v>
      </c>
      <c r="AB5">
        <v>4.4809999999999999</v>
      </c>
      <c r="AC5">
        <v>7.8049999999999997</v>
      </c>
      <c r="AD5">
        <v>1</v>
      </c>
      <c r="AE5">
        <v>4.3789999999999996</v>
      </c>
      <c r="AF5">
        <v>7.8390000000000004</v>
      </c>
    </row>
    <row r="6" spans="1:32" x14ac:dyDescent="0.2">
      <c r="A6" t="s">
        <v>43</v>
      </c>
      <c r="B6">
        <v>1</v>
      </c>
      <c r="C6">
        <v>1</v>
      </c>
      <c r="D6">
        <v>2</v>
      </c>
      <c r="E6" t="s">
        <v>42</v>
      </c>
      <c r="F6" s="10">
        <v>0.72916666666666663</v>
      </c>
      <c r="G6" s="20">
        <f t="shared" ref="G6:G13" si="0">((HOUR(F6)-HOUR($F$6))*60*60 + (MINUTE(F6)-MINUTE($F$6))*60 + (SECOND(F6)-SECOND($F$6)))/60</f>
        <v>0</v>
      </c>
      <c r="H6" s="19">
        <v>0.69430000000000003</v>
      </c>
      <c r="I6" s="19">
        <v>25.4</v>
      </c>
      <c r="J6" s="19">
        <v>59</v>
      </c>
      <c r="K6" t="s">
        <v>41</v>
      </c>
      <c r="R6">
        <f>(610.78*EXP(I6/(I6+238.3)*17.2694)*((100-J6)/100))/1000</f>
        <v>1.3215420598966676</v>
      </c>
      <c r="S6">
        <f>EXP(52.57633-6790.49851/(I6+273.15)-5.028081*LN(I6+273.15))</f>
        <v>3.243594625468408</v>
      </c>
      <c r="T6" s="13">
        <f>(1-(J6/100))*(S6/W$2)</f>
        <v>1.5245601243173763E-2</v>
      </c>
      <c r="V6" s="16">
        <f>AVERAGE(U7:U13)</f>
        <v>6.8572966885075655</v>
      </c>
      <c r="W6" s="17"/>
      <c r="AA6">
        <v>2</v>
      </c>
      <c r="AB6">
        <v>3.5910000000000002</v>
      </c>
      <c r="AC6">
        <v>6.976</v>
      </c>
      <c r="AD6">
        <v>2</v>
      </c>
      <c r="AE6">
        <v>3.4620000000000002</v>
      </c>
      <c r="AF6">
        <v>6.923</v>
      </c>
    </row>
    <row r="7" spans="1:32" x14ac:dyDescent="0.2">
      <c r="A7" t="s">
        <v>43</v>
      </c>
      <c r="B7">
        <v>1</v>
      </c>
      <c r="C7">
        <v>1</v>
      </c>
      <c r="D7">
        <v>3</v>
      </c>
      <c r="E7" t="s">
        <v>42</v>
      </c>
      <c r="F7" s="10">
        <v>0.73958333333333337</v>
      </c>
      <c r="G7" s="20">
        <f t="shared" si="0"/>
        <v>15</v>
      </c>
      <c r="H7" s="19">
        <v>0.6895</v>
      </c>
      <c r="I7" s="19">
        <v>25.3</v>
      </c>
      <c r="J7" s="19">
        <v>59</v>
      </c>
      <c r="R7">
        <f t="shared" ref="R7:R13" si="1">(610.78*EXP(I7/(I7+238.3)*17.2694)*((100-J7)/100))/1000</f>
        <v>1.3137412122394438</v>
      </c>
      <c r="S7">
        <f t="shared" ref="S7:S14" si="2">EXP(52.57633-6790.49851/(I7+273.15)-5.028081*LN(I7+273.15))</f>
        <v>3.2243958461493283</v>
      </c>
      <c r="T7" s="13">
        <f>(1-(J7/100))*(S7/W$2)</f>
        <v>1.515536279859251E-2</v>
      </c>
      <c r="U7">
        <f>-((H8-H7)/18*1000)/((G8-G7)*60)/T7/(K$5*2/10000)</f>
        <v>6.6513811274225105</v>
      </c>
      <c r="V7" s="1">
        <f>-SLOPE(H6:H13,G6:G13)/60/AVERAGE(T6:T13)*1000/18/(K5*2/10000)</f>
        <v>6.6986066286318513</v>
      </c>
      <c r="W7" s="17" t="s">
        <v>24</v>
      </c>
      <c r="AA7">
        <v>3</v>
      </c>
      <c r="AB7">
        <v>4.0490000000000004</v>
      </c>
      <c r="AC7">
        <v>7.4</v>
      </c>
      <c r="AD7">
        <v>3</v>
      </c>
      <c r="AE7">
        <v>3.3959999999999999</v>
      </c>
      <c r="AF7">
        <v>6.7850000000000001</v>
      </c>
    </row>
    <row r="8" spans="1:32" x14ac:dyDescent="0.2">
      <c r="A8" t="s">
        <v>43</v>
      </c>
      <c r="B8">
        <v>1</v>
      </c>
      <c r="C8">
        <v>1</v>
      </c>
      <c r="D8">
        <v>4</v>
      </c>
      <c r="E8" t="s">
        <v>42</v>
      </c>
      <c r="F8" s="10">
        <v>0.75</v>
      </c>
      <c r="G8" s="20">
        <f t="shared" si="0"/>
        <v>30</v>
      </c>
      <c r="H8" s="19">
        <v>0.6845</v>
      </c>
      <c r="I8" s="19">
        <v>25.2</v>
      </c>
      <c r="J8" s="19">
        <v>59</v>
      </c>
      <c r="R8">
        <f t="shared" si="1"/>
        <v>1.305980543139015</v>
      </c>
      <c r="S8">
        <f t="shared" si="2"/>
        <v>3.2052961382590857</v>
      </c>
      <c r="T8" s="13">
        <f t="shared" ref="T8:T14" si="3">(1-(J8/100))*(S8/W$2)</f>
        <v>1.5065590011306031E-2</v>
      </c>
      <c r="U8">
        <f t="shared" ref="U8:U14" si="4">-((H9-H8)/18*1000)/((G9-G8)*60)/T8/(K$5*2/10000)</f>
        <v>5.888093512400884</v>
      </c>
      <c r="AA8">
        <v>4</v>
      </c>
      <c r="AB8">
        <v>4.0490000000000004</v>
      </c>
      <c r="AC8">
        <v>7.4</v>
      </c>
      <c r="AD8">
        <v>4</v>
      </c>
      <c r="AE8">
        <v>4.0720000000000001</v>
      </c>
      <c r="AF8">
        <v>7.4589999999999996</v>
      </c>
    </row>
    <row r="9" spans="1:32" x14ac:dyDescent="0.2">
      <c r="A9" t="s">
        <v>43</v>
      </c>
      <c r="B9">
        <v>1</v>
      </c>
      <c r="C9">
        <v>1</v>
      </c>
      <c r="D9">
        <v>5</v>
      </c>
      <c r="E9" t="s">
        <v>42</v>
      </c>
      <c r="F9" s="10">
        <v>0.76041666666666663</v>
      </c>
      <c r="G9" s="20">
        <f t="shared" si="0"/>
        <v>45</v>
      </c>
      <c r="H9" s="19">
        <v>0.68010000000000004</v>
      </c>
      <c r="I9" s="19">
        <v>25.1</v>
      </c>
      <c r="J9" s="19">
        <v>59</v>
      </c>
      <c r="R9">
        <f t="shared" si="1"/>
        <v>1.2982598781445576</v>
      </c>
      <c r="S9">
        <f t="shared" si="2"/>
        <v>3.1862950728549206</v>
      </c>
      <c r="T9" s="13">
        <f t="shared" si="3"/>
        <v>1.4976280865189928E-2</v>
      </c>
      <c r="U9">
        <f t="shared" si="4"/>
        <v>6.5962980465638346</v>
      </c>
    </row>
    <row r="10" spans="1:32" x14ac:dyDescent="0.2">
      <c r="A10" t="s">
        <v>43</v>
      </c>
      <c r="B10">
        <v>1</v>
      </c>
      <c r="C10">
        <v>1</v>
      </c>
      <c r="D10">
        <v>6</v>
      </c>
      <c r="E10" t="s">
        <v>42</v>
      </c>
      <c r="F10" s="10">
        <v>0.77083333333333337</v>
      </c>
      <c r="G10" s="20">
        <f t="shared" si="0"/>
        <v>60</v>
      </c>
      <c r="H10" s="19">
        <v>0.67520000000000002</v>
      </c>
      <c r="I10" s="19">
        <v>25</v>
      </c>
      <c r="J10" s="19">
        <v>60</v>
      </c>
      <c r="R10">
        <f t="shared" si="1"/>
        <v>1.2591015057622748</v>
      </c>
      <c r="S10">
        <f t="shared" si="2"/>
        <v>3.1673922224442372</v>
      </c>
      <c r="T10" s="13">
        <f t="shared" si="3"/>
        <v>1.4524325220425252E-2</v>
      </c>
      <c r="U10">
        <f t="shared" si="4"/>
        <v>6.3851342601140857</v>
      </c>
    </row>
    <row r="11" spans="1:32" x14ac:dyDescent="0.2">
      <c r="A11" t="s">
        <v>43</v>
      </c>
      <c r="B11">
        <v>1</v>
      </c>
      <c r="C11">
        <v>1</v>
      </c>
      <c r="D11">
        <v>7</v>
      </c>
      <c r="E11" t="s">
        <v>42</v>
      </c>
      <c r="F11" s="10">
        <v>0.78125</v>
      </c>
      <c r="G11" s="20">
        <f t="shared" si="0"/>
        <v>75</v>
      </c>
      <c r="H11" s="19">
        <v>0.67059999999999997</v>
      </c>
      <c r="I11" s="19">
        <v>24.9</v>
      </c>
      <c r="J11" s="19">
        <v>60</v>
      </c>
      <c r="R11">
        <f t="shared" si="1"/>
        <v>1.2516466982187739</v>
      </c>
      <c r="S11">
        <f t="shared" si="2"/>
        <v>3.1485871609815406</v>
      </c>
      <c r="T11" s="13">
        <f t="shared" si="3"/>
        <v>1.4438093137597342E-2</v>
      </c>
      <c r="U11">
        <f t="shared" si="4"/>
        <v>6.7025423240891921</v>
      </c>
    </row>
    <row r="12" spans="1:32" x14ac:dyDescent="0.2">
      <c r="A12" t="s">
        <v>43</v>
      </c>
      <c r="B12">
        <v>1</v>
      </c>
      <c r="C12">
        <v>1</v>
      </c>
      <c r="D12">
        <v>8</v>
      </c>
      <c r="E12" t="s">
        <v>42</v>
      </c>
      <c r="F12" s="10">
        <v>0.79166666666666663</v>
      </c>
      <c r="G12" s="20">
        <f t="shared" si="0"/>
        <v>90</v>
      </c>
      <c r="H12" s="19">
        <v>0.66579999999999995</v>
      </c>
      <c r="I12" s="19">
        <v>24.8</v>
      </c>
      <c r="J12" s="19">
        <v>60</v>
      </c>
      <c r="R12">
        <f t="shared" si="1"/>
        <v>1.2442304119965006</v>
      </c>
      <c r="S12">
        <f t="shared" si="2"/>
        <v>3.1298794638652652</v>
      </c>
      <c r="T12" s="13">
        <f t="shared" si="3"/>
        <v>1.4352307526609036E-2</v>
      </c>
      <c r="U12">
        <f>-((H13-H12)/18*1000)/((G13-G12)*60)/T12/(K$5*2/10000)</f>
        <v>9.2710809019664175</v>
      </c>
    </row>
    <row r="13" spans="1:32" x14ac:dyDescent="0.2">
      <c r="A13" t="s">
        <v>43</v>
      </c>
      <c r="B13">
        <v>1</v>
      </c>
      <c r="C13">
        <v>1</v>
      </c>
      <c r="D13">
        <v>9</v>
      </c>
      <c r="E13" t="s">
        <v>42</v>
      </c>
      <c r="F13" s="11">
        <v>0.80208333333333337</v>
      </c>
      <c r="G13" s="20">
        <f t="shared" si="0"/>
        <v>105</v>
      </c>
      <c r="H13" s="19">
        <v>0.65920000000000001</v>
      </c>
      <c r="I13" s="19">
        <v>24.8</v>
      </c>
      <c r="J13" s="19">
        <v>61</v>
      </c>
      <c r="R13">
        <f t="shared" si="1"/>
        <v>1.2131246516965879</v>
      </c>
      <c r="S13">
        <f t="shared" si="2"/>
        <v>3.1298794638652652</v>
      </c>
      <c r="T13" s="13">
        <f t="shared" si="3"/>
        <v>1.3993499838443809E-2</v>
      </c>
      <c r="U13">
        <f>-((H14-H13)/18*1000)/((G14-G13)*60)/T13/(K$5*2/10000)</f>
        <v>6.5065466469960347</v>
      </c>
    </row>
    <row r="14" spans="1:32" x14ac:dyDescent="0.2">
      <c r="A14" t="s">
        <v>43</v>
      </c>
      <c r="B14">
        <v>1</v>
      </c>
      <c r="C14">
        <v>1</v>
      </c>
      <c r="D14">
        <v>10</v>
      </c>
      <c r="E14" t="s">
        <v>44</v>
      </c>
      <c r="F14" s="10">
        <v>0.3263888888888889</v>
      </c>
      <c r="G14" s="20">
        <f>12*60+35</f>
        <v>755</v>
      </c>
      <c r="H14" s="19">
        <v>0.46350000000000002</v>
      </c>
      <c r="I14" s="19">
        <v>22.8</v>
      </c>
      <c r="J14" s="19">
        <v>65</v>
      </c>
      <c r="R14">
        <f>(610.78*EXP(I14/(I14+238.3)*17.2694)*((100-J14)/100))/1000</f>
        <v>0.96577239044482199</v>
      </c>
      <c r="S14">
        <f t="shared" si="2"/>
        <v>2.7755307980316362</v>
      </c>
      <c r="T14" s="13">
        <f t="shared" si="3"/>
        <v>1.1136487209802506E-2</v>
      </c>
      <c r="U14">
        <f t="shared" si="4"/>
        <v>-16.670705906246926</v>
      </c>
    </row>
    <row r="17" spans="1:30" x14ac:dyDescent="0.2">
      <c r="A17" t="s">
        <v>43</v>
      </c>
      <c r="B17">
        <v>2</v>
      </c>
      <c r="C17">
        <v>1</v>
      </c>
      <c r="D17">
        <v>1</v>
      </c>
      <c r="E17" t="s">
        <v>42</v>
      </c>
      <c r="F17" s="10">
        <v>0.6875</v>
      </c>
      <c r="K17" s="14">
        <v>19.09</v>
      </c>
      <c r="L17" s="14"/>
    </row>
    <row r="18" spans="1:30" x14ac:dyDescent="0.2">
      <c r="A18" t="s">
        <v>43</v>
      </c>
      <c r="B18">
        <v>2</v>
      </c>
      <c r="C18">
        <v>1</v>
      </c>
      <c r="D18">
        <v>2</v>
      </c>
      <c r="E18" t="s">
        <v>42</v>
      </c>
      <c r="F18" s="10">
        <v>0.72916666666666663</v>
      </c>
      <c r="G18" s="20">
        <f t="shared" ref="G18:G25" si="5">((HOUR(F18)-HOUR($F$6))*60*60 + (MINUTE(F18)-MINUTE($F$6))*60 + (SECOND(F18)-SECOND($F$6)))/60</f>
        <v>0</v>
      </c>
      <c r="H18" s="19">
        <v>0.84970000000000001</v>
      </c>
      <c r="I18" s="19">
        <v>25.4</v>
      </c>
      <c r="J18" s="19">
        <v>59</v>
      </c>
      <c r="S18">
        <f>EXP(52.57633-6790.49851/(I18+273.15)-5.028081*LN(I18+273.15))</f>
        <v>3.243594625468408</v>
      </c>
      <c r="T18" s="13">
        <f>(1-(J18/100))*(S18/W$2)</f>
        <v>1.5245601243173763E-2</v>
      </c>
      <c r="V18" s="16">
        <f>AVERAGE(U19:U25)</f>
        <v>3.8705299447730721</v>
      </c>
      <c r="Y18">
        <v>1</v>
      </c>
      <c r="Z18">
        <v>5.2830000000000004</v>
      </c>
      <c r="AA18">
        <v>8.4860000000000007</v>
      </c>
      <c r="AB18">
        <v>1</v>
      </c>
      <c r="AC18">
        <v>5.5640000000000001</v>
      </c>
      <c r="AD18">
        <v>8.73</v>
      </c>
    </row>
    <row r="19" spans="1:30" x14ac:dyDescent="0.2">
      <c r="A19" t="s">
        <v>43</v>
      </c>
      <c r="B19">
        <v>2</v>
      </c>
      <c r="C19">
        <v>1</v>
      </c>
      <c r="D19">
        <v>3</v>
      </c>
      <c r="E19" t="s">
        <v>42</v>
      </c>
      <c r="F19" s="10">
        <v>0.73958333333333337</v>
      </c>
      <c r="G19" s="20">
        <f t="shared" si="5"/>
        <v>15</v>
      </c>
      <c r="H19" s="19">
        <v>0.84640000000000004</v>
      </c>
      <c r="I19" s="19">
        <v>25.3</v>
      </c>
      <c r="J19" s="19">
        <v>59</v>
      </c>
      <c r="S19">
        <f t="shared" ref="S19:S27" si="6">EXP(52.57633-6790.49851/(I19+273.15)-5.028081*LN(I19+273.15))</f>
        <v>3.2243958461493283</v>
      </c>
      <c r="T19" s="13">
        <f t="shared" ref="T19:T27" si="7">(1-(J19/100))*(S19/W$2)</f>
        <v>1.515536279859251E-2</v>
      </c>
      <c r="U19">
        <f t="shared" ref="U19:U27" si="8">-((H20-H19)/18*1000)/((G20-G19)*60)/T19/(K$17*2/10000)</f>
        <v>3.6271176376220531</v>
      </c>
      <c r="V19" s="1">
        <f>-SLOPE(H18:H25,G18:G25)/60/AVERAGE(T18:T26)*1000/18/(K17*2/10000)</f>
        <v>3.9675067730607183</v>
      </c>
      <c r="Y19">
        <v>2</v>
      </c>
      <c r="Z19">
        <v>5.2830000000000004</v>
      </c>
      <c r="AA19">
        <v>8.4860000000000007</v>
      </c>
      <c r="AB19">
        <v>2</v>
      </c>
      <c r="AC19">
        <v>3.556</v>
      </c>
      <c r="AD19">
        <v>6.9279999999999999</v>
      </c>
    </row>
    <row r="20" spans="1:30" x14ac:dyDescent="0.2">
      <c r="A20" t="s">
        <v>43</v>
      </c>
      <c r="B20">
        <v>2</v>
      </c>
      <c r="C20">
        <v>1</v>
      </c>
      <c r="D20">
        <v>4</v>
      </c>
      <c r="E20" t="s">
        <v>42</v>
      </c>
      <c r="F20" s="10">
        <v>0.75</v>
      </c>
      <c r="G20" s="20">
        <f t="shared" si="5"/>
        <v>30</v>
      </c>
      <c r="H20" s="19">
        <v>0.84299999999999997</v>
      </c>
      <c r="I20" s="19">
        <v>25.2</v>
      </c>
      <c r="J20" s="19">
        <v>59</v>
      </c>
      <c r="S20">
        <f t="shared" si="6"/>
        <v>3.2052961382590857</v>
      </c>
      <c r="T20" s="13">
        <f t="shared" si="7"/>
        <v>1.5065590011306031E-2</v>
      </c>
      <c r="U20">
        <f t="shared" si="8"/>
        <v>3.9706777376419509</v>
      </c>
      <c r="Y20">
        <v>3</v>
      </c>
      <c r="Z20">
        <v>4.5439999999999996</v>
      </c>
      <c r="AA20">
        <v>7.891</v>
      </c>
      <c r="AB20">
        <v>3</v>
      </c>
      <c r="AC20">
        <v>4.9379999999999997</v>
      </c>
      <c r="AD20">
        <v>8.2469999999999999</v>
      </c>
    </row>
    <row r="21" spans="1:30" x14ac:dyDescent="0.2">
      <c r="A21" t="s">
        <v>43</v>
      </c>
      <c r="B21">
        <v>2</v>
      </c>
      <c r="C21">
        <v>1</v>
      </c>
      <c r="D21">
        <v>5</v>
      </c>
      <c r="E21" t="s">
        <v>42</v>
      </c>
      <c r="F21" s="10">
        <v>0.76041666666666663</v>
      </c>
      <c r="G21" s="20">
        <f t="shared" si="5"/>
        <v>45</v>
      </c>
      <c r="H21" s="19">
        <v>0.83930000000000005</v>
      </c>
      <c r="I21" s="19">
        <v>25.1</v>
      </c>
      <c r="J21" s="19">
        <v>59</v>
      </c>
      <c r="S21">
        <f t="shared" si="6"/>
        <v>3.1862950728549206</v>
      </c>
      <c r="T21" s="13">
        <f t="shared" si="7"/>
        <v>1.4976280865189928E-2</v>
      </c>
      <c r="U21">
        <f t="shared" si="8"/>
        <v>3.5625340591077501</v>
      </c>
      <c r="Y21">
        <v>4</v>
      </c>
      <c r="Z21">
        <v>4.5439999999999996</v>
      </c>
      <c r="AA21">
        <v>7.891</v>
      </c>
      <c r="AB21">
        <v>4</v>
      </c>
      <c r="AC21">
        <v>5.032</v>
      </c>
      <c r="AD21">
        <v>8.2590000000000003</v>
      </c>
    </row>
    <row r="22" spans="1:30" x14ac:dyDescent="0.2">
      <c r="A22" t="s">
        <v>43</v>
      </c>
      <c r="B22">
        <v>2</v>
      </c>
      <c r="C22">
        <v>1</v>
      </c>
      <c r="D22">
        <v>6</v>
      </c>
      <c r="E22" t="s">
        <v>42</v>
      </c>
      <c r="F22" s="10">
        <v>0.77083333333333337</v>
      </c>
      <c r="G22" s="20">
        <f t="shared" si="5"/>
        <v>60</v>
      </c>
      <c r="H22" s="19">
        <v>0.83599999999999997</v>
      </c>
      <c r="I22" s="19">
        <v>25</v>
      </c>
      <c r="J22" s="19">
        <v>60</v>
      </c>
      <c r="S22">
        <f t="shared" si="6"/>
        <v>3.1673922224442372</v>
      </c>
      <c r="T22" s="13">
        <f t="shared" si="7"/>
        <v>1.4524325220425252E-2</v>
      </c>
      <c r="U22">
        <f t="shared" si="8"/>
        <v>4.1186493661137078</v>
      </c>
    </row>
    <row r="23" spans="1:30" x14ac:dyDescent="0.2">
      <c r="A23" t="s">
        <v>43</v>
      </c>
      <c r="B23">
        <v>2</v>
      </c>
      <c r="C23">
        <v>1</v>
      </c>
      <c r="D23">
        <v>7</v>
      </c>
      <c r="E23" t="s">
        <v>42</v>
      </c>
      <c r="F23" s="10">
        <v>0.78125</v>
      </c>
      <c r="G23" s="20">
        <f t="shared" si="5"/>
        <v>75</v>
      </c>
      <c r="H23" s="19">
        <v>0.83230000000000004</v>
      </c>
      <c r="I23" s="19">
        <v>24.9</v>
      </c>
      <c r="J23" s="19">
        <v>60</v>
      </c>
      <c r="S23">
        <f t="shared" si="6"/>
        <v>3.1485871609815406</v>
      </c>
      <c r="T23" s="13">
        <f t="shared" si="7"/>
        <v>1.4438093137597342E-2</v>
      </c>
      <c r="U23">
        <f t="shared" si="8"/>
        <v>3.3593904020259613</v>
      </c>
    </row>
    <row r="24" spans="1:30" x14ac:dyDescent="0.2">
      <c r="A24" t="s">
        <v>43</v>
      </c>
      <c r="B24">
        <v>2</v>
      </c>
      <c r="C24">
        <v>1</v>
      </c>
      <c r="D24">
        <v>8</v>
      </c>
      <c r="E24" t="s">
        <v>42</v>
      </c>
      <c r="F24" s="10">
        <v>0.79166666666666663</v>
      </c>
      <c r="G24" s="20">
        <f t="shared" si="5"/>
        <v>90</v>
      </c>
      <c r="H24" s="19">
        <v>0.82930000000000004</v>
      </c>
      <c r="I24" s="19">
        <v>24.8</v>
      </c>
      <c r="J24" s="19">
        <v>60</v>
      </c>
      <c r="S24">
        <f t="shared" si="6"/>
        <v>3.1298794638652652</v>
      </c>
      <c r="T24" s="13">
        <f t="shared" si="7"/>
        <v>1.4352307526609036E-2</v>
      </c>
      <c r="U24">
        <f t="shared" si="8"/>
        <v>5.0692048738585314</v>
      </c>
    </row>
    <row r="25" spans="1:30" x14ac:dyDescent="0.2">
      <c r="A25" t="s">
        <v>43</v>
      </c>
      <c r="B25">
        <v>2</v>
      </c>
      <c r="C25">
        <v>1</v>
      </c>
      <c r="D25">
        <v>9</v>
      </c>
      <c r="E25" t="s">
        <v>42</v>
      </c>
      <c r="F25" s="11">
        <v>0.80208333333333337</v>
      </c>
      <c r="G25" s="20">
        <f t="shared" si="5"/>
        <v>105</v>
      </c>
      <c r="H25" s="19">
        <v>0.82479999999999998</v>
      </c>
      <c r="I25" s="19">
        <v>24.8</v>
      </c>
      <c r="J25" s="19">
        <v>61</v>
      </c>
      <c r="S25">
        <f t="shared" si="6"/>
        <v>3.1298794638652652</v>
      </c>
      <c r="T25" s="13">
        <f t="shared" si="7"/>
        <v>1.3993499838443809E-2</v>
      </c>
      <c r="U25">
        <f t="shared" si="8"/>
        <v>3.3861355370415516</v>
      </c>
    </row>
    <row r="26" spans="1:30" x14ac:dyDescent="0.2">
      <c r="A26" t="s">
        <v>43</v>
      </c>
      <c r="B26">
        <v>2</v>
      </c>
      <c r="C26">
        <v>1</v>
      </c>
      <c r="D26">
        <v>10</v>
      </c>
      <c r="E26" t="s">
        <v>42</v>
      </c>
      <c r="F26" s="10">
        <v>0.3263888888888889</v>
      </c>
      <c r="G26" s="20">
        <f>12*60+35</f>
        <v>755</v>
      </c>
      <c r="H26" s="19">
        <v>0.69779999999999998</v>
      </c>
      <c r="I26" s="19">
        <v>22.8</v>
      </c>
      <c r="J26" s="19">
        <v>65</v>
      </c>
      <c r="S26">
        <f t="shared" si="6"/>
        <v>2.7755307980316362</v>
      </c>
      <c r="T26" s="13">
        <f t="shared" si="7"/>
        <v>1.1136487209802506E-2</v>
      </c>
      <c r="U26">
        <f t="shared" si="8"/>
        <v>-20.126863967741823</v>
      </c>
    </row>
    <row r="27" spans="1:30" x14ac:dyDescent="0.2">
      <c r="S27">
        <f t="shared" si="6"/>
        <v>0.61184758428942232</v>
      </c>
      <c r="T27" s="13">
        <f t="shared" si="7"/>
        <v>7.0141875993284687E-3</v>
      </c>
      <c r="U27" t="e">
        <f t="shared" si="8"/>
        <v>#DIV/0!</v>
      </c>
    </row>
    <row r="29" spans="1:30" x14ac:dyDescent="0.2">
      <c r="A29" t="s">
        <v>43</v>
      </c>
      <c r="B29">
        <v>3</v>
      </c>
      <c r="C29">
        <v>1</v>
      </c>
      <c r="D29">
        <v>1</v>
      </c>
      <c r="E29" t="s">
        <v>42</v>
      </c>
      <c r="F29" s="10">
        <v>0.6875</v>
      </c>
      <c r="K29" s="14">
        <v>31.475000000000001</v>
      </c>
      <c r="L29" s="14"/>
    </row>
    <row r="30" spans="1:30" x14ac:dyDescent="0.2">
      <c r="A30" t="s">
        <v>43</v>
      </c>
      <c r="B30">
        <v>3</v>
      </c>
      <c r="C30">
        <v>1</v>
      </c>
      <c r="D30">
        <v>2</v>
      </c>
      <c r="E30" t="s">
        <v>42</v>
      </c>
      <c r="F30" s="10">
        <v>0.72916666666666663</v>
      </c>
      <c r="G30" s="20">
        <f t="shared" ref="G30:G37" si="9">((HOUR(F30)-HOUR($F$6))*60*60 + (MINUTE(F30)-MINUTE($F$6))*60 + (SECOND(F30)-SECOND($F$6)))/60</f>
        <v>0</v>
      </c>
      <c r="H30" s="19">
        <v>1.7159</v>
      </c>
      <c r="I30" s="19">
        <v>25.4</v>
      </c>
      <c r="J30" s="19">
        <v>59</v>
      </c>
      <c r="S30">
        <f>EXP(52.57633-6790.49851/(I30+273.15)-5.028081*LN(I30+273.15))</f>
        <v>3.243594625468408</v>
      </c>
      <c r="T30" s="13">
        <f>(1-(J31/100))*(S30/W$2)</f>
        <v>1.5245601243173763E-2</v>
      </c>
      <c r="V30" s="16">
        <f>AVERAGE(U31:U37)</f>
        <v>8.7303436499312586</v>
      </c>
      <c r="Y30">
        <v>1</v>
      </c>
      <c r="Z30">
        <v>7.9009999999999998</v>
      </c>
      <c r="AA30">
        <v>10.406000000000001</v>
      </c>
      <c r="AB30">
        <v>1</v>
      </c>
      <c r="AC30">
        <v>8.2469999999999999</v>
      </c>
      <c r="AD30">
        <v>10.852</v>
      </c>
    </row>
    <row r="31" spans="1:30" x14ac:dyDescent="0.2">
      <c r="A31" t="s">
        <v>43</v>
      </c>
      <c r="B31">
        <v>3</v>
      </c>
      <c r="C31">
        <v>1</v>
      </c>
      <c r="D31">
        <v>3</v>
      </c>
      <c r="E31" t="s">
        <v>42</v>
      </c>
      <c r="F31" s="10">
        <v>0.73958333333333337</v>
      </c>
      <c r="G31" s="20">
        <f t="shared" si="9"/>
        <v>15</v>
      </c>
      <c r="H31" s="19">
        <v>1.7027000000000001</v>
      </c>
      <c r="I31" s="19">
        <v>25.3</v>
      </c>
      <c r="J31" s="19">
        <v>59</v>
      </c>
      <c r="S31">
        <f>EXP(52.57633-6790.49851/(I32+273.15)-5.028081*LN(I32+273.15))</f>
        <v>3.2052961382590857</v>
      </c>
      <c r="T31" s="13">
        <f t="shared" ref="T31:T37" si="10">(1-(J32/100))*(S31/W$2)</f>
        <v>1.5065590011306031E-2</v>
      </c>
      <c r="U31">
        <f>-((H32-H31)/18*1000)/((G32-G31)*60)/T31/(K$29*2/10000)</f>
        <v>8.9171007514220779</v>
      </c>
      <c r="V31" s="1">
        <f>-SLOPE(H30:H37,G30:G37)/60/AVERAGE(T30:T37)*1000/18/(K29*2/10000)</f>
        <v>8.8494127513965299</v>
      </c>
      <c r="Y31">
        <v>2</v>
      </c>
      <c r="Z31">
        <v>6.2939999999999996</v>
      </c>
      <c r="AA31">
        <v>9.5410000000000004</v>
      </c>
      <c r="AB31">
        <v>2</v>
      </c>
      <c r="AC31">
        <v>7.1669999999999998</v>
      </c>
      <c r="AD31">
        <v>10.047000000000001</v>
      </c>
    </row>
    <row r="32" spans="1:30" x14ac:dyDescent="0.2">
      <c r="A32" t="s">
        <v>43</v>
      </c>
      <c r="B32">
        <v>3</v>
      </c>
      <c r="C32">
        <v>1</v>
      </c>
      <c r="D32">
        <v>4</v>
      </c>
      <c r="E32" t="s">
        <v>42</v>
      </c>
      <c r="F32" s="10">
        <v>0.75</v>
      </c>
      <c r="G32" s="20">
        <f t="shared" si="9"/>
        <v>30</v>
      </c>
      <c r="H32" s="19">
        <v>1.6890000000000001</v>
      </c>
      <c r="I32" s="19">
        <v>25.2</v>
      </c>
      <c r="J32" s="19">
        <v>59</v>
      </c>
      <c r="S32">
        <f>EXP(52.57633-6790.49851/(I33+273.15)-5.028081*LN(I33+273.15))</f>
        <v>3.1862950728549206</v>
      </c>
      <c r="T32" s="13">
        <f t="shared" si="10"/>
        <v>1.4976280865189928E-2</v>
      </c>
      <c r="U32">
        <f t="shared" ref="U32:U38" si="11">-((H33-H32)/18*1000)/((G33-G32)*60)/T32/(K$29*2/10000)</f>
        <v>8.2500355488811579</v>
      </c>
      <c r="Y32">
        <v>3</v>
      </c>
      <c r="Z32">
        <v>8.9730000000000008</v>
      </c>
      <c r="AA32">
        <v>10.819000000000001</v>
      </c>
      <c r="AB32">
        <v>3</v>
      </c>
      <c r="AC32">
        <v>7.673</v>
      </c>
      <c r="AD32">
        <v>10.141</v>
      </c>
    </row>
    <row r="33" spans="1:30" x14ac:dyDescent="0.2">
      <c r="A33" t="s">
        <v>43</v>
      </c>
      <c r="B33">
        <v>3</v>
      </c>
      <c r="C33">
        <v>1</v>
      </c>
      <c r="D33">
        <v>5</v>
      </c>
      <c r="E33" t="s">
        <v>42</v>
      </c>
      <c r="F33" s="10">
        <v>0.76041666666666663</v>
      </c>
      <c r="G33" s="20">
        <f t="shared" si="9"/>
        <v>45</v>
      </c>
      <c r="H33" s="19">
        <v>1.6763999999999999</v>
      </c>
      <c r="I33" s="19">
        <v>25.1</v>
      </c>
      <c r="J33" s="19">
        <v>59</v>
      </c>
      <c r="S33">
        <f>EXP(52.57633-6790.49851/(I34+273.15)-5.028081*LN(I34+273.15))</f>
        <v>3.1673922224442372</v>
      </c>
      <c r="T33" s="13">
        <f t="shared" si="10"/>
        <v>1.4524325220425252E-2</v>
      </c>
      <c r="U33">
        <f t="shared" si="11"/>
        <v>9.1143783902969204</v>
      </c>
      <c r="Y33">
        <v>4</v>
      </c>
      <c r="Z33">
        <v>8.9730000000000008</v>
      </c>
      <c r="AA33">
        <v>10.819000000000001</v>
      </c>
      <c r="AB33">
        <v>4</v>
      </c>
      <c r="AC33">
        <v>8.3879999999999999</v>
      </c>
      <c r="AD33">
        <v>10.877000000000001</v>
      </c>
    </row>
    <row r="34" spans="1:30" x14ac:dyDescent="0.2">
      <c r="A34" t="s">
        <v>43</v>
      </c>
      <c r="B34">
        <v>3</v>
      </c>
      <c r="C34">
        <v>1</v>
      </c>
      <c r="D34">
        <v>6</v>
      </c>
      <c r="E34" t="s">
        <v>42</v>
      </c>
      <c r="F34" s="10">
        <v>0.77083333333333337</v>
      </c>
      <c r="G34" s="20">
        <f t="shared" si="9"/>
        <v>60</v>
      </c>
      <c r="H34" s="19">
        <v>1.6629</v>
      </c>
      <c r="I34" s="19">
        <v>25</v>
      </c>
      <c r="J34" s="19">
        <v>60</v>
      </c>
      <c r="S34">
        <f>EXP(52.57633-6790.49851/(I35+273.15)-5.028081*LN(I35+273.15))</f>
        <v>3.1485871609815406</v>
      </c>
      <c r="T34" s="13">
        <f t="shared" si="10"/>
        <v>1.4438093137597342E-2</v>
      </c>
      <c r="U34">
        <f t="shared" si="11"/>
        <v>8.421725797256812</v>
      </c>
    </row>
    <row r="35" spans="1:30" x14ac:dyDescent="0.2">
      <c r="A35" t="s">
        <v>43</v>
      </c>
      <c r="B35">
        <v>3</v>
      </c>
      <c r="C35">
        <v>1</v>
      </c>
      <c r="D35">
        <v>7</v>
      </c>
      <c r="E35" t="s">
        <v>42</v>
      </c>
      <c r="F35" s="10">
        <v>0.78125</v>
      </c>
      <c r="G35" s="20">
        <f t="shared" si="9"/>
        <v>75</v>
      </c>
      <c r="H35" s="19">
        <v>1.6505000000000001</v>
      </c>
      <c r="I35" s="19">
        <v>24.9</v>
      </c>
      <c r="J35" s="19">
        <v>60</v>
      </c>
      <c r="S35">
        <f t="shared" ref="S35:S38" si="12">EXP(52.57633-6790.49851/(I36+273.15)-5.028081*LN(I36+273.15))</f>
        <v>3.1298794638652652</v>
      </c>
      <c r="T35" s="13">
        <f t="shared" si="10"/>
        <v>1.4352307526609036E-2</v>
      </c>
      <c r="U35">
        <f t="shared" si="11"/>
        <v>7.7888326176212468</v>
      </c>
    </row>
    <row r="36" spans="1:30" x14ac:dyDescent="0.2">
      <c r="A36" t="s">
        <v>43</v>
      </c>
      <c r="B36">
        <v>3</v>
      </c>
      <c r="C36">
        <v>1</v>
      </c>
      <c r="D36">
        <v>8</v>
      </c>
      <c r="E36" t="s">
        <v>42</v>
      </c>
      <c r="F36" s="10">
        <v>0.79166666666666663</v>
      </c>
      <c r="G36" s="20">
        <f t="shared" si="9"/>
        <v>90</v>
      </c>
      <c r="H36" s="19">
        <v>1.6391</v>
      </c>
      <c r="I36" s="19">
        <v>24.8</v>
      </c>
      <c r="J36" s="19">
        <v>60</v>
      </c>
      <c r="S36">
        <f t="shared" si="12"/>
        <v>3.1298794638652652</v>
      </c>
      <c r="T36" s="13">
        <f t="shared" si="10"/>
        <v>1.3993499838443809E-2</v>
      </c>
      <c r="U36">
        <f t="shared" si="11"/>
        <v>9.3199706535638853</v>
      </c>
    </row>
    <row r="37" spans="1:30" x14ac:dyDescent="0.2">
      <c r="A37" t="s">
        <v>43</v>
      </c>
      <c r="B37">
        <v>3</v>
      </c>
      <c r="C37">
        <v>1</v>
      </c>
      <c r="D37">
        <v>9</v>
      </c>
      <c r="E37" t="s">
        <v>42</v>
      </c>
      <c r="F37" s="11">
        <v>0.80208333333333337</v>
      </c>
      <c r="G37" s="20">
        <f t="shared" si="9"/>
        <v>105</v>
      </c>
      <c r="H37" s="19">
        <v>1.6257999999999999</v>
      </c>
      <c r="I37" s="19">
        <v>24.8</v>
      </c>
      <c r="J37" s="19">
        <v>61</v>
      </c>
      <c r="S37">
        <f t="shared" si="12"/>
        <v>2.7755307980316362</v>
      </c>
      <c r="T37" s="13">
        <f t="shared" si="10"/>
        <v>1.1136487209802506E-2</v>
      </c>
      <c r="U37">
        <f t="shared" si="11"/>
        <v>9.3003617904767104</v>
      </c>
    </row>
    <row r="38" spans="1:30" x14ac:dyDescent="0.2">
      <c r="A38" t="s">
        <v>43</v>
      </c>
      <c r="B38">
        <v>3</v>
      </c>
      <c r="C38">
        <v>1</v>
      </c>
      <c r="D38">
        <v>10</v>
      </c>
      <c r="E38" t="s">
        <v>42</v>
      </c>
      <c r="F38" s="10">
        <v>0.3263888888888889</v>
      </c>
      <c r="G38" s="20">
        <f>12*60+35</f>
        <v>755</v>
      </c>
      <c r="H38" s="19">
        <v>1.1680999999999999</v>
      </c>
      <c r="I38" s="19">
        <v>22.8</v>
      </c>
      <c r="J38" s="19">
        <v>65</v>
      </c>
      <c r="S38">
        <f t="shared" si="12"/>
        <v>0.61184758428942232</v>
      </c>
      <c r="T38" s="13">
        <f t="shared" ref="T38" si="13">(1-(J39/100))*(S38/W$2)</f>
        <v>7.0141875993284687E-3</v>
      </c>
      <c r="U38">
        <f t="shared" si="11"/>
        <v>-32.444135398265587</v>
      </c>
    </row>
    <row r="39" spans="1:30" x14ac:dyDescent="0.2">
      <c r="A39" t="s">
        <v>43</v>
      </c>
      <c r="B39">
        <v>3</v>
      </c>
      <c r="T39" s="13"/>
    </row>
    <row r="42" spans="1:30" x14ac:dyDescent="0.2">
      <c r="A42" t="s">
        <v>43</v>
      </c>
      <c r="B42">
        <v>4</v>
      </c>
      <c r="C42">
        <v>1</v>
      </c>
      <c r="D42">
        <v>1</v>
      </c>
      <c r="E42" t="s">
        <v>42</v>
      </c>
      <c r="F42" s="10">
        <v>0.6875</v>
      </c>
      <c r="K42" s="14">
        <v>14.500999999999999</v>
      </c>
      <c r="L42" s="14"/>
    </row>
    <row r="43" spans="1:30" x14ac:dyDescent="0.2">
      <c r="A43" t="s">
        <v>43</v>
      </c>
      <c r="B43">
        <v>4</v>
      </c>
      <c r="C43">
        <v>1</v>
      </c>
      <c r="D43">
        <v>2</v>
      </c>
      <c r="E43" t="s">
        <v>42</v>
      </c>
      <c r="F43" s="10">
        <v>0.72916666666666663</v>
      </c>
      <c r="G43" s="20">
        <f t="shared" ref="G43:G50" si="14">((HOUR(F43)-HOUR($F$6))*60*60 + (MINUTE(F43)-MINUTE($F$6))*60 + (SECOND(F43)-SECOND($F$6)))/60</f>
        <v>0</v>
      </c>
      <c r="H43" s="19">
        <v>0.62270000000000003</v>
      </c>
      <c r="I43" s="19">
        <v>25.4</v>
      </c>
      <c r="J43" s="19">
        <v>59</v>
      </c>
      <c r="S43">
        <f>EXP(52.57633-6790.49851/(I43+273.15)-5.028081*LN(I43+273.15))</f>
        <v>3.243594625468408</v>
      </c>
      <c r="T43" s="13">
        <f>(1-(J43/100))*(S43/W$2)</f>
        <v>1.5245601243173763E-2</v>
      </c>
      <c r="V43" s="16">
        <f>AVERAGE(U44:U50)</f>
        <v>3.6185404336179059</v>
      </c>
      <c r="Y43">
        <v>1</v>
      </c>
      <c r="Z43">
        <v>2.819</v>
      </c>
      <c r="AA43">
        <v>6.2460000000000004</v>
      </c>
      <c r="AB43">
        <v>1</v>
      </c>
      <c r="AC43">
        <v>4.3070000000000004</v>
      </c>
      <c r="AD43">
        <v>7.94</v>
      </c>
    </row>
    <row r="44" spans="1:30" x14ac:dyDescent="0.2">
      <c r="A44" t="s">
        <v>43</v>
      </c>
      <c r="B44">
        <v>4</v>
      </c>
      <c r="C44">
        <v>1</v>
      </c>
      <c r="D44">
        <v>3</v>
      </c>
      <c r="E44" t="s">
        <v>42</v>
      </c>
      <c r="F44" s="10">
        <v>0.73958333333333337</v>
      </c>
      <c r="G44" s="20">
        <f t="shared" si="14"/>
        <v>15</v>
      </c>
      <c r="H44" s="19">
        <v>0.62070000000000003</v>
      </c>
      <c r="I44" s="19">
        <v>25.3</v>
      </c>
      <c r="J44" s="19">
        <v>59</v>
      </c>
      <c r="S44">
        <f>EXP(52.57633-6790.49851/(I45+273.15)-5.028081*LN(I45+273.15))</f>
        <v>3.2052961382590857</v>
      </c>
      <c r="T44" s="13">
        <f t="shared" ref="T44:T51" si="15">(1-(J44/100))*(S44/W$2)</f>
        <v>1.5065590011306031E-2</v>
      </c>
      <c r="U44">
        <f>-((H45-H44)/18*1000)/((G45-G44)*60)/T44/(K$42*2/10000)</f>
        <v>3.814473980942338</v>
      </c>
      <c r="V44" s="1">
        <f>-SLOPE(H43:H50,G43:G50)/60/AVERAGE(T43:T50)*1000/18/(K42*2/10000)</f>
        <v>3.5347182076789987</v>
      </c>
      <c r="Y44">
        <v>2</v>
      </c>
      <c r="Z44">
        <v>2.819</v>
      </c>
      <c r="AA44">
        <v>6.2460000000000004</v>
      </c>
      <c r="AB44">
        <v>2</v>
      </c>
      <c r="AC44">
        <v>3.121</v>
      </c>
      <c r="AD44">
        <v>6.5119999999999996</v>
      </c>
    </row>
    <row r="45" spans="1:30" x14ac:dyDescent="0.2">
      <c r="A45" t="s">
        <v>43</v>
      </c>
      <c r="B45">
        <v>4</v>
      </c>
      <c r="C45">
        <v>1</v>
      </c>
      <c r="D45">
        <v>4</v>
      </c>
      <c r="E45" t="s">
        <v>42</v>
      </c>
      <c r="F45" s="10">
        <v>0.75</v>
      </c>
      <c r="G45" s="20">
        <f t="shared" si="14"/>
        <v>30</v>
      </c>
      <c r="H45" s="19">
        <v>0.61799999999999999</v>
      </c>
      <c r="I45" s="19">
        <v>25.2</v>
      </c>
      <c r="J45" s="19">
        <v>59</v>
      </c>
      <c r="S45">
        <f>EXP(52.57633-6790.49851/(I46+273.15)-5.028081*LN(I46+273.15))</f>
        <v>3.1862950728549206</v>
      </c>
      <c r="T45" s="13">
        <f t="shared" si="15"/>
        <v>1.4976280865189928E-2</v>
      </c>
      <c r="U45">
        <f t="shared" ref="U45:U50" si="16">-((H46-H45)/18*1000)/((G46-G45)*60)/T45/(K$42*2/10000)</f>
        <v>2.8423860084201236</v>
      </c>
      <c r="Y45">
        <v>3</v>
      </c>
      <c r="Z45">
        <v>4.3099999999999996</v>
      </c>
      <c r="AA45">
        <v>7.4870000000000001</v>
      </c>
      <c r="AB45">
        <v>3</v>
      </c>
      <c r="AC45">
        <v>3.7469999999999999</v>
      </c>
      <c r="AD45">
        <v>7.1340000000000003</v>
      </c>
    </row>
    <row r="46" spans="1:30" x14ac:dyDescent="0.2">
      <c r="A46" t="s">
        <v>43</v>
      </c>
      <c r="B46">
        <v>4</v>
      </c>
      <c r="C46">
        <v>1</v>
      </c>
      <c r="D46">
        <v>5</v>
      </c>
      <c r="E46" t="s">
        <v>42</v>
      </c>
      <c r="F46" s="10">
        <v>0.76041666666666663</v>
      </c>
      <c r="G46" s="20">
        <f t="shared" si="14"/>
        <v>45</v>
      </c>
      <c r="H46" s="19">
        <v>0.61599999999999999</v>
      </c>
      <c r="I46" s="19">
        <v>25.1</v>
      </c>
      <c r="J46" s="19">
        <v>59</v>
      </c>
      <c r="S46">
        <f>EXP(52.57633-6790.49851/(I47+273.15)-5.028081*LN(I47+273.15))</f>
        <v>3.1673922224442372</v>
      </c>
      <c r="T46" s="13">
        <f t="shared" si="15"/>
        <v>1.4887433350935885E-2</v>
      </c>
      <c r="U46">
        <f t="shared" si="16"/>
        <v>3.5741865459559645</v>
      </c>
      <c r="Y46">
        <v>4</v>
      </c>
      <c r="Z46">
        <v>4.3099999999999996</v>
      </c>
      <c r="AA46">
        <v>7.4870000000000001</v>
      </c>
      <c r="AB46">
        <v>4</v>
      </c>
      <c r="AC46">
        <v>3.3260000000000001</v>
      </c>
      <c r="AD46">
        <v>6.6509999999999998</v>
      </c>
    </row>
    <row r="47" spans="1:30" x14ac:dyDescent="0.2">
      <c r="A47" t="s">
        <v>43</v>
      </c>
      <c r="B47">
        <v>4</v>
      </c>
      <c r="C47">
        <v>1</v>
      </c>
      <c r="D47">
        <v>6</v>
      </c>
      <c r="E47" t="s">
        <v>42</v>
      </c>
      <c r="F47" s="10">
        <v>0.77083333333333337</v>
      </c>
      <c r="G47" s="20">
        <f t="shared" si="14"/>
        <v>60</v>
      </c>
      <c r="H47" s="19">
        <v>0.61350000000000005</v>
      </c>
      <c r="I47" s="19">
        <v>25</v>
      </c>
      <c r="J47" s="19">
        <v>60</v>
      </c>
      <c r="S47">
        <f>EXP(52.57633-6790.49851/(I48+273.15)-5.028081*LN(I48+273.15))</f>
        <v>3.1485871609815406</v>
      </c>
      <c r="T47" s="13">
        <f t="shared" si="15"/>
        <v>1.4438093137597342E-2</v>
      </c>
      <c r="U47">
        <f t="shared" si="16"/>
        <v>3.8328387286890422</v>
      </c>
    </row>
    <row r="48" spans="1:30" x14ac:dyDescent="0.2">
      <c r="A48" t="s">
        <v>43</v>
      </c>
      <c r="B48">
        <v>4</v>
      </c>
      <c r="C48">
        <v>1</v>
      </c>
      <c r="D48">
        <v>7</v>
      </c>
      <c r="E48" t="s">
        <v>42</v>
      </c>
      <c r="F48" s="10">
        <v>0.78125</v>
      </c>
      <c r="G48" s="20">
        <f t="shared" si="14"/>
        <v>75</v>
      </c>
      <c r="H48" s="19">
        <v>0.6109</v>
      </c>
      <c r="I48" s="19">
        <v>24.9</v>
      </c>
      <c r="J48" s="19">
        <v>60</v>
      </c>
      <c r="S48">
        <f t="shared" ref="S48:S51" si="17">EXP(52.57633-6790.49851/(I49+273.15)-5.028081*LN(I49+273.15))</f>
        <v>3.1298794638652652</v>
      </c>
      <c r="T48" s="13">
        <f t="shared" si="15"/>
        <v>1.4352307526609036E-2</v>
      </c>
      <c r="U48">
        <f t="shared" si="16"/>
        <v>2.9659600806674842</v>
      </c>
    </row>
    <row r="49" spans="1:27" x14ac:dyDescent="0.2">
      <c r="A49" t="s">
        <v>43</v>
      </c>
      <c r="B49">
        <v>4</v>
      </c>
      <c r="C49">
        <v>1</v>
      </c>
      <c r="D49">
        <v>8</v>
      </c>
      <c r="E49" t="s">
        <v>42</v>
      </c>
      <c r="F49" s="10">
        <v>0.79166666666666663</v>
      </c>
      <c r="G49" s="20">
        <f t="shared" si="14"/>
        <v>90</v>
      </c>
      <c r="H49" s="19">
        <v>0.6089</v>
      </c>
      <c r="I49" s="19">
        <v>24.8</v>
      </c>
      <c r="J49" s="19">
        <v>60</v>
      </c>
      <c r="S49">
        <f t="shared" si="17"/>
        <v>3.1298794638652652</v>
      </c>
      <c r="T49" s="13">
        <f t="shared" si="15"/>
        <v>1.4352307526609036E-2</v>
      </c>
      <c r="U49">
        <f t="shared" si="16"/>
        <v>4.7455361290679408</v>
      </c>
    </row>
    <row r="50" spans="1:27" x14ac:dyDescent="0.2">
      <c r="A50" t="s">
        <v>43</v>
      </c>
      <c r="B50">
        <v>4</v>
      </c>
      <c r="C50">
        <v>1</v>
      </c>
      <c r="D50">
        <v>9</v>
      </c>
      <c r="E50" t="s">
        <v>42</v>
      </c>
      <c r="F50" s="11">
        <v>0.80208333333333337</v>
      </c>
      <c r="G50" s="20">
        <f t="shared" si="14"/>
        <v>105</v>
      </c>
      <c r="H50" s="19">
        <v>0.60570000000000002</v>
      </c>
      <c r="I50" s="19">
        <v>24.8</v>
      </c>
      <c r="J50" s="19">
        <v>61</v>
      </c>
      <c r="S50">
        <f t="shared" si="17"/>
        <v>2.7755307980316362</v>
      </c>
      <c r="T50" s="13">
        <f t="shared" si="15"/>
        <v>1.2409228605208508E-2</v>
      </c>
      <c r="U50">
        <f t="shared" si="16"/>
        <v>3.5544015615824476</v>
      </c>
    </row>
    <row r="51" spans="1:27" x14ac:dyDescent="0.2">
      <c r="A51" t="s">
        <v>43</v>
      </c>
      <c r="B51">
        <v>4</v>
      </c>
      <c r="C51">
        <v>1</v>
      </c>
      <c r="D51">
        <v>10</v>
      </c>
      <c r="E51" t="s">
        <v>42</v>
      </c>
      <c r="F51" s="10">
        <v>0.3263888888888889</v>
      </c>
      <c r="G51" s="20">
        <f>12*60+35</f>
        <v>755</v>
      </c>
      <c r="H51" s="19">
        <v>0.51590000000000003</v>
      </c>
      <c r="I51" s="19">
        <v>22.8</v>
      </c>
      <c r="J51" s="19">
        <v>65</v>
      </c>
      <c r="S51">
        <f t="shared" si="17"/>
        <v>0.61184758428942232</v>
      </c>
      <c r="T51" s="13">
        <f t="shared" si="15"/>
        <v>2.4549656597649639E-3</v>
      </c>
      <c r="U51">
        <f>-((H52-H51)/18*1000)/((G52-G51)*60)/T51/(K$42*2/10000)</f>
        <v>-88.863098241021433</v>
      </c>
    </row>
    <row r="52" spans="1:27" x14ac:dyDescent="0.2">
      <c r="T52" s="13"/>
    </row>
    <row r="55" spans="1:27" x14ac:dyDescent="0.2">
      <c r="A55" t="s">
        <v>43</v>
      </c>
      <c r="B55">
        <v>5</v>
      </c>
      <c r="C55">
        <v>1</v>
      </c>
      <c r="D55">
        <v>1</v>
      </c>
      <c r="E55" t="s">
        <v>42</v>
      </c>
      <c r="F55" s="10">
        <v>0.6875</v>
      </c>
      <c r="K55" s="14">
        <v>12.391999999999999</v>
      </c>
      <c r="L55" s="14"/>
    </row>
    <row r="56" spans="1:27" x14ac:dyDescent="0.2">
      <c r="A56" t="s">
        <v>43</v>
      </c>
      <c r="B56">
        <v>5</v>
      </c>
      <c r="C56">
        <v>1</v>
      </c>
      <c r="D56">
        <v>2</v>
      </c>
      <c r="E56" t="s">
        <v>42</v>
      </c>
      <c r="F56" s="10">
        <v>0.72916666666666663</v>
      </c>
      <c r="G56" s="20">
        <f t="shared" ref="G56:G63" si="18">((HOUR(F56)-HOUR($F$6))*60*60 + (MINUTE(F56)-MINUTE($F$6))*60 + (SECOND(F56)-SECOND($F$6)))/60</f>
        <v>0</v>
      </c>
      <c r="H56" s="19">
        <v>0.61009999999999998</v>
      </c>
      <c r="I56" s="19">
        <v>25.4</v>
      </c>
      <c r="J56" s="19">
        <v>59</v>
      </c>
      <c r="S56">
        <f>EXP(52.57633-6790.49851/(I56+273.15)-5.028081*LN(I56+273.15))</f>
        <v>3.243594625468408</v>
      </c>
      <c r="T56" s="13">
        <f>(1-(J56/100))*(S56/W$2)</f>
        <v>1.5245601243173763E-2</v>
      </c>
      <c r="V56" s="16">
        <f>AVERAGE(U57:U63)</f>
        <v>9.140217408825789</v>
      </c>
      <c r="Y56">
        <v>5</v>
      </c>
      <c r="Z56">
        <v>3.069</v>
      </c>
      <c r="AA56">
        <v>6.4580000000000002</v>
      </c>
    </row>
    <row r="57" spans="1:27" x14ac:dyDescent="0.2">
      <c r="A57" t="s">
        <v>43</v>
      </c>
      <c r="B57">
        <v>5</v>
      </c>
      <c r="C57">
        <v>1</v>
      </c>
      <c r="D57">
        <v>3</v>
      </c>
      <c r="E57" t="s">
        <v>42</v>
      </c>
      <c r="F57" s="10">
        <v>0.73958333333333337</v>
      </c>
      <c r="G57" s="20">
        <f t="shared" si="18"/>
        <v>15</v>
      </c>
      <c r="H57" s="19">
        <v>0.60499999999999998</v>
      </c>
      <c r="I57" s="19">
        <v>25.3</v>
      </c>
      <c r="J57" s="19">
        <v>59</v>
      </c>
      <c r="S57">
        <f>EXP(52.57633-6790.49851/(I58+273.15)-5.028081*LN(I58+273.15))</f>
        <v>3.2052961382590857</v>
      </c>
      <c r="T57" s="13">
        <f>(1-(J58/100))*(S57/W$2)</f>
        <v>1.5065590011306031E-2</v>
      </c>
      <c r="U57">
        <f>-((H58-H57)/18*1000)/((G58-G57)*60)/T57/(K$55*2/10000)</f>
        <v>8.1007181236537598</v>
      </c>
      <c r="V57" s="1">
        <f>-SLOPE(H56:H63,G56:G63)/60/AVERAGE(T56:T63)*1000/18/(K55*2/10000)</f>
        <v>8.8869438699419288</v>
      </c>
      <c r="Y57">
        <v>6</v>
      </c>
      <c r="Z57">
        <v>3.069</v>
      </c>
      <c r="AA57">
        <v>6.4580000000000002</v>
      </c>
    </row>
    <row r="58" spans="1:27" x14ac:dyDescent="0.2">
      <c r="A58" t="s">
        <v>43</v>
      </c>
      <c r="B58">
        <v>5</v>
      </c>
      <c r="C58">
        <v>1</v>
      </c>
      <c r="D58">
        <v>4</v>
      </c>
      <c r="E58" t="s">
        <v>42</v>
      </c>
      <c r="F58" s="10">
        <v>0.75</v>
      </c>
      <c r="G58" s="20">
        <f t="shared" si="18"/>
        <v>30</v>
      </c>
      <c r="H58" s="19">
        <v>0.60009999999999997</v>
      </c>
      <c r="I58" s="19">
        <v>25.2</v>
      </c>
      <c r="J58" s="19">
        <v>59</v>
      </c>
      <c r="S58">
        <f>EXP(52.57633-6790.49851/(I59+273.15)-5.028081*LN(I59+273.15))</f>
        <v>3.1862950728549206</v>
      </c>
      <c r="T58" s="13">
        <f>(1-(J59/100))*(S58/W$2)</f>
        <v>1.4976280865189928E-2</v>
      </c>
      <c r="U58">
        <f t="shared" ref="U58:U64" si="19">-((H59-H58)/18*1000)/((G59-G58)*60)/T58/(K$55*2/10000)</f>
        <v>7.6501057834594173</v>
      </c>
      <c r="Y58">
        <v>7</v>
      </c>
      <c r="Z58">
        <v>3.548</v>
      </c>
      <c r="AA58">
        <v>6.819</v>
      </c>
    </row>
    <row r="59" spans="1:27" x14ac:dyDescent="0.2">
      <c r="A59" t="s">
        <v>43</v>
      </c>
      <c r="B59">
        <v>5</v>
      </c>
      <c r="C59">
        <v>1</v>
      </c>
      <c r="D59">
        <v>5</v>
      </c>
      <c r="E59" t="s">
        <v>42</v>
      </c>
      <c r="F59" s="10">
        <v>0.76041666666666663</v>
      </c>
      <c r="G59" s="20">
        <f t="shared" si="18"/>
        <v>45</v>
      </c>
      <c r="H59" s="19">
        <v>0.59550000000000003</v>
      </c>
      <c r="I59" s="19">
        <v>25.1</v>
      </c>
      <c r="J59" s="19">
        <v>59</v>
      </c>
      <c r="S59">
        <f>EXP(52.57633-6790.49851/(I60+273.15)-5.028081*LN(I60+273.15))</f>
        <v>3.1673922224442372</v>
      </c>
      <c r="T59" s="13">
        <f>(1-(J60/100))*(S59/W$2)</f>
        <v>1.4524325220425252E-2</v>
      </c>
      <c r="U59">
        <f t="shared" si="19"/>
        <v>8.9170451135733249</v>
      </c>
      <c r="Y59">
        <v>8</v>
      </c>
      <c r="Z59">
        <v>2.706</v>
      </c>
      <c r="AA59">
        <v>6.2149999999999999</v>
      </c>
    </row>
    <row r="60" spans="1:27" x14ac:dyDescent="0.2">
      <c r="A60" t="s">
        <v>43</v>
      </c>
      <c r="B60">
        <v>5</v>
      </c>
      <c r="C60">
        <v>1</v>
      </c>
      <c r="D60">
        <v>6</v>
      </c>
      <c r="E60" t="s">
        <v>42</v>
      </c>
      <c r="F60" s="10">
        <v>0.77083333333333337</v>
      </c>
      <c r="G60" s="20">
        <f t="shared" si="18"/>
        <v>60</v>
      </c>
      <c r="H60" s="19">
        <v>0.59030000000000005</v>
      </c>
      <c r="I60" s="19">
        <v>25</v>
      </c>
      <c r="J60" s="19">
        <v>60</v>
      </c>
      <c r="S60">
        <f>EXP(52.57633-6790.49851/(I61+273.15)-5.028081*LN(I61+273.15))</f>
        <v>3.1485871609815406</v>
      </c>
      <c r="T60" s="13">
        <f>(1-(J61/100))*(S60/W$2)</f>
        <v>1.4438093137597342E-2</v>
      </c>
      <c r="U60">
        <f t="shared" si="19"/>
        <v>8.6252908831874855</v>
      </c>
    </row>
    <row r="61" spans="1:27" x14ac:dyDescent="0.2">
      <c r="A61" t="s">
        <v>43</v>
      </c>
      <c r="B61">
        <v>5</v>
      </c>
      <c r="C61">
        <v>1</v>
      </c>
      <c r="D61">
        <v>7</v>
      </c>
      <c r="E61" t="s">
        <v>42</v>
      </c>
      <c r="F61" s="10">
        <v>0.78125</v>
      </c>
      <c r="G61" s="20">
        <f t="shared" si="18"/>
        <v>75</v>
      </c>
      <c r="H61" s="19">
        <v>0.58530000000000004</v>
      </c>
      <c r="I61" s="19">
        <v>24.9</v>
      </c>
      <c r="J61" s="19">
        <v>60</v>
      </c>
      <c r="S61">
        <f t="shared" ref="S61:S64" si="20">EXP(52.57633-6790.49851/(I62+273.15)-5.028081*LN(I62+273.15))</f>
        <v>3.1298794638652652</v>
      </c>
      <c r="T61" s="13">
        <f t="shared" ref="T61:T64" si="21">(1-(J62/100))*(S61/W$2)</f>
        <v>1.4352307526609036E-2</v>
      </c>
      <c r="U61">
        <f t="shared" si="19"/>
        <v>7.8091608329534674</v>
      </c>
    </row>
    <row r="62" spans="1:27" x14ac:dyDescent="0.2">
      <c r="A62" t="s">
        <v>43</v>
      </c>
      <c r="B62">
        <v>5</v>
      </c>
      <c r="C62">
        <v>1</v>
      </c>
      <c r="D62">
        <v>8</v>
      </c>
      <c r="E62" t="s">
        <v>42</v>
      </c>
      <c r="F62" s="10">
        <v>0.79166666666666663</v>
      </c>
      <c r="G62" s="20">
        <f t="shared" si="18"/>
        <v>90</v>
      </c>
      <c r="H62" s="19">
        <v>0.58079999999999998</v>
      </c>
      <c r="I62" s="19">
        <v>24.8</v>
      </c>
      <c r="J62" s="19">
        <v>60</v>
      </c>
      <c r="S62">
        <f t="shared" si="20"/>
        <v>3.1298794638652652</v>
      </c>
      <c r="T62" s="13">
        <f t="shared" si="21"/>
        <v>1.3993499838443809E-2</v>
      </c>
      <c r="U62">
        <f>-((H63-H62)/18*1000)/((G63-G62)*60)/T62/(K$55*2/10000)</f>
        <v>12.815033161769593</v>
      </c>
    </row>
    <row r="63" spans="1:27" x14ac:dyDescent="0.2">
      <c r="A63" t="s">
        <v>43</v>
      </c>
      <c r="B63">
        <v>5</v>
      </c>
      <c r="C63">
        <v>1</v>
      </c>
      <c r="D63">
        <v>9</v>
      </c>
      <c r="E63" t="s">
        <v>42</v>
      </c>
      <c r="F63" s="11">
        <v>0.80208333333333337</v>
      </c>
      <c r="G63" s="20">
        <f t="shared" si="18"/>
        <v>105</v>
      </c>
      <c r="H63" s="19">
        <v>0.5736</v>
      </c>
      <c r="I63" s="19">
        <v>24.8</v>
      </c>
      <c r="J63" s="19">
        <v>61</v>
      </c>
      <c r="S63">
        <f t="shared" si="20"/>
        <v>2.7755307980316362</v>
      </c>
      <c r="T63" s="13">
        <f t="shared" si="21"/>
        <v>1.1136487209802506E-2</v>
      </c>
      <c r="U63">
        <f t="shared" si="19"/>
        <v>10.064167963183486</v>
      </c>
    </row>
    <row r="64" spans="1:27" x14ac:dyDescent="0.2">
      <c r="A64" t="s">
        <v>43</v>
      </c>
      <c r="B64">
        <v>5</v>
      </c>
      <c r="C64">
        <v>1</v>
      </c>
      <c r="D64">
        <v>10</v>
      </c>
      <c r="E64" t="s">
        <v>42</v>
      </c>
      <c r="F64" s="10">
        <v>0.3263888888888889</v>
      </c>
      <c r="G64" s="20">
        <f>12*60+35</f>
        <v>755</v>
      </c>
      <c r="H64" s="19">
        <v>0.37859999999999999</v>
      </c>
      <c r="I64" s="19">
        <v>22.8</v>
      </c>
      <c r="J64" s="19">
        <v>65</v>
      </c>
      <c r="S64">
        <f t="shared" si="20"/>
        <v>0.61184758428942232</v>
      </c>
      <c r="T64" s="13">
        <f t="shared" si="21"/>
        <v>7.0141875993284687E-3</v>
      </c>
      <c r="U64">
        <f t="shared" si="19"/>
        <v>-26.709215052667226</v>
      </c>
    </row>
    <row r="66" spans="1:30" x14ac:dyDescent="0.2">
      <c r="A66" t="s">
        <v>43</v>
      </c>
      <c r="B66">
        <v>6</v>
      </c>
      <c r="C66">
        <v>1</v>
      </c>
      <c r="D66">
        <v>1</v>
      </c>
      <c r="E66" t="s">
        <v>42</v>
      </c>
      <c r="F66" s="10">
        <v>0.6875</v>
      </c>
      <c r="K66" s="14">
        <v>25.831</v>
      </c>
      <c r="L66" s="14"/>
    </row>
    <row r="67" spans="1:30" x14ac:dyDescent="0.2">
      <c r="A67" t="s">
        <v>43</v>
      </c>
      <c r="B67">
        <v>6</v>
      </c>
      <c r="C67">
        <v>1</v>
      </c>
      <c r="D67">
        <v>2</v>
      </c>
      <c r="E67" t="s">
        <v>42</v>
      </c>
      <c r="F67" s="10">
        <v>0.72916666666666663</v>
      </c>
      <c r="G67" s="20">
        <f t="shared" ref="G67:G74" si="22">((HOUR(F67)-HOUR($F$6))*60*60 + (MINUTE(F67)-MINUTE($F$6))*60 + (SECOND(F67)-SECOND($F$6)))/60</f>
        <v>0</v>
      </c>
      <c r="H67" s="19">
        <v>1.3627</v>
      </c>
      <c r="I67" s="19">
        <v>25.4</v>
      </c>
      <c r="J67" s="19">
        <v>59</v>
      </c>
      <c r="S67">
        <f>EXP(52.57633-6790.49851/(I67+273.15)-5.028081*LN(I67+273.15))</f>
        <v>3.243594625468408</v>
      </c>
      <c r="T67" s="13">
        <f>(1-(J67/100))*(S67/W$2)</f>
        <v>1.5245601243173763E-2</v>
      </c>
      <c r="V67" s="16">
        <f>AVERAGE(U68:U74)</f>
        <v>7.239147521864548</v>
      </c>
      <c r="Y67">
        <v>1</v>
      </c>
      <c r="Z67">
        <v>5.9790000000000001</v>
      </c>
      <c r="AA67">
        <v>9.1609999999999996</v>
      </c>
      <c r="AB67">
        <v>1</v>
      </c>
      <c r="AC67">
        <v>6.9459999999999997</v>
      </c>
      <c r="AD67">
        <v>9.7759999999999998</v>
      </c>
    </row>
    <row r="68" spans="1:30" x14ac:dyDescent="0.2">
      <c r="A68" t="s">
        <v>43</v>
      </c>
      <c r="B68">
        <v>6</v>
      </c>
      <c r="C68">
        <v>1</v>
      </c>
      <c r="D68">
        <v>3</v>
      </c>
      <c r="E68" t="s">
        <v>42</v>
      </c>
      <c r="F68" s="10">
        <v>0.73958333333333337</v>
      </c>
      <c r="G68" s="20">
        <f t="shared" si="22"/>
        <v>15</v>
      </c>
      <c r="H68" s="19">
        <v>1.3532999999999999</v>
      </c>
      <c r="I68" s="19">
        <v>25.3</v>
      </c>
      <c r="J68" s="19">
        <v>59</v>
      </c>
      <c r="S68">
        <f t="shared" ref="S68:S75" si="23">EXP(52.57633-6790.49851/(I68+273.15)-5.028081*LN(I68+273.15))</f>
        <v>3.2243958461493283</v>
      </c>
      <c r="T68" s="13">
        <f t="shared" ref="T68:T75" si="24">(1-(J68/100))*(S68/W$2)</f>
        <v>1.515536279859251E-2</v>
      </c>
      <c r="U68">
        <f>-((H69-H68)/18*1000)/((G69-G68)*60)/T68/(K$66*2/10000)</f>
        <v>7.8840148410600603</v>
      </c>
      <c r="V68" s="1">
        <f>-SLOPE(H67:H74,G67:G74)/60/AVERAGE(T67:T74)*1000/18/(K66*2/10000)</f>
        <v>7.3930063417851848</v>
      </c>
      <c r="Y68">
        <v>2</v>
      </c>
      <c r="Z68">
        <v>5.9790000000000001</v>
      </c>
      <c r="AA68">
        <v>9.1609999999999996</v>
      </c>
      <c r="AB68">
        <v>2</v>
      </c>
      <c r="AC68">
        <v>5.6619999999999999</v>
      </c>
      <c r="AD68">
        <v>8.7439999999999998</v>
      </c>
    </row>
    <row r="69" spans="1:30" x14ac:dyDescent="0.2">
      <c r="A69" t="s">
        <v>43</v>
      </c>
      <c r="B69">
        <v>6</v>
      </c>
      <c r="C69">
        <v>1</v>
      </c>
      <c r="D69">
        <v>4</v>
      </c>
      <c r="E69" t="s">
        <v>42</v>
      </c>
      <c r="F69" s="10">
        <v>0.75</v>
      </c>
      <c r="G69" s="20">
        <f t="shared" si="22"/>
        <v>30</v>
      </c>
      <c r="H69" s="19">
        <v>1.3432999999999999</v>
      </c>
      <c r="I69" s="19">
        <v>25.2</v>
      </c>
      <c r="J69" s="19">
        <v>59</v>
      </c>
      <c r="S69">
        <f t="shared" si="23"/>
        <v>3.2052961382590857</v>
      </c>
      <c r="T69" s="13">
        <f t="shared" si="24"/>
        <v>1.5065590011306031E-2</v>
      </c>
      <c r="U69">
        <f t="shared" ref="U69:U75" si="25">-((H70-H69)/18*1000)/((G70-G69)*60)/T69/(K$66*2/10000)</f>
        <v>6.9792747924079697</v>
      </c>
      <c r="Y69">
        <v>3</v>
      </c>
      <c r="Z69">
        <v>6.8970000000000002</v>
      </c>
      <c r="AA69">
        <v>9.7799999999999994</v>
      </c>
      <c r="AB69">
        <v>3</v>
      </c>
      <c r="AC69">
        <v>7.4790000000000001</v>
      </c>
      <c r="AD69">
        <v>10.276</v>
      </c>
    </row>
    <row r="70" spans="1:30" x14ac:dyDescent="0.2">
      <c r="A70" t="s">
        <v>43</v>
      </c>
      <c r="B70">
        <v>6</v>
      </c>
      <c r="C70">
        <v>1</v>
      </c>
      <c r="D70">
        <v>5</v>
      </c>
      <c r="E70" t="s">
        <v>42</v>
      </c>
      <c r="F70" s="10">
        <v>0.76041666666666663</v>
      </c>
      <c r="G70" s="20">
        <f t="shared" si="22"/>
        <v>45</v>
      </c>
      <c r="H70" s="19">
        <v>1.3345</v>
      </c>
      <c r="I70" s="19">
        <v>25.1</v>
      </c>
      <c r="J70" s="19">
        <v>59</v>
      </c>
      <c r="S70">
        <f t="shared" si="23"/>
        <v>3.1862950728549206</v>
      </c>
      <c r="T70" s="13">
        <f t="shared" si="24"/>
        <v>1.4976280865189928E-2</v>
      </c>
      <c r="U70">
        <f t="shared" si="25"/>
        <v>7.6591579744834473</v>
      </c>
      <c r="Y70">
        <v>4</v>
      </c>
      <c r="Z70">
        <v>6.8970000000000002</v>
      </c>
      <c r="AA70">
        <v>9.7799999999999994</v>
      </c>
      <c r="AB70">
        <v>4</v>
      </c>
      <c r="AC70">
        <v>5.7439999999999998</v>
      </c>
      <c r="AD70">
        <v>9.1110000000000007</v>
      </c>
    </row>
    <row r="71" spans="1:30" x14ac:dyDescent="0.2">
      <c r="A71" t="s">
        <v>43</v>
      </c>
      <c r="B71">
        <v>6</v>
      </c>
      <c r="C71">
        <v>1</v>
      </c>
      <c r="D71">
        <v>6</v>
      </c>
      <c r="E71" t="s">
        <v>42</v>
      </c>
      <c r="F71" s="10">
        <v>0.77083333333333337</v>
      </c>
      <c r="G71" s="20">
        <f t="shared" si="22"/>
        <v>60</v>
      </c>
      <c r="H71" s="19">
        <v>1.3249</v>
      </c>
      <c r="I71" s="19">
        <v>25</v>
      </c>
      <c r="J71" s="19">
        <v>60</v>
      </c>
      <c r="S71">
        <f t="shared" si="23"/>
        <v>3.1673922224442372</v>
      </c>
      <c r="T71" s="13">
        <f t="shared" si="24"/>
        <v>1.4524325220425252E-2</v>
      </c>
      <c r="U71">
        <f t="shared" si="25"/>
        <v>7.0748340411464641</v>
      </c>
    </row>
    <row r="72" spans="1:30" x14ac:dyDescent="0.2">
      <c r="A72" t="s">
        <v>43</v>
      </c>
      <c r="B72">
        <v>6</v>
      </c>
      <c r="C72">
        <v>1</v>
      </c>
      <c r="D72">
        <v>7</v>
      </c>
      <c r="E72" t="s">
        <v>42</v>
      </c>
      <c r="F72" s="10">
        <v>0.78125</v>
      </c>
      <c r="G72" s="20">
        <f t="shared" si="22"/>
        <v>75</v>
      </c>
      <c r="H72" s="19">
        <v>1.3163</v>
      </c>
      <c r="I72" s="19">
        <v>24.9</v>
      </c>
      <c r="J72" s="19">
        <v>60</v>
      </c>
      <c r="S72">
        <f t="shared" si="23"/>
        <v>3.1485871609815406</v>
      </c>
      <c r="T72" s="13">
        <f t="shared" si="24"/>
        <v>1.4438093137597342E-2</v>
      </c>
      <c r="U72">
        <f t="shared" si="25"/>
        <v>6.6205476907256751</v>
      </c>
    </row>
    <row r="73" spans="1:30" x14ac:dyDescent="0.2">
      <c r="A73" t="s">
        <v>43</v>
      </c>
      <c r="B73">
        <v>6</v>
      </c>
      <c r="C73">
        <v>1</v>
      </c>
      <c r="D73">
        <v>8</v>
      </c>
      <c r="E73" t="s">
        <v>42</v>
      </c>
      <c r="F73" s="10">
        <v>0.79166666666666663</v>
      </c>
      <c r="G73" s="20">
        <f t="shared" si="22"/>
        <v>90</v>
      </c>
      <c r="H73" s="19">
        <v>1.3083</v>
      </c>
      <c r="I73" s="19">
        <v>24.8</v>
      </c>
      <c r="J73" s="19">
        <v>60</v>
      </c>
      <c r="S73">
        <f t="shared" si="23"/>
        <v>3.1298794638652652</v>
      </c>
      <c r="T73" s="13">
        <f t="shared" si="24"/>
        <v>1.4352307526609036E-2</v>
      </c>
      <c r="U73">
        <f t="shared" si="25"/>
        <v>8.1586464688095894</v>
      </c>
    </row>
    <row r="74" spans="1:30" x14ac:dyDescent="0.2">
      <c r="A74" t="s">
        <v>43</v>
      </c>
      <c r="B74">
        <v>6</v>
      </c>
      <c r="C74">
        <v>1</v>
      </c>
      <c r="D74">
        <v>9</v>
      </c>
      <c r="E74" t="s">
        <v>42</v>
      </c>
      <c r="F74" s="11">
        <v>0.80208333333333337</v>
      </c>
      <c r="G74" s="20">
        <f t="shared" si="22"/>
        <v>105</v>
      </c>
      <c r="H74" s="19">
        <v>1.2985</v>
      </c>
      <c r="I74" s="19">
        <v>24.8</v>
      </c>
      <c r="J74" s="19">
        <v>61</v>
      </c>
      <c r="S74">
        <f t="shared" si="23"/>
        <v>3.1298794638652652</v>
      </c>
      <c r="T74" s="13">
        <f t="shared" si="24"/>
        <v>1.3993499838443809E-2</v>
      </c>
      <c r="U74">
        <f t="shared" si="25"/>
        <v>6.2975568444186365</v>
      </c>
    </row>
    <row r="75" spans="1:30" x14ac:dyDescent="0.2">
      <c r="A75" t="s">
        <v>43</v>
      </c>
      <c r="B75">
        <v>6</v>
      </c>
      <c r="C75">
        <v>1</v>
      </c>
      <c r="D75">
        <v>10</v>
      </c>
      <c r="E75" t="s">
        <v>42</v>
      </c>
      <c r="F75" s="10">
        <v>0.3263888888888889</v>
      </c>
      <c r="G75" s="20">
        <f>12*60+35</f>
        <v>755</v>
      </c>
      <c r="H75" s="19">
        <v>0.97889999999999999</v>
      </c>
      <c r="I75" s="19">
        <v>22.8</v>
      </c>
      <c r="J75" s="19">
        <v>65</v>
      </c>
      <c r="S75">
        <f t="shared" si="23"/>
        <v>2.7755307980316362</v>
      </c>
      <c r="T75" s="13">
        <f t="shared" si="24"/>
        <v>1.1136487209802506E-2</v>
      </c>
      <c r="U75">
        <f t="shared" si="25"/>
        <v>-20.866431486344826</v>
      </c>
    </row>
    <row r="76" spans="1:30" x14ac:dyDescent="0.2">
      <c r="T76" s="13"/>
    </row>
    <row r="77" spans="1:30" x14ac:dyDescent="0.2">
      <c r="F77" s="10"/>
      <c r="L77" s="14"/>
    </row>
    <row r="78" spans="1:30" x14ac:dyDescent="0.2">
      <c r="F78" s="10"/>
      <c r="G78" s="20"/>
      <c r="T78" s="13"/>
      <c r="U78" s="14" t="s">
        <v>54</v>
      </c>
      <c r="V78" s="16">
        <f>AVERAGE(V67:V68,V56:V57,V43:V44,V30:V31,V18:V19,V6:V7)</f>
        <v>6.5655225183346131</v>
      </c>
    </row>
    <row r="79" spans="1:30" x14ac:dyDescent="0.2">
      <c r="F79" s="10"/>
      <c r="G79" s="20"/>
      <c r="T79" s="13"/>
      <c r="U79" t="s">
        <v>55</v>
      </c>
      <c r="V79" s="1">
        <f>STDEV(V67:V68,V56:V57,V43:V44,V30:V31,V18:V19,V6:V7)</f>
        <v>2.236985565664861</v>
      </c>
    </row>
    <row r="80" spans="1:30" x14ac:dyDescent="0.2">
      <c r="F80" s="10"/>
      <c r="G80" s="20"/>
      <c r="T80" s="13"/>
    </row>
    <row r="81" spans="6:20" x14ac:dyDescent="0.2">
      <c r="F81" s="10"/>
      <c r="G81" s="20"/>
      <c r="T81" s="13"/>
    </row>
    <row r="82" spans="6:20" x14ac:dyDescent="0.2">
      <c r="F82" s="10"/>
      <c r="G82" s="20"/>
      <c r="T82" s="13"/>
    </row>
    <row r="83" spans="6:20" x14ac:dyDescent="0.2">
      <c r="F83" s="10"/>
      <c r="G83" s="20"/>
      <c r="T83" s="13"/>
    </row>
    <row r="84" spans="6:20" x14ac:dyDescent="0.2">
      <c r="F84" s="10"/>
      <c r="G84" s="20"/>
      <c r="T84" s="13"/>
    </row>
    <row r="85" spans="6:20" x14ac:dyDescent="0.2">
      <c r="F85" s="11"/>
      <c r="G85" s="20"/>
      <c r="T85" s="13"/>
    </row>
    <row r="86" spans="6:20" x14ac:dyDescent="0.2">
      <c r="F86" s="10"/>
      <c r="T86" s="13"/>
    </row>
    <row r="87" spans="6:20" x14ac:dyDescent="0.2">
      <c r="F87" s="10"/>
      <c r="G87" s="20"/>
      <c r="T87" s="13"/>
    </row>
    <row r="88" spans="6:20" x14ac:dyDescent="0.2">
      <c r="T88" s="13"/>
    </row>
    <row r="89" spans="6:20" x14ac:dyDescent="0.2">
      <c r="T89" s="13"/>
    </row>
    <row r="90" spans="6:20" x14ac:dyDescent="0.2">
      <c r="T90" s="13"/>
    </row>
  </sheetData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6C74-E7FF-F946-85FD-F472DF073C6F}">
  <dimension ref="A1:CJ58"/>
  <sheetViews>
    <sheetView workbookViewId="0">
      <selection activeCell="I8" sqref="I8"/>
    </sheetView>
  </sheetViews>
  <sheetFormatPr baseColWidth="10" defaultColWidth="8.83203125" defaultRowHeight="16" x14ac:dyDescent="0.2"/>
  <cols>
    <col min="1" max="1" width="14.5" customWidth="1"/>
    <col min="2" max="2" width="10.5" customWidth="1"/>
    <col min="5" max="5" width="11.5" customWidth="1"/>
    <col min="9" max="9" width="12" customWidth="1"/>
    <col min="10" max="10" width="8.33203125" customWidth="1"/>
    <col min="13" max="13" width="26.5" customWidth="1"/>
    <col min="14" max="14" width="12.5" bestFit="1" customWidth="1"/>
    <col min="257" max="257" width="14.5" customWidth="1"/>
    <col min="258" max="258" width="10.5" customWidth="1"/>
    <col min="261" max="261" width="11.5" customWidth="1"/>
    <col min="265" max="265" width="12" customWidth="1"/>
    <col min="266" max="266" width="8.33203125" customWidth="1"/>
    <col min="269" max="269" width="26.5" customWidth="1"/>
    <col min="513" max="513" width="14.5" customWidth="1"/>
    <col min="514" max="514" width="10.5" customWidth="1"/>
    <col min="517" max="517" width="11.5" customWidth="1"/>
    <col min="521" max="521" width="12" customWidth="1"/>
    <col min="522" max="522" width="8.33203125" customWidth="1"/>
    <col min="525" max="525" width="26.5" customWidth="1"/>
    <col min="769" max="769" width="14.5" customWidth="1"/>
    <col min="770" max="770" width="10.5" customWidth="1"/>
    <col min="773" max="773" width="11.5" customWidth="1"/>
    <col min="777" max="777" width="12" customWidth="1"/>
    <col min="778" max="778" width="8.33203125" customWidth="1"/>
    <col min="781" max="781" width="26.5" customWidth="1"/>
    <col min="1025" max="1025" width="14.5" customWidth="1"/>
    <col min="1026" max="1026" width="10.5" customWidth="1"/>
    <col min="1029" max="1029" width="11.5" customWidth="1"/>
    <col min="1033" max="1033" width="12" customWidth="1"/>
    <col min="1034" max="1034" width="8.33203125" customWidth="1"/>
    <col min="1037" max="1037" width="26.5" customWidth="1"/>
    <col min="1281" max="1281" width="14.5" customWidth="1"/>
    <col min="1282" max="1282" width="10.5" customWidth="1"/>
    <col min="1285" max="1285" width="11.5" customWidth="1"/>
    <col min="1289" max="1289" width="12" customWidth="1"/>
    <col min="1290" max="1290" width="8.33203125" customWidth="1"/>
    <col min="1293" max="1293" width="26.5" customWidth="1"/>
    <col min="1537" max="1537" width="14.5" customWidth="1"/>
    <col min="1538" max="1538" width="10.5" customWidth="1"/>
    <col min="1541" max="1541" width="11.5" customWidth="1"/>
    <col min="1545" max="1545" width="12" customWidth="1"/>
    <col min="1546" max="1546" width="8.33203125" customWidth="1"/>
    <col min="1549" max="1549" width="26.5" customWidth="1"/>
    <col min="1793" max="1793" width="14.5" customWidth="1"/>
    <col min="1794" max="1794" width="10.5" customWidth="1"/>
    <col min="1797" max="1797" width="11.5" customWidth="1"/>
    <col min="1801" max="1801" width="12" customWidth="1"/>
    <col min="1802" max="1802" width="8.33203125" customWidth="1"/>
    <col min="1805" max="1805" width="26.5" customWidth="1"/>
    <col min="2049" max="2049" width="14.5" customWidth="1"/>
    <col min="2050" max="2050" width="10.5" customWidth="1"/>
    <col min="2053" max="2053" width="11.5" customWidth="1"/>
    <col min="2057" max="2057" width="12" customWidth="1"/>
    <col min="2058" max="2058" width="8.33203125" customWidth="1"/>
    <col min="2061" max="2061" width="26.5" customWidth="1"/>
    <col min="2305" max="2305" width="14.5" customWidth="1"/>
    <col min="2306" max="2306" width="10.5" customWidth="1"/>
    <col min="2309" max="2309" width="11.5" customWidth="1"/>
    <col min="2313" max="2313" width="12" customWidth="1"/>
    <col min="2314" max="2314" width="8.33203125" customWidth="1"/>
    <col min="2317" max="2317" width="26.5" customWidth="1"/>
    <col min="2561" max="2561" width="14.5" customWidth="1"/>
    <col min="2562" max="2562" width="10.5" customWidth="1"/>
    <col min="2565" max="2565" width="11.5" customWidth="1"/>
    <col min="2569" max="2569" width="12" customWidth="1"/>
    <col min="2570" max="2570" width="8.33203125" customWidth="1"/>
    <col min="2573" max="2573" width="26.5" customWidth="1"/>
    <col min="2817" max="2817" width="14.5" customWidth="1"/>
    <col min="2818" max="2818" width="10.5" customWidth="1"/>
    <col min="2821" max="2821" width="11.5" customWidth="1"/>
    <col min="2825" max="2825" width="12" customWidth="1"/>
    <col min="2826" max="2826" width="8.33203125" customWidth="1"/>
    <col min="2829" max="2829" width="26.5" customWidth="1"/>
    <col min="3073" max="3073" width="14.5" customWidth="1"/>
    <col min="3074" max="3074" width="10.5" customWidth="1"/>
    <col min="3077" max="3077" width="11.5" customWidth="1"/>
    <col min="3081" max="3081" width="12" customWidth="1"/>
    <col min="3082" max="3082" width="8.33203125" customWidth="1"/>
    <col min="3085" max="3085" width="26.5" customWidth="1"/>
    <col min="3329" max="3329" width="14.5" customWidth="1"/>
    <col min="3330" max="3330" width="10.5" customWidth="1"/>
    <col min="3333" max="3333" width="11.5" customWidth="1"/>
    <col min="3337" max="3337" width="12" customWidth="1"/>
    <col min="3338" max="3338" width="8.33203125" customWidth="1"/>
    <col min="3341" max="3341" width="26.5" customWidth="1"/>
    <col min="3585" max="3585" width="14.5" customWidth="1"/>
    <col min="3586" max="3586" width="10.5" customWidth="1"/>
    <col min="3589" max="3589" width="11.5" customWidth="1"/>
    <col min="3593" max="3593" width="12" customWidth="1"/>
    <col min="3594" max="3594" width="8.33203125" customWidth="1"/>
    <col min="3597" max="3597" width="26.5" customWidth="1"/>
    <col min="3841" max="3841" width="14.5" customWidth="1"/>
    <col min="3842" max="3842" width="10.5" customWidth="1"/>
    <col min="3845" max="3845" width="11.5" customWidth="1"/>
    <col min="3849" max="3849" width="12" customWidth="1"/>
    <col min="3850" max="3850" width="8.33203125" customWidth="1"/>
    <col min="3853" max="3853" width="26.5" customWidth="1"/>
    <col min="4097" max="4097" width="14.5" customWidth="1"/>
    <col min="4098" max="4098" width="10.5" customWidth="1"/>
    <col min="4101" max="4101" width="11.5" customWidth="1"/>
    <col min="4105" max="4105" width="12" customWidth="1"/>
    <col min="4106" max="4106" width="8.33203125" customWidth="1"/>
    <col min="4109" max="4109" width="26.5" customWidth="1"/>
    <col min="4353" max="4353" width="14.5" customWidth="1"/>
    <col min="4354" max="4354" width="10.5" customWidth="1"/>
    <col min="4357" max="4357" width="11.5" customWidth="1"/>
    <col min="4361" max="4361" width="12" customWidth="1"/>
    <col min="4362" max="4362" width="8.33203125" customWidth="1"/>
    <col min="4365" max="4365" width="26.5" customWidth="1"/>
    <col min="4609" max="4609" width="14.5" customWidth="1"/>
    <col min="4610" max="4610" width="10.5" customWidth="1"/>
    <col min="4613" max="4613" width="11.5" customWidth="1"/>
    <col min="4617" max="4617" width="12" customWidth="1"/>
    <col min="4618" max="4618" width="8.33203125" customWidth="1"/>
    <col min="4621" max="4621" width="26.5" customWidth="1"/>
    <col min="4865" max="4865" width="14.5" customWidth="1"/>
    <col min="4866" max="4866" width="10.5" customWidth="1"/>
    <col min="4869" max="4869" width="11.5" customWidth="1"/>
    <col min="4873" max="4873" width="12" customWidth="1"/>
    <col min="4874" max="4874" width="8.33203125" customWidth="1"/>
    <col min="4877" max="4877" width="26.5" customWidth="1"/>
    <col min="5121" max="5121" width="14.5" customWidth="1"/>
    <col min="5122" max="5122" width="10.5" customWidth="1"/>
    <col min="5125" max="5125" width="11.5" customWidth="1"/>
    <col min="5129" max="5129" width="12" customWidth="1"/>
    <col min="5130" max="5130" width="8.33203125" customWidth="1"/>
    <col min="5133" max="5133" width="26.5" customWidth="1"/>
    <col min="5377" max="5377" width="14.5" customWidth="1"/>
    <col min="5378" max="5378" width="10.5" customWidth="1"/>
    <col min="5381" max="5381" width="11.5" customWidth="1"/>
    <col min="5385" max="5385" width="12" customWidth="1"/>
    <col min="5386" max="5386" width="8.33203125" customWidth="1"/>
    <col min="5389" max="5389" width="26.5" customWidth="1"/>
    <col min="5633" max="5633" width="14.5" customWidth="1"/>
    <col min="5634" max="5634" width="10.5" customWidth="1"/>
    <col min="5637" max="5637" width="11.5" customWidth="1"/>
    <col min="5641" max="5641" width="12" customWidth="1"/>
    <col min="5642" max="5642" width="8.33203125" customWidth="1"/>
    <col min="5645" max="5645" width="26.5" customWidth="1"/>
    <col min="5889" max="5889" width="14.5" customWidth="1"/>
    <col min="5890" max="5890" width="10.5" customWidth="1"/>
    <col min="5893" max="5893" width="11.5" customWidth="1"/>
    <col min="5897" max="5897" width="12" customWidth="1"/>
    <col min="5898" max="5898" width="8.33203125" customWidth="1"/>
    <col min="5901" max="5901" width="26.5" customWidth="1"/>
    <col min="6145" max="6145" width="14.5" customWidth="1"/>
    <col min="6146" max="6146" width="10.5" customWidth="1"/>
    <col min="6149" max="6149" width="11.5" customWidth="1"/>
    <col min="6153" max="6153" width="12" customWidth="1"/>
    <col min="6154" max="6154" width="8.33203125" customWidth="1"/>
    <col min="6157" max="6157" width="26.5" customWidth="1"/>
    <col min="6401" max="6401" width="14.5" customWidth="1"/>
    <col min="6402" max="6402" width="10.5" customWidth="1"/>
    <col min="6405" max="6405" width="11.5" customWidth="1"/>
    <col min="6409" max="6409" width="12" customWidth="1"/>
    <col min="6410" max="6410" width="8.33203125" customWidth="1"/>
    <col min="6413" max="6413" width="26.5" customWidth="1"/>
    <col min="6657" max="6657" width="14.5" customWidth="1"/>
    <col min="6658" max="6658" width="10.5" customWidth="1"/>
    <col min="6661" max="6661" width="11.5" customWidth="1"/>
    <col min="6665" max="6665" width="12" customWidth="1"/>
    <col min="6666" max="6666" width="8.33203125" customWidth="1"/>
    <col min="6669" max="6669" width="26.5" customWidth="1"/>
    <col min="6913" max="6913" width="14.5" customWidth="1"/>
    <col min="6914" max="6914" width="10.5" customWidth="1"/>
    <col min="6917" max="6917" width="11.5" customWidth="1"/>
    <col min="6921" max="6921" width="12" customWidth="1"/>
    <col min="6922" max="6922" width="8.33203125" customWidth="1"/>
    <col min="6925" max="6925" width="26.5" customWidth="1"/>
    <col min="7169" max="7169" width="14.5" customWidth="1"/>
    <col min="7170" max="7170" width="10.5" customWidth="1"/>
    <col min="7173" max="7173" width="11.5" customWidth="1"/>
    <col min="7177" max="7177" width="12" customWidth="1"/>
    <col min="7178" max="7178" width="8.33203125" customWidth="1"/>
    <col min="7181" max="7181" width="26.5" customWidth="1"/>
    <col min="7425" max="7425" width="14.5" customWidth="1"/>
    <col min="7426" max="7426" width="10.5" customWidth="1"/>
    <col min="7429" max="7429" width="11.5" customWidth="1"/>
    <col min="7433" max="7433" width="12" customWidth="1"/>
    <col min="7434" max="7434" width="8.33203125" customWidth="1"/>
    <col min="7437" max="7437" width="26.5" customWidth="1"/>
    <col min="7681" max="7681" width="14.5" customWidth="1"/>
    <col min="7682" max="7682" width="10.5" customWidth="1"/>
    <col min="7685" max="7685" width="11.5" customWidth="1"/>
    <col min="7689" max="7689" width="12" customWidth="1"/>
    <col min="7690" max="7690" width="8.33203125" customWidth="1"/>
    <col min="7693" max="7693" width="26.5" customWidth="1"/>
    <col min="7937" max="7937" width="14.5" customWidth="1"/>
    <col min="7938" max="7938" width="10.5" customWidth="1"/>
    <col min="7941" max="7941" width="11.5" customWidth="1"/>
    <col min="7945" max="7945" width="12" customWidth="1"/>
    <col min="7946" max="7946" width="8.33203125" customWidth="1"/>
    <col min="7949" max="7949" width="26.5" customWidth="1"/>
    <col min="8193" max="8193" width="14.5" customWidth="1"/>
    <col min="8194" max="8194" width="10.5" customWidth="1"/>
    <col min="8197" max="8197" width="11.5" customWidth="1"/>
    <col min="8201" max="8201" width="12" customWidth="1"/>
    <col min="8202" max="8202" width="8.33203125" customWidth="1"/>
    <col min="8205" max="8205" width="26.5" customWidth="1"/>
    <col min="8449" max="8449" width="14.5" customWidth="1"/>
    <col min="8450" max="8450" width="10.5" customWidth="1"/>
    <col min="8453" max="8453" width="11.5" customWidth="1"/>
    <col min="8457" max="8457" width="12" customWidth="1"/>
    <col min="8458" max="8458" width="8.33203125" customWidth="1"/>
    <col min="8461" max="8461" width="26.5" customWidth="1"/>
    <col min="8705" max="8705" width="14.5" customWidth="1"/>
    <col min="8706" max="8706" width="10.5" customWidth="1"/>
    <col min="8709" max="8709" width="11.5" customWidth="1"/>
    <col min="8713" max="8713" width="12" customWidth="1"/>
    <col min="8714" max="8714" width="8.33203125" customWidth="1"/>
    <col min="8717" max="8717" width="26.5" customWidth="1"/>
    <col min="8961" max="8961" width="14.5" customWidth="1"/>
    <col min="8962" max="8962" width="10.5" customWidth="1"/>
    <col min="8965" max="8965" width="11.5" customWidth="1"/>
    <col min="8969" max="8969" width="12" customWidth="1"/>
    <col min="8970" max="8970" width="8.33203125" customWidth="1"/>
    <col min="8973" max="8973" width="26.5" customWidth="1"/>
    <col min="9217" max="9217" width="14.5" customWidth="1"/>
    <col min="9218" max="9218" width="10.5" customWidth="1"/>
    <col min="9221" max="9221" width="11.5" customWidth="1"/>
    <col min="9225" max="9225" width="12" customWidth="1"/>
    <col min="9226" max="9226" width="8.33203125" customWidth="1"/>
    <col min="9229" max="9229" width="26.5" customWidth="1"/>
    <col min="9473" max="9473" width="14.5" customWidth="1"/>
    <col min="9474" max="9474" width="10.5" customWidth="1"/>
    <col min="9477" max="9477" width="11.5" customWidth="1"/>
    <col min="9481" max="9481" width="12" customWidth="1"/>
    <col min="9482" max="9482" width="8.33203125" customWidth="1"/>
    <col min="9485" max="9485" width="26.5" customWidth="1"/>
    <col min="9729" max="9729" width="14.5" customWidth="1"/>
    <col min="9730" max="9730" width="10.5" customWidth="1"/>
    <col min="9733" max="9733" width="11.5" customWidth="1"/>
    <col min="9737" max="9737" width="12" customWidth="1"/>
    <col min="9738" max="9738" width="8.33203125" customWidth="1"/>
    <col min="9741" max="9741" width="26.5" customWidth="1"/>
    <col min="9985" max="9985" width="14.5" customWidth="1"/>
    <col min="9986" max="9986" width="10.5" customWidth="1"/>
    <col min="9989" max="9989" width="11.5" customWidth="1"/>
    <col min="9993" max="9993" width="12" customWidth="1"/>
    <col min="9994" max="9994" width="8.33203125" customWidth="1"/>
    <col min="9997" max="9997" width="26.5" customWidth="1"/>
    <col min="10241" max="10241" width="14.5" customWidth="1"/>
    <col min="10242" max="10242" width="10.5" customWidth="1"/>
    <col min="10245" max="10245" width="11.5" customWidth="1"/>
    <col min="10249" max="10249" width="12" customWidth="1"/>
    <col min="10250" max="10250" width="8.33203125" customWidth="1"/>
    <col min="10253" max="10253" width="26.5" customWidth="1"/>
    <col min="10497" max="10497" width="14.5" customWidth="1"/>
    <col min="10498" max="10498" width="10.5" customWidth="1"/>
    <col min="10501" max="10501" width="11.5" customWidth="1"/>
    <col min="10505" max="10505" width="12" customWidth="1"/>
    <col min="10506" max="10506" width="8.33203125" customWidth="1"/>
    <col min="10509" max="10509" width="26.5" customWidth="1"/>
    <col min="10753" max="10753" width="14.5" customWidth="1"/>
    <col min="10754" max="10754" width="10.5" customWidth="1"/>
    <col min="10757" max="10757" width="11.5" customWidth="1"/>
    <col min="10761" max="10761" width="12" customWidth="1"/>
    <col min="10762" max="10762" width="8.33203125" customWidth="1"/>
    <col min="10765" max="10765" width="26.5" customWidth="1"/>
    <col min="11009" max="11009" width="14.5" customWidth="1"/>
    <col min="11010" max="11010" width="10.5" customWidth="1"/>
    <col min="11013" max="11013" width="11.5" customWidth="1"/>
    <col min="11017" max="11017" width="12" customWidth="1"/>
    <col min="11018" max="11018" width="8.33203125" customWidth="1"/>
    <col min="11021" max="11021" width="26.5" customWidth="1"/>
    <col min="11265" max="11265" width="14.5" customWidth="1"/>
    <col min="11266" max="11266" width="10.5" customWidth="1"/>
    <col min="11269" max="11269" width="11.5" customWidth="1"/>
    <col min="11273" max="11273" width="12" customWidth="1"/>
    <col min="11274" max="11274" width="8.33203125" customWidth="1"/>
    <col min="11277" max="11277" width="26.5" customWidth="1"/>
    <col min="11521" max="11521" width="14.5" customWidth="1"/>
    <col min="11522" max="11522" width="10.5" customWidth="1"/>
    <col min="11525" max="11525" width="11.5" customWidth="1"/>
    <col min="11529" max="11529" width="12" customWidth="1"/>
    <col min="11530" max="11530" width="8.33203125" customWidth="1"/>
    <col min="11533" max="11533" width="26.5" customWidth="1"/>
    <col min="11777" max="11777" width="14.5" customWidth="1"/>
    <col min="11778" max="11778" width="10.5" customWidth="1"/>
    <col min="11781" max="11781" width="11.5" customWidth="1"/>
    <col min="11785" max="11785" width="12" customWidth="1"/>
    <col min="11786" max="11786" width="8.33203125" customWidth="1"/>
    <col min="11789" max="11789" width="26.5" customWidth="1"/>
    <col min="12033" max="12033" width="14.5" customWidth="1"/>
    <col min="12034" max="12034" width="10.5" customWidth="1"/>
    <col min="12037" max="12037" width="11.5" customWidth="1"/>
    <col min="12041" max="12041" width="12" customWidth="1"/>
    <col min="12042" max="12042" width="8.33203125" customWidth="1"/>
    <col min="12045" max="12045" width="26.5" customWidth="1"/>
    <col min="12289" max="12289" width="14.5" customWidth="1"/>
    <col min="12290" max="12290" width="10.5" customWidth="1"/>
    <col min="12293" max="12293" width="11.5" customWidth="1"/>
    <col min="12297" max="12297" width="12" customWidth="1"/>
    <col min="12298" max="12298" width="8.33203125" customWidth="1"/>
    <col min="12301" max="12301" width="26.5" customWidth="1"/>
    <col min="12545" max="12545" width="14.5" customWidth="1"/>
    <col min="12546" max="12546" width="10.5" customWidth="1"/>
    <col min="12549" max="12549" width="11.5" customWidth="1"/>
    <col min="12553" max="12553" width="12" customWidth="1"/>
    <col min="12554" max="12554" width="8.33203125" customWidth="1"/>
    <col min="12557" max="12557" width="26.5" customWidth="1"/>
    <col min="12801" max="12801" width="14.5" customWidth="1"/>
    <col min="12802" max="12802" width="10.5" customWidth="1"/>
    <col min="12805" max="12805" width="11.5" customWidth="1"/>
    <col min="12809" max="12809" width="12" customWidth="1"/>
    <col min="12810" max="12810" width="8.33203125" customWidth="1"/>
    <col min="12813" max="12813" width="26.5" customWidth="1"/>
    <col min="13057" max="13057" width="14.5" customWidth="1"/>
    <col min="13058" max="13058" width="10.5" customWidth="1"/>
    <col min="13061" max="13061" width="11.5" customWidth="1"/>
    <col min="13065" max="13065" width="12" customWidth="1"/>
    <col min="13066" max="13066" width="8.33203125" customWidth="1"/>
    <col min="13069" max="13069" width="26.5" customWidth="1"/>
    <col min="13313" max="13313" width="14.5" customWidth="1"/>
    <col min="13314" max="13314" width="10.5" customWidth="1"/>
    <col min="13317" max="13317" width="11.5" customWidth="1"/>
    <col min="13321" max="13321" width="12" customWidth="1"/>
    <col min="13322" max="13322" width="8.33203125" customWidth="1"/>
    <col min="13325" max="13325" width="26.5" customWidth="1"/>
    <col min="13569" max="13569" width="14.5" customWidth="1"/>
    <col min="13570" max="13570" width="10.5" customWidth="1"/>
    <col min="13573" max="13573" width="11.5" customWidth="1"/>
    <col min="13577" max="13577" width="12" customWidth="1"/>
    <col min="13578" max="13578" width="8.33203125" customWidth="1"/>
    <col min="13581" max="13581" width="26.5" customWidth="1"/>
    <col min="13825" max="13825" width="14.5" customWidth="1"/>
    <col min="13826" max="13826" width="10.5" customWidth="1"/>
    <col min="13829" max="13829" width="11.5" customWidth="1"/>
    <col min="13833" max="13833" width="12" customWidth="1"/>
    <col min="13834" max="13834" width="8.33203125" customWidth="1"/>
    <col min="13837" max="13837" width="26.5" customWidth="1"/>
    <col min="14081" max="14081" width="14.5" customWidth="1"/>
    <col min="14082" max="14082" width="10.5" customWidth="1"/>
    <col min="14085" max="14085" width="11.5" customWidth="1"/>
    <col min="14089" max="14089" width="12" customWidth="1"/>
    <col min="14090" max="14090" width="8.33203125" customWidth="1"/>
    <col min="14093" max="14093" width="26.5" customWidth="1"/>
    <col min="14337" max="14337" width="14.5" customWidth="1"/>
    <col min="14338" max="14338" width="10.5" customWidth="1"/>
    <col min="14341" max="14341" width="11.5" customWidth="1"/>
    <col min="14345" max="14345" width="12" customWidth="1"/>
    <col min="14346" max="14346" width="8.33203125" customWidth="1"/>
    <col min="14349" max="14349" width="26.5" customWidth="1"/>
    <col min="14593" max="14593" width="14.5" customWidth="1"/>
    <col min="14594" max="14594" width="10.5" customWidth="1"/>
    <col min="14597" max="14597" width="11.5" customWidth="1"/>
    <col min="14601" max="14601" width="12" customWidth="1"/>
    <col min="14602" max="14602" width="8.33203125" customWidth="1"/>
    <col min="14605" max="14605" width="26.5" customWidth="1"/>
    <col min="14849" max="14849" width="14.5" customWidth="1"/>
    <col min="14850" max="14850" width="10.5" customWidth="1"/>
    <col min="14853" max="14853" width="11.5" customWidth="1"/>
    <col min="14857" max="14857" width="12" customWidth="1"/>
    <col min="14858" max="14858" width="8.33203125" customWidth="1"/>
    <col min="14861" max="14861" width="26.5" customWidth="1"/>
    <col min="15105" max="15105" width="14.5" customWidth="1"/>
    <col min="15106" max="15106" width="10.5" customWidth="1"/>
    <col min="15109" max="15109" width="11.5" customWidth="1"/>
    <col min="15113" max="15113" width="12" customWidth="1"/>
    <col min="15114" max="15114" width="8.33203125" customWidth="1"/>
    <col min="15117" max="15117" width="26.5" customWidth="1"/>
    <col min="15361" max="15361" width="14.5" customWidth="1"/>
    <col min="15362" max="15362" width="10.5" customWidth="1"/>
    <col min="15365" max="15365" width="11.5" customWidth="1"/>
    <col min="15369" max="15369" width="12" customWidth="1"/>
    <col min="15370" max="15370" width="8.33203125" customWidth="1"/>
    <col min="15373" max="15373" width="26.5" customWidth="1"/>
    <col min="15617" max="15617" width="14.5" customWidth="1"/>
    <col min="15618" max="15618" width="10.5" customWidth="1"/>
    <col min="15621" max="15621" width="11.5" customWidth="1"/>
    <col min="15625" max="15625" width="12" customWidth="1"/>
    <col min="15626" max="15626" width="8.33203125" customWidth="1"/>
    <col min="15629" max="15629" width="26.5" customWidth="1"/>
    <col min="15873" max="15873" width="14.5" customWidth="1"/>
    <col min="15874" max="15874" width="10.5" customWidth="1"/>
    <col min="15877" max="15877" width="11.5" customWidth="1"/>
    <col min="15881" max="15881" width="12" customWidth="1"/>
    <col min="15882" max="15882" width="8.33203125" customWidth="1"/>
    <col min="15885" max="15885" width="26.5" customWidth="1"/>
    <col min="16129" max="16129" width="14.5" customWidth="1"/>
    <col min="16130" max="16130" width="10.5" customWidth="1"/>
    <col min="16133" max="16133" width="11.5" customWidth="1"/>
    <col min="16137" max="16137" width="12" customWidth="1"/>
    <col min="16138" max="16138" width="8.33203125" customWidth="1"/>
    <col min="16141" max="16141" width="26.5" customWidth="1"/>
  </cols>
  <sheetData>
    <row r="1" spans="1:88" ht="17" x14ac:dyDescent="0.25">
      <c r="A1" t="s">
        <v>1</v>
      </c>
    </row>
    <row r="2" spans="1:88" x14ac:dyDescent="0.2">
      <c r="A2" t="s">
        <v>2</v>
      </c>
    </row>
    <row r="4" spans="1:88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88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/>
      <c r="K5" s="1" t="s">
        <v>13</v>
      </c>
      <c r="L5" s="1"/>
      <c r="O5" s="1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x14ac:dyDescent="0.2">
      <c r="A6" s="1"/>
      <c r="B6" s="1"/>
      <c r="C6" s="1"/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/>
      <c r="K6" s="1" t="s">
        <v>20</v>
      </c>
      <c r="L6" s="1"/>
      <c r="O6" s="1"/>
      <c r="P6" s="1"/>
      <c r="Q6" s="1"/>
      <c r="R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x14ac:dyDescent="0.2">
      <c r="A7" s="2">
        <v>11</v>
      </c>
      <c r="B7" s="2">
        <v>41</v>
      </c>
      <c r="C7" s="2">
        <v>0</v>
      </c>
      <c r="D7" s="3">
        <f>((A7-A$7)*60*60+(B7-B$7)*60+(C7-C$7))/60</f>
        <v>0</v>
      </c>
      <c r="E7" s="2">
        <v>3.4550000000000001</v>
      </c>
      <c r="F7" s="4">
        <v>15.75</v>
      </c>
      <c r="G7" s="4">
        <v>22.48</v>
      </c>
      <c r="H7" s="2">
        <v>2.7250000000000001</v>
      </c>
      <c r="I7" s="3">
        <f>(1-(F7/100))*(H7/C$16)</f>
        <v>2.2663499506416586E-2</v>
      </c>
      <c r="J7" s="3"/>
      <c r="K7" s="3"/>
      <c r="N7">
        <f>EXP(52.57633-6790.49851/(G7+273.15)-5.028081*LN(G7+273.15))</f>
        <v>2.7222138127212636</v>
      </c>
      <c r="O7" s="3"/>
      <c r="X7" s="3"/>
      <c r="AC7" s="3"/>
      <c r="AL7" s="3"/>
      <c r="AQ7" s="3"/>
      <c r="AZ7" s="3"/>
      <c r="BE7" s="3"/>
      <c r="BN7" s="3"/>
      <c r="BS7" s="3"/>
      <c r="CB7" s="3"/>
      <c r="CG7" s="3"/>
    </row>
    <row r="8" spans="1:88" x14ac:dyDescent="0.2">
      <c r="A8" s="2">
        <v>12</v>
      </c>
      <c r="B8" s="2">
        <v>3</v>
      </c>
      <c r="C8" s="2">
        <v>0</v>
      </c>
      <c r="D8" s="3">
        <f t="shared" ref="D8:D14" si="0">((A8-A$7)*60*60+(B8-B$7)*60+(C8-C$7))/60</f>
        <v>22</v>
      </c>
      <c r="E8" s="2">
        <v>3.4005000000000001</v>
      </c>
      <c r="F8" s="4">
        <v>15.75</v>
      </c>
      <c r="G8" s="2">
        <v>22.86</v>
      </c>
      <c r="H8" s="2">
        <v>2.7919999999999998</v>
      </c>
      <c r="I8" s="3">
        <f t="shared" ref="I8:I14" si="1">(1-(F8/100))*(H8/C$16)</f>
        <v>2.3220730503455082E-2</v>
      </c>
      <c r="J8" s="3"/>
      <c r="K8" s="3">
        <f>-((E8-E7)/18*1000)/((D8-D7)*60)/I8/(C$20*2/10000)</f>
        <v>2.5973095996043036</v>
      </c>
      <c r="L8" s="3"/>
      <c r="O8" s="3"/>
      <c r="P8" s="3"/>
      <c r="X8" s="3"/>
      <c r="AC8" s="3"/>
      <c r="AD8" s="3"/>
      <c r="AL8" s="3"/>
      <c r="AQ8" s="3"/>
      <c r="AR8" s="3"/>
      <c r="AZ8" s="3"/>
      <c r="BE8" s="3"/>
      <c r="BF8" s="3"/>
      <c r="BN8" s="3"/>
      <c r="BS8" s="3"/>
      <c r="BT8" s="3"/>
      <c r="CB8" s="3"/>
      <c r="CG8" s="3"/>
      <c r="CH8" s="3"/>
    </row>
    <row r="9" spans="1:88" x14ac:dyDescent="0.2">
      <c r="A9" s="2">
        <v>12</v>
      </c>
      <c r="B9" s="2">
        <v>24</v>
      </c>
      <c r="C9" s="2">
        <v>0</v>
      </c>
      <c r="D9" s="3">
        <f t="shared" si="0"/>
        <v>43</v>
      </c>
      <c r="E9" s="2">
        <v>3.3491</v>
      </c>
      <c r="F9" s="4">
        <v>15.75</v>
      </c>
      <c r="G9" s="4">
        <v>22.86</v>
      </c>
      <c r="H9" s="2">
        <v>2.7919999999999998</v>
      </c>
      <c r="I9" s="3">
        <f>(1-(F9/100))*(H9/C$16)</f>
        <v>2.3220730503455082E-2</v>
      </c>
      <c r="J9" s="3"/>
      <c r="K9" s="3">
        <f t="shared" ref="K9:K14" si="2">-((E9-E8)/18*1000)/((D9-D8)*60)/I9/(C$20*2/10000)</f>
        <v>2.5662190434535197</v>
      </c>
      <c r="L9" s="3"/>
      <c r="M9" s="3"/>
      <c r="O9" s="3"/>
      <c r="P9" s="3"/>
      <c r="X9" s="3"/>
      <c r="AC9" s="3"/>
      <c r="AD9" s="3"/>
      <c r="AL9" s="3"/>
      <c r="AQ9" s="3"/>
      <c r="AR9" s="3"/>
      <c r="AZ9" s="3"/>
      <c r="BE9" s="3"/>
      <c r="BF9" s="3"/>
      <c r="BN9" s="3"/>
      <c r="BS9" s="3"/>
      <c r="BT9" s="3"/>
      <c r="CB9" s="3"/>
      <c r="CG9" s="3"/>
      <c r="CH9" s="3"/>
    </row>
    <row r="10" spans="1:88" x14ac:dyDescent="0.2">
      <c r="A10" s="2">
        <v>12</v>
      </c>
      <c r="B10" s="2">
        <v>49</v>
      </c>
      <c r="C10" s="2">
        <v>0</v>
      </c>
      <c r="D10" s="3">
        <f t="shared" si="0"/>
        <v>68</v>
      </c>
      <c r="E10" s="2">
        <v>3.2833000000000001</v>
      </c>
      <c r="F10" s="4">
        <v>15.75</v>
      </c>
      <c r="G10" s="4">
        <v>22.86</v>
      </c>
      <c r="H10" s="2">
        <v>2.7919999999999998</v>
      </c>
      <c r="I10" s="3">
        <f>(1-(F10/100))*(H10/C$16)</f>
        <v>2.3220730503455082E-2</v>
      </c>
      <c r="J10" s="3"/>
      <c r="K10" s="3">
        <f t="shared" si="2"/>
        <v>2.7595342212016019</v>
      </c>
      <c r="L10" s="3"/>
      <c r="M10" s="3"/>
      <c r="O10" s="3"/>
      <c r="P10" s="3"/>
      <c r="X10" s="3"/>
      <c r="AC10" s="3"/>
      <c r="AD10" s="3"/>
      <c r="AL10" s="3"/>
      <c r="AQ10" s="3"/>
      <c r="AR10" s="3"/>
      <c r="AZ10" s="3"/>
      <c r="BE10" s="3"/>
      <c r="BF10" s="3"/>
      <c r="BN10" s="3"/>
      <c r="BS10" s="3"/>
      <c r="BT10" s="3"/>
      <c r="CB10" s="3"/>
      <c r="CG10" s="3"/>
      <c r="CH10" s="3"/>
    </row>
    <row r="11" spans="1:88" x14ac:dyDescent="0.2">
      <c r="A11" s="2">
        <v>13</v>
      </c>
      <c r="B11" s="2">
        <v>9</v>
      </c>
      <c r="C11" s="2">
        <v>0</v>
      </c>
      <c r="D11" s="3">
        <f t="shared" si="0"/>
        <v>88</v>
      </c>
      <c r="E11" s="2">
        <v>3.2351000000000001</v>
      </c>
      <c r="F11" s="4">
        <v>15.75</v>
      </c>
      <c r="G11" s="4">
        <v>22.86</v>
      </c>
      <c r="H11" s="2">
        <v>2.7919999999999998</v>
      </c>
      <c r="I11" s="3">
        <f t="shared" si="1"/>
        <v>2.3220730503455082E-2</v>
      </c>
      <c r="J11" s="3"/>
      <c r="K11" s="3">
        <f t="shared" si="2"/>
        <v>2.5267771554315646</v>
      </c>
      <c r="L11" s="3"/>
      <c r="M11" s="3"/>
      <c r="O11" s="3"/>
      <c r="P11" s="3"/>
      <c r="X11" s="3"/>
      <c r="AC11" s="3"/>
      <c r="AD11" s="3"/>
      <c r="AL11" s="3"/>
      <c r="AQ11" s="3"/>
      <c r="AR11" s="3"/>
      <c r="AZ11" s="3"/>
      <c r="BE11" s="3"/>
      <c r="BF11" s="3"/>
      <c r="BN11" s="3"/>
      <c r="BS11" s="3"/>
      <c r="BT11" s="3"/>
      <c r="CB11" s="3"/>
      <c r="CG11" s="3"/>
      <c r="CH11" s="3"/>
    </row>
    <row r="12" spans="1:88" x14ac:dyDescent="0.2">
      <c r="A12" s="2">
        <v>13</v>
      </c>
      <c r="B12" s="2">
        <v>30</v>
      </c>
      <c r="C12" s="2">
        <v>0</v>
      </c>
      <c r="D12" s="3">
        <f t="shared" si="0"/>
        <v>109</v>
      </c>
      <c r="E12" s="2">
        <v>3.1831</v>
      </c>
      <c r="F12" s="4">
        <v>15.75</v>
      </c>
      <c r="G12" s="4">
        <v>23.24</v>
      </c>
      <c r="H12" s="2">
        <v>2.843</v>
      </c>
      <c r="I12" s="3">
        <f t="shared" si="1"/>
        <v>2.3644891411648571E-2</v>
      </c>
      <c r="J12" s="3"/>
      <c r="K12" s="3">
        <f t="shared" si="2"/>
        <v>2.5496026530091336</v>
      </c>
      <c r="L12" s="3"/>
      <c r="M12" s="3"/>
      <c r="O12" s="3"/>
      <c r="P12" s="3"/>
      <c r="X12" s="3"/>
      <c r="AC12" s="3"/>
      <c r="AD12" s="3"/>
      <c r="AL12" s="3"/>
      <c r="AQ12" s="3"/>
      <c r="AR12" s="3"/>
      <c r="AZ12" s="3"/>
      <c r="BE12" s="3"/>
      <c r="BF12" s="3"/>
      <c r="BN12" s="3"/>
      <c r="BS12" s="3"/>
      <c r="BT12" s="3"/>
      <c r="CB12" s="3"/>
      <c r="CG12" s="3"/>
      <c r="CH12" s="3"/>
    </row>
    <row r="13" spans="1:88" x14ac:dyDescent="0.2">
      <c r="A13" s="2">
        <v>13</v>
      </c>
      <c r="B13" s="2">
        <v>51</v>
      </c>
      <c r="C13" s="2">
        <v>0</v>
      </c>
      <c r="D13" s="3">
        <f t="shared" si="0"/>
        <v>130</v>
      </c>
      <c r="E13" s="2">
        <v>3.1291000000000002</v>
      </c>
      <c r="F13" s="4">
        <v>15.75</v>
      </c>
      <c r="G13" s="4">
        <v>23.24</v>
      </c>
      <c r="H13" s="2">
        <v>2.843</v>
      </c>
      <c r="I13" s="3">
        <f t="shared" si="1"/>
        <v>2.3644891411648571E-2</v>
      </c>
      <c r="J13" s="3"/>
      <c r="K13" s="3">
        <f t="shared" si="2"/>
        <v>2.6476642935094739</v>
      </c>
      <c r="L13" s="3"/>
      <c r="M13" s="3"/>
      <c r="O13" s="3"/>
      <c r="P13" s="3"/>
      <c r="X13" s="3"/>
      <c r="AC13" s="3"/>
      <c r="AD13" s="3"/>
      <c r="AL13" s="3"/>
      <c r="AQ13" s="3"/>
      <c r="AR13" s="3"/>
      <c r="AZ13" s="3"/>
      <c r="BE13" s="3"/>
      <c r="BF13" s="3"/>
      <c r="BN13" s="3"/>
      <c r="BS13" s="3"/>
      <c r="BT13" s="3"/>
      <c r="CB13" s="3"/>
      <c r="CG13" s="3"/>
      <c r="CH13" s="3"/>
    </row>
    <row r="14" spans="1:88" x14ac:dyDescent="0.2">
      <c r="A14" s="2">
        <v>14</v>
      </c>
      <c r="B14" s="2">
        <v>13</v>
      </c>
      <c r="C14" s="2">
        <v>0</v>
      </c>
      <c r="D14" s="3">
        <f t="shared" si="0"/>
        <v>152</v>
      </c>
      <c r="E14" s="2">
        <v>3.0762999999999998</v>
      </c>
      <c r="F14" s="4">
        <v>18.75</v>
      </c>
      <c r="G14" s="4">
        <v>23.63</v>
      </c>
      <c r="H14" s="2">
        <v>2.9119999999999999</v>
      </c>
      <c r="I14" s="3">
        <f t="shared" si="1"/>
        <v>2.3356367226061204E-2</v>
      </c>
      <c r="J14" s="3"/>
      <c r="K14" s="3">
        <f t="shared" si="2"/>
        <v>2.5016798132473497</v>
      </c>
      <c r="O14" s="3"/>
      <c r="P14" s="3"/>
      <c r="R14" s="1"/>
      <c r="X14" s="3"/>
      <c r="AC14" s="3"/>
      <c r="AD14" s="3"/>
      <c r="AF14" s="1"/>
      <c r="AL14" s="3"/>
      <c r="AQ14" s="3"/>
      <c r="AR14" s="3"/>
      <c r="AT14" s="1"/>
      <c r="AZ14" s="3"/>
      <c r="BE14" s="3"/>
      <c r="BF14" s="3"/>
      <c r="BH14" s="1"/>
      <c r="BN14" s="3"/>
      <c r="BS14" s="3"/>
      <c r="BT14" s="3"/>
      <c r="BV14" s="1"/>
      <c r="CB14" s="3"/>
      <c r="CG14" s="3"/>
      <c r="CH14" s="3"/>
      <c r="CJ14" s="1"/>
    </row>
    <row r="15" spans="1:88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88" x14ac:dyDescent="0.2">
      <c r="A16" s="5" t="s">
        <v>21</v>
      </c>
      <c r="B16" s="3"/>
      <c r="C16" s="4">
        <v>101.3</v>
      </c>
      <c r="D16" s="3"/>
      <c r="E16" s="6" t="s">
        <v>22</v>
      </c>
      <c r="F16" s="7">
        <f>AVERAGE(F11:F14)</f>
        <v>16.5</v>
      </c>
      <c r="G16" s="7">
        <f>AVERAGE(G11:G14)</f>
        <v>23.242499999999996</v>
      </c>
      <c r="H16" s="7">
        <f>AVERAGE(H11:H14)</f>
        <v>2.8475000000000001</v>
      </c>
      <c r="I16" s="7">
        <f>AVERAGE(I11:I14)</f>
        <v>2.3466720138203358E-2</v>
      </c>
      <c r="J16" s="7"/>
      <c r="K16" s="7">
        <f>AVERAGE(K11:K14)</f>
        <v>2.5564309787993804</v>
      </c>
      <c r="O16" s="3"/>
      <c r="Z16" s="3"/>
      <c r="AA16" s="3"/>
      <c r="AB16" s="3"/>
      <c r="AC16" s="3"/>
      <c r="AN16" s="3"/>
      <c r="AO16" s="3"/>
      <c r="AP16" s="3"/>
      <c r="AQ16" s="3"/>
      <c r="BB16" s="3"/>
      <c r="BC16" s="3"/>
      <c r="BD16" s="3"/>
      <c r="BE16" s="3"/>
      <c r="BP16" s="3"/>
      <c r="BQ16" s="3"/>
      <c r="BR16" s="3"/>
      <c r="BS16" s="3"/>
      <c r="CD16" s="3"/>
      <c r="CE16" s="3"/>
      <c r="CF16" s="3"/>
      <c r="CG16" s="3"/>
      <c r="CH16" s="3"/>
    </row>
    <row r="17" spans="1:86" x14ac:dyDescent="0.2">
      <c r="B17" s="3"/>
      <c r="D17" s="3"/>
      <c r="E17" s="1" t="s">
        <v>23</v>
      </c>
      <c r="F17" s="3">
        <f>MAX(F11:F14)-MIN(F11:F14)</f>
        <v>3</v>
      </c>
      <c r="G17" s="3">
        <f>MAX(G11:G14)-MIN(G11:G14)</f>
        <v>0.76999999999999957</v>
      </c>
      <c r="H17" s="3">
        <f>MAX(H11:H14)-MIN(H11:H14)</f>
        <v>0.12000000000000011</v>
      </c>
      <c r="I17" s="3">
        <f>MAX(I11:I14)-MIN(I11:I14)</f>
        <v>4.2416090819348898E-4</v>
      </c>
      <c r="J17" s="3"/>
      <c r="K17" s="1">
        <f>-SLOPE(E7:E14,D7:D14)/60/AVERAGE(I11:I14)*1000/18/(C20*2/10000)</f>
        <v>2.593439027913587</v>
      </c>
      <c r="L17" t="s">
        <v>24</v>
      </c>
      <c r="M17" s="3"/>
      <c r="O17" s="3"/>
      <c r="Z17" s="3"/>
      <c r="AA17" s="3"/>
      <c r="AB17" s="3"/>
      <c r="AC17" s="3"/>
      <c r="AN17" s="3"/>
      <c r="AO17" s="3"/>
      <c r="AP17" s="3"/>
      <c r="AQ17" s="3"/>
      <c r="BB17" s="3"/>
      <c r="BC17" s="3"/>
      <c r="BD17" s="3"/>
      <c r="BE17" s="3"/>
      <c r="BP17" s="3"/>
      <c r="BQ17" s="3"/>
      <c r="BR17" s="3"/>
      <c r="BS17" s="3"/>
      <c r="CD17" s="3"/>
      <c r="CE17" s="3"/>
      <c r="CF17" s="3"/>
      <c r="CG17" s="3"/>
      <c r="CH17" s="3"/>
    </row>
    <row r="18" spans="1:86" ht="17" x14ac:dyDescent="0.2">
      <c r="A18" s="5" t="s">
        <v>25</v>
      </c>
      <c r="B18" s="3"/>
      <c r="C18" s="4">
        <v>190.16057043636238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Z18" s="3"/>
      <c r="AA18" s="3"/>
      <c r="AN18" s="3"/>
      <c r="AO18" s="3"/>
      <c r="BB18" s="3"/>
      <c r="BC18" s="3"/>
      <c r="BP18" s="3"/>
      <c r="BQ18" s="3"/>
      <c r="CD18" s="3"/>
      <c r="CE18" s="3"/>
    </row>
    <row r="19" spans="1:86" ht="17" x14ac:dyDescent="0.2">
      <c r="A19" s="5" t="s">
        <v>26</v>
      </c>
      <c r="B19" s="3"/>
      <c r="C19" s="2">
        <v>190.16057043636238</v>
      </c>
      <c r="E19" s="3" t="s">
        <v>27</v>
      </c>
      <c r="F19" s="3"/>
      <c r="G19" s="3"/>
      <c r="H19" s="3"/>
      <c r="I19" s="3"/>
      <c r="J19" s="3"/>
      <c r="K19" s="3"/>
      <c r="L19" s="3"/>
      <c r="M19" s="3"/>
      <c r="Z19" s="3"/>
      <c r="AA19" s="3"/>
      <c r="AN19" s="3"/>
      <c r="AO19" s="3"/>
      <c r="BB19" s="3"/>
      <c r="BC19" s="3"/>
      <c r="BP19" s="3"/>
      <c r="BQ19" s="3"/>
      <c r="CD19" s="3"/>
      <c r="CE19" s="3"/>
    </row>
    <row r="20" spans="1:86" ht="17" x14ac:dyDescent="0.2">
      <c r="A20" s="5" t="s">
        <v>28</v>
      </c>
      <c r="B20" s="3"/>
      <c r="C20" s="8">
        <f>AVERAGE(C18,C19)</f>
        <v>190.16057043636238</v>
      </c>
      <c r="E20" s="3"/>
      <c r="F20" s="3"/>
      <c r="G20" s="3"/>
      <c r="H20" s="3"/>
      <c r="I20" s="3"/>
      <c r="J20" s="3"/>
      <c r="K20" s="3"/>
      <c r="L20" s="3"/>
      <c r="M20" s="3"/>
    </row>
    <row r="57" spans="12:12" x14ac:dyDescent="0.2">
      <c r="L57" s="9"/>
    </row>
    <row r="58" spans="12:12" x14ac:dyDescent="0.2">
      <c r="L5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leaf_model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2024-03-14T14:38:38Z</dcterms:created>
  <dcterms:modified xsi:type="dcterms:W3CDTF">2024-05-14T15:09:10Z</dcterms:modified>
</cp:coreProperties>
</file>