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an/Documents/Pesquisa-USP/Pos_docs/Pos_Doc_FAPESP UFABC/hidraulica_plantas/Cmin/C_nictitans/"/>
    </mc:Choice>
  </mc:AlternateContent>
  <xr:revisionPtr revIDLastSave="0" documentId="13_ncr:1_{2F8D773F-5FB3-2949-BF49-E20C94E51C39}" xr6:coauthVersionLast="45" xr6:coauthVersionMax="45" xr10:uidLastSave="{00000000-0000-0000-0000-000000000000}"/>
  <bookViews>
    <workbookView xWindow="0" yWindow="520" windowWidth="25040" windowHeight="14500" activeTab="1" xr2:uid="{4198E969-3E02-2C45-A9AB-F68B44577CEF}"/>
  </bookViews>
  <sheets>
    <sheet name="Sheet1" sheetId="1" r:id="rId1"/>
    <sheet name="leaf_model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6" i="1" l="1"/>
  <c r="T5" i="1"/>
  <c r="S5" i="1"/>
  <c r="V109" i="1" l="1"/>
  <c r="U95" i="1"/>
  <c r="U108" i="1"/>
  <c r="U109" i="1"/>
  <c r="T108" i="1"/>
  <c r="S108" i="1"/>
  <c r="I9" i="2" l="1"/>
  <c r="T6" i="1"/>
  <c r="S45" i="1"/>
  <c r="V5" i="1"/>
  <c r="S110" i="1"/>
  <c r="T110" i="1" s="1"/>
  <c r="U110" i="1" s="1"/>
  <c r="V108" i="1" s="1"/>
  <c r="S111" i="1"/>
  <c r="T111" i="1" s="1"/>
  <c r="U111" i="1" s="1"/>
  <c r="S112" i="1"/>
  <c r="T112" i="1"/>
  <c r="S113" i="1"/>
  <c r="T113" i="1"/>
  <c r="S114" i="1"/>
  <c r="T114" i="1" s="1"/>
  <c r="S115" i="1"/>
  <c r="T115" i="1" s="1"/>
  <c r="S116" i="1"/>
  <c r="T116" i="1"/>
  <c r="U116" i="1" s="1"/>
  <c r="S117" i="1"/>
  <c r="T117" i="1"/>
  <c r="U117" i="1" s="1"/>
  <c r="S118" i="1"/>
  <c r="T118" i="1" s="1"/>
  <c r="U118" i="1" s="1"/>
  <c r="S97" i="1"/>
  <c r="T97" i="1" s="1"/>
  <c r="U97" i="1" s="1"/>
  <c r="S98" i="1"/>
  <c r="T98" i="1" s="1"/>
  <c r="U98" i="1" s="1"/>
  <c r="S99" i="1"/>
  <c r="T99" i="1"/>
  <c r="S100" i="1"/>
  <c r="T100" i="1" s="1"/>
  <c r="S101" i="1"/>
  <c r="T101" i="1" s="1"/>
  <c r="S102" i="1"/>
  <c r="T102" i="1" s="1"/>
  <c r="S103" i="1"/>
  <c r="T103" i="1"/>
  <c r="U103" i="1" s="1"/>
  <c r="S104" i="1"/>
  <c r="T104" i="1"/>
  <c r="U104" i="1" s="1"/>
  <c r="S84" i="1"/>
  <c r="T84" i="1" s="1"/>
  <c r="U84" i="1" s="1"/>
  <c r="S85" i="1"/>
  <c r="T85" i="1"/>
  <c r="S86" i="1"/>
  <c r="T86" i="1" s="1"/>
  <c r="V83" i="1" s="1"/>
  <c r="S87" i="1"/>
  <c r="T87" i="1" s="1"/>
  <c r="S88" i="1"/>
  <c r="T88" i="1"/>
  <c r="S89" i="1"/>
  <c r="T89" i="1"/>
  <c r="S90" i="1"/>
  <c r="T90" i="1" s="1"/>
  <c r="U90" i="1" s="1"/>
  <c r="S91" i="1"/>
  <c r="T91" i="1"/>
  <c r="U91" i="1" s="1"/>
  <c r="G109" i="1"/>
  <c r="G110" i="1"/>
  <c r="G111" i="1"/>
  <c r="G112" i="1"/>
  <c r="G113" i="1"/>
  <c r="G114" i="1"/>
  <c r="G115" i="1"/>
  <c r="G108" i="1"/>
  <c r="G96" i="1"/>
  <c r="G97" i="1"/>
  <c r="G98" i="1"/>
  <c r="G99" i="1"/>
  <c r="G100" i="1"/>
  <c r="G101" i="1"/>
  <c r="G102" i="1"/>
  <c r="G95" i="1"/>
  <c r="G83" i="1"/>
  <c r="G84" i="1"/>
  <c r="G85" i="1"/>
  <c r="G86" i="1"/>
  <c r="U85" i="1" s="1"/>
  <c r="G87" i="1"/>
  <c r="G88" i="1"/>
  <c r="G89" i="1"/>
  <c r="G82" i="1"/>
  <c r="S109" i="1"/>
  <c r="T109" i="1" s="1"/>
  <c r="S96" i="1"/>
  <c r="T96" i="1" s="1"/>
  <c r="U96" i="1" s="1"/>
  <c r="S95" i="1"/>
  <c r="T95" i="1" s="1"/>
  <c r="S83" i="1"/>
  <c r="T83" i="1" s="1"/>
  <c r="U83" i="1" s="1"/>
  <c r="S82" i="1"/>
  <c r="T82" i="1" s="1"/>
  <c r="G74" i="1"/>
  <c r="G61" i="1"/>
  <c r="G49" i="1"/>
  <c r="G73" i="1"/>
  <c r="G60" i="1"/>
  <c r="G48" i="1"/>
  <c r="T32" i="1"/>
  <c r="U32" i="1" s="1"/>
  <c r="S78" i="1"/>
  <c r="T78" i="1" s="1"/>
  <c r="U78" i="1" s="1"/>
  <c r="S77" i="1"/>
  <c r="T77" i="1" s="1"/>
  <c r="U77" i="1" s="1"/>
  <c r="S76" i="1"/>
  <c r="T76" i="1" s="1"/>
  <c r="U76" i="1" s="1"/>
  <c r="S75" i="1"/>
  <c r="T75" i="1" s="1"/>
  <c r="U75" i="1" s="1"/>
  <c r="S74" i="1"/>
  <c r="T74" i="1" s="1"/>
  <c r="U74" i="1" s="1"/>
  <c r="S73" i="1"/>
  <c r="T73" i="1" s="1"/>
  <c r="U73" i="1" s="1"/>
  <c r="T72" i="1"/>
  <c r="U72" i="1" s="1"/>
  <c r="S72" i="1"/>
  <c r="S71" i="1"/>
  <c r="T71" i="1" s="1"/>
  <c r="U71" i="1" s="1"/>
  <c r="S70" i="1"/>
  <c r="T70" i="1" s="1"/>
  <c r="U70" i="1" s="1"/>
  <c r="S69" i="1"/>
  <c r="T69" i="1" s="1"/>
  <c r="S64" i="1"/>
  <c r="T64" i="1" s="1"/>
  <c r="U64" i="1" s="1"/>
  <c r="S63" i="1"/>
  <c r="T63" i="1" s="1"/>
  <c r="U63" i="1" s="1"/>
  <c r="S62" i="1"/>
  <c r="T62" i="1" s="1"/>
  <c r="U62" i="1" s="1"/>
  <c r="S61" i="1"/>
  <c r="T61" i="1" s="1"/>
  <c r="S60" i="1"/>
  <c r="T60" i="1" s="1"/>
  <c r="U60" i="1" s="1"/>
  <c r="T59" i="1"/>
  <c r="U59" i="1" s="1"/>
  <c r="S59" i="1"/>
  <c r="S58" i="1"/>
  <c r="T58" i="1" s="1"/>
  <c r="U58" i="1" s="1"/>
  <c r="S57" i="1"/>
  <c r="T57" i="1" s="1"/>
  <c r="U57" i="1" s="1"/>
  <c r="S56" i="1"/>
  <c r="T56" i="1" s="1"/>
  <c r="S53" i="1"/>
  <c r="T53" i="1" s="1"/>
  <c r="U53" i="1" s="1"/>
  <c r="S52" i="1"/>
  <c r="T52" i="1" s="1"/>
  <c r="U52" i="1" s="1"/>
  <c r="S51" i="1"/>
  <c r="T51" i="1" s="1"/>
  <c r="U51" i="1" s="1"/>
  <c r="S50" i="1"/>
  <c r="T50" i="1" s="1"/>
  <c r="S49" i="1"/>
  <c r="T49" i="1" s="1"/>
  <c r="S48" i="1"/>
  <c r="T48" i="1" s="1"/>
  <c r="T47" i="1"/>
  <c r="U47" i="1" s="1"/>
  <c r="S47" i="1"/>
  <c r="S46" i="1"/>
  <c r="T46" i="1" s="1"/>
  <c r="U46" i="1" s="1"/>
  <c r="T45" i="1"/>
  <c r="U45" i="1" s="1"/>
  <c r="S44" i="1"/>
  <c r="T44" i="1" s="1"/>
  <c r="G72" i="1"/>
  <c r="G59" i="1"/>
  <c r="G47" i="1"/>
  <c r="G58" i="1"/>
  <c r="G71" i="1"/>
  <c r="G46" i="1"/>
  <c r="G70" i="1"/>
  <c r="G57" i="1"/>
  <c r="G45" i="1"/>
  <c r="G69" i="1"/>
  <c r="G56" i="1"/>
  <c r="G44" i="1"/>
  <c r="G5" i="1"/>
  <c r="V57" i="1" l="1"/>
  <c r="V45" i="1"/>
  <c r="V69" i="1"/>
  <c r="V70" i="1"/>
  <c r="V96" i="1"/>
  <c r="W121" i="1"/>
  <c r="U115" i="1"/>
  <c r="U102" i="1"/>
  <c r="U89" i="1"/>
  <c r="U114" i="1"/>
  <c r="U113" i="1"/>
  <c r="U101" i="1"/>
  <c r="U88" i="1"/>
  <c r="U112" i="1"/>
  <c r="U99" i="1"/>
  <c r="U100" i="1"/>
  <c r="V95" i="1" s="1"/>
  <c r="U87" i="1"/>
  <c r="U86" i="1"/>
  <c r="V82" i="1" s="1"/>
  <c r="U50" i="1"/>
  <c r="U61" i="1"/>
  <c r="V56" i="1" s="1"/>
  <c r="U49" i="1"/>
  <c r="U48" i="1"/>
  <c r="S40" i="1"/>
  <c r="T40" i="1" s="1"/>
  <c r="U40" i="1" s="1"/>
  <c r="S39" i="1"/>
  <c r="T39" i="1" s="1"/>
  <c r="U39" i="1" s="1"/>
  <c r="S38" i="1"/>
  <c r="T38" i="1" s="1"/>
  <c r="U38" i="1" s="1"/>
  <c r="S37" i="1"/>
  <c r="T37" i="1" s="1"/>
  <c r="U37" i="1" s="1"/>
  <c r="S36" i="1"/>
  <c r="T36" i="1" s="1"/>
  <c r="U36" i="1" s="1"/>
  <c r="S35" i="1"/>
  <c r="T35" i="1" s="1"/>
  <c r="U35" i="1" s="1"/>
  <c r="S34" i="1"/>
  <c r="T34" i="1" s="1"/>
  <c r="U34" i="1" s="1"/>
  <c r="S33" i="1"/>
  <c r="T33" i="1" s="1"/>
  <c r="U33" i="1" s="1"/>
  <c r="S32" i="1"/>
  <c r="S31" i="1"/>
  <c r="T31" i="1" s="1"/>
  <c r="S27" i="1"/>
  <c r="T27" i="1" s="1"/>
  <c r="U27" i="1" s="1"/>
  <c r="S26" i="1"/>
  <c r="T26" i="1" s="1"/>
  <c r="U26" i="1" s="1"/>
  <c r="S25" i="1"/>
  <c r="T25" i="1" s="1"/>
  <c r="U25" i="1" s="1"/>
  <c r="S24" i="1"/>
  <c r="T24" i="1" s="1"/>
  <c r="U24" i="1" s="1"/>
  <c r="T23" i="1"/>
  <c r="U23" i="1" s="1"/>
  <c r="S23" i="1"/>
  <c r="S22" i="1"/>
  <c r="T22" i="1" s="1"/>
  <c r="U22" i="1" s="1"/>
  <c r="S21" i="1"/>
  <c r="T21" i="1" s="1"/>
  <c r="S20" i="1"/>
  <c r="T20" i="1" s="1"/>
  <c r="U20" i="1" s="1"/>
  <c r="S19" i="1"/>
  <c r="T19" i="1" s="1"/>
  <c r="U19" i="1" s="1"/>
  <c r="S18" i="1"/>
  <c r="T18" i="1" s="1"/>
  <c r="N7" i="2"/>
  <c r="C20" i="2"/>
  <c r="I7" i="2"/>
  <c r="S6" i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G32" i="1"/>
  <c r="G33" i="1"/>
  <c r="G34" i="1"/>
  <c r="G35" i="1"/>
  <c r="G36" i="1"/>
  <c r="G37" i="1"/>
  <c r="G38" i="1"/>
  <c r="G39" i="1"/>
  <c r="G40" i="1"/>
  <c r="G41" i="1"/>
  <c r="G31" i="1"/>
  <c r="G20" i="1"/>
  <c r="G21" i="1"/>
  <c r="G22" i="1"/>
  <c r="G23" i="1"/>
  <c r="G24" i="1"/>
  <c r="G25" i="1"/>
  <c r="G26" i="1"/>
  <c r="G27" i="1"/>
  <c r="G28" i="1"/>
  <c r="G19" i="1"/>
  <c r="G18" i="1"/>
  <c r="G6" i="1"/>
  <c r="G7" i="1"/>
  <c r="G8" i="1"/>
  <c r="G9" i="1"/>
  <c r="G10" i="1"/>
  <c r="G11" i="1"/>
  <c r="G12" i="1"/>
  <c r="G13" i="1"/>
  <c r="G14" i="1"/>
  <c r="G15" i="1"/>
  <c r="D7" i="2"/>
  <c r="K17" i="2" s="1"/>
  <c r="H17" i="2"/>
  <c r="G17" i="2"/>
  <c r="F17" i="2"/>
  <c r="H16" i="2"/>
  <c r="G16" i="2"/>
  <c r="F16" i="2"/>
  <c r="I14" i="2"/>
  <c r="D14" i="2"/>
  <c r="K14" i="2" s="1"/>
  <c r="I13" i="2"/>
  <c r="D13" i="2"/>
  <c r="I12" i="2"/>
  <c r="D12" i="2"/>
  <c r="K12" i="2" s="1"/>
  <c r="I11" i="2"/>
  <c r="I17" i="2" s="1"/>
  <c r="D11" i="2"/>
  <c r="I10" i="2"/>
  <c r="D10" i="2"/>
  <c r="K10" i="2" s="1"/>
  <c r="D9" i="2"/>
  <c r="I8" i="2"/>
  <c r="D8" i="2"/>
  <c r="K8" i="2" s="1"/>
  <c r="W120" i="1" l="1"/>
  <c r="V44" i="1"/>
  <c r="V32" i="1"/>
  <c r="U21" i="1"/>
  <c r="V18" i="1" s="1"/>
  <c r="V19" i="1"/>
  <c r="V31" i="1"/>
  <c r="V6" i="1"/>
  <c r="U10" i="1"/>
  <c r="U7" i="1"/>
  <c r="U13" i="1"/>
  <c r="U9" i="1"/>
  <c r="I16" i="2"/>
  <c r="U14" i="1"/>
  <c r="K11" i="2"/>
  <c r="U12" i="1"/>
  <c r="U8" i="1"/>
  <c r="U11" i="1"/>
  <c r="K9" i="2"/>
  <c r="K13" i="2"/>
  <c r="K16" i="2" l="1"/>
</calcChain>
</file>

<file path=xl/sharedStrings.xml><?xml version="1.0" encoding="utf-8"?>
<sst xmlns="http://schemas.openxmlformats.org/spreadsheetml/2006/main" count="222" uniqueCount="57">
  <si>
    <t>Tabela condutancia estomatica minima - https://prometheusprotocols.net/function/gas-exchange-and-chlorophyll-fluorescence/stomatal-and-non-stomatal-conductance-and-transpiration/minimum-epidermal-conductance-gmin-a-k-a-cuticular-conductance/</t>
  </si>
  <si>
    <r>
      <t>Note: gmin_spreadsheet_tool was created by Lawren Sack, as a tool to be used with the Protocol "Minimum epidermal conductance (''g</t>
    </r>
    <r>
      <rPr>
        <vertAlign val="subscript"/>
        <sz val="11"/>
        <color indexed="8"/>
        <rFont val="Calibri"/>
        <family val="2"/>
      </rPr>
      <t>min</t>
    </r>
    <r>
      <rPr>
        <sz val="12"/>
        <color theme="1"/>
        <rFont val="Times"/>
        <family val="2"/>
      </rPr>
      <t xml:space="preserve">'', a.k.a. cuticular conductance)" for </t>
    </r>
    <r>
      <rPr>
        <i/>
        <sz val="11"/>
        <color indexed="8"/>
        <rFont val="Calibri"/>
        <family val="2"/>
      </rPr>
      <t>PrometheusWiki</t>
    </r>
  </si>
  <si>
    <t>Note: blue cells should be filled in</t>
  </si>
  <si>
    <t>Leaf 1</t>
  </si>
  <si>
    <t>hours</t>
  </si>
  <si>
    <t>min</t>
  </si>
  <si>
    <t>s</t>
  </si>
  <si>
    <t>time</t>
  </si>
  <si>
    <t>leaf_mass</t>
  </si>
  <si>
    <t>RH</t>
  </si>
  <si>
    <t>T</t>
  </si>
  <si>
    <t>VPsat</t>
  </si>
  <si>
    <t>mfVPD</t>
  </si>
  <si>
    <t>gmin calculated from intervals</t>
  </si>
  <si>
    <t>(min)</t>
  </si>
  <si>
    <t>(g)</t>
  </si>
  <si>
    <t>(%)</t>
  </si>
  <si>
    <t>(oC)</t>
  </si>
  <si>
    <t>kPa</t>
  </si>
  <si>
    <t>(mol mol-1)</t>
  </si>
  <si>
    <t>(mmol m-2 s-1)</t>
  </si>
  <si>
    <t>Atmospheric pressure (kPa)</t>
  </si>
  <si>
    <t>mean</t>
  </si>
  <si>
    <t>max/min</t>
  </si>
  <si>
    <t>calculated from slope</t>
  </si>
  <si>
    <r>
      <t>Initial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</si>
  <si>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r>
      <t>Final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</si>
  <si>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Graph shows leaf mass plotted against time; only the linear portion should be used for gmin calculation</t>
  </si>
  <si>
    <r>
      <t>Mean leaf area (cm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>)</t>
    </r>
  </si>
  <si>
    <t>Specie</t>
  </si>
  <si>
    <t>Leaf</t>
  </si>
  <si>
    <t>measure</t>
  </si>
  <si>
    <t>data</t>
  </si>
  <si>
    <t>hour</t>
  </si>
  <si>
    <t>Individual</t>
  </si>
  <si>
    <t>weight dry</t>
  </si>
  <si>
    <t>weight wet</t>
  </si>
  <si>
    <t>C_nictitans</t>
  </si>
  <si>
    <t>v061</t>
  </si>
  <si>
    <t>14_mar_2024</t>
  </si>
  <si>
    <t>v088</t>
  </si>
  <si>
    <t>v046</t>
  </si>
  <si>
    <t>temp</t>
  </si>
  <si>
    <t>umid</t>
  </si>
  <si>
    <t>time_minutes</t>
  </si>
  <si>
    <t>weight_g</t>
  </si>
  <si>
    <t>obs: VP sat foi retirado da fomula 8.6 do capitulo 8 do Pearcy et al 1989; tem a tabela A7 no final tmb ou pode ser usado o link https://www.weather.gov/epz/wxcalc_vaporpressure</t>
  </si>
  <si>
    <t xml:space="preserve">g min </t>
  </si>
  <si>
    <t>Area moist</t>
  </si>
  <si>
    <t>Area dry</t>
  </si>
  <si>
    <t>v0116</t>
  </si>
  <si>
    <t>09_abr_2024</t>
  </si>
  <si>
    <t>v023</t>
  </si>
  <si>
    <t>v050</t>
  </si>
  <si>
    <t>10_abr_2024</t>
  </si>
  <si>
    <t>VXX</t>
  </si>
  <si>
    <t>São Bernardo do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</si>
</sst>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2">
    <font>
      <sz val="12"/>
      <color theme="1"/>
      <name val="Times"/>
      <family val="2"/>
    </font>
    <font>
      <vertAlign val="subscript"/>
      <sz val="11"/>
      <color indexed="8"/>
      <name val="Calibri"/>
      <family val="2"/>
    </font>
    <font>
      <i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indexed="8"/>
      <name val="Calibri"/>
      <family val="2"/>
    </font>
    <font>
      <b/>
      <vertAlign val="superscript"/>
      <sz val="11"/>
      <color indexed="8"/>
      <name val="Calibri"/>
      <family val="2"/>
    </font>
    <font>
      <b/>
      <sz val="12"/>
      <color theme="1"/>
      <name val="Times"/>
      <family val="1"/>
    </font>
    <font>
      <sz val="10"/>
      <color theme="1"/>
      <name val="Times"/>
      <family val="2"/>
    </font>
    <font>
      <sz val="10"/>
      <name val="Arial"/>
      <family val="2"/>
    </font>
    <font>
      <sz val="12"/>
      <color rgb="FF000000"/>
      <name val="Times"/>
      <family val="2"/>
    </font>
    <font>
      <sz val="8"/>
      <name val="Times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4" fillId="2" borderId="0" xfId="0" applyFont="1" applyFill="1"/>
    <xf numFmtId="0" fontId="4" fillId="0" borderId="0" xfId="0" applyFont="1"/>
    <xf numFmtId="0" fontId="0" fillId="2" borderId="0" xfId="0" applyFill="1"/>
    <xf numFmtId="0" fontId="5" fillId="0" borderId="0" xfId="0" applyFont="1"/>
    <xf numFmtId="0" fontId="3" fillId="0" borderId="1" xfId="0" applyFont="1" applyBorder="1"/>
    <xf numFmtId="0" fontId="4" fillId="0" borderId="1" xfId="0" applyFont="1" applyBorder="1"/>
    <xf numFmtId="0" fontId="0" fillId="3" borderId="0" xfId="0" applyFill="1"/>
    <xf numFmtId="0" fontId="0" fillId="4" borderId="0" xfId="0" applyFill="1"/>
    <xf numFmtId="21" fontId="0" fillId="0" borderId="0" xfId="0" applyNumberFormat="1"/>
    <xf numFmtId="20" fontId="0" fillId="0" borderId="0" xfId="0" applyNumberFormat="1"/>
    <xf numFmtId="2" fontId="0" fillId="0" borderId="0" xfId="0" applyNumberFormat="1"/>
    <xf numFmtId="0" fontId="7" fillId="0" borderId="0" xfId="0" applyFont="1" applyAlignment="1">
      <alignment horizontal="left"/>
    </xf>
    <xf numFmtId="165" fontId="0" fillId="0" borderId="0" xfId="0" applyNumberFormat="1"/>
    <xf numFmtId="164" fontId="0" fillId="0" borderId="0" xfId="0" applyNumberFormat="1" applyFill="1"/>
    <xf numFmtId="0" fontId="8" fillId="0" borderId="0" xfId="0" applyFont="1"/>
    <xf numFmtId="0" fontId="10" fillId="0" borderId="0" xfId="0" applyFont="1"/>
    <xf numFmtId="21" fontId="10" fillId="0" borderId="0" xfId="0" applyNumberFormat="1" applyFont="1"/>
    <xf numFmtId="0" fontId="4" fillId="5" borderId="0" xfId="0" applyFont="1" applyFill="1"/>
    <xf numFmtId="0" fontId="0" fillId="5" borderId="0" xfId="0" applyFill="1"/>
    <xf numFmtId="0" fontId="7" fillId="5" borderId="0" xfId="0" applyFont="1" applyFill="1" applyAlignment="1">
      <alignment horizontal="left"/>
    </xf>
    <xf numFmtId="0" fontId="9" fillId="5" borderId="1" xfId="0" applyFont="1" applyFill="1" applyBorder="1"/>
    <xf numFmtId="0" fontId="3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675185743813196"/>
                  <c:y val="0.325874425531326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Sheet1!$G$11:$G$15</c:f>
              <c:numCache>
                <c:formatCode>0.00</c:formatCode>
                <c:ptCount val="5"/>
                <c:pt idx="0">
                  <c:v>203.66666666666666</c:v>
                </c:pt>
                <c:pt idx="1">
                  <c:v>225.66666666666666</c:v>
                </c:pt>
                <c:pt idx="2">
                  <c:v>269.5</c:v>
                </c:pt>
                <c:pt idx="3">
                  <c:v>297.73333333333335</c:v>
                </c:pt>
                <c:pt idx="4">
                  <c:v>366.06666666666666</c:v>
                </c:pt>
              </c:numCache>
            </c:numRef>
          </c:xVal>
          <c:yVal>
            <c:numRef>
              <c:f>Sheet1!$H$11:$H$15</c:f>
              <c:numCache>
                <c:formatCode>General</c:formatCode>
                <c:ptCount val="5"/>
                <c:pt idx="0">
                  <c:v>4.8000000000000001E-2</c:v>
                </c:pt>
                <c:pt idx="1">
                  <c:v>4.7E-2</c:v>
                </c:pt>
                <c:pt idx="2">
                  <c:v>4.5999999999999999E-2</c:v>
                </c:pt>
                <c:pt idx="3">
                  <c:v>4.3999999999999997E-2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FB-B74D-BC89-2546F28FC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0.47749759405074405"/>
                  <c:y val="-0.5977274715660539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[1]leaf!$D$7:$D$14</c:f>
              <c:numCache>
                <c:formatCode>General</c:formatCode>
                <c:ptCount val="8"/>
                <c:pt idx="0">
                  <c:v>0</c:v>
                </c:pt>
                <c:pt idx="1">
                  <c:v>22</c:v>
                </c:pt>
                <c:pt idx="2">
                  <c:v>43</c:v>
                </c:pt>
                <c:pt idx="3">
                  <c:v>68</c:v>
                </c:pt>
                <c:pt idx="4">
                  <c:v>88</c:v>
                </c:pt>
                <c:pt idx="5">
                  <c:v>109</c:v>
                </c:pt>
                <c:pt idx="6">
                  <c:v>130</c:v>
                </c:pt>
                <c:pt idx="7">
                  <c:v>152</c:v>
                </c:pt>
              </c:numCache>
            </c:numRef>
          </c:xVal>
          <c:yVal>
            <c:numRef>
              <c:f>[1]leaf!$E$7:$E$14</c:f>
              <c:numCache>
                <c:formatCode>General</c:formatCode>
                <c:ptCount val="8"/>
                <c:pt idx="0">
                  <c:v>3.4550000000000001</c:v>
                </c:pt>
                <c:pt idx="1">
                  <c:v>3.4005000000000001</c:v>
                </c:pt>
                <c:pt idx="2">
                  <c:v>3.3491</c:v>
                </c:pt>
                <c:pt idx="3">
                  <c:v>3.2833000000000001</c:v>
                </c:pt>
                <c:pt idx="4">
                  <c:v>3.2351000000000001</c:v>
                </c:pt>
                <c:pt idx="5">
                  <c:v>3.1831</c:v>
                </c:pt>
                <c:pt idx="6">
                  <c:v>3.1291000000000002</c:v>
                </c:pt>
                <c:pt idx="7">
                  <c:v>3.0762999999999998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2-6E45-ABDC-24C2AE6DC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018336"/>
        <c:axId val="1"/>
      </c:scatterChart>
      <c:valAx>
        <c:axId val="114201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01833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9377465304807115"/>
          <c:y val="0.44241081015855177"/>
          <c:w val="0.18750582355466247"/>
          <c:h val="0.1659040538094569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987505776721462"/>
                  <c:y val="0.331089295185048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Sheet1!$G$21:$G$27</c:f>
              <c:numCache>
                <c:formatCode>0.00</c:formatCode>
                <c:ptCount val="7"/>
                <c:pt idx="0">
                  <c:v>75.150000000000006</c:v>
                </c:pt>
                <c:pt idx="1">
                  <c:v>125.8</c:v>
                </c:pt>
                <c:pt idx="2">
                  <c:v>177.36666666666667</c:v>
                </c:pt>
                <c:pt idx="3">
                  <c:v>203.66666666666666</c:v>
                </c:pt>
                <c:pt idx="4">
                  <c:v>225.66666666666666</c:v>
                </c:pt>
                <c:pt idx="5">
                  <c:v>269.5</c:v>
                </c:pt>
                <c:pt idx="6">
                  <c:v>297.73333333333335</c:v>
                </c:pt>
              </c:numCache>
            </c:numRef>
          </c:xVal>
          <c:yVal>
            <c:numRef>
              <c:f>Sheet1!$H$21:$H$27</c:f>
              <c:numCache>
                <c:formatCode>General</c:formatCode>
                <c:ptCount val="7"/>
                <c:pt idx="0">
                  <c:v>5.7000000000000002E-2</c:v>
                </c:pt>
                <c:pt idx="1">
                  <c:v>5.3999999999999999E-2</c:v>
                </c:pt>
                <c:pt idx="2">
                  <c:v>5.0999999999999997E-2</c:v>
                </c:pt>
                <c:pt idx="3">
                  <c:v>4.8000000000000001E-2</c:v>
                </c:pt>
                <c:pt idx="4">
                  <c:v>4.5999999999999999E-2</c:v>
                </c:pt>
                <c:pt idx="5">
                  <c:v>4.2999999999999997E-2</c:v>
                </c:pt>
                <c:pt idx="6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FF-5B4E-8A1B-86CB56A47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184514831573654"/>
                  <c:y val="0.178405216033687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Sheet1!$G$31:$G$41</c:f>
              <c:numCache>
                <c:formatCode>0.00</c:formatCode>
                <c:ptCount val="11"/>
                <c:pt idx="0">
                  <c:v>0</c:v>
                </c:pt>
                <c:pt idx="1">
                  <c:v>27.833333333333332</c:v>
                </c:pt>
                <c:pt idx="2">
                  <c:v>51.966666666666669</c:v>
                </c:pt>
                <c:pt idx="3">
                  <c:v>75.150000000000006</c:v>
                </c:pt>
                <c:pt idx="4">
                  <c:v>125.8</c:v>
                </c:pt>
                <c:pt idx="5">
                  <c:v>177.36666666666667</c:v>
                </c:pt>
                <c:pt idx="6">
                  <c:v>203.66666666666666</c:v>
                </c:pt>
                <c:pt idx="7">
                  <c:v>225.66666666666666</c:v>
                </c:pt>
                <c:pt idx="8">
                  <c:v>269.5</c:v>
                </c:pt>
                <c:pt idx="9">
                  <c:v>297.73333333333335</c:v>
                </c:pt>
                <c:pt idx="10">
                  <c:v>366.06666666666666</c:v>
                </c:pt>
              </c:numCache>
            </c:numRef>
          </c:xVal>
          <c:yVal>
            <c:numRef>
              <c:f>Sheet1!$H$31:$H$41</c:f>
              <c:numCache>
                <c:formatCode>General</c:formatCode>
                <c:ptCount val="11"/>
                <c:pt idx="0">
                  <c:v>5.5E-2</c:v>
                </c:pt>
                <c:pt idx="1">
                  <c:v>5.2999999999999999E-2</c:v>
                </c:pt>
                <c:pt idx="2">
                  <c:v>5.0999999999999997E-2</c:v>
                </c:pt>
                <c:pt idx="3">
                  <c:v>0.05</c:v>
                </c:pt>
                <c:pt idx="4">
                  <c:v>4.8000000000000001E-2</c:v>
                </c:pt>
                <c:pt idx="5">
                  <c:v>4.5999999999999999E-2</c:v>
                </c:pt>
                <c:pt idx="6">
                  <c:v>4.2999999999999997E-2</c:v>
                </c:pt>
                <c:pt idx="7">
                  <c:v>4.2000000000000003E-2</c:v>
                </c:pt>
                <c:pt idx="8">
                  <c:v>0.04</c:v>
                </c:pt>
                <c:pt idx="9">
                  <c:v>3.7999999999999999E-2</c:v>
                </c:pt>
                <c:pt idx="10">
                  <c:v>3.5999999999999997E-2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B8-AA44-BF05-BE1AF605C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Sheet1!$G$48:$G$52</c:f>
              <c:numCache>
                <c:formatCode>0.00</c:formatCode>
                <c:ptCount val="5"/>
                <c:pt idx="0">
                  <c:v>204.33333333333334</c:v>
                </c:pt>
                <c:pt idx="1">
                  <c:v>220.83333333333334</c:v>
                </c:pt>
                <c:pt idx="2">
                  <c:v>810</c:v>
                </c:pt>
                <c:pt idx="3" formatCode="General">
                  <c:v>870</c:v>
                </c:pt>
                <c:pt idx="4" formatCode="General">
                  <c:v>1014</c:v>
                </c:pt>
              </c:numCache>
            </c:numRef>
          </c:xVal>
          <c:yVal>
            <c:numRef>
              <c:f>Sheet1!$H$48:$H$52</c:f>
              <c:numCache>
                <c:formatCode>General</c:formatCode>
                <c:ptCount val="5"/>
                <c:pt idx="0">
                  <c:v>4.8000000000000001E-2</c:v>
                </c:pt>
                <c:pt idx="1">
                  <c:v>4.5999999999999999E-2</c:v>
                </c:pt>
                <c:pt idx="2">
                  <c:v>3.2000000000000001E-2</c:v>
                </c:pt>
                <c:pt idx="3">
                  <c:v>3.1E-2</c:v>
                </c:pt>
                <c:pt idx="4">
                  <c:v>2.7E-2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C-7444-82E3-07434EF9E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Sheet1!$G$60:$G$64</c:f>
              <c:numCache>
                <c:formatCode>0.00</c:formatCode>
                <c:ptCount val="5"/>
                <c:pt idx="0">
                  <c:v>203.5</c:v>
                </c:pt>
                <c:pt idx="1">
                  <c:v>219.16666666666666</c:v>
                </c:pt>
                <c:pt idx="2" formatCode="General">
                  <c:v>811</c:v>
                </c:pt>
                <c:pt idx="3" formatCode="General">
                  <c:v>870</c:v>
                </c:pt>
                <c:pt idx="4" formatCode="General">
                  <c:v>1014</c:v>
                </c:pt>
              </c:numCache>
            </c:numRef>
          </c:xVal>
          <c:yVal>
            <c:numRef>
              <c:f>Sheet1!$H$60:$H$64</c:f>
              <c:numCache>
                <c:formatCode>General</c:formatCode>
                <c:ptCount val="5"/>
                <c:pt idx="0">
                  <c:v>7.1800000000000003E-2</c:v>
                </c:pt>
                <c:pt idx="1">
                  <c:v>6.9800000000000001E-2</c:v>
                </c:pt>
                <c:pt idx="2">
                  <c:v>4.7E-2</c:v>
                </c:pt>
                <c:pt idx="3">
                  <c:v>4.2999999999999997E-2</c:v>
                </c:pt>
                <c:pt idx="4">
                  <c:v>4.1000000000000002E-2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CC-2744-99A3-A2D4F460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Sheet1!$G$70:$G$80</c:f>
              <c:numCache>
                <c:formatCode>0.00</c:formatCode>
                <c:ptCount val="11"/>
                <c:pt idx="0">
                  <c:v>29.6</c:v>
                </c:pt>
                <c:pt idx="1">
                  <c:v>79</c:v>
                </c:pt>
                <c:pt idx="2">
                  <c:v>122.83333333333333</c:v>
                </c:pt>
                <c:pt idx="3">
                  <c:v>202.5</c:v>
                </c:pt>
                <c:pt idx="4">
                  <c:v>221.5</c:v>
                </c:pt>
                <c:pt idx="5" formatCode="General">
                  <c:v>812</c:v>
                </c:pt>
                <c:pt idx="6" formatCode="General">
                  <c:v>870</c:v>
                </c:pt>
              </c:numCache>
            </c:numRef>
          </c:xVal>
          <c:yVal>
            <c:numRef>
              <c:f>Sheet1!$H$70:$H$80</c:f>
              <c:numCache>
                <c:formatCode>General</c:formatCode>
                <c:ptCount val="11"/>
                <c:pt idx="0">
                  <c:v>4.3999999999999997E-2</c:v>
                </c:pt>
                <c:pt idx="1">
                  <c:v>4.1000000000000002E-2</c:v>
                </c:pt>
                <c:pt idx="2">
                  <c:v>3.9E-2</c:v>
                </c:pt>
                <c:pt idx="3">
                  <c:v>3.6999999999999998E-2</c:v>
                </c:pt>
                <c:pt idx="4">
                  <c:v>3.5900000000000001E-2</c:v>
                </c:pt>
                <c:pt idx="5">
                  <c:v>2.3E-2</c:v>
                </c:pt>
                <c:pt idx="6">
                  <c:v>2.1000000000000001E-2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34-7F49-A25A-6CED581F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Sheet1!$G$82:$G$89</c:f>
              <c:numCache>
                <c:formatCode>0.00</c:formatCode>
                <c:ptCount val="8"/>
                <c:pt idx="0">
                  <c:v>0</c:v>
                </c:pt>
                <c:pt idx="1">
                  <c:v>30.1</c:v>
                </c:pt>
                <c:pt idx="2">
                  <c:v>84.433333333333337</c:v>
                </c:pt>
                <c:pt idx="3">
                  <c:v>114.43333333333334</c:v>
                </c:pt>
                <c:pt idx="4">
                  <c:v>136.6</c:v>
                </c:pt>
                <c:pt idx="5">
                  <c:v>160.1</c:v>
                </c:pt>
                <c:pt idx="6">
                  <c:v>190.98333333333332</c:v>
                </c:pt>
                <c:pt idx="7">
                  <c:v>218.1</c:v>
                </c:pt>
              </c:numCache>
            </c:numRef>
          </c:xVal>
          <c:yVal>
            <c:numRef>
              <c:f>Sheet1!$H$82:$H$89</c:f>
              <c:numCache>
                <c:formatCode>General</c:formatCode>
                <c:ptCount val="8"/>
                <c:pt idx="0">
                  <c:v>7.2999999999999995E-2</c:v>
                </c:pt>
                <c:pt idx="1">
                  <c:v>6.6000000000000003E-2</c:v>
                </c:pt>
                <c:pt idx="2">
                  <c:v>5.8000000000000003E-2</c:v>
                </c:pt>
                <c:pt idx="3">
                  <c:v>5.1999999999999998E-2</c:v>
                </c:pt>
                <c:pt idx="4">
                  <c:v>4.9000000000000002E-2</c:v>
                </c:pt>
                <c:pt idx="5">
                  <c:v>4.7E-2</c:v>
                </c:pt>
                <c:pt idx="6">
                  <c:v>4.2999999999999997E-2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50-854D-9E43-1C2EDBA3C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Sheet1!$G$95:$G$102</c:f>
              <c:numCache>
                <c:formatCode>0.00</c:formatCode>
                <c:ptCount val="8"/>
                <c:pt idx="0">
                  <c:v>0</c:v>
                </c:pt>
                <c:pt idx="1">
                  <c:v>30.35</c:v>
                </c:pt>
                <c:pt idx="2">
                  <c:v>84.583333333333329</c:v>
                </c:pt>
                <c:pt idx="3">
                  <c:v>114.4</c:v>
                </c:pt>
                <c:pt idx="4">
                  <c:v>136.26666666666668</c:v>
                </c:pt>
                <c:pt idx="5">
                  <c:v>161.08333333333334</c:v>
                </c:pt>
                <c:pt idx="6">
                  <c:v>191.13333333333333</c:v>
                </c:pt>
                <c:pt idx="7">
                  <c:v>219.08333333333334</c:v>
                </c:pt>
              </c:numCache>
            </c:numRef>
          </c:xVal>
          <c:yVal>
            <c:numRef>
              <c:f>Sheet1!$H$95:$H$102</c:f>
              <c:numCache>
                <c:formatCode>General</c:formatCode>
                <c:ptCount val="8"/>
                <c:pt idx="0">
                  <c:v>5.7000000000000002E-2</c:v>
                </c:pt>
                <c:pt idx="1">
                  <c:v>5.3999999999999999E-2</c:v>
                </c:pt>
                <c:pt idx="2">
                  <c:v>0.05</c:v>
                </c:pt>
                <c:pt idx="3">
                  <c:v>4.8000000000000001E-2</c:v>
                </c:pt>
                <c:pt idx="4">
                  <c:v>4.5999999999999999E-2</c:v>
                </c:pt>
                <c:pt idx="5">
                  <c:v>4.3999999999999997E-2</c:v>
                </c:pt>
                <c:pt idx="6">
                  <c:v>4.2000000000000003E-2</c:v>
                </c:pt>
                <c:pt idx="7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82-B54D-88E8-437E4963E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635613315955662"/>
                  <c:y val="-0.439977559405192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Sheet1!$G$108:$G$115</c:f>
              <c:numCache>
                <c:formatCode>0.00</c:formatCode>
                <c:ptCount val="8"/>
                <c:pt idx="0">
                  <c:v>0</c:v>
                </c:pt>
                <c:pt idx="1">
                  <c:v>29.5</c:v>
                </c:pt>
                <c:pt idx="2">
                  <c:v>83.11666666666666</c:v>
                </c:pt>
                <c:pt idx="3">
                  <c:v>113.68333333333334</c:v>
                </c:pt>
                <c:pt idx="4">
                  <c:v>136.26666666666668</c:v>
                </c:pt>
                <c:pt idx="5">
                  <c:v>160.78333333333333</c:v>
                </c:pt>
                <c:pt idx="6">
                  <c:v>190.78333333333333</c:v>
                </c:pt>
                <c:pt idx="7">
                  <c:v>220.78333333333333</c:v>
                </c:pt>
              </c:numCache>
            </c:numRef>
          </c:xVal>
          <c:yVal>
            <c:numRef>
              <c:f>Sheet1!$H$108:$H$115</c:f>
              <c:numCache>
                <c:formatCode>General</c:formatCode>
                <c:ptCount val="8"/>
                <c:pt idx="0">
                  <c:v>7.0999999999999994E-2</c:v>
                </c:pt>
                <c:pt idx="1">
                  <c:v>6.7900000000000002E-2</c:v>
                </c:pt>
                <c:pt idx="2">
                  <c:v>6.3E-2</c:v>
                </c:pt>
                <c:pt idx="3">
                  <c:v>5.8799999999999998E-2</c:v>
                </c:pt>
                <c:pt idx="4">
                  <c:v>5.7799999999999997E-2</c:v>
                </c:pt>
                <c:pt idx="5">
                  <c:v>5.3999999999999999E-2</c:v>
                </c:pt>
                <c:pt idx="6">
                  <c:v>5.0999999999999997E-2</c:v>
                </c:pt>
                <c:pt idx="7">
                  <c:v>4.8000000000000001E-2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22-6E4B-8126-715B9B093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30240"/>
        <c:axId val="1141074192"/>
      </c:scatterChart>
      <c:valAx>
        <c:axId val="1141730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4192"/>
        <c:crosses val="autoZero"/>
        <c:crossBetween val="midCat"/>
      </c:valAx>
      <c:valAx>
        <c:axId val="1141074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122116</xdr:colOff>
      <xdr:row>2</xdr:row>
      <xdr:rowOff>25400</xdr:rowOff>
    </xdr:from>
    <xdr:to>
      <xdr:col>17</xdr:col>
      <xdr:colOff>781538</xdr:colOff>
      <xdr:row>15</xdr:row>
      <xdr:rowOff>107462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E3FB2-7617-3241-A00B-CC4913355D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136770</xdr:colOff>
      <xdr:row>16</xdr:row>
      <xdr:rowOff>9769</xdr:rowOff>
    </xdr:from>
    <xdr:to>
      <xdr:col>17</xdr:col>
      <xdr:colOff>796192</xdr:colOff>
      <xdr:row>29</xdr:row>
      <xdr:rowOff>91831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3C0A4-1FA6-1144-A98A-D2ADC2F47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117231</xdr:colOff>
      <xdr:row>29</xdr:row>
      <xdr:rowOff>126999</xdr:rowOff>
    </xdr:from>
    <xdr:to>
      <xdr:col>17</xdr:col>
      <xdr:colOff>776653</xdr:colOff>
      <xdr:row>43</xdr:row>
      <xdr:rowOff>3908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E4ADB-4A63-924A-A89D-A49FBE8FBC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78154</xdr:colOff>
      <xdr:row>43</xdr:row>
      <xdr:rowOff>19538</xdr:rowOff>
    </xdr:from>
    <xdr:to>
      <xdr:col>17</xdr:col>
      <xdr:colOff>654538</xdr:colOff>
      <xdr:row>54</xdr:row>
      <xdr:rowOff>39077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4C5012-B2ED-694E-97C8-7A69A2F7E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9769</xdr:colOff>
      <xdr:row>54</xdr:row>
      <xdr:rowOff>87923</xdr:rowOff>
    </xdr:from>
    <xdr:to>
      <xdr:col>17</xdr:col>
      <xdr:colOff>586153</xdr:colOff>
      <xdr:row>65</xdr:row>
      <xdr:rowOff>107463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3C19908-51FB-FF4C-8D13-C20871EA8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66</xdr:row>
      <xdr:rowOff>58616</xdr:rowOff>
    </xdr:from>
    <xdr:to>
      <xdr:col>17</xdr:col>
      <xdr:colOff>576384</xdr:colOff>
      <xdr:row>77</xdr:row>
      <xdr:rowOff>78156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58900D4-B7F6-A943-A31F-F4FB37F94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17</xdr:col>
      <xdr:colOff>576384</xdr:colOff>
      <xdr:row>89</xdr:row>
      <xdr:rowOff>19540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E8487B-FFCB-214C-9893-C587C4226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91</xdr:row>
      <xdr:rowOff>0</xdr:rowOff>
    </xdr:from>
    <xdr:to>
      <xdr:col>17</xdr:col>
      <xdr:colOff>576384</xdr:colOff>
      <xdr:row>102</xdr:row>
      <xdr:rowOff>19540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3FC229-38DE-F147-BD8F-BF3986BC9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104</xdr:row>
      <xdr:rowOff>0</xdr:rowOff>
    </xdr:from>
    <xdr:to>
      <xdr:col>17</xdr:col>
      <xdr:colOff>576384</xdr:colOff>
      <xdr:row>115</xdr:row>
      <xdr:rowOff>19540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CDA6BF2-8583-184D-BE9B-FD6154CE11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20</xdr:row>
      <xdr:rowOff>50800</xdr:rowOff>
    </xdr:from>
    <xdr:to>
      <xdr:col>12</xdr:col>
      <xdr:colOff>406400</xdr:colOff>
      <xdr:row>34</xdr:row>
      <xdr:rowOff>139700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1BFCCC9B-0F00-6F4C-9A04-1DF9ACD20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ian/Documents/Pesquisa-USP/2_Hidraulica%20de%20plantas/Codutancia%20foliar%20minima/74-gmin_spreadsheet_tool_LSack2010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f"/>
    </sheetNames>
    <sheetDataSet>
      <sheetData sheetId="0">
        <row r="7">
          <cell r="D7">
            <v>0</v>
          </cell>
          <cell r="E7">
            <v>3.4550000000000001</v>
          </cell>
        </row>
        <row r="8">
          <cell r="D8">
            <v>22</v>
          </cell>
          <cell r="E8">
            <v>3.4005000000000001</v>
          </cell>
        </row>
        <row r="9">
          <cell r="D9">
            <v>43</v>
          </cell>
          <cell r="E9">
            <v>3.3491</v>
          </cell>
        </row>
        <row r="10">
          <cell r="D10">
            <v>68</v>
          </cell>
          <cell r="E10">
            <v>3.2833000000000001</v>
          </cell>
        </row>
        <row r="11">
          <cell r="D11">
            <v>88</v>
          </cell>
          <cell r="E11">
            <v>3.2351000000000001</v>
          </cell>
        </row>
        <row r="12">
          <cell r="D12">
            <v>109</v>
          </cell>
          <cell r="E12">
            <v>3.1831</v>
          </cell>
        </row>
        <row r="13">
          <cell r="D13">
            <v>130</v>
          </cell>
          <cell r="E13">
            <v>3.1291000000000002</v>
          </cell>
        </row>
        <row r="14">
          <cell r="D14">
            <v>152</v>
          </cell>
          <cell r="E14">
            <v>3.0762999999999998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34BA2-F216-7043-8FA9-DCE9B042D1A3}">
  <dimension ref="A1:X121"/>
  <sheetViews>
    <sheetView zoomScale="130" zoomScaleNormal="130" workbookViewId="0">
      <selection activeCell="W10" sqref="W10"/>
    </sheetView>
  </sheetViews>
  <sheetFormatPr baseColWidth="10" defaultRowHeight="16"/>
  <cols>
    <col min="7" max="7" width="11.5" customWidth="1"/>
    <col min="22" max="22" width="10.83203125" style="20"/>
  </cols>
  <sheetData>
    <row r="1" spans="1:24">
      <c r="A1" t="s">
        <v>0</v>
      </c>
      <c r="U1" s="5" t="s">
        <v>21</v>
      </c>
      <c r="V1" s="19"/>
      <c r="W1" s="4">
        <v>101.8</v>
      </c>
      <c r="X1" t="s">
        <v>56</v>
      </c>
    </row>
    <row r="2" spans="1:24">
      <c r="A2" s="16" t="s">
        <v>46</v>
      </c>
    </row>
    <row r="3" spans="1:24" s="13" customFormat="1">
      <c r="A3" s="13" t="s">
        <v>29</v>
      </c>
      <c r="B3" s="13" t="s">
        <v>34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44</v>
      </c>
      <c r="H3" s="13" t="s">
        <v>45</v>
      </c>
      <c r="I3" s="13" t="s">
        <v>42</v>
      </c>
      <c r="J3" s="13" t="s">
        <v>43</v>
      </c>
      <c r="K3" s="13" t="s">
        <v>48</v>
      </c>
      <c r="L3" s="13" t="s">
        <v>49</v>
      </c>
      <c r="M3" s="13" t="s">
        <v>35</v>
      </c>
      <c r="N3" s="13" t="s">
        <v>36</v>
      </c>
      <c r="S3" s="1" t="s">
        <v>11</v>
      </c>
      <c r="T3" s="1" t="s">
        <v>12</v>
      </c>
      <c r="U3" s="1" t="s">
        <v>13</v>
      </c>
      <c r="V3" s="21" t="s">
        <v>47</v>
      </c>
    </row>
    <row r="4" spans="1:24">
      <c r="A4" t="s">
        <v>37</v>
      </c>
      <c r="B4" t="s">
        <v>38</v>
      </c>
      <c r="C4">
        <v>1</v>
      </c>
      <c r="D4">
        <v>1</v>
      </c>
      <c r="E4" t="s">
        <v>39</v>
      </c>
      <c r="F4" s="10">
        <v>0.44780092592592591</v>
      </c>
      <c r="K4" s="15">
        <v>3.8330000000000002</v>
      </c>
      <c r="L4" s="15"/>
      <c r="M4">
        <v>1.2999999999999999E-2</v>
      </c>
      <c r="N4">
        <v>0.115</v>
      </c>
    </row>
    <row r="5" spans="1:24">
      <c r="A5" t="s">
        <v>37</v>
      </c>
      <c r="B5" t="s">
        <v>38</v>
      </c>
      <c r="C5">
        <v>1</v>
      </c>
      <c r="D5">
        <v>2</v>
      </c>
      <c r="E5" t="s">
        <v>39</v>
      </c>
      <c r="F5" s="10">
        <v>0.48946759259259259</v>
      </c>
      <c r="G5" s="12">
        <f>((HOUR(F5)-HOUR($F$5))*60*60 + (MINUTE(F5)-MINUTE($F$5))*60 + (SECOND(F5)-SECOND($F$5)))/60</f>
        <v>0</v>
      </c>
      <c r="H5">
        <v>6.2E-2</v>
      </c>
      <c r="I5">
        <v>26.7</v>
      </c>
      <c r="J5">
        <v>75</v>
      </c>
      <c r="S5">
        <f>EXP(52.57633-6790.49851/(I5+273.15)-5.028081*LN(I5+273.15))</f>
        <v>3.5023920847666026</v>
      </c>
      <c r="T5" s="14">
        <f>(1-(J5/100))*(S5/W$1)</f>
        <v>8.6011593437293771E-3</v>
      </c>
      <c r="V5" s="22">
        <f>AVERAGE(U10:U14)</f>
        <v>5.5185118347316209</v>
      </c>
      <c r="W5" s="17"/>
    </row>
    <row r="6" spans="1:24">
      <c r="A6" t="s">
        <v>37</v>
      </c>
      <c r="B6" t="s">
        <v>38</v>
      </c>
      <c r="C6">
        <v>1</v>
      </c>
      <c r="D6">
        <v>3</v>
      </c>
      <c r="E6" t="s">
        <v>39</v>
      </c>
      <c r="F6" s="10">
        <v>0.5087962962962963</v>
      </c>
      <c r="G6" s="12">
        <f t="shared" ref="G6:G15" si="0">((HOUR(F6)-HOUR($F$5))*60*60 + (MINUTE(F6)-MINUTE($F$5))*60 + (SECOND(F6)-SECOND($F$5)))/60</f>
        <v>27.833333333333332</v>
      </c>
      <c r="H6">
        <v>6.0999999999999999E-2</v>
      </c>
      <c r="I6">
        <v>27.1</v>
      </c>
      <c r="J6">
        <v>74</v>
      </c>
      <c r="S6">
        <f t="shared" ref="S6:S14" si="1">EXP(52.57633-6790.49851/(I6+273.15)-5.028081*LN(I6+273.15))</f>
        <v>3.585554539344479</v>
      </c>
      <c r="T6" s="14">
        <f>(1-(J6/100))*(S6/W$1)</f>
        <v>9.1576049138464097E-3</v>
      </c>
      <c r="U6">
        <f>-((H7-H6)/18*1000)/((G7-G6)*60)/T6/(K$4*2/10000)</f>
        <v>16.395681379225476</v>
      </c>
      <c r="V6" s="23">
        <f>-SLOPE(H10:H15,G10:G15)/60/AVERAGE(T9:T14)*1000/18/(K4*2/10000)</f>
        <v>4.9448639306154041</v>
      </c>
      <c r="W6" s="17" t="s">
        <v>24</v>
      </c>
    </row>
    <row r="7" spans="1:24">
      <c r="A7" t="s">
        <v>37</v>
      </c>
      <c r="B7" t="s">
        <v>38</v>
      </c>
      <c r="C7">
        <v>1</v>
      </c>
      <c r="D7">
        <v>4</v>
      </c>
      <c r="E7" t="s">
        <v>39</v>
      </c>
      <c r="F7" s="10">
        <v>0.52555555555555555</v>
      </c>
      <c r="G7" s="12">
        <f t="shared" si="0"/>
        <v>51.966666666666669</v>
      </c>
      <c r="H7">
        <v>5.8000000000000003E-2</v>
      </c>
      <c r="I7">
        <v>27.2</v>
      </c>
      <c r="J7">
        <v>73</v>
      </c>
      <c r="S7">
        <f t="shared" si="1"/>
        <v>3.6066116259554404</v>
      </c>
      <c r="T7" s="14">
        <f t="shared" ref="T7:T14" si="2">(1-(J7/100))*(S7/W$1)</f>
        <v>9.565669341925041E-3</v>
      </c>
      <c r="U7">
        <f t="shared" ref="U7:U14" si="3">-((H8-H7)/18*1000)/((G8-G7)*60)/T7/(K$4*2/10000)</f>
        <v>16.339450245479956</v>
      </c>
    </row>
    <row r="8" spans="1:24">
      <c r="A8" t="s">
        <v>37</v>
      </c>
      <c r="B8" t="s">
        <v>38</v>
      </c>
      <c r="C8">
        <v>1</v>
      </c>
      <c r="D8">
        <v>5</v>
      </c>
      <c r="E8" t="s">
        <v>39</v>
      </c>
      <c r="F8" s="10">
        <v>0.54165509259259259</v>
      </c>
      <c r="G8" s="12">
        <f t="shared" si="0"/>
        <v>75.150000000000006</v>
      </c>
      <c r="H8">
        <v>5.5E-2</v>
      </c>
      <c r="I8">
        <v>27.3</v>
      </c>
      <c r="J8">
        <v>72</v>
      </c>
      <c r="S8">
        <f t="shared" si="1"/>
        <v>3.6277762136957219</v>
      </c>
      <c r="T8" s="14">
        <f t="shared" si="2"/>
        <v>9.9781664030923617E-3</v>
      </c>
      <c r="U8">
        <f t="shared" si="3"/>
        <v>4.7797725775281874</v>
      </c>
    </row>
    <row r="9" spans="1:24">
      <c r="A9" t="s">
        <v>37</v>
      </c>
      <c r="B9" t="s">
        <v>38</v>
      </c>
      <c r="C9">
        <v>1</v>
      </c>
      <c r="D9">
        <v>6</v>
      </c>
      <c r="E9" t="s">
        <v>39</v>
      </c>
      <c r="F9" s="10">
        <v>0.57682870370370376</v>
      </c>
      <c r="G9" s="12">
        <f t="shared" si="0"/>
        <v>125.8</v>
      </c>
      <c r="H9">
        <v>5.2999999999999999E-2</v>
      </c>
      <c r="I9">
        <v>27.2</v>
      </c>
      <c r="J9">
        <v>74</v>
      </c>
      <c r="S9">
        <f t="shared" si="1"/>
        <v>3.6066116259554404</v>
      </c>
      <c r="T9" s="14">
        <f t="shared" si="2"/>
        <v>9.211385292224112E-3</v>
      </c>
      <c r="U9">
        <f t="shared" si="3"/>
        <v>10.171228562635536</v>
      </c>
    </row>
    <row r="10" spans="1:24">
      <c r="A10" t="s">
        <v>37</v>
      </c>
      <c r="B10" t="s">
        <v>38</v>
      </c>
      <c r="C10">
        <v>1</v>
      </c>
      <c r="D10">
        <v>7</v>
      </c>
      <c r="E10" t="s">
        <v>39</v>
      </c>
      <c r="F10" s="10">
        <v>0.61263888888888884</v>
      </c>
      <c r="G10" s="12">
        <f t="shared" si="0"/>
        <v>177.36666666666667</v>
      </c>
      <c r="H10">
        <v>4.9000000000000002E-2</v>
      </c>
      <c r="I10">
        <v>26.4</v>
      </c>
      <c r="J10">
        <v>70</v>
      </c>
      <c r="S10">
        <f t="shared" si="1"/>
        <v>3.4411267579592058</v>
      </c>
      <c r="T10" s="14">
        <f t="shared" si="2"/>
        <v>1.0140845062748151E-2</v>
      </c>
      <c r="U10">
        <f t="shared" si="3"/>
        <v>4.5287415188313123</v>
      </c>
    </row>
    <row r="11" spans="1:24">
      <c r="A11" t="s">
        <v>37</v>
      </c>
      <c r="B11" t="s">
        <v>38</v>
      </c>
      <c r="C11">
        <v>1</v>
      </c>
      <c r="D11">
        <v>8</v>
      </c>
      <c r="E11" t="s">
        <v>39</v>
      </c>
      <c r="F11" s="10">
        <v>0.63090277777777781</v>
      </c>
      <c r="G11" s="12">
        <f t="shared" si="0"/>
        <v>203.66666666666666</v>
      </c>
      <c r="H11">
        <v>4.8000000000000001E-2</v>
      </c>
      <c r="I11">
        <v>26.2</v>
      </c>
      <c r="J11">
        <v>72</v>
      </c>
      <c r="S11">
        <f t="shared" si="1"/>
        <v>3.4008033856961548</v>
      </c>
      <c r="T11" s="14">
        <f t="shared" si="2"/>
        <v>9.3538796463155556E-3</v>
      </c>
      <c r="U11">
        <f t="shared" si="3"/>
        <v>5.8693900448304648</v>
      </c>
    </row>
    <row r="12" spans="1:24">
      <c r="A12" t="s">
        <v>37</v>
      </c>
      <c r="B12" t="s">
        <v>38</v>
      </c>
      <c r="C12">
        <v>1</v>
      </c>
      <c r="D12">
        <v>9</v>
      </c>
      <c r="E12" t="s">
        <v>39</v>
      </c>
      <c r="F12" s="11">
        <v>0.64618055555555554</v>
      </c>
      <c r="G12" s="12">
        <f t="shared" si="0"/>
        <v>225.66666666666666</v>
      </c>
      <c r="H12">
        <v>4.7E-2</v>
      </c>
      <c r="I12">
        <v>25.9</v>
      </c>
      <c r="J12">
        <v>70</v>
      </c>
      <c r="S12">
        <f t="shared" si="1"/>
        <v>3.341089708412079</v>
      </c>
      <c r="T12" s="14">
        <f t="shared" si="2"/>
        <v>9.846040398070962E-3</v>
      </c>
      <c r="U12">
        <f t="shared" si="3"/>
        <v>2.7986031469483348</v>
      </c>
    </row>
    <row r="13" spans="1:24">
      <c r="A13" t="s">
        <v>37</v>
      </c>
      <c r="B13" t="s">
        <v>38</v>
      </c>
      <c r="C13">
        <v>1</v>
      </c>
      <c r="D13">
        <v>10</v>
      </c>
      <c r="E13" t="s">
        <v>39</v>
      </c>
      <c r="F13" s="10">
        <v>0.67662037037037026</v>
      </c>
      <c r="G13" s="12">
        <f t="shared" si="0"/>
        <v>269.5</v>
      </c>
      <c r="H13">
        <v>4.5999999999999999E-2</v>
      </c>
      <c r="I13">
        <v>25.8</v>
      </c>
      <c r="J13">
        <v>73</v>
      </c>
      <c r="S13">
        <f t="shared" si="1"/>
        <v>3.3213890868256262</v>
      </c>
      <c r="T13" s="14">
        <f t="shared" si="2"/>
        <v>8.8091852008145306E-3</v>
      </c>
      <c r="U13">
        <f t="shared" si="3"/>
        <v>9.7126900347505813</v>
      </c>
    </row>
    <row r="14" spans="1:24">
      <c r="A14" t="s">
        <v>37</v>
      </c>
      <c r="B14" t="s">
        <v>38</v>
      </c>
      <c r="C14">
        <v>1</v>
      </c>
      <c r="D14">
        <v>11</v>
      </c>
      <c r="E14" t="s">
        <v>39</v>
      </c>
      <c r="F14" s="10">
        <v>0.69622685185185185</v>
      </c>
      <c r="G14" s="12">
        <f t="shared" si="0"/>
        <v>297.73333333333335</v>
      </c>
      <c r="H14">
        <v>4.3999999999999997E-2</v>
      </c>
      <c r="I14">
        <v>25.9</v>
      </c>
      <c r="J14">
        <v>77</v>
      </c>
      <c r="S14">
        <f t="shared" si="1"/>
        <v>3.341089708412079</v>
      </c>
      <c r="T14" s="14">
        <f t="shared" si="2"/>
        <v>7.5486309718544023E-3</v>
      </c>
      <c r="U14">
        <f t="shared" si="3"/>
        <v>4.6831344282974108</v>
      </c>
    </row>
    <row r="15" spans="1:24">
      <c r="A15" t="s">
        <v>37</v>
      </c>
      <c r="B15" t="s">
        <v>38</v>
      </c>
      <c r="C15">
        <v>1</v>
      </c>
      <c r="D15">
        <v>12</v>
      </c>
      <c r="E15" t="s">
        <v>39</v>
      </c>
      <c r="F15" s="10">
        <v>0.74368055555555557</v>
      </c>
      <c r="G15" s="12">
        <f t="shared" si="0"/>
        <v>366.06666666666666</v>
      </c>
      <c r="H15">
        <v>4.2000000000000003E-2</v>
      </c>
      <c r="I15">
        <v>24.4</v>
      </c>
      <c r="J15">
        <v>66</v>
      </c>
      <c r="T15" s="14"/>
    </row>
    <row r="17" spans="1:22">
      <c r="A17" t="s">
        <v>37</v>
      </c>
      <c r="B17" t="s">
        <v>40</v>
      </c>
      <c r="C17">
        <v>1</v>
      </c>
      <c r="D17">
        <v>1</v>
      </c>
      <c r="E17" t="s">
        <v>39</v>
      </c>
      <c r="F17" s="10">
        <v>0.44780092592592591</v>
      </c>
      <c r="K17" s="15">
        <v>4.0999999999999996</v>
      </c>
      <c r="L17" s="15"/>
      <c r="M17">
        <v>1.4999999999999999E-2</v>
      </c>
      <c r="N17">
        <v>0.122</v>
      </c>
    </row>
    <row r="18" spans="1:22">
      <c r="A18" t="s">
        <v>37</v>
      </c>
      <c r="B18" t="s">
        <v>40</v>
      </c>
      <c r="C18">
        <v>1</v>
      </c>
      <c r="D18">
        <v>2</v>
      </c>
      <c r="E18" t="s">
        <v>39</v>
      </c>
      <c r="F18" s="10">
        <v>0.48946759259259259</v>
      </c>
      <c r="G18" s="12">
        <f>((HOUR(F18)-HOUR($F$18))*60*60 + (MINUTE(F18)-MINUTE($F$18))*60 + (SECOND(F18)-SECOND($F$18)))/60</f>
        <v>0</v>
      </c>
      <c r="H18">
        <v>6.3E-2</v>
      </c>
      <c r="I18">
        <v>26.7</v>
      </c>
      <c r="J18">
        <v>75</v>
      </c>
      <c r="S18">
        <f>EXP(52.57633-6790.49851/(I18+273.15)-5.028081*LN(I18+273.15))</f>
        <v>3.5023920847666026</v>
      </c>
      <c r="T18" s="14">
        <f>(1-(J18/100))*(S18/W$1)</f>
        <v>8.6011593437293771E-3</v>
      </c>
      <c r="V18" s="22">
        <f>AVERAGE(U25:U27,U21:U22,U19)</f>
        <v>5.951838196035812</v>
      </c>
    </row>
    <row r="19" spans="1:22">
      <c r="A19" t="s">
        <v>37</v>
      </c>
      <c r="B19" t="s">
        <v>40</v>
      </c>
      <c r="C19">
        <v>1</v>
      </c>
      <c r="D19">
        <v>3</v>
      </c>
      <c r="E19" t="s">
        <v>39</v>
      </c>
      <c r="F19" s="10">
        <v>0.5087962962962963</v>
      </c>
      <c r="G19" s="12">
        <f>((HOUR(F19)-HOUR($F$18))*60*60 + (MINUTE(F19)-MINUTE($F$18))*60 + (SECOND(F19)-SECOND($F$18)))/60</f>
        <v>27.833333333333332</v>
      </c>
      <c r="H19">
        <v>6.0999999999999999E-2</v>
      </c>
      <c r="I19">
        <v>27.1</v>
      </c>
      <c r="J19">
        <v>74</v>
      </c>
      <c r="S19">
        <f t="shared" ref="S19:S27" si="4">EXP(52.57633-6790.49851/(I19+273.15)-5.028081*LN(I19+273.15))</f>
        <v>3.585554539344479</v>
      </c>
      <c r="T19" s="14">
        <f t="shared" ref="T19:T27" si="5">(1-(J19/100))*(S19/W$1)</f>
        <v>9.1576049138464097E-3</v>
      </c>
      <c r="U19">
        <f>-((H20-H19)/18*1000)/((G20-G19)*60)/T19/(K$17*2/10000)</f>
        <v>5.1093208720789764</v>
      </c>
      <c r="V19" s="23">
        <f>-SLOPE(H21:H28,G21:G28)/60/AVERAGE(T21:T27)*1000/18/(K17*2/10000)</f>
        <v>7.6883061687508043</v>
      </c>
    </row>
    <row r="20" spans="1:22">
      <c r="A20" t="s">
        <v>37</v>
      </c>
      <c r="B20" t="s">
        <v>40</v>
      </c>
      <c r="C20">
        <v>1</v>
      </c>
      <c r="D20">
        <v>4</v>
      </c>
      <c r="E20" t="s">
        <v>39</v>
      </c>
      <c r="F20" s="10">
        <v>0.52555555555555555</v>
      </c>
      <c r="G20" s="12">
        <f t="shared" ref="G20:G28" si="6">((HOUR(F20)-HOUR($F$18))*60*60 + (MINUTE(F20)-MINUTE($F$18))*60 + (SECOND(F20)-SECOND($F$18)))/60</f>
        <v>51.966666666666669</v>
      </c>
      <c r="H20">
        <v>0.06</v>
      </c>
      <c r="I20">
        <v>27.2</v>
      </c>
      <c r="J20">
        <v>73</v>
      </c>
      <c r="S20">
        <f t="shared" si="4"/>
        <v>3.6066116259554404</v>
      </c>
      <c r="T20" s="14">
        <f t="shared" si="5"/>
        <v>9.565669341925041E-3</v>
      </c>
      <c r="U20">
        <f t="shared" ref="U20:U27" si="7">-((H21-H20)/18*1000)/((G21-G20)*60)/T20/(K$17*2/10000)</f>
        <v>15.275393363640124</v>
      </c>
    </row>
    <row r="21" spans="1:22">
      <c r="A21" t="s">
        <v>37</v>
      </c>
      <c r="B21" t="s">
        <v>40</v>
      </c>
      <c r="C21">
        <v>1</v>
      </c>
      <c r="D21">
        <v>5</v>
      </c>
      <c r="E21" t="s">
        <v>39</v>
      </c>
      <c r="F21" s="10">
        <v>0.54165509259259259</v>
      </c>
      <c r="G21" s="12">
        <f t="shared" si="6"/>
        <v>75.150000000000006</v>
      </c>
      <c r="H21">
        <v>5.7000000000000002E-2</v>
      </c>
      <c r="I21">
        <v>27.3</v>
      </c>
      <c r="J21">
        <v>72</v>
      </c>
      <c r="S21">
        <f t="shared" si="4"/>
        <v>3.6277762136957219</v>
      </c>
      <c r="T21" s="14">
        <f t="shared" si="5"/>
        <v>9.9781664030923617E-3</v>
      </c>
      <c r="U21">
        <f t="shared" si="7"/>
        <v>6.7027566913410519</v>
      </c>
    </row>
    <row r="22" spans="1:22">
      <c r="A22" t="s">
        <v>37</v>
      </c>
      <c r="B22" t="s">
        <v>40</v>
      </c>
      <c r="C22">
        <v>1</v>
      </c>
      <c r="D22">
        <v>6</v>
      </c>
      <c r="E22" t="s">
        <v>39</v>
      </c>
      <c r="F22" s="10">
        <v>0.57682870370370376</v>
      </c>
      <c r="G22" s="12">
        <f t="shared" si="6"/>
        <v>125.8</v>
      </c>
      <c r="H22">
        <v>5.3999999999999999E-2</v>
      </c>
      <c r="I22">
        <v>27.2</v>
      </c>
      <c r="J22">
        <v>74</v>
      </c>
      <c r="S22">
        <f t="shared" si="4"/>
        <v>3.6066116259554404</v>
      </c>
      <c r="T22" s="14">
        <f t="shared" si="5"/>
        <v>9.211385292224112E-3</v>
      </c>
      <c r="U22">
        <f t="shared" si="7"/>
        <v>7.1316437342528189</v>
      </c>
    </row>
    <row r="23" spans="1:22">
      <c r="A23" t="s">
        <v>37</v>
      </c>
      <c r="B23" t="s">
        <v>40</v>
      </c>
      <c r="C23">
        <v>1</v>
      </c>
      <c r="D23">
        <v>7</v>
      </c>
      <c r="E23" t="s">
        <v>39</v>
      </c>
      <c r="F23" s="10">
        <v>0.61263888888888884</v>
      </c>
      <c r="G23" s="12">
        <f t="shared" si="6"/>
        <v>177.36666666666667</v>
      </c>
      <c r="H23">
        <v>5.0999999999999997E-2</v>
      </c>
      <c r="I23">
        <v>26.4</v>
      </c>
      <c r="J23">
        <v>70</v>
      </c>
      <c r="S23">
        <f t="shared" si="4"/>
        <v>3.4411267579592058</v>
      </c>
      <c r="T23" s="14">
        <f t="shared" si="5"/>
        <v>1.0140845062748151E-2</v>
      </c>
      <c r="U23">
        <f t="shared" si="7"/>
        <v>12.701463103668569</v>
      </c>
    </row>
    <row r="24" spans="1:22">
      <c r="A24" t="s">
        <v>37</v>
      </c>
      <c r="B24" t="s">
        <v>40</v>
      </c>
      <c r="C24">
        <v>1</v>
      </c>
      <c r="D24">
        <v>8</v>
      </c>
      <c r="E24" t="s">
        <v>39</v>
      </c>
      <c r="F24" s="10">
        <v>0.63090277777777781</v>
      </c>
      <c r="G24" s="12">
        <f t="shared" si="6"/>
        <v>203.66666666666666</v>
      </c>
      <c r="H24">
        <v>4.8000000000000001E-2</v>
      </c>
      <c r="I24">
        <v>26.2</v>
      </c>
      <c r="J24">
        <v>72</v>
      </c>
      <c r="S24">
        <f t="shared" si="4"/>
        <v>3.4008033856961548</v>
      </c>
      <c r="T24" s="14">
        <f t="shared" si="5"/>
        <v>9.3538796463155556E-3</v>
      </c>
      <c r="U24">
        <f t="shared" si="7"/>
        <v>10.974327825285449</v>
      </c>
    </row>
    <row r="25" spans="1:22">
      <c r="A25" t="s">
        <v>37</v>
      </c>
      <c r="B25" t="s">
        <v>40</v>
      </c>
      <c r="C25">
        <v>1</v>
      </c>
      <c r="D25">
        <v>9</v>
      </c>
      <c r="E25" t="s">
        <v>39</v>
      </c>
      <c r="F25" s="11">
        <v>0.64618055555555554</v>
      </c>
      <c r="G25" s="12">
        <f t="shared" si="6"/>
        <v>225.66666666666666</v>
      </c>
      <c r="H25">
        <v>4.5999999999999999E-2</v>
      </c>
      <c r="I25">
        <v>25.9</v>
      </c>
      <c r="J25">
        <v>70</v>
      </c>
      <c r="S25">
        <f t="shared" si="4"/>
        <v>3.341089708412079</v>
      </c>
      <c r="T25" s="14">
        <f t="shared" si="5"/>
        <v>9.846040398070962E-3</v>
      </c>
      <c r="U25">
        <f t="shared" si="7"/>
        <v>7.8490579479899756</v>
      </c>
    </row>
    <row r="26" spans="1:22">
      <c r="A26" t="s">
        <v>37</v>
      </c>
      <c r="B26" t="s">
        <v>40</v>
      </c>
      <c r="C26">
        <v>1</v>
      </c>
      <c r="D26">
        <v>10</v>
      </c>
      <c r="E26" t="s">
        <v>39</v>
      </c>
      <c r="F26" s="10">
        <v>0.67662037037037026</v>
      </c>
      <c r="G26" s="12">
        <f t="shared" si="6"/>
        <v>269.5</v>
      </c>
      <c r="H26">
        <v>4.2999999999999997E-2</v>
      </c>
      <c r="I26">
        <v>25.8</v>
      </c>
      <c r="J26">
        <v>73</v>
      </c>
      <c r="S26">
        <f t="shared" si="4"/>
        <v>3.3213890868256262</v>
      </c>
      <c r="T26" s="14">
        <f t="shared" si="5"/>
        <v>8.8091852008145306E-3</v>
      </c>
      <c r="U26">
        <f t="shared" si="7"/>
        <v>4.5400903540486235</v>
      </c>
    </row>
    <row r="27" spans="1:22">
      <c r="A27" t="s">
        <v>37</v>
      </c>
      <c r="B27" t="s">
        <v>40</v>
      </c>
      <c r="C27">
        <v>1</v>
      </c>
      <c r="D27">
        <v>11</v>
      </c>
      <c r="E27" t="s">
        <v>39</v>
      </c>
      <c r="F27" s="10">
        <v>0.69622685185185185</v>
      </c>
      <c r="G27" s="12">
        <f t="shared" si="6"/>
        <v>297.73333333333335</v>
      </c>
      <c r="H27">
        <v>4.2000000000000003E-2</v>
      </c>
      <c r="I27">
        <v>25.9</v>
      </c>
      <c r="J27">
        <v>77</v>
      </c>
      <c r="S27">
        <f t="shared" si="4"/>
        <v>3.341089708412079</v>
      </c>
      <c r="T27" s="14">
        <f t="shared" si="5"/>
        <v>7.5486309718544023E-3</v>
      </c>
      <c r="U27">
        <f t="shared" si="7"/>
        <v>4.3781595765034247</v>
      </c>
    </row>
    <row r="28" spans="1:22">
      <c r="A28" t="s">
        <v>37</v>
      </c>
      <c r="B28" t="s">
        <v>40</v>
      </c>
      <c r="C28">
        <v>1</v>
      </c>
      <c r="D28">
        <v>12</v>
      </c>
      <c r="E28" t="s">
        <v>39</v>
      </c>
      <c r="F28" s="10">
        <v>0.74368055555555557</v>
      </c>
      <c r="G28" s="12">
        <f t="shared" si="6"/>
        <v>366.06666666666666</v>
      </c>
      <c r="H28">
        <v>0.04</v>
      </c>
      <c r="I28">
        <v>24.4</v>
      </c>
      <c r="J28">
        <v>66</v>
      </c>
    </row>
    <row r="30" spans="1:22">
      <c r="A30" t="s">
        <v>37</v>
      </c>
      <c r="B30" t="s">
        <v>41</v>
      </c>
      <c r="C30">
        <v>1</v>
      </c>
      <c r="D30">
        <v>1</v>
      </c>
      <c r="E30" t="s">
        <v>39</v>
      </c>
      <c r="F30" s="10">
        <v>0.44780092592592591</v>
      </c>
      <c r="K30" s="15">
        <v>3.6749999999999998</v>
      </c>
      <c r="L30" s="15"/>
      <c r="M30">
        <v>1.2999999999999999E-2</v>
      </c>
      <c r="N30">
        <v>0.10199999999999999</v>
      </c>
    </row>
    <row r="31" spans="1:22">
      <c r="A31" t="s">
        <v>37</v>
      </c>
      <c r="B31" t="s">
        <v>41</v>
      </c>
      <c r="C31">
        <v>1</v>
      </c>
      <c r="D31">
        <v>2</v>
      </c>
      <c r="E31" t="s">
        <v>39</v>
      </c>
      <c r="F31" s="10">
        <v>0.48946759259259259</v>
      </c>
      <c r="G31" s="12">
        <f>((HOUR(F31)-HOUR($F$31))*60*60 + (MINUTE(F31)-MINUTE($F$31))*60 + (SECOND(F31)-SECOND($F$31)))/60</f>
        <v>0</v>
      </c>
      <c r="H31">
        <v>5.5E-2</v>
      </c>
      <c r="I31">
        <v>26.7</v>
      </c>
      <c r="J31">
        <v>75</v>
      </c>
      <c r="S31">
        <f>EXP(52.57633-6790.49851/(I31+273.15)-5.028081*LN(I31+273.15))</f>
        <v>3.5023920847666026</v>
      </c>
      <c r="T31" s="14">
        <f>(1-(J31/100))*(S31/W$1)</f>
        <v>8.6011593437293771E-3</v>
      </c>
      <c r="V31" s="22">
        <f>AVERAGE(U40,U37:U38,U33:U35)</f>
        <v>5.4690393102163108</v>
      </c>
    </row>
    <row r="32" spans="1:22">
      <c r="A32" t="s">
        <v>37</v>
      </c>
      <c r="B32" t="s">
        <v>41</v>
      </c>
      <c r="C32">
        <v>1</v>
      </c>
      <c r="D32">
        <v>3</v>
      </c>
      <c r="E32" t="s">
        <v>39</v>
      </c>
      <c r="F32" s="10">
        <v>0.5087962962962963</v>
      </c>
      <c r="G32" s="12">
        <f t="shared" ref="G32:G41" si="8">((HOUR(F32)-HOUR($F$31))*60*60 + (MINUTE(F32)-MINUTE($F$31))*60 + (SECOND(F32)-SECOND($F$31)))/60</f>
        <v>27.833333333333332</v>
      </c>
      <c r="H32">
        <v>5.2999999999999999E-2</v>
      </c>
      <c r="I32">
        <v>27.1</v>
      </c>
      <c r="J32">
        <v>74</v>
      </c>
      <c r="S32">
        <f t="shared" ref="S32:S40" si="9">EXP(52.57633-6790.49851/(I32+273.15)-5.028081*LN(I32+273.15))</f>
        <v>3.585554539344479</v>
      </c>
      <c r="T32" s="14">
        <f>(1-(J32/100))*(S32/W$1)</f>
        <v>9.1576049138464097E-3</v>
      </c>
      <c r="U32">
        <f>-((H33-H32)/18*1000)/((G33-G32)*60)/T32/(K$30*2/10000)</f>
        <v>11.400389428856492</v>
      </c>
      <c r="V32" s="23">
        <f>-SLOPE(H31:H41,G31:G41)/60/AVERAGE(T31:T40)*1000/18/(K30*2/10000)</f>
        <v>7.1833696372746632</v>
      </c>
    </row>
    <row r="33" spans="1:22">
      <c r="A33" t="s">
        <v>37</v>
      </c>
      <c r="B33" t="s">
        <v>41</v>
      </c>
      <c r="C33">
        <v>1</v>
      </c>
      <c r="D33">
        <v>4</v>
      </c>
      <c r="E33" t="s">
        <v>39</v>
      </c>
      <c r="F33" s="10">
        <v>0.52555555555555555</v>
      </c>
      <c r="G33" s="12">
        <f t="shared" si="8"/>
        <v>51.966666666666669</v>
      </c>
      <c r="H33">
        <v>5.0999999999999997E-2</v>
      </c>
      <c r="I33">
        <v>27.2</v>
      </c>
      <c r="J33">
        <v>73</v>
      </c>
      <c r="S33">
        <f t="shared" si="9"/>
        <v>3.6066116259554404</v>
      </c>
      <c r="T33" s="14">
        <f t="shared" ref="T33:T40" si="10">(1-(J33/100))*(S33/W$1)</f>
        <v>9.565669341925041E-3</v>
      </c>
      <c r="U33">
        <f t="shared" ref="U33:U40" si="11">-((H34-H33)/18*1000)/((G34-G33)*60)/T33/(K$30*2/10000)</f>
        <v>5.6806451511042386</v>
      </c>
    </row>
    <row r="34" spans="1:22">
      <c r="A34" t="s">
        <v>37</v>
      </c>
      <c r="B34" t="s">
        <v>41</v>
      </c>
      <c r="C34">
        <v>1</v>
      </c>
      <c r="D34">
        <v>5</v>
      </c>
      <c r="E34" t="s">
        <v>39</v>
      </c>
      <c r="F34" s="10">
        <v>0.54165509259259259</v>
      </c>
      <c r="G34" s="12">
        <f t="shared" si="8"/>
        <v>75.150000000000006</v>
      </c>
      <c r="H34">
        <v>0.05</v>
      </c>
      <c r="I34">
        <v>27.3</v>
      </c>
      <c r="J34">
        <v>72</v>
      </c>
      <c r="S34">
        <f t="shared" si="9"/>
        <v>3.6277762136957219</v>
      </c>
      <c r="T34" s="14">
        <f t="shared" si="10"/>
        <v>9.9781664030923617E-3</v>
      </c>
      <c r="U34">
        <f t="shared" si="11"/>
        <v>4.9852702829021887</v>
      </c>
    </row>
    <row r="35" spans="1:22">
      <c r="A35" t="s">
        <v>37</v>
      </c>
      <c r="B35" t="s">
        <v>41</v>
      </c>
      <c r="C35">
        <v>1</v>
      </c>
      <c r="D35">
        <v>6</v>
      </c>
      <c r="E35" t="s">
        <v>39</v>
      </c>
      <c r="F35" s="10">
        <v>0.57682870370370376</v>
      </c>
      <c r="G35" s="12">
        <f t="shared" si="8"/>
        <v>125.8</v>
      </c>
      <c r="H35">
        <v>4.8000000000000001E-2</v>
      </c>
      <c r="I35">
        <v>27.2</v>
      </c>
      <c r="J35">
        <v>74</v>
      </c>
      <c r="S35">
        <f t="shared" si="9"/>
        <v>3.6066116259554404</v>
      </c>
      <c r="T35" s="14">
        <f t="shared" si="10"/>
        <v>9.211385292224112E-3</v>
      </c>
      <c r="U35">
        <f t="shared" si="11"/>
        <v>5.3042610993989223</v>
      </c>
    </row>
    <row r="36" spans="1:22">
      <c r="A36" t="s">
        <v>37</v>
      </c>
      <c r="B36" t="s">
        <v>41</v>
      </c>
      <c r="C36">
        <v>1</v>
      </c>
      <c r="D36">
        <v>7</v>
      </c>
      <c r="E36" t="s">
        <v>39</v>
      </c>
      <c r="F36" s="10">
        <v>0.61263888888888884</v>
      </c>
      <c r="G36" s="12">
        <f t="shared" si="8"/>
        <v>177.36666666666667</v>
      </c>
      <c r="H36">
        <v>4.5999999999999999E-2</v>
      </c>
      <c r="I36">
        <v>26.4</v>
      </c>
      <c r="J36">
        <v>70</v>
      </c>
      <c r="S36">
        <f t="shared" si="9"/>
        <v>3.4411267579592058</v>
      </c>
      <c r="T36" s="14">
        <f t="shared" si="10"/>
        <v>1.0140845062748151E-2</v>
      </c>
      <c r="U36">
        <f t="shared" si="11"/>
        <v>14.170339789126876</v>
      </c>
    </row>
    <row r="37" spans="1:22">
      <c r="A37" t="s">
        <v>37</v>
      </c>
      <c r="B37" t="s">
        <v>41</v>
      </c>
      <c r="C37">
        <v>1</v>
      </c>
      <c r="D37">
        <v>8</v>
      </c>
      <c r="E37" t="s">
        <v>39</v>
      </c>
      <c r="F37" s="10">
        <v>0.63090277777777781</v>
      </c>
      <c r="G37" s="12">
        <f t="shared" si="8"/>
        <v>203.66666666666666</v>
      </c>
      <c r="H37">
        <v>4.2999999999999997E-2</v>
      </c>
      <c r="I37">
        <v>26.2</v>
      </c>
      <c r="J37">
        <v>72</v>
      </c>
      <c r="S37">
        <f t="shared" si="9"/>
        <v>3.4008033856961548</v>
      </c>
      <c r="T37" s="14">
        <f t="shared" si="10"/>
        <v>9.3538796463155556E-3</v>
      </c>
      <c r="U37">
        <f t="shared" si="11"/>
        <v>6.1217338889346973</v>
      </c>
    </row>
    <row r="38" spans="1:22">
      <c r="A38" t="s">
        <v>37</v>
      </c>
      <c r="B38" t="s">
        <v>41</v>
      </c>
      <c r="C38">
        <v>1</v>
      </c>
      <c r="D38">
        <v>9</v>
      </c>
      <c r="E38" t="s">
        <v>39</v>
      </c>
      <c r="F38" s="11">
        <v>0.64618055555555554</v>
      </c>
      <c r="G38" s="12">
        <f t="shared" si="8"/>
        <v>225.66666666666666</v>
      </c>
      <c r="H38">
        <v>4.2000000000000003E-2</v>
      </c>
      <c r="I38">
        <v>25.9</v>
      </c>
      <c r="J38">
        <v>70</v>
      </c>
      <c r="S38">
        <f t="shared" si="9"/>
        <v>3.341089708412079</v>
      </c>
      <c r="T38" s="14">
        <f t="shared" si="10"/>
        <v>9.846040398070962E-3</v>
      </c>
      <c r="U38">
        <f t="shared" si="11"/>
        <v>5.8378480883009347</v>
      </c>
    </row>
    <row r="39" spans="1:22">
      <c r="A39" t="s">
        <v>37</v>
      </c>
      <c r="B39" t="s">
        <v>41</v>
      </c>
      <c r="C39">
        <v>1</v>
      </c>
      <c r="D39">
        <v>10</v>
      </c>
      <c r="E39" t="s">
        <v>39</v>
      </c>
      <c r="F39" s="10">
        <v>0.67662037037037026</v>
      </c>
      <c r="G39" s="12">
        <f t="shared" si="8"/>
        <v>269.5</v>
      </c>
      <c r="H39">
        <v>0.04</v>
      </c>
      <c r="I39">
        <v>25.8</v>
      </c>
      <c r="J39">
        <v>73</v>
      </c>
      <c r="S39">
        <f t="shared" si="9"/>
        <v>3.3213890868256262</v>
      </c>
      <c r="T39" s="14">
        <f t="shared" si="10"/>
        <v>8.8091852008145306E-3</v>
      </c>
      <c r="U39">
        <f t="shared" si="11"/>
        <v>10.130269633523531</v>
      </c>
    </row>
    <row r="40" spans="1:22">
      <c r="A40" t="s">
        <v>37</v>
      </c>
      <c r="B40" t="s">
        <v>41</v>
      </c>
      <c r="C40">
        <v>1</v>
      </c>
      <c r="D40">
        <v>11</v>
      </c>
      <c r="E40" t="s">
        <v>39</v>
      </c>
      <c r="F40" s="10">
        <v>0.69622685185185185</v>
      </c>
      <c r="G40" s="12">
        <f t="shared" si="8"/>
        <v>297.73333333333335</v>
      </c>
      <c r="H40">
        <v>3.7999999999999999E-2</v>
      </c>
      <c r="I40">
        <v>25.9</v>
      </c>
      <c r="J40">
        <v>77</v>
      </c>
      <c r="S40">
        <f t="shared" si="9"/>
        <v>3.341089708412079</v>
      </c>
      <c r="T40" s="14">
        <f t="shared" si="10"/>
        <v>7.5486309718544023E-3</v>
      </c>
      <c r="U40">
        <f t="shared" si="11"/>
        <v>4.8844773506568817</v>
      </c>
    </row>
    <row r="41" spans="1:22">
      <c r="A41" t="s">
        <v>37</v>
      </c>
      <c r="B41" t="s">
        <v>41</v>
      </c>
      <c r="C41">
        <v>1</v>
      </c>
      <c r="D41">
        <v>12</v>
      </c>
      <c r="E41" t="s">
        <v>39</v>
      </c>
      <c r="F41" s="10">
        <v>0.74368055555555557</v>
      </c>
      <c r="G41" s="12">
        <f t="shared" si="8"/>
        <v>366.06666666666666</v>
      </c>
      <c r="H41">
        <v>3.5999999999999997E-2</v>
      </c>
      <c r="I41">
        <v>24.4</v>
      </c>
      <c r="J41">
        <v>66</v>
      </c>
    </row>
    <row r="43" spans="1:22">
      <c r="A43" t="s">
        <v>37</v>
      </c>
      <c r="B43" t="s">
        <v>50</v>
      </c>
      <c r="C43">
        <v>1</v>
      </c>
      <c r="D43">
        <v>1</v>
      </c>
      <c r="E43" t="s">
        <v>51</v>
      </c>
      <c r="F43" s="10">
        <v>0.44780092592592591</v>
      </c>
      <c r="K43" s="15">
        <v>7.774</v>
      </c>
      <c r="L43" s="15"/>
    </row>
    <row r="44" spans="1:22">
      <c r="A44" t="s">
        <v>37</v>
      </c>
      <c r="B44" t="s">
        <v>50</v>
      </c>
      <c r="C44">
        <v>1</v>
      </c>
      <c r="D44">
        <v>2</v>
      </c>
      <c r="E44" t="s">
        <v>51</v>
      </c>
      <c r="F44" s="10">
        <v>0.65335648148148151</v>
      </c>
      <c r="G44" s="12">
        <f t="shared" ref="G44:G49" si="12">((HOUR(F44)-HOUR($F$44))*60*60 + (MINUTE(F44)-MINUTE($F$44))*60 + (SECOND(F44)-SECOND($F$44)))/60</f>
        <v>0</v>
      </c>
      <c r="H44">
        <v>5.8000000000000003E-2</v>
      </c>
      <c r="I44">
        <v>24.1</v>
      </c>
      <c r="J44">
        <v>73</v>
      </c>
      <c r="K44">
        <v>5.5</v>
      </c>
      <c r="S44">
        <f>EXP(52.57633-6790.49851/(I44+273.15)-5.028081*LN(I44+273.15))</f>
        <v>3.0016164209543104</v>
      </c>
      <c r="T44" s="14">
        <f>(1-(J44/100))*(S44/W$1)</f>
        <v>7.9610651636312767E-3</v>
      </c>
      <c r="V44" s="22">
        <f>AVERAGE(U47:U51)</f>
        <v>3.6163419959865459</v>
      </c>
    </row>
    <row r="45" spans="1:22">
      <c r="D45">
        <v>3</v>
      </c>
      <c r="E45" t="s">
        <v>51</v>
      </c>
      <c r="F45" s="10">
        <v>0.67557870370370365</v>
      </c>
      <c r="G45" s="12">
        <f t="shared" si="12"/>
        <v>32</v>
      </c>
      <c r="H45">
        <v>5.5E-2</v>
      </c>
      <c r="I45">
        <v>22.9</v>
      </c>
      <c r="J45">
        <v>70</v>
      </c>
      <c r="S45">
        <f>EXP(52.57633-6790.49851/(I45+273.15)-5.028081*LN(I45+273.15))</f>
        <v>2.792378179163518</v>
      </c>
      <c r="T45" s="14">
        <f t="shared" ref="T45:T53" si="13">(1-(J45/100))*(S45/W$1)</f>
        <v>8.2290123158060471E-3</v>
      </c>
      <c r="U45">
        <f>-((H46-H45)/18*1000)/((G46-G45)*60)/T45/(K$43*2/10000)</f>
        <v>5.2953101028311069</v>
      </c>
      <c r="V45" s="23">
        <f>-SLOPE(H48:H52,G48:G52)/60/AVERAGE(T49:T53)*1000/18/(K44*2/10000)</f>
        <v>2.5566215348155481</v>
      </c>
    </row>
    <row r="46" spans="1:22">
      <c r="D46">
        <v>4</v>
      </c>
      <c r="E46" t="s">
        <v>51</v>
      </c>
      <c r="F46" s="10">
        <v>0.69456018518518514</v>
      </c>
      <c r="G46" s="12">
        <f t="shared" si="12"/>
        <v>59.333333333333336</v>
      </c>
      <c r="H46">
        <v>5.2999999999999999E-2</v>
      </c>
      <c r="I46">
        <v>23</v>
      </c>
      <c r="J46">
        <v>72</v>
      </c>
      <c r="S46">
        <f t="shared" ref="S46:S53" si="14">EXP(52.57633-6790.49851/(I46+273.15)-5.028081*LN(I46+273.15))</f>
        <v>2.809314730926169</v>
      </c>
      <c r="T46" s="14">
        <f t="shared" si="13"/>
        <v>7.7269953306417227E-3</v>
      </c>
      <c r="U46">
        <f t="shared" ref="U46:U53" si="15">-((H47-H46)/18*1000)/((G47-G46)*60)/T46/(K$43*2/10000)</f>
        <v>2.3714157599321597</v>
      </c>
    </row>
    <row r="47" spans="1:22">
      <c r="D47">
        <v>5</v>
      </c>
      <c r="E47" t="s">
        <v>51</v>
      </c>
      <c r="F47" s="10">
        <v>0.73969907407407398</v>
      </c>
      <c r="G47" s="12">
        <f t="shared" si="12"/>
        <v>124.33333333333333</v>
      </c>
      <c r="H47">
        <v>5.0999999999999997E-2</v>
      </c>
      <c r="I47">
        <v>22.6</v>
      </c>
      <c r="J47">
        <v>72</v>
      </c>
      <c r="S47">
        <f t="shared" si="14"/>
        <v>2.7421019689775439</v>
      </c>
      <c r="T47" s="14">
        <f t="shared" si="13"/>
        <v>7.5421272231209471E-3</v>
      </c>
      <c r="U47">
        <f>-((H48-H47)/18*1000)/((G48-G47)*60)/T47/(K$43*2/10000)</f>
        <v>2.9610049016802589</v>
      </c>
    </row>
    <row r="48" spans="1:22">
      <c r="D48">
        <v>6</v>
      </c>
      <c r="E48" t="s">
        <v>51</v>
      </c>
      <c r="F48" s="10">
        <v>0.79525462962962967</v>
      </c>
      <c r="G48" s="12">
        <f t="shared" si="12"/>
        <v>204.33333333333334</v>
      </c>
      <c r="H48">
        <v>4.8000000000000001E-2</v>
      </c>
      <c r="I48">
        <v>22.9</v>
      </c>
      <c r="J48">
        <v>74</v>
      </c>
      <c r="S48">
        <f t="shared" si="14"/>
        <v>2.792378179163518</v>
      </c>
      <c r="T48" s="14">
        <f t="shared" si="13"/>
        <v>7.1318106736985732E-3</v>
      </c>
      <c r="U48">
        <f t="shared" si="15"/>
        <v>10.121571758325196</v>
      </c>
    </row>
    <row r="49" spans="1:22">
      <c r="D49">
        <v>7</v>
      </c>
      <c r="E49" t="s">
        <v>51</v>
      </c>
      <c r="F49" s="10">
        <v>0.80671296296296291</v>
      </c>
      <c r="G49" s="12">
        <f t="shared" si="12"/>
        <v>220.83333333333334</v>
      </c>
      <c r="H49">
        <v>4.5999999999999999E-2</v>
      </c>
      <c r="I49">
        <v>23.4</v>
      </c>
      <c r="J49">
        <v>76</v>
      </c>
      <c r="S49">
        <f t="shared" si="14"/>
        <v>2.877960592838122</v>
      </c>
      <c r="T49" s="14">
        <f t="shared" si="13"/>
        <v>6.7849758573786762E-3</v>
      </c>
      <c r="U49">
        <f t="shared" si="15"/>
        <v>2.0856588557942088</v>
      </c>
    </row>
    <row r="50" spans="1:22">
      <c r="D50">
        <v>8</v>
      </c>
      <c r="E50" t="s">
        <v>54</v>
      </c>
      <c r="F50" s="10">
        <v>0.36817129629629625</v>
      </c>
      <c r="G50" s="12">
        <v>810</v>
      </c>
      <c r="H50">
        <v>3.2000000000000001E-2</v>
      </c>
      <c r="I50">
        <v>23.1</v>
      </c>
      <c r="J50">
        <v>72</v>
      </c>
      <c r="S50">
        <f t="shared" si="14"/>
        <v>2.8263408497110323</v>
      </c>
      <c r="T50" s="14">
        <f t="shared" si="13"/>
        <v>7.7738255198338806E-3</v>
      </c>
      <c r="U50">
        <f t="shared" si="15"/>
        <v>1.2767788305787284</v>
      </c>
    </row>
    <row r="51" spans="1:22">
      <c r="D51">
        <v>9</v>
      </c>
      <c r="E51" t="s">
        <v>54</v>
      </c>
      <c r="F51" s="10">
        <v>0.40983796296296293</v>
      </c>
      <c r="G51">
        <v>870</v>
      </c>
      <c r="H51">
        <v>3.1E-2</v>
      </c>
      <c r="I51">
        <v>20</v>
      </c>
      <c r="J51">
        <v>56</v>
      </c>
      <c r="S51">
        <f t="shared" si="14"/>
        <v>2.3384408524202462</v>
      </c>
      <c r="T51" s="14">
        <f t="shared" si="13"/>
        <v>1.0107209971168056E-2</v>
      </c>
      <c r="U51">
        <f t="shared" si="15"/>
        <v>1.6366956335543372</v>
      </c>
    </row>
    <row r="52" spans="1:22">
      <c r="D52">
        <v>10</v>
      </c>
      <c r="E52" t="s">
        <v>54</v>
      </c>
      <c r="F52" s="10">
        <v>0.50983796296296291</v>
      </c>
      <c r="G52">
        <v>1014</v>
      </c>
      <c r="H52">
        <v>2.7E-2</v>
      </c>
      <c r="I52">
        <v>19.8</v>
      </c>
      <c r="J52">
        <v>55</v>
      </c>
      <c r="S52">
        <f t="shared" si="14"/>
        <v>2.3096632144371356</v>
      </c>
      <c r="T52" s="14">
        <f t="shared" si="13"/>
        <v>1.0209709690537437E-2</v>
      </c>
      <c r="U52">
        <f t="shared" si="15"/>
        <v>-1.5531526015499784</v>
      </c>
    </row>
    <row r="53" spans="1:22">
      <c r="S53">
        <f t="shared" si="14"/>
        <v>0.61184758428942232</v>
      </c>
      <c r="T53" s="14">
        <f t="shared" si="13"/>
        <v>6.0102906118803768E-3</v>
      </c>
      <c r="U53" t="e">
        <f t="shared" si="15"/>
        <v>#DIV/0!</v>
      </c>
    </row>
    <row r="55" spans="1:22">
      <c r="A55" t="s">
        <v>37</v>
      </c>
      <c r="B55" t="s">
        <v>52</v>
      </c>
      <c r="C55">
        <v>1</v>
      </c>
      <c r="D55">
        <v>1</v>
      </c>
      <c r="E55" t="s">
        <v>51</v>
      </c>
      <c r="F55" s="10">
        <v>0.44780092592592591</v>
      </c>
      <c r="K55" s="15">
        <v>7.59</v>
      </c>
      <c r="L55" s="15"/>
    </row>
    <row r="56" spans="1:22">
      <c r="A56" t="s">
        <v>37</v>
      </c>
      <c r="B56" t="s">
        <v>52</v>
      </c>
      <c r="C56">
        <v>1</v>
      </c>
      <c r="D56">
        <v>2</v>
      </c>
      <c r="E56" t="s">
        <v>51</v>
      </c>
      <c r="F56" s="10">
        <v>0.65509259259259256</v>
      </c>
      <c r="G56" s="12">
        <f t="shared" ref="G56:G61" si="16">((HOUR(F56)-HOUR($F$56))*60*60 + (MINUTE(F56)-MINUTE($F$56))*60 + (SECOND(F56)-SECOND($F$56)))/60</f>
        <v>0</v>
      </c>
      <c r="H56">
        <v>8.1000000000000003E-2</v>
      </c>
      <c r="I56">
        <v>24.1</v>
      </c>
      <c r="J56">
        <v>71</v>
      </c>
      <c r="K56">
        <v>6.27</v>
      </c>
      <c r="S56">
        <f>EXP(52.57633-6790.49851/(I56+273.15)-5.028081*LN(I56+273.15))</f>
        <v>3.0016164209543104</v>
      </c>
      <c r="T56" s="14">
        <f>(1-(J56/100))*(S56/W$1)</f>
        <v>8.5507736942706299E-3</v>
      </c>
      <c r="V56" s="22">
        <f>AVERAGE(U59:U62)</f>
        <v>5.4286851212039622</v>
      </c>
    </row>
    <row r="57" spans="1:22">
      <c r="D57">
        <v>3</v>
      </c>
      <c r="E57" t="s">
        <v>51</v>
      </c>
      <c r="F57" s="10">
        <v>0.67616898148148152</v>
      </c>
      <c r="G57" s="12">
        <f t="shared" si="16"/>
        <v>30.35</v>
      </c>
      <c r="H57">
        <v>7.6999999999999999E-2</v>
      </c>
      <c r="I57">
        <v>22.9</v>
      </c>
      <c r="J57">
        <v>70</v>
      </c>
      <c r="S57">
        <f t="shared" ref="S57:S64" si="17">EXP(52.57633-6790.49851/(I57+273.15)-5.028081*LN(I57+273.15))</f>
        <v>2.792378179163518</v>
      </c>
      <c r="T57" s="14">
        <f t="shared" ref="T57:T64" si="18">(1-(J57/100))*(S57/W$1)</f>
        <v>8.2290123158060471E-3</v>
      </c>
      <c r="U57">
        <f>-((H58-H57)/18*1000)/((G58-G57)*60)/T57/(K$55*2/10000)</f>
        <v>2.9959034224372454</v>
      </c>
      <c r="V57" s="23">
        <f>-SLOPE(H60:H64,G60:G64)/60/AVERAGE(T61:T64)*1000/18/(K56*2/10000)</f>
        <v>3.30589003966635</v>
      </c>
    </row>
    <row r="58" spans="1:22">
      <c r="D58">
        <v>4</v>
      </c>
      <c r="E58" t="s">
        <v>51</v>
      </c>
      <c r="F58" s="10">
        <v>0.71053240740740742</v>
      </c>
      <c r="G58" s="12">
        <f t="shared" si="16"/>
        <v>79.833333333333329</v>
      </c>
      <c r="H58">
        <v>7.4999999999999997E-2</v>
      </c>
      <c r="I58">
        <v>23</v>
      </c>
      <c r="J58">
        <v>72</v>
      </c>
      <c r="S58">
        <f t="shared" si="17"/>
        <v>2.809314730926169</v>
      </c>
      <c r="T58" s="14">
        <f t="shared" si="18"/>
        <v>7.7269953306417227E-3</v>
      </c>
      <c r="U58">
        <f>-((H59-H58)/18*1000)/((G59-G58)*60)/T58/(K$55*2/10000)</f>
        <v>2.1860141641556297</v>
      </c>
    </row>
    <row r="59" spans="1:22">
      <c r="D59">
        <v>5</v>
      </c>
      <c r="E59" t="s">
        <v>51</v>
      </c>
      <c r="F59" s="10">
        <v>0.74062499999999998</v>
      </c>
      <c r="G59" s="12">
        <f t="shared" si="16"/>
        <v>123.16666666666667</v>
      </c>
      <c r="H59">
        <v>7.3800000000000004E-2</v>
      </c>
      <c r="I59">
        <v>22.6</v>
      </c>
      <c r="J59">
        <v>72</v>
      </c>
      <c r="S59">
        <f t="shared" si="17"/>
        <v>2.7421019689775439</v>
      </c>
      <c r="T59" s="14">
        <f t="shared" si="18"/>
        <v>7.5421272231209471E-3</v>
      </c>
      <c r="U59">
        <f t="shared" ref="U59" si="19">-((H60-H59)/18*1000)/((G60-G59)*60)/T59/(K$55*2/10000)</f>
        <v>2.0134684406245293</v>
      </c>
    </row>
    <row r="60" spans="1:22">
      <c r="D60">
        <v>6</v>
      </c>
      <c r="E60" t="s">
        <v>51</v>
      </c>
      <c r="F60" s="10">
        <v>0.796412037037037</v>
      </c>
      <c r="G60" s="12">
        <f t="shared" si="16"/>
        <v>203.5</v>
      </c>
      <c r="H60">
        <v>7.1800000000000003E-2</v>
      </c>
      <c r="I60">
        <v>22.9</v>
      </c>
      <c r="J60">
        <v>74</v>
      </c>
      <c r="S60">
        <f t="shared" si="17"/>
        <v>2.792378179163518</v>
      </c>
      <c r="T60" s="14">
        <f t="shared" si="18"/>
        <v>7.1318106736985732E-3</v>
      </c>
      <c r="U60">
        <f>-((H61-H60)/18*1000)/((G61-G60)*60)/T60/(K$55*2/10000)</f>
        <v>10.918376343555058</v>
      </c>
    </row>
    <row r="61" spans="1:22">
      <c r="D61">
        <v>7</v>
      </c>
      <c r="E61" t="s">
        <v>51</v>
      </c>
      <c r="F61" s="10">
        <v>0.80729166666666663</v>
      </c>
      <c r="G61" s="12">
        <f t="shared" si="16"/>
        <v>219.16666666666666</v>
      </c>
      <c r="H61">
        <v>6.9800000000000001E-2</v>
      </c>
      <c r="I61">
        <v>23.4</v>
      </c>
      <c r="J61">
        <v>76</v>
      </c>
      <c r="S61">
        <f t="shared" si="17"/>
        <v>2.877960592838122</v>
      </c>
      <c r="T61" s="14">
        <f t="shared" si="18"/>
        <v>6.7849758573786762E-3</v>
      </c>
      <c r="U61">
        <f t="shared" ref="U61:U64" si="20">-((H62-H61)/18*1000)/((G62-G61)*60)/T61/(K$55*2/10000)</f>
        <v>3.4633117901818995</v>
      </c>
    </row>
    <row r="62" spans="1:22">
      <c r="D62">
        <v>8</v>
      </c>
      <c r="E62" t="s">
        <v>54</v>
      </c>
      <c r="F62" s="10">
        <v>0.36956018518518513</v>
      </c>
      <c r="G62">
        <v>811</v>
      </c>
      <c r="H62">
        <v>4.7E-2</v>
      </c>
      <c r="I62">
        <v>23.1</v>
      </c>
      <c r="J62">
        <v>72</v>
      </c>
      <c r="S62">
        <f t="shared" si="17"/>
        <v>2.8263408497110323</v>
      </c>
      <c r="T62" s="14">
        <f t="shared" si="18"/>
        <v>7.7738255198338806E-3</v>
      </c>
      <c r="U62">
        <f t="shared" si="20"/>
        <v>5.3195839104543632</v>
      </c>
    </row>
    <row r="63" spans="1:22">
      <c r="D63">
        <v>9</v>
      </c>
      <c r="E63" t="s">
        <v>54</v>
      </c>
      <c r="F63" s="10">
        <v>0.40983796296296293</v>
      </c>
      <c r="G63">
        <v>870</v>
      </c>
      <c r="H63">
        <v>4.2999999999999997E-2</v>
      </c>
      <c r="I63">
        <v>20</v>
      </c>
      <c r="J63">
        <v>56</v>
      </c>
      <c r="S63">
        <f t="shared" si="17"/>
        <v>2.3384408524202462</v>
      </c>
      <c r="T63" s="14">
        <f t="shared" si="18"/>
        <v>1.0107209971168056E-2</v>
      </c>
      <c r="U63">
        <f t="shared" si="20"/>
        <v>0.8381865517293402</v>
      </c>
    </row>
    <row r="64" spans="1:22">
      <c r="D64">
        <v>10</v>
      </c>
      <c r="E64" t="s">
        <v>54</v>
      </c>
      <c r="F64" s="10">
        <v>0.50983796296296291</v>
      </c>
      <c r="G64">
        <v>1014</v>
      </c>
      <c r="H64">
        <v>4.1000000000000002E-2</v>
      </c>
      <c r="I64">
        <v>19.8</v>
      </c>
      <c r="J64">
        <v>55</v>
      </c>
      <c r="S64">
        <f t="shared" si="17"/>
        <v>2.3096632144371356</v>
      </c>
      <c r="T64" s="14">
        <f t="shared" si="18"/>
        <v>1.0209709690537437E-2</v>
      </c>
      <c r="U64">
        <f t="shared" si="20"/>
        <v>-2.4156665266307074</v>
      </c>
    </row>
    <row r="65" spans="1:22">
      <c r="T65" s="14"/>
    </row>
    <row r="68" spans="1:22">
      <c r="A68" t="s">
        <v>37</v>
      </c>
      <c r="B68" t="s">
        <v>53</v>
      </c>
      <c r="C68">
        <v>1</v>
      </c>
      <c r="D68">
        <v>1</v>
      </c>
      <c r="E68" t="s">
        <v>51</v>
      </c>
      <c r="F68" s="10">
        <v>0.44780092592592591</v>
      </c>
      <c r="K68" s="15">
        <v>3.1</v>
      </c>
      <c r="L68" s="15"/>
    </row>
    <row r="69" spans="1:22">
      <c r="A69" t="s">
        <v>37</v>
      </c>
      <c r="B69" t="s">
        <v>53</v>
      </c>
      <c r="C69">
        <v>1</v>
      </c>
      <c r="D69">
        <v>2</v>
      </c>
      <c r="E69" t="s">
        <v>51</v>
      </c>
      <c r="F69" s="10">
        <v>0.65613425925925928</v>
      </c>
      <c r="G69" s="12">
        <f t="shared" ref="G69:G74" si="21">((HOUR(F69)-HOUR($F$69))*60*60 + (MINUTE(F69)-MINUTE($F$69))*60 + (SECOND(F69)-SECOND($F$69)))/60</f>
        <v>0</v>
      </c>
      <c r="H69">
        <v>4.8000000000000001E-2</v>
      </c>
      <c r="I69">
        <v>24.2</v>
      </c>
      <c r="J69">
        <v>73</v>
      </c>
      <c r="S69">
        <f>EXP(52.57633-6790.49851/(I69+273.15)-5.028081*LN(I69+273.15))</f>
        <v>3.0196543358751318</v>
      </c>
      <c r="T69" s="14">
        <f>(1-(J69/100))*(S69/W$1)</f>
        <v>8.0089063918102714E-3</v>
      </c>
      <c r="V69" s="22">
        <f>AVERAGE(U70:U72,U74:U75)</f>
        <v>7.224433661364829</v>
      </c>
    </row>
    <row r="70" spans="1:22">
      <c r="D70">
        <v>3</v>
      </c>
      <c r="E70" t="s">
        <v>51</v>
      </c>
      <c r="F70" s="10">
        <v>0.67668981481481483</v>
      </c>
      <c r="G70" s="12">
        <f t="shared" si="21"/>
        <v>29.6</v>
      </c>
      <c r="H70">
        <v>4.3999999999999997E-2</v>
      </c>
      <c r="I70">
        <v>22.9</v>
      </c>
      <c r="J70">
        <v>70</v>
      </c>
      <c r="S70">
        <f t="shared" ref="S70:S78" si="22">EXP(52.57633-6790.49851/(I70+273.15)-5.028081*LN(I70+273.15))</f>
        <v>2.792378179163518</v>
      </c>
      <c r="T70" s="14">
        <f t="shared" ref="T70:T78" si="23">(1-(J70/100))*(S70/W$1)</f>
        <v>8.2290123158060471E-3</v>
      </c>
      <c r="U70">
        <f>-((H71-H70)/18*1000)/((G71-G70)*60)/T70/(K$68*2/10000)</f>
        <v>11.021257478880543</v>
      </c>
      <c r="V70" s="23">
        <f>-SLOPE(H69:H76,G69:G76)/60/AVERAGE(T71:T76)*1000/18/(K68*2/10000)</f>
        <v>5.048476115320728</v>
      </c>
    </row>
    <row r="71" spans="1:22">
      <c r="D71">
        <v>4</v>
      </c>
      <c r="E71" t="s">
        <v>51</v>
      </c>
      <c r="F71" s="10">
        <v>0.71099537037037042</v>
      </c>
      <c r="G71" s="12">
        <f t="shared" si="21"/>
        <v>79</v>
      </c>
      <c r="H71">
        <v>4.1000000000000002E-2</v>
      </c>
      <c r="I71">
        <v>23</v>
      </c>
      <c r="J71">
        <v>72</v>
      </c>
      <c r="S71">
        <f t="shared" si="22"/>
        <v>2.809314730926169</v>
      </c>
      <c r="T71" s="14">
        <f t="shared" si="23"/>
        <v>7.7269953306417227E-3</v>
      </c>
      <c r="U71">
        <f t="shared" ref="U71:U76" si="24">-((H72-H71)/18*1000)/((G72-G71)*60)/T71/(K$68*2/10000)</f>
        <v>8.8185951010768058</v>
      </c>
    </row>
    <row r="72" spans="1:22">
      <c r="D72">
        <v>5</v>
      </c>
      <c r="E72" t="s">
        <v>51</v>
      </c>
      <c r="F72" s="10">
        <v>0.74143518518518514</v>
      </c>
      <c r="G72" s="12">
        <f t="shared" si="21"/>
        <v>122.83333333333333</v>
      </c>
      <c r="H72">
        <v>3.9E-2</v>
      </c>
      <c r="I72">
        <v>22.6</v>
      </c>
      <c r="J72">
        <v>72</v>
      </c>
      <c r="S72">
        <f t="shared" si="22"/>
        <v>2.7421019689775439</v>
      </c>
      <c r="T72" s="14">
        <f t="shared" si="23"/>
        <v>7.5421272231209471E-3</v>
      </c>
      <c r="U72">
        <f t="shared" si="24"/>
        <v>4.9710032891159166</v>
      </c>
    </row>
    <row r="73" spans="1:22">
      <c r="D73">
        <v>6</v>
      </c>
      <c r="E73" t="s">
        <v>51</v>
      </c>
      <c r="F73" s="10">
        <v>0.79675925925925928</v>
      </c>
      <c r="G73" s="12">
        <f t="shared" si="21"/>
        <v>202.5</v>
      </c>
      <c r="H73">
        <v>3.6999999999999998E-2</v>
      </c>
      <c r="I73">
        <v>22.9</v>
      </c>
      <c r="J73">
        <v>74</v>
      </c>
      <c r="S73">
        <f t="shared" si="22"/>
        <v>2.792378179163518</v>
      </c>
      <c r="T73" s="14">
        <f t="shared" si="23"/>
        <v>7.1318106736985732E-3</v>
      </c>
      <c r="U73">
        <f t="shared" si="24"/>
        <v>12.123383226768579</v>
      </c>
    </row>
    <row r="74" spans="1:22">
      <c r="D74">
        <v>7</v>
      </c>
      <c r="E74" t="s">
        <v>51</v>
      </c>
      <c r="F74" s="10">
        <v>0.80995370370370379</v>
      </c>
      <c r="G74" s="12">
        <f t="shared" si="21"/>
        <v>221.5</v>
      </c>
      <c r="H74">
        <v>3.5900000000000001E-2</v>
      </c>
      <c r="I74">
        <v>22.5</v>
      </c>
      <c r="J74">
        <v>74</v>
      </c>
      <c r="S74">
        <f t="shared" si="22"/>
        <v>2.725519735146039</v>
      </c>
      <c r="T74" s="14">
        <f t="shared" si="23"/>
        <v>6.9610523687423402E-3</v>
      </c>
      <c r="U74">
        <f t="shared" si="24"/>
        <v>4.686832818895029</v>
      </c>
    </row>
    <row r="75" spans="1:22">
      <c r="D75">
        <v>8</v>
      </c>
      <c r="E75" t="s">
        <v>54</v>
      </c>
      <c r="F75" s="18">
        <v>0.37025462962962963</v>
      </c>
      <c r="G75">
        <v>812</v>
      </c>
      <c r="H75">
        <v>2.3E-2</v>
      </c>
      <c r="I75">
        <v>23.1</v>
      </c>
      <c r="J75">
        <v>72</v>
      </c>
      <c r="S75">
        <f t="shared" si="22"/>
        <v>2.8263408497110323</v>
      </c>
      <c r="T75" s="14">
        <f t="shared" si="23"/>
        <v>7.7738255198338806E-3</v>
      </c>
      <c r="U75">
        <f t="shared" si="24"/>
        <v>6.6244796188558528</v>
      </c>
    </row>
    <row r="76" spans="1:22">
      <c r="D76">
        <v>9</v>
      </c>
      <c r="E76" t="s">
        <v>54</v>
      </c>
      <c r="F76" s="10">
        <v>0.40983796296296293</v>
      </c>
      <c r="G76">
        <v>870</v>
      </c>
      <c r="H76">
        <v>2.1000000000000001E-2</v>
      </c>
      <c r="I76">
        <v>20.6</v>
      </c>
      <c r="J76">
        <v>56</v>
      </c>
      <c r="S76">
        <f t="shared" si="22"/>
        <v>2.4266635409766764</v>
      </c>
      <c r="T76" s="14">
        <f t="shared" si="23"/>
        <v>1.0488526110311763E-2</v>
      </c>
      <c r="U76">
        <f t="shared" si="24"/>
        <v>-3.4369256197242049</v>
      </c>
    </row>
    <row r="77" spans="1:22">
      <c r="D77">
        <v>10</v>
      </c>
      <c r="E77" t="s">
        <v>54</v>
      </c>
      <c r="S77">
        <f t="shared" si="22"/>
        <v>0.61184758428942232</v>
      </c>
      <c r="T77" s="14">
        <f t="shared" si="23"/>
        <v>6.0102906118803768E-3</v>
      </c>
      <c r="U77" t="e">
        <f t="shared" ref="U77:U78" si="25">-((H78-H77)/18*1000)/((G78-G77)*60)/T77/(K$4*2/10000)</f>
        <v>#DIV/0!</v>
      </c>
    </row>
    <row r="78" spans="1:22">
      <c r="S78">
        <f t="shared" si="22"/>
        <v>0.61184758428942232</v>
      </c>
      <c r="T78" s="14">
        <f t="shared" si="23"/>
        <v>6.0102906118803768E-3</v>
      </c>
      <c r="U78" t="e">
        <f t="shared" si="25"/>
        <v>#DIV/0!</v>
      </c>
    </row>
    <row r="81" spans="1:22">
      <c r="A81" t="s">
        <v>37</v>
      </c>
      <c r="B81" t="s">
        <v>55</v>
      </c>
      <c r="C81">
        <v>1</v>
      </c>
      <c r="D81">
        <v>1</v>
      </c>
      <c r="E81" t="s">
        <v>54</v>
      </c>
      <c r="F81" s="10">
        <v>0.44780092592592591</v>
      </c>
      <c r="K81" s="15">
        <v>7.46</v>
      </c>
      <c r="L81" s="15"/>
    </row>
    <row r="82" spans="1:22">
      <c r="A82" t="s">
        <v>37</v>
      </c>
      <c r="B82" t="s">
        <v>55</v>
      </c>
      <c r="C82">
        <v>1</v>
      </c>
      <c r="D82">
        <v>2</v>
      </c>
      <c r="E82" t="s">
        <v>54</v>
      </c>
      <c r="F82" s="10">
        <v>0.5153240740740741</v>
      </c>
      <c r="G82" s="12">
        <f>((HOUR(F82)-HOUR($F$82))*60*60 + (MINUTE(F82)-MINUTE($F$82))*60 + (SECOND(F82)-SECOND($F$82)))/60</f>
        <v>0</v>
      </c>
      <c r="H82">
        <v>7.2999999999999995E-2</v>
      </c>
      <c r="I82">
        <v>19.600000000000001</v>
      </c>
      <c r="J82">
        <v>54</v>
      </c>
      <c r="S82">
        <f>EXP(52.57633-6790.49851/(I82+273.15)-5.028081*LN(I82+273.15))</f>
        <v>2.2811957777009964</v>
      </c>
      <c r="T82" s="14">
        <f>(1-(J82/100))*(S82/W$1)</f>
        <v>1.0307957345210788E-2</v>
      </c>
      <c r="V82" s="22">
        <f>AVERAGE(U85:U88)</f>
        <v>7.3347475356926193</v>
      </c>
    </row>
    <row r="83" spans="1:22">
      <c r="D83">
        <v>3</v>
      </c>
      <c r="E83" t="s">
        <v>54</v>
      </c>
      <c r="F83" s="10">
        <v>0.53622685185185182</v>
      </c>
      <c r="G83" s="12">
        <f t="shared" ref="G83:G89" si="26">((HOUR(F83)-HOUR($F$82))*60*60 + (MINUTE(F83)-MINUTE($F$82))*60 + (SECOND(F83)-SECOND($F$82)))/60</f>
        <v>30.1</v>
      </c>
      <c r="H83">
        <v>6.6000000000000003E-2</v>
      </c>
      <c r="I83">
        <v>20</v>
      </c>
      <c r="J83">
        <v>60</v>
      </c>
      <c r="S83">
        <f t="shared" ref="S83:S84" si="27">EXP(52.57633-6790.49851/(I83+273.15)-5.028081*LN(I83+273.15))</f>
        <v>2.3384408524202462</v>
      </c>
      <c r="T83" s="14">
        <f t="shared" ref="T83:T84" si="28">(1-(J83/100))*(S83/W$1)</f>
        <v>9.188372701061872E-3</v>
      </c>
      <c r="U83">
        <f>-((H84-H83)/18*1000)/((G84-G83)*60)/T83/(K$81*2/10000)</f>
        <v>9.9447176197231393</v>
      </c>
      <c r="V83" s="23">
        <f>-SLOPE(H85:H89,G85:G89)/60/AVERAGE(T84:T89)*1000/18/(K81*2/10000)</f>
        <v>7.4459196801601317</v>
      </c>
    </row>
    <row r="84" spans="1:22">
      <c r="F84" s="10">
        <v>0.57395833333333335</v>
      </c>
      <c r="G84" s="12">
        <f t="shared" si="26"/>
        <v>84.433333333333337</v>
      </c>
      <c r="H84">
        <v>5.8000000000000003E-2</v>
      </c>
      <c r="I84">
        <v>19.5</v>
      </c>
      <c r="J84">
        <v>60</v>
      </c>
      <c r="S84">
        <f t="shared" si="27"/>
        <v>2.2670775008994388</v>
      </c>
      <c r="T84" s="14">
        <f t="shared" si="28"/>
        <v>8.9079666047129236E-3</v>
      </c>
      <c r="U84">
        <f>-((H85-H84)/18*1000)/((G85-G84)*60)/T84/(K$81*2/10000)</f>
        <v>13.933455561100155</v>
      </c>
    </row>
    <row r="85" spans="1:22">
      <c r="F85" s="10">
        <v>0.59479166666666672</v>
      </c>
      <c r="G85" s="12">
        <f t="shared" si="26"/>
        <v>114.43333333333334</v>
      </c>
      <c r="H85">
        <v>5.1999999999999998E-2</v>
      </c>
      <c r="I85">
        <v>19.8</v>
      </c>
      <c r="J85">
        <v>57</v>
      </c>
      <c r="S85">
        <f t="shared" ref="S85:S91" si="29">EXP(52.57633-6790.49851/(I85+273.15)-5.028081*LN(I85+273.15))</f>
        <v>2.3096632144371356</v>
      </c>
      <c r="T85" s="14">
        <f t="shared" ref="T85:T91" si="30">(1-(J85/100))*(S85/W$1)</f>
        <v>9.7559448154024408E-3</v>
      </c>
      <c r="U85">
        <f t="shared" ref="U85:U91" si="31">-((H86-H85)/18*1000)/((G86-G85)*60)/T85/(K$81*2/10000)</f>
        <v>8.6091237484044836</v>
      </c>
    </row>
    <row r="86" spans="1:22">
      <c r="F86" s="10">
        <v>0.61018518518518516</v>
      </c>
      <c r="G86" s="12">
        <f t="shared" si="26"/>
        <v>136.6</v>
      </c>
      <c r="H86">
        <v>4.9000000000000002E-2</v>
      </c>
      <c r="I86">
        <v>19.100000000000001</v>
      </c>
      <c r="J86">
        <v>55</v>
      </c>
      <c r="S86">
        <f t="shared" si="29"/>
        <v>2.2113658212683842</v>
      </c>
      <c r="T86" s="14">
        <f t="shared" si="30"/>
        <v>9.7751927266284157E-3</v>
      </c>
      <c r="U86">
        <f t="shared" si="31"/>
        <v>5.4031151859270103</v>
      </c>
    </row>
    <row r="87" spans="1:22">
      <c r="F87" s="10">
        <v>0.62650462962962961</v>
      </c>
      <c r="G87" s="12">
        <f t="shared" si="26"/>
        <v>160.1</v>
      </c>
      <c r="H87">
        <v>4.7E-2</v>
      </c>
      <c r="I87">
        <v>18.899999999999999</v>
      </c>
      <c r="J87">
        <v>55</v>
      </c>
      <c r="S87">
        <f t="shared" si="29"/>
        <v>2.1839619681870404</v>
      </c>
      <c r="T87" s="14">
        <f t="shared" si="30"/>
        <v>9.6540558515144214E-3</v>
      </c>
      <c r="U87">
        <f t="shared" si="31"/>
        <v>8.3259430653671274</v>
      </c>
    </row>
    <row r="88" spans="1:22">
      <c r="F88" s="10">
        <v>0.64795138888888892</v>
      </c>
      <c r="G88" s="12">
        <f t="shared" si="26"/>
        <v>190.98333333333332</v>
      </c>
      <c r="H88">
        <v>4.2999999999999997E-2</v>
      </c>
      <c r="I88">
        <v>18.8</v>
      </c>
      <c r="J88">
        <v>54</v>
      </c>
      <c r="S88">
        <f t="shared" si="29"/>
        <v>2.1703718297027201</v>
      </c>
      <c r="T88" s="14">
        <f t="shared" si="30"/>
        <v>9.8071811558276163E-3</v>
      </c>
      <c r="U88">
        <f t="shared" si="31"/>
        <v>7.0008081430718594</v>
      </c>
    </row>
    <row r="89" spans="1:22">
      <c r="F89" s="10">
        <v>0.66678240740740735</v>
      </c>
      <c r="G89" s="12">
        <f t="shared" si="26"/>
        <v>218.1</v>
      </c>
      <c r="H89">
        <v>0.04</v>
      </c>
      <c r="I89">
        <v>18.600000000000001</v>
      </c>
      <c r="J89">
        <v>55</v>
      </c>
      <c r="S89">
        <f t="shared" si="29"/>
        <v>2.1434134163506675</v>
      </c>
      <c r="T89" s="14">
        <f t="shared" si="30"/>
        <v>9.4748137265009847E-3</v>
      </c>
      <c r="U89">
        <f t="shared" si="31"/>
        <v>-12.012712038969523</v>
      </c>
    </row>
    <row r="90" spans="1:22">
      <c r="S90">
        <f t="shared" si="29"/>
        <v>0.61184758428942232</v>
      </c>
      <c r="T90" s="14">
        <f t="shared" si="30"/>
        <v>6.0102906118803768E-3</v>
      </c>
      <c r="U90" t="e">
        <f t="shared" si="31"/>
        <v>#DIV/0!</v>
      </c>
    </row>
    <row r="91" spans="1:22">
      <c r="S91">
        <f t="shared" si="29"/>
        <v>0.61184758428942232</v>
      </c>
      <c r="T91" s="14">
        <f t="shared" si="30"/>
        <v>6.0102906118803768E-3</v>
      </c>
      <c r="U91" t="e">
        <f t="shared" si="31"/>
        <v>#DIV/0!</v>
      </c>
    </row>
    <row r="94" spans="1:22">
      <c r="A94" t="s">
        <v>37</v>
      </c>
      <c r="B94" t="s">
        <v>55</v>
      </c>
      <c r="C94">
        <v>2</v>
      </c>
      <c r="D94">
        <v>1</v>
      </c>
      <c r="E94" t="s">
        <v>54</v>
      </c>
      <c r="F94" s="10">
        <v>0.44780092592592591</v>
      </c>
      <c r="K94" s="15">
        <v>6.61</v>
      </c>
      <c r="L94" s="15"/>
    </row>
    <row r="95" spans="1:22">
      <c r="A95" t="s">
        <v>37</v>
      </c>
      <c r="B95" t="s">
        <v>55</v>
      </c>
      <c r="C95">
        <v>2</v>
      </c>
      <c r="D95">
        <v>2</v>
      </c>
      <c r="E95" t="s">
        <v>54</v>
      </c>
      <c r="F95" s="10">
        <v>0.51603009259259258</v>
      </c>
      <c r="G95" s="12">
        <f>((HOUR(F95)-HOUR($F$95))*60*60 + (MINUTE(F95)-MINUTE($F$95))*60 + (SECOND(F95)-SECOND($F$95)))/60</f>
        <v>0</v>
      </c>
      <c r="H95">
        <v>5.7000000000000002E-2</v>
      </c>
      <c r="I95">
        <v>19.600000000000001</v>
      </c>
      <c r="J95">
        <v>54</v>
      </c>
      <c r="S95">
        <f>EXP(52.57633-6790.49851/(I95+273.15)-5.028081*LN(I95+273.15))</f>
        <v>2.2811957777009964</v>
      </c>
      <c r="T95" s="14">
        <f>(1-(J95/100))*(S95/W$1)</f>
        <v>1.0307957345210788E-2</v>
      </c>
      <c r="U95">
        <f>-((H96-H95)/18*1000)/((G96-G95)*60)/T95/(K$94*2/10000)</f>
        <v>6.7163718994609374</v>
      </c>
      <c r="V95" s="22">
        <f>AVERAGE(U96:U101)</f>
        <v>5.5292868973205955</v>
      </c>
    </row>
    <row r="96" spans="1:22">
      <c r="D96">
        <v>3</v>
      </c>
      <c r="E96" t="s">
        <v>54</v>
      </c>
      <c r="F96" s="10">
        <v>0.53710648148148155</v>
      </c>
      <c r="G96" s="12">
        <f t="shared" ref="G96:G102" si="32">((HOUR(F96)-HOUR($F$95))*60*60 + (MINUTE(F96)-MINUTE($F$95))*60 + (SECOND(F96)-SECOND($F$95)))/60</f>
        <v>30.35</v>
      </c>
      <c r="H96">
        <v>5.3999999999999999E-2</v>
      </c>
      <c r="I96">
        <v>20</v>
      </c>
      <c r="J96">
        <v>60</v>
      </c>
      <c r="S96">
        <f t="shared" ref="S96" si="33">EXP(52.57633-6790.49851/(I96+273.15)-5.028081*LN(I96+273.15))</f>
        <v>2.3384408524202462</v>
      </c>
      <c r="T96" s="14">
        <f t="shared" ref="T96" si="34">(1-(J96/100))*(S96/W$1)</f>
        <v>9.188372701061872E-3</v>
      </c>
      <c r="U96">
        <f>-((H97-H96)/18*1000)/((G97-G96)*60)/T96/(K$94*2/10000)</f>
        <v>5.6221170040136501</v>
      </c>
      <c r="V96" s="23">
        <f>-SLOPE(H97:H102,G97:G102)/60/AVERAGE(T97:T102)*1000/18/(K94*2/10000)</f>
        <v>5.516244566654203</v>
      </c>
    </row>
    <row r="97" spans="1:22">
      <c r="F97" s="10">
        <v>0.57476851851851851</v>
      </c>
      <c r="G97" s="12">
        <f t="shared" si="32"/>
        <v>84.583333333333329</v>
      </c>
      <c r="H97">
        <v>0.05</v>
      </c>
      <c r="I97">
        <v>19.5</v>
      </c>
      <c r="J97">
        <v>60</v>
      </c>
      <c r="S97">
        <f t="shared" ref="S97:S104" si="35">EXP(52.57633-6790.49851/(I97+273.15)-5.028081*LN(I97+273.15))</f>
        <v>2.2670775008994388</v>
      </c>
      <c r="T97" s="14">
        <f t="shared" ref="T97:T104" si="36">(1-(J97/100))*(S97/W$1)</f>
        <v>8.9079666047129236E-3</v>
      </c>
      <c r="U97">
        <f t="shared" ref="U97:U104" si="37">-((H98-H97)/18*1000)/((G98-G97)*60)/T97/(K$94*2/10000)</f>
        <v>5.2739634369630064</v>
      </c>
    </row>
    <row r="98" spans="1:22">
      <c r="F98" s="10">
        <v>0.59547453703703701</v>
      </c>
      <c r="G98" s="12">
        <f t="shared" si="32"/>
        <v>114.4</v>
      </c>
      <c r="H98">
        <v>4.8000000000000001E-2</v>
      </c>
      <c r="I98">
        <v>19.8</v>
      </c>
      <c r="J98">
        <v>57</v>
      </c>
      <c r="S98">
        <f t="shared" si="35"/>
        <v>2.3096632144371356</v>
      </c>
      <c r="T98" s="14">
        <f t="shared" si="36"/>
        <v>9.7559448154024408E-3</v>
      </c>
      <c r="U98">
        <f t="shared" si="37"/>
        <v>6.5663324236897598</v>
      </c>
    </row>
    <row r="99" spans="1:22">
      <c r="F99" s="10">
        <v>0.6106597222222222</v>
      </c>
      <c r="G99" s="12">
        <f t="shared" si="32"/>
        <v>136.26666666666668</v>
      </c>
      <c r="H99">
        <v>4.5999999999999999E-2</v>
      </c>
      <c r="I99">
        <v>19.100000000000001</v>
      </c>
      <c r="J99">
        <v>55</v>
      </c>
      <c r="S99">
        <f t="shared" si="35"/>
        <v>2.2113658212683842</v>
      </c>
      <c r="T99" s="14">
        <f t="shared" si="36"/>
        <v>9.7751927266284157E-3</v>
      </c>
      <c r="U99">
        <f t="shared" si="37"/>
        <v>5.7743886224335865</v>
      </c>
    </row>
    <row r="100" spans="1:22">
      <c r="F100" s="10">
        <v>0.62789351851851849</v>
      </c>
      <c r="G100" s="12">
        <f t="shared" si="32"/>
        <v>161.08333333333334</v>
      </c>
      <c r="H100">
        <v>4.3999999999999997E-2</v>
      </c>
      <c r="I100">
        <v>18.899999999999999</v>
      </c>
      <c r="J100">
        <v>55</v>
      </c>
      <c r="S100">
        <f t="shared" si="35"/>
        <v>2.1839619681870404</v>
      </c>
      <c r="T100" s="14">
        <f t="shared" si="36"/>
        <v>9.6540558515144214E-3</v>
      </c>
      <c r="U100">
        <f t="shared" si="37"/>
        <v>4.8285919018367549</v>
      </c>
    </row>
    <row r="101" spans="1:22">
      <c r="F101" s="10">
        <v>0.64876157407407409</v>
      </c>
      <c r="G101" s="12">
        <f t="shared" si="32"/>
        <v>191.13333333333333</v>
      </c>
      <c r="H101">
        <v>4.2000000000000003E-2</v>
      </c>
      <c r="I101">
        <v>18.8</v>
      </c>
      <c r="J101">
        <v>54</v>
      </c>
      <c r="S101">
        <f t="shared" si="35"/>
        <v>2.1703718297027201</v>
      </c>
      <c r="T101" s="14">
        <f t="shared" si="36"/>
        <v>9.8071811558276163E-3</v>
      </c>
      <c r="U101">
        <f t="shared" si="37"/>
        <v>5.110327994986811</v>
      </c>
    </row>
    <row r="102" spans="1:22">
      <c r="F102" s="10">
        <v>0.66817129629629635</v>
      </c>
      <c r="G102" s="12">
        <f t="shared" si="32"/>
        <v>219.08333333333334</v>
      </c>
      <c r="H102">
        <v>0.04</v>
      </c>
      <c r="I102">
        <v>18.600000000000001</v>
      </c>
      <c r="J102">
        <v>55</v>
      </c>
      <c r="S102">
        <f t="shared" si="35"/>
        <v>2.1434134163506675</v>
      </c>
      <c r="T102" s="14">
        <f t="shared" si="36"/>
        <v>9.4748137265009847E-3</v>
      </c>
      <c r="U102">
        <f t="shared" si="37"/>
        <v>-13.496611909580452</v>
      </c>
    </row>
    <row r="103" spans="1:22">
      <c r="S103">
        <f t="shared" si="35"/>
        <v>0.61184758428942232</v>
      </c>
      <c r="T103" s="14">
        <f t="shared" si="36"/>
        <v>6.0102906118803768E-3</v>
      </c>
      <c r="U103" t="e">
        <f t="shared" si="37"/>
        <v>#DIV/0!</v>
      </c>
    </row>
    <row r="104" spans="1:22">
      <c r="S104">
        <f t="shared" si="35"/>
        <v>0.61184758428942232</v>
      </c>
      <c r="T104" s="14">
        <f t="shared" si="36"/>
        <v>6.0102906118803768E-3</v>
      </c>
      <c r="U104" t="e">
        <f t="shared" si="37"/>
        <v>#DIV/0!</v>
      </c>
    </row>
    <row r="107" spans="1:22">
      <c r="A107" t="s">
        <v>37</v>
      </c>
      <c r="B107" t="s">
        <v>55</v>
      </c>
      <c r="C107">
        <v>3</v>
      </c>
      <c r="D107">
        <v>1</v>
      </c>
      <c r="E107" t="s">
        <v>54</v>
      </c>
      <c r="F107" s="10">
        <v>0.44780092592592591</v>
      </c>
      <c r="K107" s="15">
        <v>6.21</v>
      </c>
      <c r="L107" s="15"/>
    </row>
    <row r="108" spans="1:22">
      <c r="A108" t="s">
        <v>37</v>
      </c>
      <c r="B108" t="s">
        <v>55</v>
      </c>
      <c r="C108">
        <v>3</v>
      </c>
      <c r="D108">
        <v>2</v>
      </c>
      <c r="E108" t="s">
        <v>54</v>
      </c>
      <c r="F108" s="10">
        <v>0.51693287037037039</v>
      </c>
      <c r="G108" s="12">
        <f>((HOUR(F108)-HOUR($F$108))*60*60 + (MINUTE(F108)-MINUTE($F$108))*60 + (SECOND(F108)-SECOND($F$108)))/60</f>
        <v>0</v>
      </c>
      <c r="H108">
        <v>7.0999999999999994E-2</v>
      </c>
      <c r="I108">
        <v>19.600000000000001</v>
      </c>
      <c r="J108">
        <v>54</v>
      </c>
      <c r="S108">
        <f>EXP(52.57633-6790.49851/(I108+273.15)-5.028081*LN(I108+273.15))</f>
        <v>2.2811957777009964</v>
      </c>
      <c r="T108" s="14">
        <f>(1-(J108/100))*(S108/W$1)</f>
        <v>1.0307957345210788E-2</v>
      </c>
      <c r="U108">
        <f>-((H109-H108)/18*1000)/((G109-G108)*60)/T108/(K$107*2/10000)</f>
        <v>7.600142124626319</v>
      </c>
      <c r="V108" s="22">
        <f>AVERAGE(U109:U114)</f>
        <v>8.240517684491298</v>
      </c>
    </row>
    <row r="109" spans="1:22">
      <c r="D109">
        <v>3</v>
      </c>
      <c r="E109" t="s">
        <v>54</v>
      </c>
      <c r="F109" s="10">
        <v>0.53741898148148148</v>
      </c>
      <c r="G109" s="12">
        <f t="shared" ref="G109:G115" si="38">((HOUR(F109)-HOUR($F$108))*60*60 + (MINUTE(F109)-MINUTE($F$108))*60 + (SECOND(F109)-SECOND($F$108)))/60</f>
        <v>29.5</v>
      </c>
      <c r="H109">
        <v>6.7900000000000002E-2</v>
      </c>
      <c r="I109">
        <v>20</v>
      </c>
      <c r="J109">
        <v>60</v>
      </c>
      <c r="S109">
        <f t="shared" ref="S109" si="39">EXP(52.57633-6790.49851/(I109+273.15)-5.028081*LN(I109+273.15))</f>
        <v>2.3384408524202462</v>
      </c>
      <c r="T109" s="14">
        <f t="shared" ref="T109" si="40">(1-(J109/100))*(S109/W$1)</f>
        <v>9.188372701061872E-3</v>
      </c>
      <c r="U109">
        <f>-((H110-H109)/18*1000)/((G110-G109)*60)/T109/(K$107*2/10000)</f>
        <v>7.4150198050903642</v>
      </c>
      <c r="V109" s="23">
        <f>-SLOPE(H109:H115,G109:G115)/60/AVERAGE(T110:T115)*1000/18/(K107*2/10000)</f>
        <v>8.2279094603531977</v>
      </c>
    </row>
    <row r="110" spans="1:22">
      <c r="F110" s="10">
        <v>0.57465277777777779</v>
      </c>
      <c r="G110" s="12">
        <f t="shared" si="38"/>
        <v>83.11666666666666</v>
      </c>
      <c r="H110">
        <v>6.3E-2</v>
      </c>
      <c r="I110">
        <v>19.5</v>
      </c>
      <c r="J110">
        <v>60</v>
      </c>
      <c r="S110">
        <f t="shared" ref="S110:S118" si="41">EXP(52.57633-6790.49851/(I110+273.15)-5.028081*LN(I110+273.15))</f>
        <v>2.2670775008994388</v>
      </c>
      <c r="T110" s="14">
        <f t="shared" ref="T110:T118" si="42">(1-(J110/100))*(S110/W$1)</f>
        <v>8.9079666047129236E-3</v>
      </c>
      <c r="U110">
        <f>-((H111-H110)/18*1000)/((G111-G110)*60)/T110/(K$107*2/10000)</f>
        <v>11.499455524483579</v>
      </c>
    </row>
    <row r="111" spans="1:22">
      <c r="F111" s="10">
        <v>0.5958796296296297</v>
      </c>
      <c r="G111" s="12">
        <f t="shared" si="38"/>
        <v>113.68333333333334</v>
      </c>
      <c r="H111">
        <v>5.8799999999999998E-2</v>
      </c>
      <c r="I111">
        <v>19.8</v>
      </c>
      <c r="J111">
        <v>57</v>
      </c>
      <c r="S111">
        <f t="shared" si="41"/>
        <v>2.3096632144371356</v>
      </c>
      <c r="T111" s="14">
        <f t="shared" si="42"/>
        <v>9.7559448154024408E-3</v>
      </c>
      <c r="U111">
        <f t="shared" ref="U111:U118" si="43">-((H112-H111)/18*1000)/((G112-G111)*60)/T111/(K$107*2/10000)</f>
        <v>3.3837422087106961</v>
      </c>
    </row>
    <row r="112" spans="1:22">
      <c r="F112" s="10">
        <v>0.61156250000000001</v>
      </c>
      <c r="G112" s="12">
        <f t="shared" si="38"/>
        <v>136.26666666666668</v>
      </c>
      <c r="H112">
        <v>5.7799999999999997E-2</v>
      </c>
      <c r="I112">
        <v>19.100000000000001</v>
      </c>
      <c r="J112">
        <v>55</v>
      </c>
      <c r="S112">
        <f t="shared" si="41"/>
        <v>2.2113658212683842</v>
      </c>
      <c r="T112" s="14">
        <f t="shared" si="42"/>
        <v>9.7751927266284157E-3</v>
      </c>
      <c r="U112">
        <f t="shared" si="43"/>
        <v>11.820925882128497</v>
      </c>
    </row>
    <row r="113" spans="6:23">
      <c r="F113" s="10">
        <v>0.62858796296296293</v>
      </c>
      <c r="G113" s="12">
        <f t="shared" si="38"/>
        <v>160.78333333333333</v>
      </c>
      <c r="H113">
        <v>5.3999999999999999E-2</v>
      </c>
      <c r="I113">
        <v>18.899999999999999</v>
      </c>
      <c r="J113">
        <v>55</v>
      </c>
      <c r="S113">
        <f t="shared" si="41"/>
        <v>2.1839619681870404</v>
      </c>
      <c r="T113" s="14">
        <f t="shared" si="42"/>
        <v>9.6540558515144214E-3</v>
      </c>
      <c r="U113">
        <f t="shared" si="43"/>
        <v>7.7222675020755931</v>
      </c>
    </row>
    <row r="114" spans="6:23">
      <c r="F114" s="10">
        <v>0.6494212962962963</v>
      </c>
      <c r="G114" s="12">
        <f t="shared" si="38"/>
        <v>190.78333333333333</v>
      </c>
      <c r="H114">
        <v>5.0999999999999997E-2</v>
      </c>
      <c r="I114">
        <v>18.8</v>
      </c>
      <c r="J114">
        <v>54</v>
      </c>
      <c r="S114">
        <f t="shared" si="41"/>
        <v>2.1703718297027201</v>
      </c>
      <c r="T114" s="14">
        <f t="shared" si="42"/>
        <v>9.8071811558276163E-3</v>
      </c>
      <c r="U114">
        <f t="shared" si="43"/>
        <v>7.601695184459051</v>
      </c>
    </row>
    <row r="115" spans="6:23">
      <c r="F115" s="10">
        <v>0.67025462962962967</v>
      </c>
      <c r="G115" s="12">
        <f t="shared" si="38"/>
        <v>220.78333333333333</v>
      </c>
      <c r="H115">
        <v>4.8000000000000001E-2</v>
      </c>
      <c r="I115">
        <v>18.600000000000001</v>
      </c>
      <c r="J115">
        <v>55</v>
      </c>
      <c r="S115">
        <f t="shared" si="41"/>
        <v>2.1434134163506675</v>
      </c>
      <c r="T115" s="14">
        <f t="shared" si="42"/>
        <v>9.4748137265009847E-3</v>
      </c>
      <c r="U115">
        <f t="shared" si="43"/>
        <v>-17.106411683403454</v>
      </c>
    </row>
    <row r="116" spans="6:23">
      <c r="S116">
        <f t="shared" si="41"/>
        <v>0.61184758428942232</v>
      </c>
      <c r="T116" s="14">
        <f t="shared" si="42"/>
        <v>6.0102906118803768E-3</v>
      </c>
      <c r="U116" t="e">
        <f t="shared" si="43"/>
        <v>#DIV/0!</v>
      </c>
    </row>
    <row r="117" spans="6:23">
      <c r="S117">
        <f t="shared" si="41"/>
        <v>0.61184758428942232</v>
      </c>
      <c r="T117" s="14">
        <f t="shared" si="42"/>
        <v>6.0102906118803768E-3</v>
      </c>
      <c r="U117" t="e">
        <f t="shared" si="43"/>
        <v>#DIV/0!</v>
      </c>
    </row>
    <row r="118" spans="6:23">
      <c r="S118">
        <f t="shared" si="41"/>
        <v>0.61184758428942232</v>
      </c>
      <c r="T118" s="14">
        <f t="shared" si="42"/>
        <v>6.0102906118803768E-3</v>
      </c>
      <c r="U118" t="e">
        <f t="shared" si="43"/>
        <v>#DIV/0!</v>
      </c>
    </row>
    <row r="120" spans="6:23">
      <c r="W120">
        <f>AVERAGE(V5:V118)</f>
        <v>5.9017224094808123</v>
      </c>
    </row>
    <row r="121" spans="6:23">
      <c r="W121">
        <f>STDEV(V5:V109)</f>
        <v>1.672362555487527</v>
      </c>
    </row>
  </sheetData>
  <phoneticPr fontId="1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B6C74-E7FF-F946-85FD-F472DF073C6F}">
  <dimension ref="A1:CJ58"/>
  <sheetViews>
    <sheetView tabSelected="1" workbookViewId="0">
      <selection activeCell="I10" sqref="I10"/>
    </sheetView>
  </sheetViews>
  <sheetFormatPr baseColWidth="10" defaultColWidth="8.83203125" defaultRowHeight="16"/>
  <cols>
    <col min="1" max="1" width="14.5" customWidth="1"/>
    <col min="2" max="2" width="10.5" customWidth="1"/>
    <col min="5" max="5" width="11.5" customWidth="1"/>
    <col min="9" max="9" width="12" customWidth="1"/>
    <col min="10" max="10" width="8.33203125" customWidth="1"/>
    <col min="13" max="13" width="26.5" customWidth="1"/>
    <col min="14" max="14" width="12.5" bestFit="1" customWidth="1"/>
    <col min="257" max="257" width="14.5" customWidth="1"/>
    <col min="258" max="258" width="10.5" customWidth="1"/>
    <col min="261" max="261" width="11.5" customWidth="1"/>
    <col min="265" max="265" width="12" customWidth="1"/>
    <col min="266" max="266" width="8.33203125" customWidth="1"/>
    <col min="269" max="269" width="26.5" customWidth="1"/>
    <col min="513" max="513" width="14.5" customWidth="1"/>
    <col min="514" max="514" width="10.5" customWidth="1"/>
    <col min="517" max="517" width="11.5" customWidth="1"/>
    <col min="521" max="521" width="12" customWidth="1"/>
    <col min="522" max="522" width="8.33203125" customWidth="1"/>
    <col min="525" max="525" width="26.5" customWidth="1"/>
    <col min="769" max="769" width="14.5" customWidth="1"/>
    <col min="770" max="770" width="10.5" customWidth="1"/>
    <col min="773" max="773" width="11.5" customWidth="1"/>
    <col min="777" max="777" width="12" customWidth="1"/>
    <col min="778" max="778" width="8.33203125" customWidth="1"/>
    <col min="781" max="781" width="26.5" customWidth="1"/>
    <col min="1025" max="1025" width="14.5" customWidth="1"/>
    <col min="1026" max="1026" width="10.5" customWidth="1"/>
    <col min="1029" max="1029" width="11.5" customWidth="1"/>
    <col min="1033" max="1033" width="12" customWidth="1"/>
    <col min="1034" max="1034" width="8.33203125" customWidth="1"/>
    <col min="1037" max="1037" width="26.5" customWidth="1"/>
    <col min="1281" max="1281" width="14.5" customWidth="1"/>
    <col min="1282" max="1282" width="10.5" customWidth="1"/>
    <col min="1285" max="1285" width="11.5" customWidth="1"/>
    <col min="1289" max="1289" width="12" customWidth="1"/>
    <col min="1290" max="1290" width="8.33203125" customWidth="1"/>
    <col min="1293" max="1293" width="26.5" customWidth="1"/>
    <col min="1537" max="1537" width="14.5" customWidth="1"/>
    <col min="1538" max="1538" width="10.5" customWidth="1"/>
    <col min="1541" max="1541" width="11.5" customWidth="1"/>
    <col min="1545" max="1545" width="12" customWidth="1"/>
    <col min="1546" max="1546" width="8.33203125" customWidth="1"/>
    <col min="1549" max="1549" width="26.5" customWidth="1"/>
    <col min="1793" max="1793" width="14.5" customWidth="1"/>
    <col min="1794" max="1794" width="10.5" customWidth="1"/>
    <col min="1797" max="1797" width="11.5" customWidth="1"/>
    <col min="1801" max="1801" width="12" customWidth="1"/>
    <col min="1802" max="1802" width="8.33203125" customWidth="1"/>
    <col min="1805" max="1805" width="26.5" customWidth="1"/>
    <col min="2049" max="2049" width="14.5" customWidth="1"/>
    <col min="2050" max="2050" width="10.5" customWidth="1"/>
    <col min="2053" max="2053" width="11.5" customWidth="1"/>
    <col min="2057" max="2057" width="12" customWidth="1"/>
    <col min="2058" max="2058" width="8.33203125" customWidth="1"/>
    <col min="2061" max="2061" width="26.5" customWidth="1"/>
    <col min="2305" max="2305" width="14.5" customWidth="1"/>
    <col min="2306" max="2306" width="10.5" customWidth="1"/>
    <col min="2309" max="2309" width="11.5" customWidth="1"/>
    <col min="2313" max="2313" width="12" customWidth="1"/>
    <col min="2314" max="2314" width="8.33203125" customWidth="1"/>
    <col min="2317" max="2317" width="26.5" customWidth="1"/>
    <col min="2561" max="2561" width="14.5" customWidth="1"/>
    <col min="2562" max="2562" width="10.5" customWidth="1"/>
    <col min="2565" max="2565" width="11.5" customWidth="1"/>
    <col min="2569" max="2569" width="12" customWidth="1"/>
    <col min="2570" max="2570" width="8.33203125" customWidth="1"/>
    <col min="2573" max="2573" width="26.5" customWidth="1"/>
    <col min="2817" max="2817" width="14.5" customWidth="1"/>
    <col min="2818" max="2818" width="10.5" customWidth="1"/>
    <col min="2821" max="2821" width="11.5" customWidth="1"/>
    <col min="2825" max="2825" width="12" customWidth="1"/>
    <col min="2826" max="2826" width="8.33203125" customWidth="1"/>
    <col min="2829" max="2829" width="26.5" customWidth="1"/>
    <col min="3073" max="3073" width="14.5" customWidth="1"/>
    <col min="3074" max="3074" width="10.5" customWidth="1"/>
    <col min="3077" max="3077" width="11.5" customWidth="1"/>
    <col min="3081" max="3081" width="12" customWidth="1"/>
    <col min="3082" max="3082" width="8.33203125" customWidth="1"/>
    <col min="3085" max="3085" width="26.5" customWidth="1"/>
    <col min="3329" max="3329" width="14.5" customWidth="1"/>
    <col min="3330" max="3330" width="10.5" customWidth="1"/>
    <col min="3333" max="3333" width="11.5" customWidth="1"/>
    <col min="3337" max="3337" width="12" customWidth="1"/>
    <col min="3338" max="3338" width="8.33203125" customWidth="1"/>
    <col min="3341" max="3341" width="26.5" customWidth="1"/>
    <col min="3585" max="3585" width="14.5" customWidth="1"/>
    <col min="3586" max="3586" width="10.5" customWidth="1"/>
    <col min="3589" max="3589" width="11.5" customWidth="1"/>
    <col min="3593" max="3593" width="12" customWidth="1"/>
    <col min="3594" max="3594" width="8.33203125" customWidth="1"/>
    <col min="3597" max="3597" width="26.5" customWidth="1"/>
    <col min="3841" max="3841" width="14.5" customWidth="1"/>
    <col min="3842" max="3842" width="10.5" customWidth="1"/>
    <col min="3845" max="3845" width="11.5" customWidth="1"/>
    <col min="3849" max="3849" width="12" customWidth="1"/>
    <col min="3850" max="3850" width="8.33203125" customWidth="1"/>
    <col min="3853" max="3853" width="26.5" customWidth="1"/>
    <col min="4097" max="4097" width="14.5" customWidth="1"/>
    <col min="4098" max="4098" width="10.5" customWidth="1"/>
    <col min="4101" max="4101" width="11.5" customWidth="1"/>
    <col min="4105" max="4105" width="12" customWidth="1"/>
    <col min="4106" max="4106" width="8.33203125" customWidth="1"/>
    <col min="4109" max="4109" width="26.5" customWidth="1"/>
    <col min="4353" max="4353" width="14.5" customWidth="1"/>
    <col min="4354" max="4354" width="10.5" customWidth="1"/>
    <col min="4357" max="4357" width="11.5" customWidth="1"/>
    <col min="4361" max="4361" width="12" customWidth="1"/>
    <col min="4362" max="4362" width="8.33203125" customWidth="1"/>
    <col min="4365" max="4365" width="26.5" customWidth="1"/>
    <col min="4609" max="4609" width="14.5" customWidth="1"/>
    <col min="4610" max="4610" width="10.5" customWidth="1"/>
    <col min="4613" max="4613" width="11.5" customWidth="1"/>
    <col min="4617" max="4617" width="12" customWidth="1"/>
    <col min="4618" max="4618" width="8.33203125" customWidth="1"/>
    <col min="4621" max="4621" width="26.5" customWidth="1"/>
    <col min="4865" max="4865" width="14.5" customWidth="1"/>
    <col min="4866" max="4866" width="10.5" customWidth="1"/>
    <col min="4869" max="4869" width="11.5" customWidth="1"/>
    <col min="4873" max="4873" width="12" customWidth="1"/>
    <col min="4874" max="4874" width="8.33203125" customWidth="1"/>
    <col min="4877" max="4877" width="26.5" customWidth="1"/>
    <col min="5121" max="5121" width="14.5" customWidth="1"/>
    <col min="5122" max="5122" width="10.5" customWidth="1"/>
    <col min="5125" max="5125" width="11.5" customWidth="1"/>
    <col min="5129" max="5129" width="12" customWidth="1"/>
    <col min="5130" max="5130" width="8.33203125" customWidth="1"/>
    <col min="5133" max="5133" width="26.5" customWidth="1"/>
    <col min="5377" max="5377" width="14.5" customWidth="1"/>
    <col min="5378" max="5378" width="10.5" customWidth="1"/>
    <col min="5381" max="5381" width="11.5" customWidth="1"/>
    <col min="5385" max="5385" width="12" customWidth="1"/>
    <col min="5386" max="5386" width="8.33203125" customWidth="1"/>
    <col min="5389" max="5389" width="26.5" customWidth="1"/>
    <col min="5633" max="5633" width="14.5" customWidth="1"/>
    <col min="5634" max="5634" width="10.5" customWidth="1"/>
    <col min="5637" max="5637" width="11.5" customWidth="1"/>
    <col min="5641" max="5641" width="12" customWidth="1"/>
    <col min="5642" max="5642" width="8.33203125" customWidth="1"/>
    <col min="5645" max="5645" width="26.5" customWidth="1"/>
    <col min="5889" max="5889" width="14.5" customWidth="1"/>
    <col min="5890" max="5890" width="10.5" customWidth="1"/>
    <col min="5893" max="5893" width="11.5" customWidth="1"/>
    <col min="5897" max="5897" width="12" customWidth="1"/>
    <col min="5898" max="5898" width="8.33203125" customWidth="1"/>
    <col min="5901" max="5901" width="26.5" customWidth="1"/>
    <col min="6145" max="6145" width="14.5" customWidth="1"/>
    <col min="6146" max="6146" width="10.5" customWidth="1"/>
    <col min="6149" max="6149" width="11.5" customWidth="1"/>
    <col min="6153" max="6153" width="12" customWidth="1"/>
    <col min="6154" max="6154" width="8.33203125" customWidth="1"/>
    <col min="6157" max="6157" width="26.5" customWidth="1"/>
    <col min="6401" max="6401" width="14.5" customWidth="1"/>
    <col min="6402" max="6402" width="10.5" customWidth="1"/>
    <col min="6405" max="6405" width="11.5" customWidth="1"/>
    <col min="6409" max="6409" width="12" customWidth="1"/>
    <col min="6410" max="6410" width="8.33203125" customWidth="1"/>
    <col min="6413" max="6413" width="26.5" customWidth="1"/>
    <col min="6657" max="6657" width="14.5" customWidth="1"/>
    <col min="6658" max="6658" width="10.5" customWidth="1"/>
    <col min="6661" max="6661" width="11.5" customWidth="1"/>
    <col min="6665" max="6665" width="12" customWidth="1"/>
    <col min="6666" max="6666" width="8.33203125" customWidth="1"/>
    <col min="6669" max="6669" width="26.5" customWidth="1"/>
    <col min="6913" max="6913" width="14.5" customWidth="1"/>
    <col min="6914" max="6914" width="10.5" customWidth="1"/>
    <col min="6917" max="6917" width="11.5" customWidth="1"/>
    <col min="6921" max="6921" width="12" customWidth="1"/>
    <col min="6922" max="6922" width="8.33203125" customWidth="1"/>
    <col min="6925" max="6925" width="26.5" customWidth="1"/>
    <col min="7169" max="7169" width="14.5" customWidth="1"/>
    <col min="7170" max="7170" width="10.5" customWidth="1"/>
    <col min="7173" max="7173" width="11.5" customWidth="1"/>
    <col min="7177" max="7177" width="12" customWidth="1"/>
    <col min="7178" max="7178" width="8.33203125" customWidth="1"/>
    <col min="7181" max="7181" width="26.5" customWidth="1"/>
    <col min="7425" max="7425" width="14.5" customWidth="1"/>
    <col min="7426" max="7426" width="10.5" customWidth="1"/>
    <col min="7429" max="7429" width="11.5" customWidth="1"/>
    <col min="7433" max="7433" width="12" customWidth="1"/>
    <col min="7434" max="7434" width="8.33203125" customWidth="1"/>
    <col min="7437" max="7437" width="26.5" customWidth="1"/>
    <col min="7681" max="7681" width="14.5" customWidth="1"/>
    <col min="7682" max="7682" width="10.5" customWidth="1"/>
    <col min="7685" max="7685" width="11.5" customWidth="1"/>
    <col min="7689" max="7689" width="12" customWidth="1"/>
    <col min="7690" max="7690" width="8.33203125" customWidth="1"/>
    <col min="7693" max="7693" width="26.5" customWidth="1"/>
    <col min="7937" max="7937" width="14.5" customWidth="1"/>
    <col min="7938" max="7938" width="10.5" customWidth="1"/>
    <col min="7941" max="7941" width="11.5" customWidth="1"/>
    <col min="7945" max="7945" width="12" customWidth="1"/>
    <col min="7946" max="7946" width="8.33203125" customWidth="1"/>
    <col min="7949" max="7949" width="26.5" customWidth="1"/>
    <col min="8193" max="8193" width="14.5" customWidth="1"/>
    <col min="8194" max="8194" width="10.5" customWidth="1"/>
    <col min="8197" max="8197" width="11.5" customWidth="1"/>
    <col min="8201" max="8201" width="12" customWidth="1"/>
    <col min="8202" max="8202" width="8.33203125" customWidth="1"/>
    <col min="8205" max="8205" width="26.5" customWidth="1"/>
    <col min="8449" max="8449" width="14.5" customWidth="1"/>
    <col min="8450" max="8450" width="10.5" customWidth="1"/>
    <col min="8453" max="8453" width="11.5" customWidth="1"/>
    <col min="8457" max="8457" width="12" customWidth="1"/>
    <col min="8458" max="8458" width="8.33203125" customWidth="1"/>
    <col min="8461" max="8461" width="26.5" customWidth="1"/>
    <col min="8705" max="8705" width="14.5" customWidth="1"/>
    <col min="8706" max="8706" width="10.5" customWidth="1"/>
    <col min="8709" max="8709" width="11.5" customWidth="1"/>
    <col min="8713" max="8713" width="12" customWidth="1"/>
    <col min="8714" max="8714" width="8.33203125" customWidth="1"/>
    <col min="8717" max="8717" width="26.5" customWidth="1"/>
    <col min="8961" max="8961" width="14.5" customWidth="1"/>
    <col min="8962" max="8962" width="10.5" customWidth="1"/>
    <col min="8965" max="8965" width="11.5" customWidth="1"/>
    <col min="8969" max="8969" width="12" customWidth="1"/>
    <col min="8970" max="8970" width="8.33203125" customWidth="1"/>
    <col min="8973" max="8973" width="26.5" customWidth="1"/>
    <col min="9217" max="9217" width="14.5" customWidth="1"/>
    <col min="9218" max="9218" width="10.5" customWidth="1"/>
    <col min="9221" max="9221" width="11.5" customWidth="1"/>
    <col min="9225" max="9225" width="12" customWidth="1"/>
    <col min="9226" max="9226" width="8.33203125" customWidth="1"/>
    <col min="9229" max="9229" width="26.5" customWidth="1"/>
    <col min="9473" max="9473" width="14.5" customWidth="1"/>
    <col min="9474" max="9474" width="10.5" customWidth="1"/>
    <col min="9477" max="9477" width="11.5" customWidth="1"/>
    <col min="9481" max="9481" width="12" customWidth="1"/>
    <col min="9482" max="9482" width="8.33203125" customWidth="1"/>
    <col min="9485" max="9485" width="26.5" customWidth="1"/>
    <col min="9729" max="9729" width="14.5" customWidth="1"/>
    <col min="9730" max="9730" width="10.5" customWidth="1"/>
    <col min="9733" max="9733" width="11.5" customWidth="1"/>
    <col min="9737" max="9737" width="12" customWidth="1"/>
    <col min="9738" max="9738" width="8.33203125" customWidth="1"/>
    <col min="9741" max="9741" width="26.5" customWidth="1"/>
    <col min="9985" max="9985" width="14.5" customWidth="1"/>
    <col min="9986" max="9986" width="10.5" customWidth="1"/>
    <col min="9989" max="9989" width="11.5" customWidth="1"/>
    <col min="9993" max="9993" width="12" customWidth="1"/>
    <col min="9994" max="9994" width="8.33203125" customWidth="1"/>
    <col min="9997" max="9997" width="26.5" customWidth="1"/>
    <col min="10241" max="10241" width="14.5" customWidth="1"/>
    <col min="10242" max="10242" width="10.5" customWidth="1"/>
    <col min="10245" max="10245" width="11.5" customWidth="1"/>
    <col min="10249" max="10249" width="12" customWidth="1"/>
    <col min="10250" max="10250" width="8.33203125" customWidth="1"/>
    <col min="10253" max="10253" width="26.5" customWidth="1"/>
    <col min="10497" max="10497" width="14.5" customWidth="1"/>
    <col min="10498" max="10498" width="10.5" customWidth="1"/>
    <col min="10501" max="10501" width="11.5" customWidth="1"/>
    <col min="10505" max="10505" width="12" customWidth="1"/>
    <col min="10506" max="10506" width="8.33203125" customWidth="1"/>
    <col min="10509" max="10509" width="26.5" customWidth="1"/>
    <col min="10753" max="10753" width="14.5" customWidth="1"/>
    <col min="10754" max="10754" width="10.5" customWidth="1"/>
    <col min="10757" max="10757" width="11.5" customWidth="1"/>
    <col min="10761" max="10761" width="12" customWidth="1"/>
    <col min="10762" max="10762" width="8.33203125" customWidth="1"/>
    <col min="10765" max="10765" width="26.5" customWidth="1"/>
    <col min="11009" max="11009" width="14.5" customWidth="1"/>
    <col min="11010" max="11010" width="10.5" customWidth="1"/>
    <col min="11013" max="11013" width="11.5" customWidth="1"/>
    <col min="11017" max="11017" width="12" customWidth="1"/>
    <col min="11018" max="11018" width="8.33203125" customWidth="1"/>
    <col min="11021" max="11021" width="26.5" customWidth="1"/>
    <col min="11265" max="11265" width="14.5" customWidth="1"/>
    <col min="11266" max="11266" width="10.5" customWidth="1"/>
    <col min="11269" max="11269" width="11.5" customWidth="1"/>
    <col min="11273" max="11273" width="12" customWidth="1"/>
    <col min="11274" max="11274" width="8.33203125" customWidth="1"/>
    <col min="11277" max="11277" width="26.5" customWidth="1"/>
    <col min="11521" max="11521" width="14.5" customWidth="1"/>
    <col min="11522" max="11522" width="10.5" customWidth="1"/>
    <col min="11525" max="11525" width="11.5" customWidth="1"/>
    <col min="11529" max="11529" width="12" customWidth="1"/>
    <col min="11530" max="11530" width="8.33203125" customWidth="1"/>
    <col min="11533" max="11533" width="26.5" customWidth="1"/>
    <col min="11777" max="11777" width="14.5" customWidth="1"/>
    <col min="11778" max="11778" width="10.5" customWidth="1"/>
    <col min="11781" max="11781" width="11.5" customWidth="1"/>
    <col min="11785" max="11785" width="12" customWidth="1"/>
    <col min="11786" max="11786" width="8.33203125" customWidth="1"/>
    <col min="11789" max="11789" width="26.5" customWidth="1"/>
    <col min="12033" max="12033" width="14.5" customWidth="1"/>
    <col min="12034" max="12034" width="10.5" customWidth="1"/>
    <col min="12037" max="12037" width="11.5" customWidth="1"/>
    <col min="12041" max="12041" width="12" customWidth="1"/>
    <col min="12042" max="12042" width="8.33203125" customWidth="1"/>
    <col min="12045" max="12045" width="26.5" customWidth="1"/>
    <col min="12289" max="12289" width="14.5" customWidth="1"/>
    <col min="12290" max="12290" width="10.5" customWidth="1"/>
    <col min="12293" max="12293" width="11.5" customWidth="1"/>
    <col min="12297" max="12297" width="12" customWidth="1"/>
    <col min="12298" max="12298" width="8.33203125" customWidth="1"/>
    <col min="12301" max="12301" width="26.5" customWidth="1"/>
    <col min="12545" max="12545" width="14.5" customWidth="1"/>
    <col min="12546" max="12546" width="10.5" customWidth="1"/>
    <col min="12549" max="12549" width="11.5" customWidth="1"/>
    <col min="12553" max="12553" width="12" customWidth="1"/>
    <col min="12554" max="12554" width="8.33203125" customWidth="1"/>
    <col min="12557" max="12557" width="26.5" customWidth="1"/>
    <col min="12801" max="12801" width="14.5" customWidth="1"/>
    <col min="12802" max="12802" width="10.5" customWidth="1"/>
    <col min="12805" max="12805" width="11.5" customWidth="1"/>
    <col min="12809" max="12809" width="12" customWidth="1"/>
    <col min="12810" max="12810" width="8.33203125" customWidth="1"/>
    <col min="12813" max="12813" width="26.5" customWidth="1"/>
    <col min="13057" max="13057" width="14.5" customWidth="1"/>
    <col min="13058" max="13058" width="10.5" customWidth="1"/>
    <col min="13061" max="13061" width="11.5" customWidth="1"/>
    <col min="13065" max="13065" width="12" customWidth="1"/>
    <col min="13066" max="13066" width="8.33203125" customWidth="1"/>
    <col min="13069" max="13069" width="26.5" customWidth="1"/>
    <col min="13313" max="13313" width="14.5" customWidth="1"/>
    <col min="13314" max="13314" width="10.5" customWidth="1"/>
    <col min="13317" max="13317" width="11.5" customWidth="1"/>
    <col min="13321" max="13321" width="12" customWidth="1"/>
    <col min="13322" max="13322" width="8.33203125" customWidth="1"/>
    <col min="13325" max="13325" width="26.5" customWidth="1"/>
    <col min="13569" max="13569" width="14.5" customWidth="1"/>
    <col min="13570" max="13570" width="10.5" customWidth="1"/>
    <col min="13573" max="13573" width="11.5" customWidth="1"/>
    <col min="13577" max="13577" width="12" customWidth="1"/>
    <col min="13578" max="13578" width="8.33203125" customWidth="1"/>
    <col min="13581" max="13581" width="26.5" customWidth="1"/>
    <col min="13825" max="13825" width="14.5" customWidth="1"/>
    <col min="13826" max="13826" width="10.5" customWidth="1"/>
    <col min="13829" max="13829" width="11.5" customWidth="1"/>
    <col min="13833" max="13833" width="12" customWidth="1"/>
    <col min="13834" max="13834" width="8.33203125" customWidth="1"/>
    <col min="13837" max="13837" width="26.5" customWidth="1"/>
    <col min="14081" max="14081" width="14.5" customWidth="1"/>
    <col min="14082" max="14082" width="10.5" customWidth="1"/>
    <col min="14085" max="14085" width="11.5" customWidth="1"/>
    <col min="14089" max="14089" width="12" customWidth="1"/>
    <col min="14090" max="14090" width="8.33203125" customWidth="1"/>
    <col min="14093" max="14093" width="26.5" customWidth="1"/>
    <col min="14337" max="14337" width="14.5" customWidth="1"/>
    <col min="14338" max="14338" width="10.5" customWidth="1"/>
    <col min="14341" max="14341" width="11.5" customWidth="1"/>
    <col min="14345" max="14345" width="12" customWidth="1"/>
    <col min="14346" max="14346" width="8.33203125" customWidth="1"/>
    <col min="14349" max="14349" width="26.5" customWidth="1"/>
    <col min="14593" max="14593" width="14.5" customWidth="1"/>
    <col min="14594" max="14594" width="10.5" customWidth="1"/>
    <col min="14597" max="14597" width="11.5" customWidth="1"/>
    <col min="14601" max="14601" width="12" customWidth="1"/>
    <col min="14602" max="14602" width="8.33203125" customWidth="1"/>
    <col min="14605" max="14605" width="26.5" customWidth="1"/>
    <col min="14849" max="14849" width="14.5" customWidth="1"/>
    <col min="14850" max="14850" width="10.5" customWidth="1"/>
    <col min="14853" max="14853" width="11.5" customWidth="1"/>
    <col min="14857" max="14857" width="12" customWidth="1"/>
    <col min="14858" max="14858" width="8.33203125" customWidth="1"/>
    <col min="14861" max="14861" width="26.5" customWidth="1"/>
    <col min="15105" max="15105" width="14.5" customWidth="1"/>
    <col min="15106" max="15106" width="10.5" customWidth="1"/>
    <col min="15109" max="15109" width="11.5" customWidth="1"/>
    <col min="15113" max="15113" width="12" customWidth="1"/>
    <col min="15114" max="15114" width="8.33203125" customWidth="1"/>
    <col min="15117" max="15117" width="26.5" customWidth="1"/>
    <col min="15361" max="15361" width="14.5" customWidth="1"/>
    <col min="15362" max="15362" width="10.5" customWidth="1"/>
    <col min="15365" max="15365" width="11.5" customWidth="1"/>
    <col min="15369" max="15369" width="12" customWidth="1"/>
    <col min="15370" max="15370" width="8.33203125" customWidth="1"/>
    <col min="15373" max="15373" width="26.5" customWidth="1"/>
    <col min="15617" max="15617" width="14.5" customWidth="1"/>
    <col min="15618" max="15618" width="10.5" customWidth="1"/>
    <col min="15621" max="15621" width="11.5" customWidth="1"/>
    <col min="15625" max="15625" width="12" customWidth="1"/>
    <col min="15626" max="15626" width="8.33203125" customWidth="1"/>
    <col min="15629" max="15629" width="26.5" customWidth="1"/>
    <col min="15873" max="15873" width="14.5" customWidth="1"/>
    <col min="15874" max="15874" width="10.5" customWidth="1"/>
    <col min="15877" max="15877" width="11.5" customWidth="1"/>
    <col min="15881" max="15881" width="12" customWidth="1"/>
    <col min="15882" max="15882" width="8.33203125" customWidth="1"/>
    <col min="15885" max="15885" width="26.5" customWidth="1"/>
    <col min="16129" max="16129" width="14.5" customWidth="1"/>
    <col min="16130" max="16130" width="10.5" customWidth="1"/>
    <col min="16133" max="16133" width="11.5" customWidth="1"/>
    <col min="16137" max="16137" width="12" customWidth="1"/>
    <col min="16138" max="16138" width="8.33203125" customWidth="1"/>
    <col min="16141" max="16141" width="26.5" customWidth="1"/>
  </cols>
  <sheetData>
    <row r="1" spans="1:88" ht="17">
      <c r="A1" t="s">
        <v>1</v>
      </c>
    </row>
    <row r="2" spans="1:88">
      <c r="A2" t="s">
        <v>2</v>
      </c>
    </row>
    <row r="4" spans="1:88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88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/>
      <c r="K5" s="1" t="s">
        <v>13</v>
      </c>
      <c r="L5" s="1"/>
      <c r="O5" s="1"/>
      <c r="P5" s="1"/>
      <c r="Q5" s="1"/>
      <c r="R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r="6" spans="1:88">
      <c r="A6" s="1"/>
      <c r="B6" s="1"/>
      <c r="C6" s="1"/>
      <c r="D6" s="1" t="s">
        <v>14</v>
      </c>
      <c r="E6" s="1" t="s">
        <v>15</v>
      </c>
      <c r="F6" s="1" t="s">
        <v>16</v>
      </c>
      <c r="G6" s="1" t="s">
        <v>17</v>
      </c>
      <c r="H6" s="1" t="s">
        <v>18</v>
      </c>
      <c r="I6" s="1" t="s">
        <v>19</v>
      </c>
      <c r="J6" s="1"/>
      <c r="K6" s="1" t="s">
        <v>20</v>
      </c>
      <c r="L6" s="1"/>
      <c r="O6" s="1"/>
      <c r="P6" s="1"/>
      <c r="Q6" s="1"/>
      <c r="R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r="7" spans="1:88">
      <c r="A7" s="2">
        <v>11</v>
      </c>
      <c r="B7" s="2">
        <v>41</v>
      </c>
      <c r="C7" s="2">
        <v>0</v>
      </c>
      <c r="D7" s="3">
        <f>((A7-A$7)*60*60+(B7-B$7)*60+(C7-C$7))/60</f>
        <v>0</v>
      </c>
      <c r="E7" s="2">
        <v>3.4550000000000001</v>
      </c>
      <c r="F7" s="4">
        <v>15.75</v>
      </c>
      <c r="G7" s="4">
        <v>22.48</v>
      </c>
      <c r="H7" s="2">
        <v>2.7250000000000001</v>
      </c>
      <c r="I7" s="3">
        <f>(1-(F7/100))*(H7/C$16)</f>
        <v>2.2663499506416586E-2</v>
      </c>
      <c r="J7" s="3"/>
      <c r="K7" s="3"/>
      <c r="N7">
        <f>EXP(52.57633-6790.49851/(G7+273.15)-5.028081*LN(G7+273.15))</f>
        <v>2.7222138127212636</v>
      </c>
      <c r="O7" s="3"/>
      <c r="X7" s="3"/>
      <c r="AC7" s="3"/>
      <c r="AL7" s="3"/>
      <c r="AQ7" s="3"/>
      <c r="AZ7" s="3"/>
      <c r="BE7" s="3"/>
      <c r="BN7" s="3"/>
      <c r="BS7" s="3"/>
      <c r="CB7" s="3"/>
      <c r="CG7" s="3"/>
    </row>
    <row r="8" spans="1:88">
      <c r="A8" s="2">
        <v>12</v>
      </c>
      <c r="B8" s="2">
        <v>3</v>
      </c>
      <c r="C8" s="2">
        <v>0</v>
      </c>
      <c r="D8" s="3">
        <f t="shared" ref="D8:D14" si="0">((A8-A$7)*60*60+(B8-B$7)*60+(C8-C$7))/60</f>
        <v>22</v>
      </c>
      <c r="E8" s="2">
        <v>3.4005000000000001</v>
      </c>
      <c r="F8" s="4">
        <v>15.75</v>
      </c>
      <c r="G8" s="2">
        <v>22.86</v>
      </c>
      <c r="H8" s="2">
        <v>2.7919999999999998</v>
      </c>
      <c r="I8" s="3">
        <f t="shared" ref="I8:I14" si="1">(1-(F8/100))*(H8/C$16)</f>
        <v>2.3220730503455082E-2</v>
      </c>
      <c r="J8" s="3"/>
      <c r="K8" s="3">
        <f>-((E8-E7)/18*1000)/((D8-D7)*60)/I8/(C$20*2/10000)</f>
        <v>2.5973095996043036</v>
      </c>
      <c r="L8" s="3"/>
      <c r="O8" s="3"/>
      <c r="P8" s="3"/>
      <c r="X8" s="3"/>
      <c r="AC8" s="3"/>
      <c r="AD8" s="3"/>
      <c r="AL8" s="3"/>
      <c r="AQ8" s="3"/>
      <c r="AR8" s="3"/>
      <c r="AZ8" s="3"/>
      <c r="BE8" s="3"/>
      <c r="BF8" s="3"/>
      <c r="BN8" s="3"/>
      <c r="BS8" s="3"/>
      <c r="BT8" s="3"/>
      <c r="CB8" s="3"/>
      <c r="CG8" s="3"/>
      <c r="CH8" s="3"/>
    </row>
    <row r="9" spans="1:88">
      <c r="A9" s="2">
        <v>12</v>
      </c>
      <c r="B9" s="2">
        <v>24</v>
      </c>
      <c r="C9" s="2">
        <v>0</v>
      </c>
      <c r="D9" s="3">
        <f t="shared" si="0"/>
        <v>43</v>
      </c>
      <c r="E9" s="2">
        <v>3.3491</v>
      </c>
      <c r="F9" s="4">
        <v>15.75</v>
      </c>
      <c r="G9" s="4">
        <v>22.86</v>
      </c>
      <c r="H9" s="2">
        <v>2.7919999999999998</v>
      </c>
      <c r="I9" s="3">
        <f>(1-(F9/100))*(H9/C$16)</f>
        <v>2.3220730503455082E-2</v>
      </c>
      <c r="J9" s="3"/>
      <c r="K9" s="3">
        <f t="shared" ref="K9:K14" si="2">-((E9-E8)/18*1000)/((D9-D8)*60)/I9/(C$20*2/10000)</f>
        <v>2.5662190434535197</v>
      </c>
      <c r="L9" s="3"/>
      <c r="M9" s="3"/>
      <c r="O9" s="3"/>
      <c r="P9" s="3"/>
      <c r="X9" s="3"/>
      <c r="AC9" s="3"/>
      <c r="AD9" s="3"/>
      <c r="AL9" s="3"/>
      <c r="AQ9" s="3"/>
      <c r="AR9" s="3"/>
      <c r="AZ9" s="3"/>
      <c r="BE9" s="3"/>
      <c r="BF9" s="3"/>
      <c r="BN9" s="3"/>
      <c r="BS9" s="3"/>
      <c r="BT9" s="3"/>
      <c r="CB9" s="3"/>
      <c r="CG9" s="3"/>
      <c r="CH9" s="3"/>
    </row>
    <row r="10" spans="1:88">
      <c r="A10" s="2">
        <v>12</v>
      </c>
      <c r="B10" s="2">
        <v>49</v>
      </c>
      <c r="C10" s="2">
        <v>0</v>
      </c>
      <c r="D10" s="3">
        <f t="shared" si="0"/>
        <v>68</v>
      </c>
      <c r="E10" s="2">
        <v>3.2833000000000001</v>
      </c>
      <c r="F10" s="4">
        <v>15.75</v>
      </c>
      <c r="G10" s="4">
        <v>22.86</v>
      </c>
      <c r="H10" s="2">
        <v>2.7919999999999998</v>
      </c>
      <c r="I10" s="3">
        <f t="shared" si="1"/>
        <v>2.3220730503455082E-2</v>
      </c>
      <c r="J10" s="3"/>
      <c r="K10" s="3">
        <f t="shared" si="2"/>
        <v>2.7595342212016019</v>
      </c>
      <c r="L10" s="3"/>
      <c r="M10" s="3"/>
      <c r="O10" s="3"/>
      <c r="P10" s="3"/>
      <c r="X10" s="3"/>
      <c r="AC10" s="3"/>
      <c r="AD10" s="3"/>
      <c r="AL10" s="3"/>
      <c r="AQ10" s="3"/>
      <c r="AR10" s="3"/>
      <c r="AZ10" s="3"/>
      <c r="BE10" s="3"/>
      <c r="BF10" s="3"/>
      <c r="BN10" s="3"/>
      <c r="BS10" s="3"/>
      <c r="BT10" s="3"/>
      <c r="CB10" s="3"/>
      <c r="CG10" s="3"/>
      <c r="CH10" s="3"/>
    </row>
    <row r="11" spans="1:88">
      <c r="A11" s="2">
        <v>13</v>
      </c>
      <c r="B11" s="2">
        <v>9</v>
      </c>
      <c r="C11" s="2">
        <v>0</v>
      </c>
      <c r="D11" s="3">
        <f t="shared" si="0"/>
        <v>88</v>
      </c>
      <c r="E11" s="2">
        <v>3.2351000000000001</v>
      </c>
      <c r="F11" s="4">
        <v>15.75</v>
      </c>
      <c r="G11" s="4">
        <v>22.86</v>
      </c>
      <c r="H11" s="2">
        <v>2.7919999999999998</v>
      </c>
      <c r="I11" s="3">
        <f t="shared" si="1"/>
        <v>2.3220730503455082E-2</v>
      </c>
      <c r="J11" s="3"/>
      <c r="K11" s="3">
        <f t="shared" si="2"/>
        <v>2.5267771554315646</v>
      </c>
      <c r="L11" s="3"/>
      <c r="M11" s="3"/>
      <c r="O11" s="3"/>
      <c r="P11" s="3"/>
      <c r="X11" s="3"/>
      <c r="AC11" s="3"/>
      <c r="AD11" s="3"/>
      <c r="AL11" s="3"/>
      <c r="AQ11" s="3"/>
      <c r="AR11" s="3"/>
      <c r="AZ11" s="3"/>
      <c r="BE11" s="3"/>
      <c r="BF11" s="3"/>
      <c r="BN11" s="3"/>
      <c r="BS11" s="3"/>
      <c r="BT11" s="3"/>
      <c r="CB11" s="3"/>
      <c r="CG11" s="3"/>
      <c r="CH11" s="3"/>
    </row>
    <row r="12" spans="1:88">
      <c r="A12" s="2">
        <v>13</v>
      </c>
      <c r="B12" s="2">
        <v>30</v>
      </c>
      <c r="C12" s="2">
        <v>0</v>
      </c>
      <c r="D12" s="3">
        <f t="shared" si="0"/>
        <v>109</v>
      </c>
      <c r="E12" s="2">
        <v>3.1831</v>
      </c>
      <c r="F12" s="4">
        <v>15.75</v>
      </c>
      <c r="G12" s="4">
        <v>23.24</v>
      </c>
      <c r="H12" s="2">
        <v>2.843</v>
      </c>
      <c r="I12" s="3">
        <f t="shared" si="1"/>
        <v>2.3644891411648571E-2</v>
      </c>
      <c r="J12" s="3"/>
      <c r="K12" s="3">
        <f t="shared" si="2"/>
        <v>2.5496026530091336</v>
      </c>
      <c r="L12" s="3"/>
      <c r="M12" s="3"/>
      <c r="O12" s="3"/>
      <c r="P12" s="3"/>
      <c r="X12" s="3"/>
      <c r="AC12" s="3"/>
      <c r="AD12" s="3"/>
      <c r="AL12" s="3"/>
      <c r="AQ12" s="3"/>
      <c r="AR12" s="3"/>
      <c r="AZ12" s="3"/>
      <c r="BE12" s="3"/>
      <c r="BF12" s="3"/>
      <c r="BN12" s="3"/>
      <c r="BS12" s="3"/>
      <c r="BT12" s="3"/>
      <c r="CB12" s="3"/>
      <c r="CG12" s="3"/>
      <c r="CH12" s="3"/>
    </row>
    <row r="13" spans="1:88">
      <c r="A13" s="2">
        <v>13</v>
      </c>
      <c r="B13" s="2">
        <v>51</v>
      </c>
      <c r="C13" s="2">
        <v>0</v>
      </c>
      <c r="D13" s="3">
        <f t="shared" si="0"/>
        <v>130</v>
      </c>
      <c r="E13" s="2">
        <v>3.1291000000000002</v>
      </c>
      <c r="F13" s="4">
        <v>15.75</v>
      </c>
      <c r="G13" s="4">
        <v>23.24</v>
      </c>
      <c r="H13" s="2">
        <v>2.843</v>
      </c>
      <c r="I13" s="3">
        <f t="shared" si="1"/>
        <v>2.3644891411648571E-2</v>
      </c>
      <c r="J13" s="3"/>
      <c r="K13" s="3">
        <f t="shared" si="2"/>
        <v>2.6476642935094739</v>
      </c>
      <c r="L13" s="3"/>
      <c r="M13" s="3"/>
      <c r="O13" s="3"/>
      <c r="P13" s="3"/>
      <c r="X13" s="3"/>
      <c r="AC13" s="3"/>
      <c r="AD13" s="3"/>
      <c r="AL13" s="3"/>
      <c r="AQ13" s="3"/>
      <c r="AR13" s="3"/>
      <c r="AZ13" s="3"/>
      <c r="BE13" s="3"/>
      <c r="BF13" s="3"/>
      <c r="BN13" s="3"/>
      <c r="BS13" s="3"/>
      <c r="BT13" s="3"/>
      <c r="CB13" s="3"/>
      <c r="CG13" s="3"/>
      <c r="CH13" s="3"/>
    </row>
    <row r="14" spans="1:88">
      <c r="A14" s="2">
        <v>14</v>
      </c>
      <c r="B14" s="2">
        <v>13</v>
      </c>
      <c r="C14" s="2">
        <v>0</v>
      </c>
      <c r="D14" s="3">
        <f t="shared" si="0"/>
        <v>152</v>
      </c>
      <c r="E14" s="2">
        <v>3.0762999999999998</v>
      </c>
      <c r="F14" s="4">
        <v>18.75</v>
      </c>
      <c r="G14" s="4">
        <v>23.63</v>
      </c>
      <c r="H14" s="2">
        <v>2.9119999999999999</v>
      </c>
      <c r="I14" s="3">
        <f t="shared" si="1"/>
        <v>2.3356367226061204E-2</v>
      </c>
      <c r="J14" s="3"/>
      <c r="K14" s="3">
        <f t="shared" si="2"/>
        <v>2.5016798132473497</v>
      </c>
      <c r="O14" s="3"/>
      <c r="P14" s="3"/>
      <c r="R14" s="1"/>
      <c r="X14" s="3"/>
      <c r="AC14" s="3"/>
      <c r="AD14" s="3"/>
      <c r="AF14" s="1"/>
      <c r="AL14" s="3"/>
      <c r="AQ14" s="3"/>
      <c r="AR14" s="3"/>
      <c r="AT14" s="1"/>
      <c r="AZ14" s="3"/>
      <c r="BE14" s="3"/>
      <c r="BF14" s="3"/>
      <c r="BH14" s="1"/>
      <c r="BN14" s="3"/>
      <c r="BS14" s="3"/>
      <c r="BT14" s="3"/>
      <c r="BV14" s="1"/>
      <c r="CB14" s="3"/>
      <c r="CG14" s="3"/>
      <c r="CH14" s="3"/>
      <c r="CJ14" s="1"/>
    </row>
    <row r="15" spans="1:88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M15" s="3"/>
    </row>
    <row r="16" spans="1:88">
      <c r="A16" s="5" t="s">
        <v>21</v>
      </c>
      <c r="B16" s="3"/>
      <c r="C16" s="4">
        <v>101.3</v>
      </c>
      <c r="D16" s="3"/>
      <c r="E16" s="6" t="s">
        <v>22</v>
      </c>
      <c r="F16" s="7">
        <f>AVERAGE(F11:F14)</f>
        <v>16.5</v>
      </c>
      <c r="G16" s="7">
        <f>AVERAGE(G11:G14)</f>
        <v>23.242499999999996</v>
      </c>
      <c r="H16" s="7">
        <f>AVERAGE(H11:H14)</f>
        <v>2.8475000000000001</v>
      </c>
      <c r="I16" s="7">
        <f>AVERAGE(I11:I14)</f>
        <v>2.3466720138203358E-2</v>
      </c>
      <c r="J16" s="7"/>
      <c r="K16" s="7">
        <f>AVERAGE(K11:K14)</f>
        <v>2.5564309787993804</v>
      </c>
      <c r="O16" s="3"/>
      <c r="Z16" s="3"/>
      <c r="AA16" s="3"/>
      <c r="AB16" s="3"/>
      <c r="AC16" s="3"/>
      <c r="AN16" s="3"/>
      <c r="AO16" s="3"/>
      <c r="AP16" s="3"/>
      <c r="AQ16" s="3"/>
      <c r="BB16" s="3"/>
      <c r="BC16" s="3"/>
      <c r="BD16" s="3"/>
      <c r="BE16" s="3"/>
      <c r="BP16" s="3"/>
      <c r="BQ16" s="3"/>
      <c r="BR16" s="3"/>
      <c r="BS16" s="3"/>
      <c r="CD16" s="3"/>
      <c r="CE16" s="3"/>
      <c r="CF16" s="3"/>
      <c r="CG16" s="3"/>
      <c r="CH16" s="3"/>
    </row>
    <row r="17" spans="1:86">
      <c r="B17" s="3"/>
      <c r="D17" s="3"/>
      <c r="E17" s="1" t="s">
        <v>23</v>
      </c>
      <c r="F17" s="3">
        <f>MAX(F11:F14)-MIN(F11:F14)</f>
        <v>3</v>
      </c>
      <c r="G17" s="3">
        <f>MAX(G11:G14)-MIN(G11:G14)</f>
        <v>0.76999999999999957</v>
      </c>
      <c r="H17" s="3">
        <f>MAX(H11:H14)-MIN(H11:H14)</f>
        <v>0.12000000000000011</v>
      </c>
      <c r="I17" s="3">
        <f>MAX(I11:I14)-MIN(I11:I14)</f>
        <v>4.2416090819348898E-4</v>
      </c>
      <c r="J17" s="3"/>
      <c r="K17" s="1">
        <f>-SLOPE(E7:E14,D7:D14)/60/AVERAGE(I11:I14)*1000/18/(C20*2/10000)</f>
        <v>2.593439027913587</v>
      </c>
      <c r="L17" t="s">
        <v>24</v>
      </c>
      <c r="M17" s="3"/>
      <c r="O17" s="3"/>
      <c r="Z17" s="3"/>
      <c r="AA17" s="3"/>
      <c r="AB17" s="3"/>
      <c r="AC17" s="3"/>
      <c r="AN17" s="3"/>
      <c r="AO17" s="3"/>
      <c r="AP17" s="3"/>
      <c r="AQ17" s="3"/>
      <c r="BB17" s="3"/>
      <c r="BC17" s="3"/>
      <c r="BD17" s="3"/>
      <c r="BE17" s="3"/>
      <c r="BP17" s="3"/>
      <c r="BQ17" s="3"/>
      <c r="BR17" s="3"/>
      <c r="BS17" s="3"/>
      <c r="CD17" s="3"/>
      <c r="CE17" s="3"/>
      <c r="CF17" s="3"/>
      <c r="CG17" s="3"/>
      <c r="CH17" s="3"/>
    </row>
    <row r="18" spans="1:86" ht="17">
      <c r="A18" s="5" t="s">
        <v>25</v>
      </c>
      <c r="B18" s="3"/>
      <c r="C18" s="4">
        <v>190.16057043636238</v>
      </c>
      <c r="D18" s="3"/>
      <c r="E18" s="3"/>
      <c r="F18" s="3"/>
      <c r="G18" s="3"/>
      <c r="H18" s="3"/>
      <c r="I18" s="3"/>
      <c r="J18" s="3"/>
      <c r="K18" s="3"/>
      <c r="L18" s="3"/>
      <c r="M18" s="3"/>
      <c r="Z18" s="3"/>
      <c r="AA18" s="3"/>
      <c r="AN18" s="3"/>
      <c r="AO18" s="3"/>
      <c r="BB18" s="3"/>
      <c r="BC18" s="3"/>
      <c r="BP18" s="3"/>
      <c r="BQ18" s="3"/>
      <c r="CD18" s="3"/>
      <c r="CE18" s="3"/>
    </row>
    <row r="19" spans="1:86" ht="17">
      <c r="A19" s="5" t="s">
        <v>26</v>
      </c>
      <c r="B19" s="3"/>
      <c r="C19" s="2">
        <v>190.16057043636238</v>
      </c>
      <c r="E19" s="3" t="s">
        <v>27</v>
      </c>
      <c r="F19" s="3"/>
      <c r="G19" s="3"/>
      <c r="H19" s="3"/>
      <c r="I19" s="3"/>
      <c r="J19" s="3"/>
      <c r="K19" s="3"/>
      <c r="L19" s="3"/>
      <c r="M19" s="3"/>
      <c r="Z19" s="3"/>
      <c r="AA19" s="3"/>
      <c r="AN19" s="3"/>
      <c r="AO19" s="3"/>
      <c r="BB19" s="3"/>
      <c r="BC19" s="3"/>
      <c r="BP19" s="3"/>
      <c r="BQ19" s="3"/>
      <c r="CD19" s="3"/>
      <c r="CE19" s="3"/>
    </row>
    <row r="20" spans="1:86" ht="17">
      <c r="A20" s="5" t="s">
        <v>28</v>
      </c>
      <c r="B20" s="3"/>
      <c r="C20" s="8">
        <f>AVERAGE(C18,C19)</f>
        <v>190.16057043636238</v>
      </c>
      <c r="E20" s="3"/>
      <c r="F20" s="3"/>
      <c r="G20" s="3"/>
      <c r="H20" s="3"/>
      <c r="I20" s="3"/>
      <c r="J20" s="3"/>
      <c r="K20" s="3"/>
      <c r="L20" s="3"/>
      <c r="M20" s="3"/>
    </row>
    <row r="57" spans="12:12">
      <c r="L57" s="9"/>
    </row>
    <row r="58" spans="12:12">
      <c r="L58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leaf_model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2024-03-14T14:38:38Z</dcterms:created>
  <dcterms:modified xsi:type="dcterms:W3CDTF">2024-08-26T01:43:58Z</dcterms:modified>
</cp:coreProperties>
</file>