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jos" sheetId="1" r:id="rId4"/>
    <sheet state="visible" name="Hoja 2" sheetId="2" r:id="rId5"/>
    <sheet state="visible" name="filtrado" sheetId="3" r:id="rId6"/>
    <sheet state="visible" name="filtro_final" sheetId="4" r:id="rId7"/>
    <sheet state="visible" name="DATOS" sheetId="5" r:id="rId8"/>
    <sheet state="visible" name="CATEGORIAS" sheetId="6" r:id="rId9"/>
    <sheet state="visible" name="Hoja 5" sheetId="7" r:id="rId10"/>
    <sheet state="visible" name="Hoja 4" sheetId="8" r:id="rId11"/>
  </sheets>
  <definedNames>
    <definedName hidden="1" localSheetId="2" name="_xlnm._FilterDatabase">filtrado!$A$1:$E$487</definedName>
    <definedName hidden="1" localSheetId="3" name="_xlnm._FilterDatabase">filtro_final!$A$1:$D$188</definedName>
  </definedNames>
  <calcPr/>
</workbook>
</file>

<file path=xl/sharedStrings.xml><?xml version="1.0" encoding="utf-8"?>
<sst xmlns="http://schemas.openxmlformats.org/spreadsheetml/2006/main" count="2875" uniqueCount="834">
  <si>
    <t>Marca temporal</t>
  </si>
  <si>
    <t>Nombre y Apellido Entrevistador</t>
  </si>
  <si>
    <t>DNI Madre, Padre  o Cuidador Principal</t>
  </si>
  <si>
    <t>Apellido</t>
  </si>
  <si>
    <t>Nombre</t>
  </si>
  <si>
    <t>Apodo</t>
  </si>
  <si>
    <t>Sexo</t>
  </si>
  <si>
    <t>DNI</t>
  </si>
  <si>
    <t>Nº DNI (sin puntos ni espacios)</t>
  </si>
  <si>
    <t>Edad</t>
  </si>
  <si>
    <t>Domicilio:</t>
  </si>
  <si>
    <t>Barrio:</t>
  </si>
  <si>
    <t>Fecha de Nacimiento</t>
  </si>
  <si>
    <t>Lugar de Nacimiento</t>
  </si>
  <si>
    <t>Nacionalidad</t>
  </si>
  <si>
    <t>Relación con el Jefe/a de Hogar</t>
  </si>
  <si>
    <t>Actividades a las que asiste</t>
  </si>
  <si>
    <t>Sede en la que desarrolla las actividades</t>
  </si>
  <si>
    <t>Si está inscripto a actividades deportivas, especificar cuales</t>
  </si>
  <si>
    <t>Si está inscripto en actividades culturales, especificar a cuales</t>
  </si>
  <si>
    <t>Si esta inscripto a actividades educativas, especificar a cuales</t>
  </si>
  <si>
    <t xml:space="preserve">¿Con quien vivís en tu hogar? </t>
  </si>
  <si>
    <t>Nombre de la Madre</t>
  </si>
  <si>
    <t>Apellido de la Madre</t>
  </si>
  <si>
    <t>Nombre del Padre</t>
  </si>
  <si>
    <t>Apellido del Padre</t>
  </si>
  <si>
    <t>¿Asistís a la Escuela actualmente? (o ya terminaste la Escuela?)</t>
  </si>
  <si>
    <t>Nombre de la Escuela</t>
  </si>
  <si>
    <t>Gestión</t>
  </si>
  <si>
    <t>Grado</t>
  </si>
  <si>
    <t>Ciclo</t>
  </si>
  <si>
    <t>Turno</t>
  </si>
  <si>
    <t>Si NO asiste a la escuela. ¿Cual es el motivo?</t>
  </si>
  <si>
    <t>¿Repetiste alguna vez?</t>
  </si>
  <si>
    <t>Si repetiste, ¿Cual fué el motivo?</t>
  </si>
  <si>
    <t>¿Cuando fué la última vez que repetiste?</t>
  </si>
  <si>
    <t>Del 1 al 5 ¿Cómo te consideras como alumno? (Por ejemplo, entrega de tareas a tiempo, notas, compromiso, dificultad, que piensan los profesores de vos, etc)</t>
  </si>
  <si>
    <t>Del 1 al 5 ¿Cuánto sentís que te cuesta la Escuela?</t>
  </si>
  <si>
    <t>¿Cuantas horas por semana estudias o le dedicas a las tareas, luego de la Escuela?</t>
  </si>
  <si>
    <t>¿Tenes en tu hogar un lugar cómodo  y apropiado donde podes hacer las tareas y estudiar?</t>
  </si>
  <si>
    <t>¿Sentis que alguien en tu hogar se preocupa por saber como te va en la Escuela?</t>
  </si>
  <si>
    <t>¿Cuántas veces faltaste a la Escuela el último mes?</t>
  </si>
  <si>
    <t>Del 1 al 5, ¿Cuan seguro o cómodo te sentís en la Escuela?</t>
  </si>
  <si>
    <t>En el último año ¿Alguien te burló en la  Escuela?</t>
  </si>
  <si>
    <t>Si la respuesta es SI, ¿Cuan seguido sucede?</t>
  </si>
  <si>
    <t>¿Tenés computadora en tu casa?</t>
  </si>
  <si>
    <t>Si tiene computadora ¿Con que frecuencia la usas?</t>
  </si>
  <si>
    <t>¿Cuánto consideras que sabes usar la computadora?</t>
  </si>
  <si>
    <t>¿Tenés celular?</t>
  </si>
  <si>
    <t>Si tiene celular ¿Con que frecuencia lo usas?</t>
  </si>
  <si>
    <t>¿Tenés conexión a internet o wifi en tu casa?</t>
  </si>
  <si>
    <t>Si tiene Internet ¿Con que frecuencia lo usas?</t>
  </si>
  <si>
    <t>¿Tenés y usas correo electrónico?</t>
  </si>
  <si>
    <t>¿Cuánto consideras que sabes usar internet?</t>
  </si>
  <si>
    <t>¿Te gusta el mundo de la informática?</t>
  </si>
  <si>
    <t>¿Te gustaría aprender a utilizar mejor la computadora y el internet, a programar, a manejar ciertos programas, etc?</t>
  </si>
  <si>
    <t>¿Hay algún adulto que te cuida durante la mayor parte del día?</t>
  </si>
  <si>
    <t>Cuando estas fuera de tu hogar, ¿tus padres saben donde estas?</t>
  </si>
  <si>
    <t>En una semana normal, ¿Cada cuanto se sientan a comer juntos vos y alguno de tus padres?</t>
  </si>
  <si>
    <t>En tu hogar, ¿tenes cama propia o compartis  con alguien?</t>
  </si>
  <si>
    <t>¿Compartís tiempo con tus padres? (o cuidadores) actividades, juegos, charlas, etc...</t>
  </si>
  <si>
    <t>Del 1 al 5 ¿Cuan escuchado te sentís por los adultos cuando necesitas hablar de algo importante?</t>
  </si>
  <si>
    <t>En un día normal, ¿Que comidas soles comer?</t>
  </si>
  <si>
    <t>Cuando salís de la Escuela, tus padres, ¿saben dónde estas?</t>
  </si>
  <si>
    <t>Cuando estas enfermo, ¿solés ir al doctor?</t>
  </si>
  <si>
    <t>¿Cuando fuiste al médico por última vez?</t>
  </si>
  <si>
    <t>¿Trabajaste el último mes a cambio de plata?</t>
  </si>
  <si>
    <t>Si trabajaste ¿De que trabajaste?</t>
  </si>
  <si>
    <t xml:space="preserve">Si trabajaste, ¿Para que usas el dinero ganado? </t>
  </si>
  <si>
    <t>Si trabajaste, ¿Cuántas horas a la semana le dedicas al trabajo?</t>
  </si>
  <si>
    <t>Si trabaja. ¿El trabajo te saca tiempo para ir a la escuela o estudiar?</t>
  </si>
  <si>
    <t>Ademas de la Escuela, ¿Realizas otras actividades fuera del hogar?</t>
  </si>
  <si>
    <t>SI la respuesta es SI, ¿Cuales?</t>
  </si>
  <si>
    <t>¿Realizás algún tipo de actividad física?</t>
  </si>
  <si>
    <t>¿Cuantas horas a la semana dedicas a la act. Física?</t>
  </si>
  <si>
    <t>¿Formás parte de algún grupo, club, comunidad, circulo social, deportivo, religioso, cultural o de ayuda social?</t>
  </si>
  <si>
    <t>Si la respuesta es SI, ¿De que tipo?</t>
  </si>
  <si>
    <t>¿Tenes amigos?</t>
  </si>
  <si>
    <t xml:space="preserve">¿En cual de los siguientes ámbitos te sentís MAS seguro? </t>
  </si>
  <si>
    <t>¿En cual de los siguientes ámbitos te sentís MENOS seguro?</t>
  </si>
  <si>
    <t xml:space="preserve">La ayuda de un profesional (como puede ser un tutor, consejero, terapeuta) es algo muy común en chicos de tu edad, ¿Vos sentís que necesitas ayuda de alguien para  trabajar tus problemas? </t>
  </si>
  <si>
    <t>Del 1 al 5, ¿Cuan Feliz te sentís en tu vida?</t>
  </si>
  <si>
    <t>Del 1 al 5, ¿Cuan conforme te sentis con vos mismo?</t>
  </si>
  <si>
    <t>Del 1 al 5, ¿Cuan conforme te sentis con tu cuerpo?</t>
  </si>
  <si>
    <t>Del 1 al 5, ¿ Cuan querido te sentís por los adultos?</t>
  </si>
  <si>
    <t>¿Cuan querido te sentís por tus compañeros y amigos?</t>
  </si>
  <si>
    <t>¿Experimentaste alguna vez deseos de lastimarte o dejar de vivir?</t>
  </si>
  <si>
    <t>¿Intentaste lastimarte a propósito alguna vez?</t>
  </si>
  <si>
    <t>¿Tenés hijos?</t>
  </si>
  <si>
    <t>¿Estuviste embarazada? (si es mujer) ¿Dejaste embarazada a alguna chica alguna vez? (si es varón)</t>
  </si>
  <si>
    <t>¿Tenes amigos que consumen regularmente alcohol?</t>
  </si>
  <si>
    <t>¿Tenes amigos que consumen regularmente drogas?</t>
  </si>
  <si>
    <t>¿Consumiste alguna vez alcohol?</t>
  </si>
  <si>
    <t>Si contesto si la anterior: ¿Consumis regularmente alcohol?</t>
  </si>
  <si>
    <t>¿Consumiste alguna vez drogas?</t>
  </si>
  <si>
    <t>Si contesto si la anterior:  ¿Consumis regularmente drogas?</t>
  </si>
  <si>
    <t>¿Participaste de alguna pelea en el último tiempo?</t>
  </si>
  <si>
    <t>¿Fuiste amenazado por alguien el último tiempo?</t>
  </si>
  <si>
    <t>¿Fuiste asaltado el último tiempo?</t>
  </si>
  <si>
    <t>¿Viajaste en un vehículo conducido por un menor el último tiempo?</t>
  </si>
  <si>
    <t>Sospecha ASI</t>
  </si>
  <si>
    <t>Sospecha Maltrato</t>
  </si>
  <si>
    <t>Sospecha Consumo problemático</t>
  </si>
  <si>
    <t>Sospecha problemática emocional o psicológica (Requiere tratamiento)</t>
  </si>
  <si>
    <t>Sospecha de Riesgo para si mismo</t>
  </si>
  <si>
    <t>Sospecha enfermedad o condición grave no tratada</t>
  </si>
  <si>
    <t>Observaciones</t>
  </si>
  <si>
    <t xml:space="preserve"> ¿Tiene alguna enfermedad recurrente o algún diagnóstico de enfermedad crónica?  </t>
  </si>
  <si>
    <t>¿Asiste el niño a la Escuela actualmente? (o ya finalizó la Escuela?)</t>
  </si>
  <si>
    <t>¿Cada cuánto se realiza controles pediátricos/ Clínicos?</t>
  </si>
  <si>
    <t>¿Cual?</t>
  </si>
  <si>
    <t>¿Cuántas camas/ colchones tienen?</t>
  </si>
  <si>
    <t>¿Cuantas comidas por día recibe? (Desayuno, Almuerzo, Merienda, Cena)</t>
  </si>
  <si>
    <t>¿Cuántas habitaciones tiene el hogar? (sin contar baño/s, cocina, pasillo/s, lavadero)</t>
  </si>
  <si>
    <t>¿Cuántas personas viven en el hogar?</t>
  </si>
  <si>
    <t>¿Cuántos de ellos son hermanos?</t>
  </si>
  <si>
    <t>¿Con quien vivís en tu hogar?</t>
  </si>
  <si>
    <t>¿Cuántos de ellos son menores de 18 años?</t>
  </si>
  <si>
    <t>¿Cuantos hijos tiene inscripto en algún programa de 0.18?</t>
  </si>
  <si>
    <t>¿Cuantos hogares hay en la vivienda?</t>
  </si>
  <si>
    <t>¿En los últimos 12 meses se ha efectuado alguno de los siguientes controles de Salud? [Control Ginecológico]</t>
  </si>
  <si>
    <t>¿En los últimos 12 meses se ha efectuado alguno de los siguientes controles de Salud? [Control Médico]</t>
  </si>
  <si>
    <t>¿En los últimos 12 meses se ha efectuado alguno de los siguientes controles de Salud? [Control Odontológico]</t>
  </si>
  <si>
    <t>¿En los últimos 12 meses se ha efectuado alguno de los siguientes controles de Salud? [Control Oftalmológico]</t>
  </si>
  <si>
    <t>¿Hay algun familiar conviviente... [con problemas de consumo de sustancias?]</t>
  </si>
  <si>
    <t>¿Hay algun familiar conviviente... [con problemas de discapacidad?]</t>
  </si>
  <si>
    <t>¿Hay algun familiar conviviente... [con problemas de salud mental?]</t>
  </si>
  <si>
    <t>¿Hay algun familiar conviviente... [padeciendo enfermedades contagiosas?]</t>
  </si>
  <si>
    <t>¿Hay algun familiar conviviente... [privado de su libertad?]</t>
  </si>
  <si>
    <t>¿Hay algún niño en el hogar que...  [Alguna niña en el hogar embarazada?]</t>
  </si>
  <si>
    <t>¿Hay algún niño en el hogar que...  [no esté inscripto en alguna Escuela?]</t>
  </si>
  <si>
    <t>¿Hay algún niño en el hogar que...  [no tenga DNI y necesite tramitarlo?]</t>
  </si>
  <si>
    <t>¿Hay algún niño en el hogar que...  [padezca problemas de salud?]</t>
  </si>
  <si>
    <t>¿Hay algún niño en el hogar que...  [Protegido por alguna medida judicial?]</t>
  </si>
  <si>
    <t>¿Hay otro adulto responsable? ( Padre o apoyo en la crianza)</t>
  </si>
  <si>
    <t>¿Hay otros miembros de la familia que trabajan o reciben ingresos por Plan y aportan al grupo conviviente?</t>
  </si>
  <si>
    <t>¿Hubo en el último tiempo alguna situación de duelo, traumática en el entorno familiar?</t>
  </si>
  <si>
    <t>¿La Madre, el padre o Cuidador Principal trabaja?</t>
  </si>
  <si>
    <t>¿Los acompañan desde algún Programa Municipal o Red Institucional?</t>
  </si>
  <si>
    <t>¿Padece una enfermedad sin tratamiento?</t>
  </si>
  <si>
    <t>¿Recibe Plan Social?</t>
  </si>
  <si>
    <t>¿Recibe tratamiento terapeutico?</t>
  </si>
  <si>
    <t>¿Recibió en los últimos 5 años la vacuna antitetánica?</t>
  </si>
  <si>
    <t>¿Se puso en conocimiento a los adultos que se le realizará  una encuesta sobre diferentes dimensiones del desarrollo al niño y se hizo firmar autrización?</t>
  </si>
  <si>
    <t>¿Sufre alguna de las siguientes complicaciónes o dificultades: [Auditiva]</t>
  </si>
  <si>
    <t>¿Sufre alguna de las siguientes complicaciónes o dificultades: [Digestiva]</t>
  </si>
  <si>
    <t>¿Sufre alguna de las siguientes complicaciónes o dificultades: [Emocional]</t>
  </si>
  <si>
    <t>¿Sufre alguna de las siguientes complicaciónes o dificultades: [Fonoaudiológica]</t>
  </si>
  <si>
    <t>¿Sufre alguna de las siguientes complicaciónes o dificultades: [Otra]</t>
  </si>
  <si>
    <t>¿Sufre alguna de las siguientes complicaciónes o dificultades: [Psicológica]</t>
  </si>
  <si>
    <t>¿Sufre alguna de las siguientes complicaciónes o dificultades: [Psíquica]</t>
  </si>
  <si>
    <t>Si trabajaste, ¿Para que usas el dinero ganado?</t>
  </si>
  <si>
    <t>¿Sufre alguna de las siguientes complicaciónes o dificultades: [Respiratoria]</t>
  </si>
  <si>
    <t>¿Sufre alguna de las siguientes complicaciónes o dificultades: [Traumatológica]</t>
  </si>
  <si>
    <t>¿Sufre alguna de las siguientes complicaciónes o dificultades: [Visual]</t>
  </si>
  <si>
    <t>¿En cual de los siguientes ámbitos te sentís MAS seguro?</t>
  </si>
  <si>
    <t>La ayuda de un profesional (como puede ser un tutor, consejero, terapeuta) es algo muy común en chicos de tu edad, ¿Vos sentís que necesitas ayuda de alguien para  trabajar tus problemas?</t>
  </si>
  <si>
    <t>¿Tiene alguna discapacidad?</t>
  </si>
  <si>
    <t>¿Tiene certificado de discapacidad?</t>
  </si>
  <si>
    <t>¿Tiene el calendario de vacunación al día?</t>
  </si>
  <si>
    <t>¿Tiene otro hijo inscripto en el Centro 0.18?</t>
  </si>
  <si>
    <t>¿Tiene trámites o pedidos pendientes en el municipio?</t>
  </si>
  <si>
    <t>¿Toma algún medicamento?</t>
  </si>
  <si>
    <t>¿Vivieron alguna situación reciente de violencia en el entorno familiar?</t>
  </si>
  <si>
    <t>Acerca del hogar [Acceso a cloacas]</t>
  </si>
  <si>
    <t>Acerca del hogar [Acceso a gas]</t>
  </si>
  <si>
    <t>Acerca del hogar [Acceso a luz]</t>
  </si>
  <si>
    <t>Acerca del hogar [Posee agua caliente]</t>
  </si>
  <si>
    <t>Acerca del hogar [Posee Cocina]</t>
  </si>
  <si>
    <t>Acerca del hogar [Posee ducha]</t>
  </si>
  <si>
    <t>Acerca del hogar [Posee fuente de agua (corriente o de pozo)]</t>
  </si>
  <si>
    <t>Acerca del hogar [Posee Heladera]</t>
  </si>
  <si>
    <t>Acerca del hogar [Posee un baño dentro de la vivienda, con descarga de agua]</t>
  </si>
  <si>
    <t>Acerca del hogar [Posee un espacio para que los niños realizen tareas]</t>
  </si>
  <si>
    <t>Acerca del hogar [Posee una mesa en donde comen]</t>
  </si>
  <si>
    <t>Acerca del hogar [Se inunda]</t>
  </si>
  <si>
    <t>Acerca del hogar [Tiene riesgo de desmoronamiento]</t>
  </si>
  <si>
    <t xml:space="preserve">Apellido del niño </t>
  </si>
  <si>
    <t>Apellido:</t>
  </si>
  <si>
    <t>Aqui finaliza la Entrevista al Adulto ¿Que desea hacer?</t>
  </si>
  <si>
    <t>Calificación de Ingresos (Ref. 2 ADULTOS Y 3 NIÑOS CBA=$34.671 Y CBT=$80.089.-)</t>
  </si>
  <si>
    <t>Centro de Salud en donde se atiende</t>
  </si>
  <si>
    <t>CUIT Madre o Cuidador Principal</t>
  </si>
  <si>
    <t>Describa cuales son las mayores dificultades</t>
  </si>
  <si>
    <t>DNI (Sin puntos ni espacios):</t>
  </si>
  <si>
    <t>DNI del niño (sin puntos ni espacios)</t>
  </si>
  <si>
    <t>Donde vive, ¿Tiene dificultades para acceder a: [Centro Asistencial]</t>
  </si>
  <si>
    <t>Donde vive, ¿Tiene dificultades para acceder a: [Centro Comercial]</t>
  </si>
  <si>
    <t>Donde vive, ¿Tiene dificultades para acceder a: [Escuela]</t>
  </si>
  <si>
    <t>Donde vive, ¿Tiene dificultades para acceder a: [Estación de tren]</t>
  </si>
  <si>
    <t>Donde vive, ¿Tiene dificultades para acceder a: [Parada de colectivo]</t>
  </si>
  <si>
    <t>En cuanto a la cobertura de salud. ¿Esta afiliado a alguna de las siguientes?</t>
  </si>
  <si>
    <t>Estado Civil</t>
  </si>
  <si>
    <t>Estatus de la Vivienda</t>
  </si>
  <si>
    <t>Estructura de la vivienda</t>
  </si>
  <si>
    <t>Fecha de Nacimiento:</t>
  </si>
  <si>
    <t>La madre o cuidador principal... [¿Tiene Certificado de discapacidad?]</t>
  </si>
  <si>
    <t>La madre o cuidador principal... [Capacidades reducidas o afectadas]</t>
  </si>
  <si>
    <t>La madre o cuidador principal... [Padece consumo (o sospecha de) consumo problemático)]</t>
  </si>
  <si>
    <t>La madre o cuidador principal... [Padece enfermedad en tratamiento? ]</t>
  </si>
  <si>
    <t>La madre o cuidador principal... [Padece enfermedad infecto- contagiosa EN tratamiento?]</t>
  </si>
  <si>
    <t>La madre o cuidador principal... [Padece enfermedad infecto- contagiosa SIN tratamiento?]</t>
  </si>
  <si>
    <t>La madre o cuidador principal... [Padece enfermedad sin tratamiento?]</t>
  </si>
  <si>
    <t>La madre o cuidador principal... [Padece problemas de salud Mental EN tratamiento?]</t>
  </si>
  <si>
    <t>La madre o cuidador principal... [Padece problemas de Salud mental SIN tratamiento?]</t>
  </si>
  <si>
    <t>Los adultos a cargo... [¿Escribe?]</t>
  </si>
  <si>
    <t>Los adultos a cargo... [¿Lee?]</t>
  </si>
  <si>
    <t>Los adultos a cargo... [¿Obtienen alguna ayuda social?]</t>
  </si>
  <si>
    <t>Los adultos a cargo... [¿Saben como tramitar la ayuda social?]</t>
  </si>
  <si>
    <t>Los adultos a cargo... [¿Saben utilizar el email, internet, y otras herramientas de comunicación?]</t>
  </si>
  <si>
    <t>Los adultos a cargo... [¿Saben utilizar el teléfono?]</t>
  </si>
  <si>
    <t>Los adultos a cargo... [¿Tienen teléfono?]</t>
  </si>
  <si>
    <t>Los pisos interiores son principalmente de...</t>
  </si>
  <si>
    <t>Máximo nivel educativo alcanzado por el Padre (o apoyo en la crianza)</t>
  </si>
  <si>
    <t>Máximo nivel educativo alcanzado por la Madre (o cuidadora)</t>
  </si>
  <si>
    <t>Modo de contratación:</t>
  </si>
  <si>
    <t>Nombre del niño</t>
  </si>
  <si>
    <t>Nombre:</t>
  </si>
  <si>
    <t>Ocupación:</t>
  </si>
  <si>
    <t>Otra Escuela</t>
  </si>
  <si>
    <t>Recibe caja de alimentos de la Escuela:</t>
  </si>
  <si>
    <t>Relación con el niño</t>
  </si>
  <si>
    <t>Sección</t>
  </si>
  <si>
    <t>Si hay otros miembros que aportan al grupo conviviente, ¿Cuantos son?</t>
  </si>
  <si>
    <t>Si NO asiste a la escuela. ¿Cual es el último grado/ año alcanzado?</t>
  </si>
  <si>
    <t>Si Recibe Plan Social, ¿se sostienen únicamente con Planes Sociales?</t>
  </si>
  <si>
    <t>Si recibe tratamiento terapeutico, ¿Dónde?</t>
  </si>
  <si>
    <t>Si tiene alguna discapacidad, especificar cual:</t>
  </si>
  <si>
    <t>Si tiene alguna enfermedad recurrente, ¿Cual?</t>
  </si>
  <si>
    <t>Si tiene alguna enfermedad recurrente, ¿Donde se trata?</t>
  </si>
  <si>
    <t>Si tiene alguna enfermedad recurrente, ¿Se controla o recibe tratamiento?</t>
  </si>
  <si>
    <t>Si tiene trámites o pedidos pendientes con el municipio; Especificar: Area, pedido, fecha de pedido, contacto</t>
  </si>
  <si>
    <t>Situación de los propietarios</t>
  </si>
  <si>
    <t>Teléfono (sin puntos ni espacios):</t>
  </si>
  <si>
    <t>Telefono de Urgencia</t>
  </si>
  <si>
    <t>Tipo de vivienda</t>
  </si>
  <si>
    <t>Incluir</t>
  </si>
  <si>
    <t>ID</t>
  </si>
  <si>
    <t>Observación</t>
  </si>
  <si>
    <t>Pregunta</t>
  </si>
  <si>
    <t>Está en PRUEBAS</t>
  </si>
  <si>
    <t>H001</t>
  </si>
  <si>
    <t>H002</t>
  </si>
  <si>
    <t>H003</t>
  </si>
  <si>
    <t>H004</t>
  </si>
  <si>
    <t>H005</t>
  </si>
  <si>
    <t>H006</t>
  </si>
  <si>
    <t>H007</t>
  </si>
  <si>
    <t>H008</t>
  </si>
  <si>
    <t>Si tiene, etc</t>
  </si>
  <si>
    <t>H009</t>
  </si>
  <si>
    <t>Cuál es</t>
  </si>
  <si>
    <t>H010</t>
  </si>
  <si>
    <t>H011</t>
  </si>
  <si>
    <t>H012</t>
  </si>
  <si>
    <t>H013</t>
  </si>
  <si>
    <t>H014</t>
  </si>
  <si>
    <t>H015</t>
  </si>
  <si>
    <t>H016</t>
  </si>
  <si>
    <t>H017</t>
  </si>
  <si>
    <t>H018</t>
  </si>
  <si>
    <t>H019</t>
  </si>
  <si>
    <t>H020</t>
  </si>
  <si>
    <t>H021</t>
  </si>
  <si>
    <t>H022</t>
  </si>
  <si>
    <t>H023</t>
  </si>
  <si>
    <t>H024</t>
  </si>
  <si>
    <t>H025</t>
  </si>
  <si>
    <t>H026</t>
  </si>
  <si>
    <t>H027</t>
  </si>
  <si>
    <t>H028</t>
  </si>
  <si>
    <t>H029</t>
  </si>
  <si>
    <t>H030</t>
  </si>
  <si>
    <t>H031</t>
  </si>
  <si>
    <t>H032</t>
  </si>
  <si>
    <t>H033</t>
  </si>
  <si>
    <t>H034</t>
  </si>
  <si>
    <t>H035</t>
  </si>
  <si>
    <t>H036</t>
  </si>
  <si>
    <t>H037</t>
  </si>
  <si>
    <t>H038</t>
  </si>
  <si>
    <t>H039</t>
  </si>
  <si>
    <t>H040</t>
  </si>
  <si>
    <t>H041</t>
  </si>
  <si>
    <t>H042</t>
  </si>
  <si>
    <t>H043</t>
  </si>
  <si>
    <t>H044</t>
  </si>
  <si>
    <t>H045</t>
  </si>
  <si>
    <t>H046</t>
  </si>
  <si>
    <t>H047</t>
  </si>
  <si>
    <t>H048</t>
  </si>
  <si>
    <t>H049</t>
  </si>
  <si>
    <t>H050</t>
  </si>
  <si>
    <t>H051</t>
  </si>
  <si>
    <t>H052</t>
  </si>
  <si>
    <t>H053</t>
  </si>
  <si>
    <t>H054</t>
  </si>
  <si>
    <t>H055</t>
  </si>
  <si>
    <t>H056</t>
  </si>
  <si>
    <t>H057</t>
  </si>
  <si>
    <t>H058</t>
  </si>
  <si>
    <t>H059</t>
  </si>
  <si>
    <t>H060</t>
  </si>
  <si>
    <t>H061</t>
  </si>
  <si>
    <t>H062</t>
  </si>
  <si>
    <t>H063</t>
  </si>
  <si>
    <t>H064</t>
  </si>
  <si>
    <t>H065</t>
  </si>
  <si>
    <t>H066</t>
  </si>
  <si>
    <t>H067</t>
  </si>
  <si>
    <t>H068</t>
  </si>
  <si>
    <t>H069</t>
  </si>
  <si>
    <t>H070</t>
  </si>
  <si>
    <t>H071</t>
  </si>
  <si>
    <t>H072</t>
  </si>
  <si>
    <t>H073</t>
  </si>
  <si>
    <t>H074</t>
  </si>
  <si>
    <t>H075</t>
  </si>
  <si>
    <t>H076</t>
  </si>
  <si>
    <t>H077</t>
  </si>
  <si>
    <t>H078</t>
  </si>
  <si>
    <t>H079</t>
  </si>
  <si>
    <t>H080</t>
  </si>
  <si>
    <t>H081</t>
  </si>
  <si>
    <t>H082</t>
  </si>
  <si>
    <t>H083</t>
  </si>
  <si>
    <t>H084</t>
  </si>
  <si>
    <t>H085</t>
  </si>
  <si>
    <t>H086</t>
  </si>
  <si>
    <t>H087</t>
  </si>
  <si>
    <t>H088</t>
  </si>
  <si>
    <t>H089</t>
  </si>
  <si>
    <t>H090</t>
  </si>
  <si>
    <t>H091</t>
  </si>
  <si>
    <t>H092</t>
  </si>
  <si>
    <t>H093</t>
  </si>
  <si>
    <t>H094</t>
  </si>
  <si>
    <t>H095</t>
  </si>
  <si>
    <t>H096</t>
  </si>
  <si>
    <t>H097</t>
  </si>
  <si>
    <t>H098</t>
  </si>
  <si>
    <t>H099</t>
  </si>
  <si>
    <t>H100</t>
  </si>
  <si>
    <t>H101</t>
  </si>
  <si>
    <t>H102</t>
  </si>
  <si>
    <t>H103</t>
  </si>
  <si>
    <t>H104</t>
  </si>
  <si>
    <t>H105</t>
  </si>
  <si>
    <t>H106</t>
  </si>
  <si>
    <t>H107</t>
  </si>
  <si>
    <t>P001</t>
  </si>
  <si>
    <t>Empieza padres</t>
  </si>
  <si>
    <t>P002</t>
  </si>
  <si>
    <t>P003</t>
  </si>
  <si>
    <t>EMPIEZA CUID PPAL</t>
  </si>
  <si>
    <t>P004</t>
  </si>
  <si>
    <t>P005</t>
  </si>
  <si>
    <t>P006</t>
  </si>
  <si>
    <t>P007</t>
  </si>
  <si>
    <t>P008</t>
  </si>
  <si>
    <t>P009</t>
  </si>
  <si>
    <t>P010</t>
  </si>
  <si>
    <t>P011</t>
  </si>
  <si>
    <t>P012</t>
  </si>
  <si>
    <t>P013</t>
  </si>
  <si>
    <t>P014</t>
  </si>
  <si>
    <t>P015</t>
  </si>
  <si>
    <t>P016</t>
  </si>
  <si>
    <t>TERMINA CUID PPAL</t>
  </si>
  <si>
    <t>P017</t>
  </si>
  <si>
    <t>EMPIEZA APOYO CRIANZA</t>
  </si>
  <si>
    <t>P018</t>
  </si>
  <si>
    <t>P019</t>
  </si>
  <si>
    <t>P020</t>
  </si>
  <si>
    <t>P021</t>
  </si>
  <si>
    <t>P022</t>
  </si>
  <si>
    <t>P023</t>
  </si>
  <si>
    <t>TERMINA APOYO CRIANZA</t>
  </si>
  <si>
    <t>P024</t>
  </si>
  <si>
    <t>NIÑO 1</t>
  </si>
  <si>
    <t>Apellido del niño</t>
  </si>
  <si>
    <t>P025</t>
  </si>
  <si>
    <t>P026</t>
  </si>
  <si>
    <t>P027</t>
  </si>
  <si>
    <t>P028</t>
  </si>
  <si>
    <t>P029</t>
  </si>
  <si>
    <t>P030</t>
  </si>
  <si>
    <t>P031</t>
  </si>
  <si>
    <t>P032</t>
  </si>
  <si>
    <t>P033</t>
  </si>
  <si>
    <t>P034</t>
  </si>
  <si>
    <t>P035</t>
  </si>
  <si>
    <t>P036</t>
  </si>
  <si>
    <t>P037</t>
  </si>
  <si>
    <t>P038</t>
  </si>
  <si>
    <t>P039</t>
  </si>
  <si>
    <t>P040</t>
  </si>
  <si>
    <t>P041</t>
  </si>
  <si>
    <t>P042</t>
  </si>
  <si>
    <t>P043</t>
  </si>
  <si>
    <t>P044</t>
  </si>
  <si>
    <t>P045</t>
  </si>
  <si>
    <t>P046</t>
  </si>
  <si>
    <t>¿Tiene alguna enfermedad recurrente o algún diagnóstico de enfermedad crónica?</t>
  </si>
  <si>
    <t>P047</t>
  </si>
  <si>
    <t>P048</t>
  </si>
  <si>
    <t>P049</t>
  </si>
  <si>
    <t>P050</t>
  </si>
  <si>
    <t>P051</t>
  </si>
  <si>
    <t>P052</t>
  </si>
  <si>
    <t>P053</t>
  </si>
  <si>
    <t>P054</t>
  </si>
  <si>
    <t>P055</t>
  </si>
  <si>
    <t>P056</t>
  </si>
  <si>
    <t>P057</t>
  </si>
  <si>
    <t>P058</t>
  </si>
  <si>
    <t>P059</t>
  </si>
  <si>
    <t>P060</t>
  </si>
  <si>
    <t>P061</t>
  </si>
  <si>
    <t>P062</t>
  </si>
  <si>
    <t>P063</t>
  </si>
  <si>
    <t>P064</t>
  </si>
  <si>
    <t>P065</t>
  </si>
  <si>
    <t>P066</t>
  </si>
  <si>
    <t>P067</t>
  </si>
  <si>
    <t>P068</t>
  </si>
  <si>
    <t>P069</t>
  </si>
  <si>
    <t>P070</t>
  </si>
  <si>
    <t>P071</t>
  </si>
  <si>
    <t>NIÑO 2</t>
  </si>
  <si>
    <t>P072</t>
  </si>
  <si>
    <t>P073</t>
  </si>
  <si>
    <t>DNI del niño  (sin puntos ni espacios)</t>
  </si>
  <si>
    <t>P074</t>
  </si>
  <si>
    <t>Sexo niño</t>
  </si>
  <si>
    <t>P075</t>
  </si>
  <si>
    <t>P076</t>
  </si>
  <si>
    <t>P077</t>
  </si>
  <si>
    <t>P078</t>
  </si>
  <si>
    <t>P079</t>
  </si>
  <si>
    <t>P080</t>
  </si>
  <si>
    <t>P081</t>
  </si>
  <si>
    <t>P082</t>
  </si>
  <si>
    <t>P083</t>
  </si>
  <si>
    <t>P084</t>
  </si>
  <si>
    <t>P085</t>
  </si>
  <si>
    <t>P086</t>
  </si>
  <si>
    <t>P087</t>
  </si>
  <si>
    <t>P088</t>
  </si>
  <si>
    <t>P089</t>
  </si>
  <si>
    <t>P090</t>
  </si>
  <si>
    <t>P091</t>
  </si>
  <si>
    <t>P092</t>
  </si>
  <si>
    <t>P093</t>
  </si>
  <si>
    <t>P094</t>
  </si>
  <si>
    <t>P095</t>
  </si>
  <si>
    <t>P096</t>
  </si>
  <si>
    <t>P097</t>
  </si>
  <si>
    <t>P098</t>
  </si>
  <si>
    <t>P099</t>
  </si>
  <si>
    <t>P100</t>
  </si>
  <si>
    <t>P101</t>
  </si>
  <si>
    <t>P102</t>
  </si>
  <si>
    <t>P103</t>
  </si>
  <si>
    <t>P104</t>
  </si>
  <si>
    <t>P105</t>
  </si>
  <si>
    <t>P106</t>
  </si>
  <si>
    <t>P107</t>
  </si>
  <si>
    <t>P108</t>
  </si>
  <si>
    <t>P109</t>
  </si>
  <si>
    <t>P110</t>
  </si>
  <si>
    <t>P111</t>
  </si>
  <si>
    <t>P112</t>
  </si>
  <si>
    <t>P113</t>
  </si>
  <si>
    <t>P114</t>
  </si>
  <si>
    <t>P115</t>
  </si>
  <si>
    <t>P116</t>
  </si>
  <si>
    <t>P117</t>
  </si>
  <si>
    <t>P118</t>
  </si>
  <si>
    <t>NIÑO 3</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</si>
  <si>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</si>
  <si>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</si>
  <si>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</si>
  <si>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</si>
  <si>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</si>
  <si>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</si>
  <si>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</si>
  <si>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</si>
  <si>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</si>
  <si>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</si>
  <si>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</si>
  <si>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</si>
  <si>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</si>
  <si>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</si>
  <si>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</si>
  <si>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</si>
  <si>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</si>
  <si>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</si>
  <si>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</si>
  <si>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</si>
  <si>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</si>
  <si>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</si>
  <si>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</si>
  <si>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</si>
  <si>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</si>
  <si>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</si>
  <si>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</si>
  <si>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</si>
  <si>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</si>
  <si>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</si>
  <si>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</si>
  <si>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</si>
  <si>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</si>
  <si>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</si>
  <si>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</si>
  <si>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</si>
  <si>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</si>
  <si>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</si>
  <si>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</si>
  <si>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</si>
  <si>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</si>
  <si>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</si>
  <si>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</si>
  <si>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</si>
  <si>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</si>
  <si>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</si>
  <si>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</si>
  <si>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NIÑO 4</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</si>
  <si>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</si>
  <si>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</si>
  <si>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</si>
  <si>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</si>
  <si>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</si>
  <si>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</si>
  <si>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</si>
  <si>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</si>
  <si>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</si>
  <si>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</si>
  <si>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</si>
  <si>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</si>
  <si>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</si>
  <si>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</si>
  <si>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</si>
  <si>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</si>
  <si>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</si>
  <si>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</si>
  <si>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</si>
  <si>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</si>
  <si>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</si>
  <si>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</si>
  <si>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</si>
  <si>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</si>
  <si>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</si>
  <si>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</si>
  <si>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</si>
  <si>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</si>
  <si>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</si>
  <si>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</si>
  <si>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</si>
  <si>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</si>
  <si>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</si>
  <si>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</si>
  <si>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</si>
  <si>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</si>
  <si>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</si>
  <si>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</si>
  <si>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</si>
  <si>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</si>
  <si>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</si>
  <si>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</si>
  <si>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</si>
  <si>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</si>
  <si>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</si>
  <si>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</si>
  <si>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</si>
  <si>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NIÑO 5</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</si>
  <si>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</si>
  <si>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</si>
  <si>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</si>
  <si>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</si>
  <si>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</si>
  <si>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</si>
  <si>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</si>
  <si>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</si>
  <si>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</si>
  <si>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</si>
  <si>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</si>
  <si>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</si>
  <si>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</si>
  <si>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</si>
  <si>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</si>
  <si>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</si>
  <si>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</si>
  <si>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</si>
  <si>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</si>
  <si>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</si>
  <si>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</si>
  <si>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</si>
  <si>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</si>
  <si>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</si>
  <si>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</si>
  <si>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</si>
  <si>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</si>
  <si>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</si>
  <si>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</si>
  <si>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</si>
  <si>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</si>
  <si>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</si>
  <si>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</si>
  <si>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</si>
  <si>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</si>
  <si>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</si>
  <si>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</si>
  <si>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</si>
  <si>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</si>
  <si>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</si>
  <si>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</si>
  <si>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</si>
  <si>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</si>
  <si>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</si>
  <si>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</si>
  <si>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</si>
  <si>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</si>
  <si>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NIÑO 6</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</si>
  <si>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</si>
  <si>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</si>
  <si>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</si>
  <si>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</si>
  <si>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</si>
  <si>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</si>
  <si>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</si>
  <si>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</si>
  <si>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</si>
  <si>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</si>
  <si>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</si>
  <si>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</si>
  <si>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</si>
  <si>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</si>
  <si>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</si>
  <si>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</si>
  <si>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</si>
  <si>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</si>
  <si>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</si>
  <si>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</si>
  <si>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</si>
  <si>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</si>
  <si>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</si>
  <si>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</si>
  <si>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</si>
  <si>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</si>
  <si>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</si>
  <si>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</si>
  <si>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</si>
  <si>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</si>
  <si>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</si>
  <si>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</si>
  <si>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</si>
  <si>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</si>
  <si>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</si>
  <si>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</si>
  <si>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</si>
  <si>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</si>
  <si>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</si>
  <si>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</si>
  <si>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</si>
  <si>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</si>
  <si>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</si>
  <si>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</si>
  <si>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</si>
  <si>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</si>
  <si>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</si>
  <si>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</si>
  <si>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</si>
  <si>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</si>
  <si>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</si>
  <si>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</si>
  <si>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</si>
  <si>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</si>
  <si>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</si>
  <si>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</si>
  <si>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</si>
  <si>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</si>
  <si>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</si>
  <si>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</si>
  <si>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</si>
  <si>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</si>
  <si>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</si>
  <si>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</si>
  <si>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</si>
  <si>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</si>
  <si>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</si>
  <si>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</si>
  <si>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</si>
  <si>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</si>
  <si>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</si>
  <si>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</si>
  <si>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</si>
  <si>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</si>
  <si>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</si>
  <si>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</si>
  <si>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</si>
  <si>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</si>
  <si>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</si>
  <si>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</si>
  <si>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</si>
  <si>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</si>
  <si>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</si>
  <si>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</si>
  <si>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</si>
  <si>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</si>
  <si>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</si>
  <si>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</si>
  <si>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</si>
  <si>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</si>
  <si>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</si>
  <si>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</si>
  <si>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</si>
  <si>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</si>
  <si>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</si>
  <si>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</si>
  <si>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</si>
  <si>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</si>
  <si>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</si>
  <si>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</si>
  <si>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</si>
  <si>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</si>
  <si>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</si>
  <si>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</si>
  <si>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</si>
  <si>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</si>
  <si>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</si>
  <si>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</si>
  <si>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</si>
  <si>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</si>
  <si>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</si>
  <si>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</si>
  <si>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</si>
  <si>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</si>
  <si>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</si>
  <si>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</si>
  <si>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</si>
  <si>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</si>
  <si>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</si>
  <si>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</si>
  <si>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Respuestas posibles</t>
  </si>
  <si>
    <t>Categoría</t>
  </si>
  <si>
    <t>Datos Básicos-General</t>
  </si>
  <si>
    <t>Argentina; Paraguaya; Boliviana; Chilena; Uruguaya; Brasileña; Otros</t>
  </si>
  <si>
    <t>NO está inscripto a ninguna; Hockey; Boxeo; Handball; Voley; Gimnasia Deportiva; Taekwondo; Otro</t>
  </si>
  <si>
    <t>NO está inscripto a ninguna; Dibujo; Canto; Teatro; Folklore; Otro</t>
  </si>
  <si>
    <t xml:space="preserve">NO está inscripto a ninguna; Alfabetización; Nivelación Escolar; Apoyo Escolar; Otro </t>
  </si>
  <si>
    <t>Familiares Directos, sin padre y/o Madre. (Hermanos, Tios, Abuelos); Padre; Madre; Padre y Madre; Familiares Indirectos, sin padre y/o madre (Primos/ Tios segundos, padrastros, etc); Cuidador/ Tutor</t>
  </si>
  <si>
    <t>Familia-Estructura Familiar</t>
  </si>
  <si>
    <t>Si; No</t>
  </si>
  <si>
    <t>Educación-General</t>
  </si>
  <si>
    <t>Gestión Estatal; Gestión Privada o Subvencionada</t>
  </si>
  <si>
    <t>1º Grado; 2º Grado; 3º Grado; 4º Grado; 5º Grado; 6º Grado; 1º año; 2º año; 3ºaño; 4º año; 5º año; 6º año; Otro</t>
  </si>
  <si>
    <t>Jardín; Primaria, Secundaria, Terciaria; Universitaria</t>
  </si>
  <si>
    <t>Mañana; Tarde; Noche; Jornada Completa (Mañana y Tarde)</t>
  </si>
  <si>
    <t>Educación-Rendimiento</t>
  </si>
  <si>
    <t>Hace 1 año o menos; Hace 2 años; Hace 3 o 4 años; Hace 5 años o mas</t>
  </si>
  <si>
    <t>1; 2; 3; 4; 5</t>
  </si>
  <si>
    <t>Menos de 1 hora por semana; Entre 1 y 3 horas a la semana; Entre 3 y 6 horas a la semana; Entre 6 y 9 horas a la semana; Mas de 9 horas a la semana</t>
  </si>
  <si>
    <t>0; 1; 2; 3; 4; 5; 6; 7; 8; 9; 10; 11; 12; 13; 14; 15; 16; 17; 18; 19; 20; 21; 22; 23; 24; 25; 26; 27; 28; 29; 30; 31</t>
  </si>
  <si>
    <t>Educación-Maltrato Escolar</t>
  </si>
  <si>
    <t>Nunca o casi nunca; Pocas Veces; Varias veces; Bastante; Siempre</t>
  </si>
  <si>
    <t>Educación-Educación Tecnológica</t>
  </si>
  <si>
    <t>Crianza-Cuidados</t>
  </si>
  <si>
    <t>Cama propia; Comparto cama; Solo colchón propio; Solo colchón compartido</t>
  </si>
  <si>
    <t>Desayuno; Almuerzo; Merienda; Cena</t>
  </si>
  <si>
    <t>Crianza-Salud</t>
  </si>
  <si>
    <t>Hace 6 meses o menos; Hace mas de 6 meses y menos de un año; Hace mas de un año y menos de 2 años; Hace mas de 2 años y menos de 3; Hace 3 años o mas</t>
  </si>
  <si>
    <t>Trabajo Infantil-General</t>
  </si>
  <si>
    <t>Para uso personal; Para sostenimiento del hogar; Otro</t>
  </si>
  <si>
    <t>Entre 1 y 5 horas; Entre 6 y 10 horas; Entre 11 y 15 horas; Entre 15 y 20 horas; Mas de 20 horas</t>
  </si>
  <si>
    <t>Tiempo Libre-General</t>
  </si>
  <si>
    <t>Menos de 1 hora por semana; Entre 1 y 2 horas por semana; Entre 3 y 4 horas por semana; Entre 4 y 5 horas por semana; 6 horas o mas por semana</t>
  </si>
  <si>
    <t>Ámbitos protectores-Pares</t>
  </si>
  <si>
    <t>Deportivo; Cultural; De ayuda Social; Religioso; Comunitario</t>
  </si>
  <si>
    <t>Hogar; Escuela; Iglesia; Club; Calle; Casa de familiar; Casa de amigos</t>
  </si>
  <si>
    <t>Ámbitos protectores-Comunidad</t>
  </si>
  <si>
    <t>Escuela; Hogar; Iglesia; Club; Calle; Casa de familiar; Casa de amigos</t>
  </si>
  <si>
    <t>Salud-Mental</t>
  </si>
  <si>
    <t>Salud-Sexual</t>
  </si>
  <si>
    <t>Sospechas-General</t>
  </si>
  <si>
    <t>Padre; Madre; Cuidador/ Tutor Legal; Abuelo</t>
  </si>
  <si>
    <t>Obra Social; Prepaga; Mutual; A un sistema de emergencia pago; A Ninguna</t>
  </si>
  <si>
    <t>Salud-General</t>
  </si>
  <si>
    <t>20 de Julio; 29 de Septiembre; Ana Terese Barthalot; C.I.C "Maria Lobato"; Camila Rolón; Cándido Castello; Rodolfo Podestá; Cura Brochero; Alberto Sabin; Federico Leloir; Suárez París; Raúl Matera; René Favaloro; Marta Antoniazzi; Padre Mora; Pte. Perón; Ramón Castillo; San Miguel Oeste; U.F.O (Manuelita); Hospital Público; Clínica Privada o Sanatorio; No asiste a instituciones de salud</t>
  </si>
  <si>
    <t>Cada un año o menos; Cada uno o dos años; Cada tres años o mas</t>
  </si>
  <si>
    <t>Salud-Física</t>
  </si>
  <si>
    <t>1 o menos; 2; 3; 4 o mas</t>
  </si>
  <si>
    <t>Salud-Nutrición</t>
  </si>
  <si>
    <t>1; 2; 3; 4; 5; 6; 7; 8; 9; 10; 11; 12; 13; 14; 15; 15 o más</t>
  </si>
  <si>
    <t>Familia-Vivienda</t>
  </si>
  <si>
    <t>1; 2; 3; 4; 5; 6; 7; 8; 9; 10; 11; 12; 13; 14; 15; Mas de 15</t>
  </si>
  <si>
    <t>Familia-Contexto Familiar</t>
  </si>
  <si>
    <t>Familia-Madre o Padre</t>
  </si>
  <si>
    <t>Familia-Salud Familiar</t>
  </si>
  <si>
    <t>Familia-Redes y Ayudas</t>
  </si>
  <si>
    <t>Familia-Capacidades</t>
  </si>
  <si>
    <t>Casa; Departamento; Pieza de alquiler; Pieza en hotel/ Pensión; Local no construido para habitación;</t>
  </si>
  <si>
    <t>Vivienda de material; Vivienda mixta (chapa y madera); Casilla (de madera y otros materiales no pensados para la construcción: ej nylon, cartón, etc); Otro</t>
  </si>
  <si>
    <t>Otro; Vivienda Propia; Vivienda Alquilada; Vivienda Cedida</t>
  </si>
  <si>
    <t>Propietario de la vivienda y el terreno; Propietario de la vivienda solamente; Inquilino; Ocupante por pago de impuestos / expensas; Ocupante en relación de dependencia; Ocupante gratuito (con permiso); Ocupante de hecho (sin permiso); Está en sucesión; Otro</t>
  </si>
  <si>
    <t>1; 2; 3; 4; 5; 6; 7; 8; 9; 10 o más</t>
  </si>
  <si>
    <t>Mosaico / baldosa / madera / cerámica; Cemento / ladrillo fijo; Ladrillo suelto / tierra</t>
  </si>
  <si>
    <t>Familia-Economía</t>
  </si>
  <si>
    <t>Relación de dependencia; Monotributista / Contratado; Informal con cobro mensual; Jornal; Changarín</t>
  </si>
  <si>
    <t>0; 1; 2; 3; 4; 5; 6; 7; 8; 9; 10 o mas</t>
  </si>
  <si>
    <t>¿Mas de $80.089 por familia?. (Por encima de la Canasta básica total); ¿Menos de $80.089 por familia?( Por debajo de la canasta básica total CBT (pobreza)); ¿Menos de $24.671 por familia? (Debajo de la canasta básica alimentaria CBA (Indigencia)</t>
  </si>
  <si>
    <t>Ninguno; Primario Incompleto; Primario en curso; Primario Completo; Secundario Incompleto; Secundario en curso; Secundario Completo; Terciario; Universitario; No corresponde</t>
  </si>
  <si>
    <t>20 de Julio</t>
  </si>
  <si>
    <t>29 de Septiembre</t>
  </si>
  <si>
    <t>Ana Terese Barthalot</t>
  </si>
  <si>
    <t>C.I.C "Maria Lobato"</t>
  </si>
  <si>
    <t>Camila Rolón</t>
  </si>
  <si>
    <t>Cándido Castello</t>
  </si>
  <si>
    <t>Rodolfo Podestá</t>
  </si>
  <si>
    <t>Cura Brochero</t>
  </si>
  <si>
    <t>Alberto Sabin</t>
  </si>
  <si>
    <t>Federico Leloir</t>
  </si>
  <si>
    <t>Suárez París</t>
  </si>
  <si>
    <t>Raúl Matera</t>
  </si>
  <si>
    <t>René Favaloro</t>
  </si>
  <si>
    <t>Marta Antoniazzi</t>
  </si>
  <si>
    <t>Padre Mora</t>
  </si>
  <si>
    <t>Pte. Perón</t>
  </si>
  <si>
    <t>Ramón Castillo</t>
  </si>
  <si>
    <t>San Miguel Oeste</t>
  </si>
  <si>
    <t>U.F.O (Manuelita)</t>
  </si>
  <si>
    <t>Hospital Público</t>
  </si>
  <si>
    <t>Clínica Privada o Sanatorio</t>
  </si>
  <si>
    <t>No asiste a instituciones de salud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</si>
</sst>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color theme="1"/>
      <name val="Inconsolata"/>
    </font>
    <font>
      <color theme="1"/>
      <name val="Arial"/>
      <scheme val="minor"/>
    </font>
    <font>
      <b/>
      <color theme="0"/>
      <name val="Arial"/>
    </font>
    <font>
      <b/>
      <color rgb="FFFFFFFF"/>
      <name val="Arial"/>
    </font>
    <font>
      <color theme="0"/>
      <name val="Arial"/>
      <scheme val="minor"/>
    </font>
  </fonts>
  <fills count="8">
    <fill>
      <patternFill patternType="none"/>
    </fill>
    <fill>
      <patternFill patternType="lightGray"/>
    </fill>
    <fill>
      <patternFill patternType="solid">
        <fgColor rgb="FFFFFFFF"/>
        <bgColor rgb="FFFFFFFF"/>
      </patternFill>
    </fill>
    <fill>
      <patternFill patternType="solid">
        <fgColor rgb="FFEEF7E3"/>
        <bgColor rgb="FFEEF7E3"/>
      </patternFill>
    </fill>
    <fill>
      <patternFill patternType="solid">
        <fgColor rgb="FFE91D63"/>
        <bgColor rgb="FFE91D63"/>
      </patternFill>
    </fill>
    <fill>
      <patternFill patternType="solid">
        <fgColor rgb="FFFDDCE8"/>
        <bgColor rgb="FFFDDCE8"/>
      </patternFill>
    </fill>
    <fill>
      <patternFill patternType="solid">
        <fgColor rgb="FF78909C"/>
        <bgColor rgb="FF78909C"/>
      </patternFill>
    </fill>
    <fill>
      <patternFill patternType="solid">
        <fgColor rgb="FFEBEFF1"/>
        <bgColor rgb="FFEBEFF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vertical="bottom"/>
    </xf>
    <xf borderId="0" fillId="0" fontId="3" numFmtId="0" xfId="0" applyAlignment="1" applyFont="1">
      <alignment readingOrder="0"/>
    </xf>
    <xf borderId="1" fillId="3" fontId="2" numFmtId="0" xfId="0" applyAlignment="1" applyBorder="1" applyFill="1" applyFont="1">
      <alignment vertical="bottom"/>
    </xf>
    <xf borderId="0" fillId="4" fontId="4" numFmtId="0" xfId="0" applyAlignment="1" applyFill="1" applyFont="1">
      <alignment horizontal="center" readingOrder="0" vertical="bottom"/>
    </xf>
    <xf borderId="0" fillId="4" fontId="5" numFmtId="0" xfId="0" applyAlignment="1" applyFont="1">
      <alignment horizontal="center" readingOrder="0" vertical="bottom"/>
    </xf>
    <xf borderId="0" fillId="2" fontId="1" numFmtId="0" xfId="0" applyAlignment="1" applyFont="1">
      <alignment vertical="bottom"/>
    </xf>
    <xf borderId="0" fillId="2" fontId="1" numFmtId="0" xfId="0" applyAlignment="1" applyFont="1">
      <alignment readingOrder="0" vertical="bottom"/>
    </xf>
    <xf borderId="0" fillId="5" fontId="1" numFmtId="0" xfId="0" applyAlignment="1" applyFill="1" applyFont="1">
      <alignment vertical="bottom"/>
    </xf>
    <xf borderId="0" fillId="5" fontId="1" numFmtId="0" xfId="0" applyAlignment="1" applyFont="1">
      <alignment readingOrder="0" vertical="bottom"/>
    </xf>
    <xf borderId="0" fillId="5" fontId="3" numFmtId="0" xfId="0" applyAlignment="1" applyFont="1">
      <alignment readingOrder="0"/>
    </xf>
    <xf borderId="0" fillId="2" fontId="3" numFmtId="0" xfId="0" applyAlignment="1" applyFont="1">
      <alignment readingOrder="0"/>
    </xf>
    <xf borderId="0" fillId="6" fontId="6" numFmtId="0" xfId="0" applyAlignment="1" applyFill="1" applyFont="1">
      <alignment horizontal="center" readingOrder="0"/>
    </xf>
    <xf borderId="0" fillId="2" fontId="3" numFmtId="0" xfId="0" applyFont="1"/>
    <xf borderId="0" fillId="7" fontId="3" numFmtId="0" xfId="0" applyFill="1" applyFont="1"/>
    <xf borderId="0" fillId="0" fontId="3" numFmtId="0" xfId="0" applyFont="1"/>
    <xf borderId="0" fillId="0" fontId="3"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88"/>
  </cols>
  <sheetData>
    <row r="1">
      <c r="A1" s="2" t="s">
        <v>107</v>
      </c>
      <c r="B1" s="3" t="s">
        <v>0</v>
      </c>
    </row>
    <row r="2">
      <c r="A2" s="4" t="s">
        <v>108</v>
      </c>
      <c r="B2" s="3" t="s">
        <v>1</v>
      </c>
    </row>
    <row r="3">
      <c r="A3" s="2" t="s">
        <v>26</v>
      </c>
      <c r="B3" s="3" t="s">
        <v>2</v>
      </c>
    </row>
    <row r="4">
      <c r="A4" s="4" t="s">
        <v>109</v>
      </c>
      <c r="B4" s="3" t="s">
        <v>3</v>
      </c>
    </row>
    <row r="5">
      <c r="A5" s="2" t="s">
        <v>60</v>
      </c>
      <c r="B5" s="3" t="s">
        <v>4</v>
      </c>
    </row>
    <row r="6">
      <c r="A6" s="4" t="s">
        <v>21</v>
      </c>
      <c r="B6" s="3" t="s">
        <v>5</v>
      </c>
    </row>
    <row r="7">
      <c r="A7" s="2" t="s">
        <v>92</v>
      </c>
      <c r="B7" s="3" t="s">
        <v>6</v>
      </c>
    </row>
    <row r="8">
      <c r="A8" s="4" t="s">
        <v>94</v>
      </c>
      <c r="B8" s="3" t="s">
        <v>7</v>
      </c>
    </row>
    <row r="9">
      <c r="A9" s="2" t="s">
        <v>110</v>
      </c>
      <c r="B9" s="3" t="s">
        <v>8</v>
      </c>
    </row>
    <row r="10">
      <c r="A10" s="4" t="s">
        <v>85</v>
      </c>
      <c r="B10" s="3" t="s">
        <v>9</v>
      </c>
    </row>
    <row r="11">
      <c r="A11" s="2" t="s">
        <v>35</v>
      </c>
      <c r="B11" s="3" t="s">
        <v>10</v>
      </c>
    </row>
    <row r="12">
      <c r="A12" s="4" t="s">
        <v>65</v>
      </c>
      <c r="B12" s="3" t="s">
        <v>11</v>
      </c>
    </row>
    <row r="13">
      <c r="A13" s="2" t="s">
        <v>111</v>
      </c>
      <c r="B13" s="3" t="s">
        <v>12</v>
      </c>
    </row>
    <row r="14">
      <c r="A14" s="4" t="s">
        <v>112</v>
      </c>
      <c r="B14" s="3" t="s">
        <v>13</v>
      </c>
    </row>
    <row r="15">
      <c r="A15" s="2" t="s">
        <v>113</v>
      </c>
      <c r="B15" s="3" t="s">
        <v>14</v>
      </c>
    </row>
    <row r="16">
      <c r="A16" s="4" t="s">
        <v>74</v>
      </c>
      <c r="B16" s="3" t="s">
        <v>15</v>
      </c>
    </row>
    <row r="17">
      <c r="A17" s="2" t="s">
        <v>38</v>
      </c>
      <c r="B17" s="3" t="s">
        <v>16</v>
      </c>
    </row>
    <row r="18">
      <c r="A18" s="4" t="s">
        <v>114</v>
      </c>
      <c r="B18" s="3" t="s">
        <v>17</v>
      </c>
    </row>
    <row r="19">
      <c r="A19" s="2" t="s">
        <v>41</v>
      </c>
      <c r="B19" s="3" t="s">
        <v>18</v>
      </c>
    </row>
    <row r="20">
      <c r="A20" s="4" t="s">
        <v>53</v>
      </c>
      <c r="B20" s="3" t="s">
        <v>19</v>
      </c>
    </row>
    <row r="21">
      <c r="A21" s="2" t="s">
        <v>47</v>
      </c>
      <c r="B21" s="3" t="s">
        <v>20</v>
      </c>
    </row>
    <row r="22">
      <c r="A22" s="4" t="s">
        <v>115</v>
      </c>
      <c r="B22" s="3" t="s">
        <v>116</v>
      </c>
    </row>
    <row r="23">
      <c r="A23" s="2" t="s">
        <v>117</v>
      </c>
      <c r="B23" s="3" t="s">
        <v>22</v>
      </c>
    </row>
    <row r="24">
      <c r="A24" s="4" t="s">
        <v>118</v>
      </c>
      <c r="B24" s="3" t="s">
        <v>23</v>
      </c>
    </row>
    <row r="25">
      <c r="A25" s="2" t="s">
        <v>119</v>
      </c>
      <c r="B25" s="3" t="s">
        <v>24</v>
      </c>
    </row>
    <row r="26">
      <c r="A26" s="4" t="s">
        <v>78</v>
      </c>
      <c r="B26" s="3" t="s">
        <v>25</v>
      </c>
    </row>
    <row r="27">
      <c r="A27" s="2" t="s">
        <v>79</v>
      </c>
      <c r="B27" s="3" t="s">
        <v>26</v>
      </c>
    </row>
    <row r="28">
      <c r="A28" s="4" t="s">
        <v>120</v>
      </c>
      <c r="B28" s="3" t="s">
        <v>27</v>
      </c>
    </row>
    <row r="29">
      <c r="A29" s="2" t="s">
        <v>121</v>
      </c>
      <c r="B29" s="3" t="s">
        <v>28</v>
      </c>
    </row>
    <row r="30">
      <c r="A30" s="4" t="s">
        <v>122</v>
      </c>
      <c r="B30" s="3" t="s">
        <v>29</v>
      </c>
    </row>
    <row r="31">
      <c r="A31" s="2" t="s">
        <v>123</v>
      </c>
      <c r="B31" s="3" t="s">
        <v>30</v>
      </c>
    </row>
    <row r="32">
      <c r="A32" s="4" t="s">
        <v>89</v>
      </c>
      <c r="B32" s="3" t="s">
        <v>31</v>
      </c>
    </row>
    <row r="33">
      <c r="A33" s="2" t="s">
        <v>86</v>
      </c>
      <c r="B33" s="3" t="s">
        <v>32</v>
      </c>
    </row>
    <row r="34">
      <c r="A34" s="4" t="s">
        <v>75</v>
      </c>
      <c r="B34" s="3" t="s">
        <v>33</v>
      </c>
    </row>
    <row r="35">
      <c r="A35" s="2" t="s">
        <v>97</v>
      </c>
      <c r="B35" s="3" t="s">
        <v>34</v>
      </c>
    </row>
    <row r="36">
      <c r="A36" s="4" t="s">
        <v>98</v>
      </c>
      <c r="B36" s="3" t="s">
        <v>35</v>
      </c>
    </row>
    <row r="37">
      <c r="A37" s="2" t="s">
        <v>56</v>
      </c>
      <c r="B37" s="3" t="s">
        <v>36</v>
      </c>
    </row>
    <row r="38">
      <c r="A38" s="4" t="s">
        <v>124</v>
      </c>
      <c r="B38" s="3" t="s">
        <v>37</v>
      </c>
    </row>
    <row r="39">
      <c r="A39" s="2" t="s">
        <v>125</v>
      </c>
      <c r="B39" s="3" t="s">
        <v>38</v>
      </c>
    </row>
    <row r="40">
      <c r="A40" s="4" t="s">
        <v>126</v>
      </c>
      <c r="B40" s="3" t="s">
        <v>39</v>
      </c>
    </row>
    <row r="41">
      <c r="A41" s="2" t="s">
        <v>127</v>
      </c>
      <c r="B41" s="3" t="s">
        <v>40</v>
      </c>
    </row>
    <row r="42">
      <c r="A42" s="4" t="s">
        <v>128</v>
      </c>
      <c r="B42" s="3" t="s">
        <v>41</v>
      </c>
    </row>
    <row r="43">
      <c r="A43" s="2" t="s">
        <v>129</v>
      </c>
      <c r="B43" s="3" t="s">
        <v>42</v>
      </c>
    </row>
    <row r="44">
      <c r="A44" s="4" t="s">
        <v>130</v>
      </c>
      <c r="B44" s="3" t="s">
        <v>43</v>
      </c>
    </row>
    <row r="45">
      <c r="A45" s="2" t="s">
        <v>131</v>
      </c>
      <c r="B45" s="3" t="s">
        <v>44</v>
      </c>
    </row>
    <row r="46">
      <c r="A46" s="4" t="s">
        <v>132</v>
      </c>
      <c r="B46" s="3" t="s">
        <v>45</v>
      </c>
    </row>
    <row r="47">
      <c r="A47" s="2" t="s">
        <v>133</v>
      </c>
      <c r="B47" s="3" t="s">
        <v>46</v>
      </c>
    </row>
    <row r="48">
      <c r="A48" s="4" t="s">
        <v>134</v>
      </c>
      <c r="B48" s="3" t="s">
        <v>47</v>
      </c>
    </row>
    <row r="49">
      <c r="A49" s="2" t="s">
        <v>135</v>
      </c>
      <c r="B49" s="3" t="s">
        <v>48</v>
      </c>
    </row>
    <row r="50">
      <c r="A50" s="4" t="s">
        <v>136</v>
      </c>
      <c r="B50" s="3" t="s">
        <v>49</v>
      </c>
    </row>
    <row r="51">
      <c r="A51" s="2" t="s">
        <v>87</v>
      </c>
      <c r="B51" s="3" t="s">
        <v>50</v>
      </c>
    </row>
    <row r="52">
      <c r="A52" s="4" t="s">
        <v>137</v>
      </c>
      <c r="B52" s="3" t="s">
        <v>51</v>
      </c>
    </row>
    <row r="53">
      <c r="A53" s="2" t="s">
        <v>138</v>
      </c>
      <c r="B53" s="3" t="s">
        <v>52</v>
      </c>
    </row>
    <row r="54">
      <c r="A54" s="4" t="s">
        <v>139</v>
      </c>
      <c r="B54" s="3" t="s">
        <v>53</v>
      </c>
    </row>
    <row r="55">
      <c r="A55" s="2" t="s">
        <v>96</v>
      </c>
      <c r="B55" s="3" t="s">
        <v>54</v>
      </c>
    </row>
    <row r="56">
      <c r="A56" s="4" t="s">
        <v>73</v>
      </c>
      <c r="B56" s="3" t="s">
        <v>55</v>
      </c>
    </row>
    <row r="57">
      <c r="A57" s="2" t="s">
        <v>140</v>
      </c>
      <c r="B57" s="3" t="s">
        <v>56</v>
      </c>
    </row>
    <row r="58">
      <c r="A58" s="4" t="s">
        <v>141</v>
      </c>
      <c r="B58" s="3" t="s">
        <v>57</v>
      </c>
    </row>
    <row r="59">
      <c r="A59" s="2" t="s">
        <v>142</v>
      </c>
      <c r="B59" s="3" t="s">
        <v>58</v>
      </c>
    </row>
    <row r="60">
      <c r="A60" s="4" t="s">
        <v>33</v>
      </c>
      <c r="B60" s="3" t="s">
        <v>59</v>
      </c>
    </row>
    <row r="61">
      <c r="A61" s="2" t="s">
        <v>143</v>
      </c>
      <c r="B61" s="3" t="s">
        <v>60</v>
      </c>
    </row>
    <row r="62">
      <c r="A62" s="4" t="s">
        <v>40</v>
      </c>
      <c r="B62" s="3" t="s">
        <v>61</v>
      </c>
    </row>
    <row r="63">
      <c r="A63" s="2" t="s">
        <v>144</v>
      </c>
      <c r="B63" s="3" t="s">
        <v>62</v>
      </c>
    </row>
    <row r="64">
      <c r="A64" s="4" t="s">
        <v>145</v>
      </c>
      <c r="B64" s="3" t="s">
        <v>63</v>
      </c>
    </row>
    <row r="65">
      <c r="A65" s="2" t="s">
        <v>146</v>
      </c>
      <c r="B65" s="3" t="s">
        <v>64</v>
      </c>
    </row>
    <row r="66">
      <c r="A66" s="4" t="s">
        <v>147</v>
      </c>
      <c r="B66" s="3" t="s">
        <v>65</v>
      </c>
    </row>
    <row r="67">
      <c r="A67" s="2" t="s">
        <v>148</v>
      </c>
      <c r="B67" s="3" t="s">
        <v>66</v>
      </c>
    </row>
    <row r="68">
      <c r="A68" s="4" t="s">
        <v>149</v>
      </c>
      <c r="B68" s="3" t="s">
        <v>67</v>
      </c>
    </row>
    <row r="69">
      <c r="A69" s="2" t="s">
        <v>150</v>
      </c>
      <c r="B69" s="3" t="s">
        <v>151</v>
      </c>
    </row>
    <row r="70">
      <c r="A70" s="4" t="s">
        <v>152</v>
      </c>
      <c r="B70" s="3" t="s">
        <v>69</v>
      </c>
    </row>
    <row r="71">
      <c r="A71" s="2" t="s">
        <v>153</v>
      </c>
      <c r="B71" s="3" t="s">
        <v>70</v>
      </c>
    </row>
    <row r="72">
      <c r="A72" s="4" t="s">
        <v>154</v>
      </c>
      <c r="B72" s="3" t="s">
        <v>71</v>
      </c>
    </row>
    <row r="73">
      <c r="A73" s="2" t="s">
        <v>54</v>
      </c>
      <c r="B73" s="3" t="s">
        <v>72</v>
      </c>
    </row>
    <row r="74">
      <c r="A74" s="4" t="s">
        <v>55</v>
      </c>
      <c r="B74" s="3" t="s">
        <v>73</v>
      </c>
    </row>
    <row r="75">
      <c r="A75" s="2" t="s">
        <v>90</v>
      </c>
      <c r="B75" s="3" t="s">
        <v>74</v>
      </c>
    </row>
    <row r="76">
      <c r="A76" s="4" t="s">
        <v>91</v>
      </c>
      <c r="B76" s="3" t="s">
        <v>75</v>
      </c>
    </row>
    <row r="77">
      <c r="A77" s="2" t="s">
        <v>77</v>
      </c>
      <c r="B77" s="3" t="s">
        <v>76</v>
      </c>
    </row>
    <row r="78">
      <c r="A78" s="4" t="s">
        <v>48</v>
      </c>
      <c r="B78" s="3" t="s">
        <v>77</v>
      </c>
    </row>
    <row r="79">
      <c r="A79" s="2" t="s">
        <v>45</v>
      </c>
      <c r="B79" s="3" t="s">
        <v>155</v>
      </c>
    </row>
    <row r="80">
      <c r="A80" s="4" t="s">
        <v>50</v>
      </c>
      <c r="B80" s="3" t="s">
        <v>79</v>
      </c>
    </row>
    <row r="81">
      <c r="A81" s="2" t="s">
        <v>39</v>
      </c>
      <c r="B81" s="3" t="s">
        <v>156</v>
      </c>
    </row>
    <row r="82">
      <c r="A82" s="4" t="s">
        <v>88</v>
      </c>
      <c r="B82" s="3" t="s">
        <v>81</v>
      </c>
    </row>
    <row r="83">
      <c r="A83" s="2" t="s">
        <v>52</v>
      </c>
      <c r="B83" s="3" t="s">
        <v>82</v>
      </c>
    </row>
    <row r="84">
      <c r="A84" s="4" t="s">
        <v>157</v>
      </c>
      <c r="B84" s="3" t="s">
        <v>83</v>
      </c>
    </row>
    <row r="85">
      <c r="A85" s="2" t="s">
        <v>158</v>
      </c>
      <c r="B85" s="3" t="s">
        <v>84</v>
      </c>
    </row>
    <row r="86">
      <c r="A86" s="4" t="s">
        <v>159</v>
      </c>
      <c r="B86" s="3" t="s">
        <v>85</v>
      </c>
    </row>
    <row r="87">
      <c r="A87" s="2" t="s">
        <v>160</v>
      </c>
      <c r="B87" s="3" t="s">
        <v>86</v>
      </c>
    </row>
    <row r="88">
      <c r="A88" s="4" t="s">
        <v>161</v>
      </c>
      <c r="B88" s="3" t="s">
        <v>87</v>
      </c>
    </row>
    <row r="89">
      <c r="A89" s="2" t="s">
        <v>162</v>
      </c>
      <c r="B89" s="3" t="s">
        <v>88</v>
      </c>
    </row>
    <row r="90">
      <c r="A90" s="4" t="s">
        <v>66</v>
      </c>
      <c r="B90" s="3" t="s">
        <v>89</v>
      </c>
    </row>
    <row r="91">
      <c r="A91" s="2" t="s">
        <v>99</v>
      </c>
      <c r="B91" s="3" t="s">
        <v>90</v>
      </c>
    </row>
    <row r="92">
      <c r="A92" s="4" t="s">
        <v>163</v>
      </c>
      <c r="B92" s="3" t="s">
        <v>91</v>
      </c>
    </row>
    <row r="93">
      <c r="A93" s="2" t="s">
        <v>164</v>
      </c>
      <c r="B93" s="3" t="s">
        <v>92</v>
      </c>
    </row>
    <row r="94">
      <c r="A94" s="4" t="s">
        <v>165</v>
      </c>
      <c r="B94" s="3" t="s">
        <v>93</v>
      </c>
    </row>
    <row r="95">
      <c r="A95" s="2" t="s">
        <v>166</v>
      </c>
      <c r="B95" s="3" t="s">
        <v>94</v>
      </c>
    </row>
    <row r="96">
      <c r="A96" s="4" t="s">
        <v>167</v>
      </c>
      <c r="B96" s="3" t="s">
        <v>95</v>
      </c>
    </row>
    <row r="97">
      <c r="A97" s="2" t="s">
        <v>168</v>
      </c>
      <c r="B97" s="3" t="s">
        <v>96</v>
      </c>
    </row>
    <row r="98">
      <c r="A98" s="4" t="s">
        <v>169</v>
      </c>
      <c r="B98" s="3" t="s">
        <v>97</v>
      </c>
    </row>
    <row r="99">
      <c r="A99" s="2" t="s">
        <v>170</v>
      </c>
      <c r="B99" s="3" t="s">
        <v>98</v>
      </c>
    </row>
    <row r="100">
      <c r="A100" s="4" t="s">
        <v>171</v>
      </c>
      <c r="B100" s="3" t="s">
        <v>99</v>
      </c>
    </row>
    <row r="101">
      <c r="A101" s="2" t="s">
        <v>172</v>
      </c>
      <c r="B101" s="3" t="s">
        <v>100</v>
      </c>
    </row>
    <row r="102">
      <c r="A102" s="4" t="s">
        <v>173</v>
      </c>
      <c r="B102" s="3" t="s">
        <v>101</v>
      </c>
    </row>
    <row r="103">
      <c r="A103" s="2" t="s">
        <v>174</v>
      </c>
      <c r="B103" s="3" t="s">
        <v>102</v>
      </c>
    </row>
    <row r="104">
      <c r="A104" s="4" t="s">
        <v>175</v>
      </c>
      <c r="B104" s="3" t="s">
        <v>103</v>
      </c>
    </row>
    <row r="105">
      <c r="A105" s="2" t="s">
        <v>176</v>
      </c>
      <c r="B105" s="3" t="s">
        <v>104</v>
      </c>
    </row>
    <row r="106">
      <c r="A106" s="4" t="s">
        <v>16</v>
      </c>
      <c r="B106" s="3" t="s">
        <v>105</v>
      </c>
    </row>
    <row r="107">
      <c r="A107" s="2" t="s">
        <v>71</v>
      </c>
      <c r="B107" s="3" t="s">
        <v>106</v>
      </c>
    </row>
    <row r="108">
      <c r="A108" s="4" t="s">
        <v>3</v>
      </c>
    </row>
    <row r="109">
      <c r="A109" s="2" t="s">
        <v>23</v>
      </c>
    </row>
    <row r="110">
      <c r="A110" s="4" t="s">
        <v>177</v>
      </c>
    </row>
    <row r="111">
      <c r="A111" s="2" t="s">
        <v>25</v>
      </c>
    </row>
    <row r="112">
      <c r="A112" s="4" t="s">
        <v>178</v>
      </c>
    </row>
    <row r="113">
      <c r="A113" s="2" t="s">
        <v>178</v>
      </c>
    </row>
    <row r="114">
      <c r="A114" s="4" t="s">
        <v>5</v>
      </c>
    </row>
    <row r="115">
      <c r="A115" s="2" t="s">
        <v>179</v>
      </c>
    </row>
    <row r="116">
      <c r="A116" s="4" t="s">
        <v>11</v>
      </c>
    </row>
    <row r="117">
      <c r="A117" s="2" t="s">
        <v>11</v>
      </c>
    </row>
    <row r="118">
      <c r="A118" s="4" t="s">
        <v>180</v>
      </c>
    </row>
    <row r="119">
      <c r="A119" s="2" t="s">
        <v>181</v>
      </c>
    </row>
    <row r="120">
      <c r="A120" s="4" t="s">
        <v>30</v>
      </c>
    </row>
    <row r="121">
      <c r="A121" s="2" t="s">
        <v>30</v>
      </c>
    </row>
    <row r="122">
      <c r="A122" s="4" t="s">
        <v>64</v>
      </c>
    </row>
    <row r="123">
      <c r="A123" s="2" t="s">
        <v>57</v>
      </c>
    </row>
    <row r="124">
      <c r="A124" s="4" t="s">
        <v>63</v>
      </c>
    </row>
    <row r="125">
      <c r="A125" s="2" t="s">
        <v>182</v>
      </c>
    </row>
    <row r="126">
      <c r="A126" s="4" t="s">
        <v>36</v>
      </c>
    </row>
    <row r="127">
      <c r="A127" s="2" t="s">
        <v>61</v>
      </c>
    </row>
    <row r="128">
      <c r="A128" s="4" t="s">
        <v>37</v>
      </c>
    </row>
    <row r="129">
      <c r="A129" s="2" t="s">
        <v>84</v>
      </c>
    </row>
    <row r="130">
      <c r="A130" s="4" t="s">
        <v>83</v>
      </c>
    </row>
    <row r="131">
      <c r="A131" s="2" t="s">
        <v>82</v>
      </c>
    </row>
    <row r="132">
      <c r="A132" s="4" t="s">
        <v>81</v>
      </c>
    </row>
    <row r="133">
      <c r="A133" s="2" t="s">
        <v>42</v>
      </c>
    </row>
    <row r="134">
      <c r="A134" s="4" t="s">
        <v>183</v>
      </c>
    </row>
    <row r="135">
      <c r="A135" s="2" t="s">
        <v>7</v>
      </c>
    </row>
    <row r="136">
      <c r="A136" s="4" t="s">
        <v>184</v>
      </c>
    </row>
    <row r="137">
      <c r="A137" s="2" t="s">
        <v>184</v>
      </c>
    </row>
    <row r="138">
      <c r="A138" s="4" t="s">
        <v>185</v>
      </c>
    </row>
    <row r="139">
      <c r="A139" s="2" t="s">
        <v>2</v>
      </c>
    </row>
    <row r="140">
      <c r="A140" s="4" t="s">
        <v>10</v>
      </c>
    </row>
    <row r="141">
      <c r="A141" s="2" t="s">
        <v>10</v>
      </c>
    </row>
    <row r="142">
      <c r="A142" s="4" t="s">
        <v>186</v>
      </c>
    </row>
    <row r="143">
      <c r="A143" s="2" t="s">
        <v>187</v>
      </c>
    </row>
    <row r="144">
      <c r="A144" s="4" t="s">
        <v>188</v>
      </c>
    </row>
    <row r="145">
      <c r="A145" s="2" t="s">
        <v>189</v>
      </c>
    </row>
    <row r="146">
      <c r="A146" s="4" t="s">
        <v>190</v>
      </c>
    </row>
    <row r="147">
      <c r="A147" s="2" t="s">
        <v>9</v>
      </c>
    </row>
    <row r="148">
      <c r="A148" s="4" t="s">
        <v>191</v>
      </c>
    </row>
    <row r="149">
      <c r="A149" s="2" t="s">
        <v>43</v>
      </c>
    </row>
    <row r="150">
      <c r="A150" s="4" t="s">
        <v>59</v>
      </c>
    </row>
    <row r="151">
      <c r="A151" s="2" t="s">
        <v>62</v>
      </c>
    </row>
    <row r="152">
      <c r="A152" s="4" t="s">
        <v>58</v>
      </c>
    </row>
    <row r="153">
      <c r="A153" s="2" t="s">
        <v>192</v>
      </c>
    </row>
    <row r="154">
      <c r="A154" s="4" t="s">
        <v>193</v>
      </c>
    </row>
    <row r="155">
      <c r="A155" s="2" t="s">
        <v>194</v>
      </c>
    </row>
    <row r="156">
      <c r="A156" s="4" t="s">
        <v>12</v>
      </c>
    </row>
    <row r="157">
      <c r="A157" s="2" t="s">
        <v>12</v>
      </c>
    </row>
    <row r="158">
      <c r="A158" s="4" t="s">
        <v>195</v>
      </c>
    </row>
    <row r="159">
      <c r="A159" s="2" t="s">
        <v>28</v>
      </c>
    </row>
    <row r="160">
      <c r="A160" s="4" t="s">
        <v>28</v>
      </c>
    </row>
    <row r="161">
      <c r="A161" s="2" t="s">
        <v>29</v>
      </c>
    </row>
    <row r="162">
      <c r="A162" s="4" t="s">
        <v>29</v>
      </c>
    </row>
    <row r="163">
      <c r="A163" s="2" t="s">
        <v>80</v>
      </c>
    </row>
    <row r="164">
      <c r="A164" s="4" t="s">
        <v>196</v>
      </c>
    </row>
    <row r="165">
      <c r="A165" s="2" t="s">
        <v>197</v>
      </c>
    </row>
    <row r="166">
      <c r="A166" s="4" t="s">
        <v>198</v>
      </c>
    </row>
    <row r="167">
      <c r="A167" s="2" t="s">
        <v>199</v>
      </c>
    </row>
    <row r="168">
      <c r="A168" s="4" t="s">
        <v>200</v>
      </c>
    </row>
    <row r="169">
      <c r="A169" s="2" t="s">
        <v>201</v>
      </c>
    </row>
    <row r="170">
      <c r="A170" s="4" t="s">
        <v>202</v>
      </c>
    </row>
    <row r="171">
      <c r="A171" s="2" t="s">
        <v>203</v>
      </c>
    </row>
    <row r="172">
      <c r="A172" s="4" t="s">
        <v>204</v>
      </c>
    </row>
    <row r="173">
      <c r="A173" s="2" t="s">
        <v>205</v>
      </c>
    </row>
    <row r="174">
      <c r="A174" s="4" t="s">
        <v>206</v>
      </c>
    </row>
    <row r="175">
      <c r="A175" s="2" t="s">
        <v>207</v>
      </c>
    </row>
    <row r="176">
      <c r="A176" s="4" t="s">
        <v>208</v>
      </c>
    </row>
    <row r="177">
      <c r="A177" s="2" t="s">
        <v>209</v>
      </c>
    </row>
    <row r="178">
      <c r="A178" s="4" t="s">
        <v>210</v>
      </c>
    </row>
    <row r="179">
      <c r="A179" s="2" t="s">
        <v>211</v>
      </c>
    </row>
    <row r="180">
      <c r="A180" s="4" t="s">
        <v>212</v>
      </c>
    </row>
    <row r="181">
      <c r="A181" s="2" t="s">
        <v>13</v>
      </c>
    </row>
    <row r="182">
      <c r="A182" s="4" t="s">
        <v>0</v>
      </c>
    </row>
    <row r="183">
      <c r="A183" s="2" t="s">
        <v>213</v>
      </c>
    </row>
    <row r="184">
      <c r="A184" s="4" t="s">
        <v>214</v>
      </c>
    </row>
    <row r="185">
      <c r="A185" s="2" t="s">
        <v>215</v>
      </c>
    </row>
    <row r="186">
      <c r="A186" s="4" t="s">
        <v>14</v>
      </c>
    </row>
    <row r="187">
      <c r="A187" s="2" t="s">
        <v>14</v>
      </c>
    </row>
    <row r="188">
      <c r="A188" s="4" t="s">
        <v>8</v>
      </c>
    </row>
    <row r="189">
      <c r="A189" s="2" t="s">
        <v>4</v>
      </c>
    </row>
    <row r="190">
      <c r="A190" s="4" t="s">
        <v>4</v>
      </c>
    </row>
    <row r="191">
      <c r="A191" s="2" t="s">
        <v>27</v>
      </c>
    </row>
    <row r="192">
      <c r="A192" s="4" t="s">
        <v>27</v>
      </c>
    </row>
    <row r="193">
      <c r="A193" s="2" t="s">
        <v>22</v>
      </c>
    </row>
    <row r="194">
      <c r="A194" s="4" t="s">
        <v>216</v>
      </c>
    </row>
    <row r="195">
      <c r="A195" s="2" t="s">
        <v>24</v>
      </c>
    </row>
    <row r="196">
      <c r="A196" s="4" t="s">
        <v>1</v>
      </c>
    </row>
    <row r="197">
      <c r="A197" s="2" t="s">
        <v>217</v>
      </c>
    </row>
    <row r="198">
      <c r="A198" s="4" t="s">
        <v>106</v>
      </c>
    </row>
    <row r="199">
      <c r="A199" s="2" t="s">
        <v>218</v>
      </c>
    </row>
    <row r="200">
      <c r="A200" s="4" t="s">
        <v>219</v>
      </c>
    </row>
    <row r="201">
      <c r="A201" s="2" t="s">
        <v>220</v>
      </c>
    </row>
    <row r="202">
      <c r="A202" s="4" t="s">
        <v>15</v>
      </c>
    </row>
    <row r="203">
      <c r="A203" s="2" t="s">
        <v>221</v>
      </c>
    </row>
    <row r="204">
      <c r="A204" s="4" t="s">
        <v>221</v>
      </c>
    </row>
    <row r="205">
      <c r="A205" s="2" t="s">
        <v>222</v>
      </c>
    </row>
    <row r="206">
      <c r="A206" s="4" t="s">
        <v>17</v>
      </c>
    </row>
    <row r="207">
      <c r="A207" s="2" t="s">
        <v>6</v>
      </c>
    </row>
    <row r="208">
      <c r="A208" s="4" t="s">
        <v>6</v>
      </c>
    </row>
    <row r="209">
      <c r="A209" s="2" t="s">
        <v>6</v>
      </c>
    </row>
    <row r="210">
      <c r="A210" s="4" t="s">
        <v>6</v>
      </c>
    </row>
    <row r="211">
      <c r="A211" s="2" t="s">
        <v>95</v>
      </c>
    </row>
    <row r="212">
      <c r="A212" s="4" t="s">
        <v>93</v>
      </c>
    </row>
    <row r="213">
      <c r="A213" s="2" t="s">
        <v>18</v>
      </c>
    </row>
    <row r="214">
      <c r="A214" s="4" t="s">
        <v>20</v>
      </c>
    </row>
    <row r="215">
      <c r="A215" s="2" t="s">
        <v>19</v>
      </c>
    </row>
    <row r="216">
      <c r="A216" s="4" t="s">
        <v>223</v>
      </c>
    </row>
    <row r="217">
      <c r="A217" s="2" t="s">
        <v>72</v>
      </c>
    </row>
    <row r="218">
      <c r="A218" s="4" t="s">
        <v>44</v>
      </c>
    </row>
    <row r="219">
      <c r="A219" s="2" t="s">
        <v>76</v>
      </c>
    </row>
    <row r="220">
      <c r="A220" s="4" t="s">
        <v>32</v>
      </c>
    </row>
    <row r="221">
      <c r="A221" s="2" t="s">
        <v>32</v>
      </c>
    </row>
    <row r="222">
      <c r="A222" s="4" t="s">
        <v>224</v>
      </c>
    </row>
    <row r="223">
      <c r="A223" s="2" t="s">
        <v>225</v>
      </c>
    </row>
    <row r="224">
      <c r="A224" s="4" t="s">
        <v>226</v>
      </c>
    </row>
    <row r="225">
      <c r="A225" s="2" t="s">
        <v>34</v>
      </c>
    </row>
    <row r="226">
      <c r="A226" s="4" t="s">
        <v>227</v>
      </c>
    </row>
    <row r="227">
      <c r="A227" s="2" t="s">
        <v>228</v>
      </c>
    </row>
    <row r="228">
      <c r="A228" s="4" t="s">
        <v>229</v>
      </c>
    </row>
    <row r="229">
      <c r="A229" s="2" t="s">
        <v>230</v>
      </c>
    </row>
    <row r="230">
      <c r="A230" s="4" t="s">
        <v>49</v>
      </c>
    </row>
    <row r="231">
      <c r="A231" s="2" t="s">
        <v>46</v>
      </c>
    </row>
    <row r="232">
      <c r="A232" s="4" t="s">
        <v>51</v>
      </c>
    </row>
    <row r="233">
      <c r="A233" s="2" t="s">
        <v>231</v>
      </c>
    </row>
    <row r="234">
      <c r="A234" s="4" t="s">
        <v>70</v>
      </c>
    </row>
    <row r="235">
      <c r="A235" s="2" t="s">
        <v>67</v>
      </c>
    </row>
    <row r="236">
      <c r="A236" s="4" t="s">
        <v>69</v>
      </c>
    </row>
    <row r="237">
      <c r="A237" s="2" t="s">
        <v>68</v>
      </c>
    </row>
    <row r="238">
      <c r="A238" s="4" t="s">
        <v>232</v>
      </c>
    </row>
    <row r="239">
      <c r="A239" s="2" t="s">
        <v>100</v>
      </c>
    </row>
    <row r="240">
      <c r="A240" s="4" t="s">
        <v>102</v>
      </c>
    </row>
    <row r="241">
      <c r="A241" s="2" t="s">
        <v>104</v>
      </c>
    </row>
    <row r="242">
      <c r="A242" s="4" t="s">
        <v>105</v>
      </c>
    </row>
    <row r="243">
      <c r="A243" s="2" t="s">
        <v>101</v>
      </c>
    </row>
    <row r="244">
      <c r="A244" s="4" t="s">
        <v>103</v>
      </c>
    </row>
    <row r="245">
      <c r="A245" s="2" t="s">
        <v>233</v>
      </c>
    </row>
    <row r="246">
      <c r="A246" s="4" t="s">
        <v>233</v>
      </c>
    </row>
    <row r="247">
      <c r="A247" s="2" t="s">
        <v>234</v>
      </c>
    </row>
    <row r="248">
      <c r="A248" s="4" t="s">
        <v>235</v>
      </c>
    </row>
    <row r="249">
      <c r="A249" s="2" t="s">
        <v>31</v>
      </c>
    </row>
    <row r="250">
      <c r="A250" s="4" t="s">
        <v>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13"/>
    <col customWidth="1" min="3" max="3" width="21.88"/>
    <col customWidth="1" min="4" max="4" width="85.13"/>
    <col customWidth="1" min="5" max="5" width="18.88"/>
  </cols>
  <sheetData>
    <row r="1">
      <c r="A1" s="5" t="s">
        <v>236</v>
      </c>
      <c r="B1" s="6" t="s">
        <v>237</v>
      </c>
      <c r="C1" s="6" t="s">
        <v>238</v>
      </c>
      <c r="D1" s="5" t="s">
        <v>239</v>
      </c>
      <c r="E1" s="6" t="s">
        <v>240</v>
      </c>
    </row>
    <row r="2">
      <c r="A2" s="7" t="b">
        <v>0</v>
      </c>
      <c r="B2" s="8" t="s">
        <v>241</v>
      </c>
      <c r="C2" s="7"/>
      <c r="D2" s="7" t="s">
        <v>0</v>
      </c>
      <c r="E2" s="7" t="b">
        <f t="array" ref="E2:E487">NOT(isna(VLOOKUP(D2:D487,'Hoja 5'!$A$1:$A$250,1,FALSE)))</f>
        <v>1</v>
      </c>
    </row>
    <row r="3">
      <c r="A3" s="9" t="b">
        <v>0</v>
      </c>
      <c r="B3" s="10" t="s">
        <v>242</v>
      </c>
      <c r="C3" s="9"/>
      <c r="D3" s="9" t="s">
        <v>1</v>
      </c>
      <c r="E3" s="9" t="b">
        <v>1</v>
      </c>
    </row>
    <row r="4">
      <c r="A4" s="8" t="b">
        <v>0</v>
      </c>
      <c r="B4" s="8" t="s">
        <v>243</v>
      </c>
      <c r="C4" s="7"/>
      <c r="D4" s="7" t="s">
        <v>2</v>
      </c>
      <c r="E4" s="7" t="b">
        <v>1</v>
      </c>
    </row>
    <row r="5">
      <c r="A5" s="9" t="b">
        <v>0</v>
      </c>
      <c r="B5" s="10" t="s">
        <v>244</v>
      </c>
      <c r="C5" s="9"/>
      <c r="D5" s="9" t="s">
        <v>3</v>
      </c>
      <c r="E5" s="9" t="b">
        <v>1</v>
      </c>
    </row>
    <row r="6">
      <c r="A6" s="7" t="b">
        <v>0</v>
      </c>
      <c r="B6" s="8" t="s">
        <v>245</v>
      </c>
      <c r="C6" s="7"/>
      <c r="D6" s="7" t="s">
        <v>4</v>
      </c>
      <c r="E6" s="7" t="b">
        <v>1</v>
      </c>
    </row>
    <row r="7">
      <c r="A7" s="9" t="b">
        <v>0</v>
      </c>
      <c r="B7" s="10" t="s">
        <v>246</v>
      </c>
      <c r="C7" s="9"/>
      <c r="D7" s="9" t="s">
        <v>5</v>
      </c>
      <c r="E7" s="9" t="b">
        <v>1</v>
      </c>
    </row>
    <row r="8">
      <c r="A8" s="7" t="b">
        <v>0</v>
      </c>
      <c r="B8" s="8" t="s">
        <v>247</v>
      </c>
      <c r="C8" s="7"/>
      <c r="D8" s="7" t="s">
        <v>6</v>
      </c>
      <c r="E8" s="7" t="b">
        <v>1</v>
      </c>
    </row>
    <row r="9">
      <c r="A9" s="10" t="b">
        <v>1</v>
      </c>
      <c r="B9" s="10" t="s">
        <v>248</v>
      </c>
      <c r="C9" s="10" t="s">
        <v>249</v>
      </c>
      <c r="D9" s="9" t="s">
        <v>7</v>
      </c>
      <c r="E9" s="9" t="b">
        <v>1</v>
      </c>
    </row>
    <row r="10">
      <c r="A10" s="8" t="b">
        <v>1</v>
      </c>
      <c r="B10" s="8" t="s">
        <v>250</v>
      </c>
      <c r="C10" s="8" t="s">
        <v>251</v>
      </c>
      <c r="D10" s="7" t="s">
        <v>8</v>
      </c>
      <c r="E10" s="7" t="b">
        <v>1</v>
      </c>
    </row>
    <row r="11">
      <c r="A11" s="10" t="b">
        <v>1</v>
      </c>
      <c r="B11" s="10" t="s">
        <v>252</v>
      </c>
      <c r="C11" s="9"/>
      <c r="D11" s="9" t="s">
        <v>9</v>
      </c>
      <c r="E11" s="9" t="b">
        <v>1</v>
      </c>
    </row>
    <row r="12">
      <c r="A12" s="7" t="b">
        <v>0</v>
      </c>
      <c r="B12" s="8" t="s">
        <v>253</v>
      </c>
      <c r="C12" s="7"/>
      <c r="D12" s="7" t="s">
        <v>10</v>
      </c>
      <c r="E12" s="7" t="b">
        <v>1</v>
      </c>
    </row>
    <row r="13">
      <c r="A13" s="9" t="b">
        <v>0</v>
      </c>
      <c r="B13" s="10" t="s">
        <v>254</v>
      </c>
      <c r="C13" s="9"/>
      <c r="D13" s="9" t="s">
        <v>11</v>
      </c>
      <c r="E13" s="9" t="b">
        <v>1</v>
      </c>
    </row>
    <row r="14">
      <c r="A14" s="7" t="b">
        <v>0</v>
      </c>
      <c r="B14" s="8" t="s">
        <v>255</v>
      </c>
      <c r="C14" s="7"/>
      <c r="D14" s="7" t="s">
        <v>12</v>
      </c>
      <c r="E14" s="7" t="b">
        <v>1</v>
      </c>
    </row>
    <row r="15">
      <c r="A15" s="10" t="b">
        <v>0</v>
      </c>
      <c r="B15" s="10" t="s">
        <v>256</v>
      </c>
      <c r="C15" s="9"/>
      <c r="D15" s="9" t="s">
        <v>13</v>
      </c>
      <c r="E15" s="9" t="b">
        <v>1</v>
      </c>
    </row>
    <row r="16">
      <c r="A16" s="8" t="b">
        <v>1</v>
      </c>
      <c r="B16" s="8" t="s">
        <v>257</v>
      </c>
      <c r="C16" s="7"/>
      <c r="D16" s="7" t="s">
        <v>14</v>
      </c>
      <c r="E16" s="7" t="b">
        <v>1</v>
      </c>
    </row>
    <row r="17">
      <c r="A17" s="9" t="b">
        <v>0</v>
      </c>
      <c r="B17" s="10" t="s">
        <v>258</v>
      </c>
      <c r="C17" s="9"/>
      <c r="D17" s="9" t="s">
        <v>15</v>
      </c>
      <c r="E17" s="9" t="b">
        <v>1</v>
      </c>
    </row>
    <row r="18">
      <c r="A18" s="7" t="b">
        <v>0</v>
      </c>
      <c r="B18" s="8" t="s">
        <v>259</v>
      </c>
      <c r="C18" s="7"/>
      <c r="D18" s="7" t="s">
        <v>16</v>
      </c>
      <c r="E18" s="7" t="b">
        <v>1</v>
      </c>
    </row>
    <row r="19">
      <c r="A19" s="9" t="b">
        <v>0</v>
      </c>
      <c r="B19" s="10" t="s">
        <v>260</v>
      </c>
      <c r="C19" s="9"/>
      <c r="D19" s="9" t="s">
        <v>17</v>
      </c>
      <c r="E19" s="9" t="b">
        <v>1</v>
      </c>
    </row>
    <row r="20">
      <c r="A20" s="8" t="b">
        <v>1</v>
      </c>
      <c r="B20" s="8" t="s">
        <v>261</v>
      </c>
      <c r="C20" s="7"/>
      <c r="D20" s="7" t="s">
        <v>18</v>
      </c>
      <c r="E20" s="7" t="b">
        <v>1</v>
      </c>
    </row>
    <row r="21">
      <c r="A21" s="10" t="b">
        <v>1</v>
      </c>
      <c r="B21" s="10" t="s">
        <v>262</v>
      </c>
      <c r="C21" s="9"/>
      <c r="D21" s="9" t="s">
        <v>19</v>
      </c>
      <c r="E21" s="9" t="b">
        <v>1</v>
      </c>
    </row>
    <row r="22">
      <c r="A22" s="8" t="b">
        <v>1</v>
      </c>
      <c r="B22" s="8" t="s">
        <v>263</v>
      </c>
      <c r="C22" s="7"/>
      <c r="D22" s="7" t="s">
        <v>20</v>
      </c>
      <c r="E22" s="7" t="b">
        <v>1</v>
      </c>
    </row>
    <row r="23">
      <c r="A23" s="10" t="b">
        <v>1</v>
      </c>
      <c r="B23" s="10" t="s">
        <v>264</v>
      </c>
      <c r="C23" s="9"/>
      <c r="D23" s="9" t="s">
        <v>21</v>
      </c>
      <c r="E23" s="9" t="b">
        <v>1</v>
      </c>
    </row>
    <row r="24">
      <c r="A24" s="7" t="b">
        <v>0</v>
      </c>
      <c r="B24" s="8" t="s">
        <v>265</v>
      </c>
      <c r="C24" s="7"/>
      <c r="D24" s="7" t="s">
        <v>22</v>
      </c>
      <c r="E24" s="7" t="b">
        <v>1</v>
      </c>
    </row>
    <row r="25">
      <c r="A25" s="9" t="b">
        <v>0</v>
      </c>
      <c r="B25" s="10" t="s">
        <v>266</v>
      </c>
      <c r="C25" s="9"/>
      <c r="D25" s="9" t="s">
        <v>23</v>
      </c>
      <c r="E25" s="9" t="b">
        <v>1</v>
      </c>
    </row>
    <row r="26">
      <c r="A26" s="7" t="b">
        <v>0</v>
      </c>
      <c r="B26" s="8" t="s">
        <v>267</v>
      </c>
      <c r="C26" s="7"/>
      <c r="D26" s="7" t="s">
        <v>24</v>
      </c>
      <c r="E26" s="7" t="b">
        <v>1</v>
      </c>
    </row>
    <row r="27">
      <c r="A27" s="9" t="b">
        <v>0</v>
      </c>
      <c r="B27" s="10" t="s">
        <v>268</v>
      </c>
      <c r="C27" s="9"/>
      <c r="D27" s="9" t="s">
        <v>25</v>
      </c>
      <c r="E27" s="9" t="b">
        <v>1</v>
      </c>
    </row>
    <row r="28">
      <c r="A28" s="8" t="b">
        <v>1</v>
      </c>
      <c r="B28" s="8" t="s">
        <v>269</v>
      </c>
      <c r="C28" s="7"/>
      <c r="D28" s="7" t="s">
        <v>26</v>
      </c>
      <c r="E28" s="7" t="b">
        <v>1</v>
      </c>
    </row>
    <row r="29">
      <c r="A29" s="9" t="b">
        <v>0</v>
      </c>
      <c r="B29" s="10" t="s">
        <v>270</v>
      </c>
      <c r="C29" s="9"/>
      <c r="D29" s="9" t="s">
        <v>27</v>
      </c>
      <c r="E29" s="9" t="b">
        <v>1</v>
      </c>
    </row>
    <row r="30">
      <c r="A30" s="8" t="b">
        <v>1</v>
      </c>
      <c r="B30" s="8" t="s">
        <v>271</v>
      </c>
      <c r="C30" s="7"/>
      <c r="D30" s="7" t="s">
        <v>28</v>
      </c>
      <c r="E30" s="7" t="b">
        <v>1</v>
      </c>
    </row>
    <row r="31">
      <c r="A31" s="10" t="b">
        <v>1</v>
      </c>
      <c r="B31" s="10" t="s">
        <v>272</v>
      </c>
      <c r="C31" s="9"/>
      <c r="D31" s="9" t="s">
        <v>29</v>
      </c>
      <c r="E31" s="9" t="b">
        <v>1</v>
      </c>
    </row>
    <row r="32">
      <c r="A32" s="8" t="b">
        <v>1</v>
      </c>
      <c r="B32" s="8" t="s">
        <v>273</v>
      </c>
      <c r="C32" s="7"/>
      <c r="D32" s="7" t="s">
        <v>30</v>
      </c>
      <c r="E32" s="7" t="b">
        <v>1</v>
      </c>
    </row>
    <row r="33">
      <c r="A33" s="10" t="b">
        <v>1</v>
      </c>
      <c r="B33" s="10" t="s">
        <v>274</v>
      </c>
      <c r="C33" s="9"/>
      <c r="D33" s="9" t="s">
        <v>31</v>
      </c>
      <c r="E33" s="9" t="b">
        <v>1</v>
      </c>
    </row>
    <row r="34">
      <c r="A34" s="7" t="b">
        <v>0</v>
      </c>
      <c r="B34" s="8" t="s">
        <v>275</v>
      </c>
      <c r="C34" s="7"/>
      <c r="D34" s="7" t="s">
        <v>32</v>
      </c>
      <c r="E34" s="7" t="b">
        <v>1</v>
      </c>
    </row>
    <row r="35">
      <c r="A35" s="10" t="b">
        <v>1</v>
      </c>
      <c r="B35" s="10" t="s">
        <v>276</v>
      </c>
      <c r="C35" s="9"/>
      <c r="D35" s="9" t="s">
        <v>33</v>
      </c>
      <c r="E35" s="9" t="b">
        <v>1</v>
      </c>
    </row>
    <row r="36">
      <c r="A36" s="7" t="b">
        <v>0</v>
      </c>
      <c r="B36" s="8" t="s">
        <v>277</v>
      </c>
      <c r="C36" s="7"/>
      <c r="D36" s="7" t="s">
        <v>34</v>
      </c>
      <c r="E36" s="7" t="b">
        <v>1</v>
      </c>
    </row>
    <row r="37">
      <c r="A37" s="10" t="b">
        <v>1</v>
      </c>
      <c r="B37" s="10" t="s">
        <v>278</v>
      </c>
      <c r="C37" s="9"/>
      <c r="D37" s="9" t="s">
        <v>35</v>
      </c>
      <c r="E37" s="9" t="b">
        <v>1</v>
      </c>
    </row>
    <row r="38">
      <c r="A38" s="8" t="b">
        <v>1</v>
      </c>
      <c r="B38" s="8" t="s">
        <v>279</v>
      </c>
      <c r="C38" s="7"/>
      <c r="D38" s="7" t="s">
        <v>36</v>
      </c>
      <c r="E38" s="7" t="b">
        <v>1</v>
      </c>
    </row>
    <row r="39">
      <c r="A39" s="10" t="b">
        <v>1</v>
      </c>
      <c r="B39" s="10" t="s">
        <v>280</v>
      </c>
      <c r="C39" s="9"/>
      <c r="D39" s="9" t="s">
        <v>37</v>
      </c>
      <c r="E39" s="9" t="b">
        <v>1</v>
      </c>
    </row>
    <row r="40">
      <c r="A40" s="8" t="b">
        <v>1</v>
      </c>
      <c r="B40" s="8" t="s">
        <v>281</v>
      </c>
      <c r="C40" s="7"/>
      <c r="D40" s="7" t="s">
        <v>38</v>
      </c>
      <c r="E40" s="7" t="b">
        <v>1</v>
      </c>
    </row>
    <row r="41">
      <c r="A41" s="10" t="b">
        <v>1</v>
      </c>
      <c r="B41" s="10" t="s">
        <v>282</v>
      </c>
      <c r="C41" s="9"/>
      <c r="D41" s="9" t="s">
        <v>39</v>
      </c>
      <c r="E41" s="9" t="b">
        <v>1</v>
      </c>
    </row>
    <row r="42">
      <c r="A42" s="8" t="b">
        <v>1</v>
      </c>
      <c r="B42" s="8" t="s">
        <v>283</v>
      </c>
      <c r="C42" s="7"/>
      <c r="D42" s="7" t="s">
        <v>40</v>
      </c>
      <c r="E42" s="7" t="b">
        <v>1</v>
      </c>
    </row>
    <row r="43">
      <c r="A43" s="10" t="b">
        <v>1</v>
      </c>
      <c r="B43" s="10" t="s">
        <v>284</v>
      </c>
      <c r="C43" s="9"/>
      <c r="D43" s="9" t="s">
        <v>41</v>
      </c>
      <c r="E43" s="9" t="b">
        <v>1</v>
      </c>
    </row>
    <row r="44">
      <c r="A44" s="8" t="b">
        <v>1</v>
      </c>
      <c r="B44" s="8" t="s">
        <v>285</v>
      </c>
      <c r="C44" s="7"/>
      <c r="D44" s="7" t="s">
        <v>42</v>
      </c>
      <c r="E44" s="7" t="b">
        <v>1</v>
      </c>
    </row>
    <row r="45">
      <c r="A45" s="10" t="b">
        <v>1</v>
      </c>
      <c r="B45" s="10" t="s">
        <v>286</v>
      </c>
      <c r="C45" s="9"/>
      <c r="D45" s="9" t="s">
        <v>43</v>
      </c>
      <c r="E45" s="9" t="b">
        <v>1</v>
      </c>
    </row>
    <row r="46">
      <c r="A46" s="8" t="b">
        <v>1</v>
      </c>
      <c r="B46" s="8" t="s">
        <v>287</v>
      </c>
      <c r="C46" s="7"/>
      <c r="D46" s="7" t="s">
        <v>44</v>
      </c>
      <c r="E46" s="7" t="b">
        <v>1</v>
      </c>
    </row>
    <row r="47">
      <c r="A47" s="10" t="b">
        <v>1</v>
      </c>
      <c r="B47" s="10" t="s">
        <v>288</v>
      </c>
      <c r="C47" s="9"/>
      <c r="D47" s="9" t="s">
        <v>45</v>
      </c>
      <c r="E47" s="9" t="b">
        <v>1</v>
      </c>
    </row>
    <row r="48">
      <c r="A48" s="8" t="b">
        <v>1</v>
      </c>
      <c r="B48" s="8" t="s">
        <v>289</v>
      </c>
      <c r="C48" s="7"/>
      <c r="D48" s="7" t="s">
        <v>46</v>
      </c>
      <c r="E48" s="7" t="b">
        <v>1</v>
      </c>
    </row>
    <row r="49">
      <c r="A49" s="10" t="b">
        <v>1</v>
      </c>
      <c r="B49" s="10" t="s">
        <v>290</v>
      </c>
      <c r="C49" s="9"/>
      <c r="D49" s="9" t="s">
        <v>47</v>
      </c>
      <c r="E49" s="9" t="b">
        <v>1</v>
      </c>
    </row>
    <row r="50">
      <c r="A50" s="8" t="b">
        <v>1</v>
      </c>
      <c r="B50" s="8" t="s">
        <v>291</v>
      </c>
      <c r="C50" s="7"/>
      <c r="D50" s="7" t="s">
        <v>48</v>
      </c>
      <c r="E50" s="7" t="b">
        <v>1</v>
      </c>
    </row>
    <row r="51">
      <c r="A51" s="10" t="b">
        <v>1</v>
      </c>
      <c r="B51" s="10" t="s">
        <v>292</v>
      </c>
      <c r="C51" s="9"/>
      <c r="D51" s="9" t="s">
        <v>49</v>
      </c>
      <c r="E51" s="9" t="b">
        <v>1</v>
      </c>
    </row>
    <row r="52">
      <c r="A52" s="8" t="b">
        <v>1</v>
      </c>
      <c r="B52" s="8" t="s">
        <v>293</v>
      </c>
      <c r="C52" s="7"/>
      <c r="D52" s="7" t="s">
        <v>50</v>
      </c>
      <c r="E52" s="7" t="b">
        <v>1</v>
      </c>
    </row>
    <row r="53">
      <c r="A53" s="10" t="b">
        <v>1</v>
      </c>
      <c r="B53" s="10" t="s">
        <v>294</v>
      </c>
      <c r="C53" s="9"/>
      <c r="D53" s="9" t="s">
        <v>51</v>
      </c>
      <c r="E53" s="9" t="b">
        <v>1</v>
      </c>
    </row>
    <row r="54">
      <c r="A54" s="8" t="b">
        <v>1</v>
      </c>
      <c r="B54" s="8" t="s">
        <v>295</v>
      </c>
      <c r="C54" s="7"/>
      <c r="D54" s="7" t="s">
        <v>52</v>
      </c>
      <c r="E54" s="7" t="b">
        <v>1</v>
      </c>
    </row>
    <row r="55">
      <c r="A55" s="10" t="b">
        <v>1</v>
      </c>
      <c r="B55" s="10" t="s">
        <v>296</v>
      </c>
      <c r="C55" s="9"/>
      <c r="D55" s="9" t="s">
        <v>53</v>
      </c>
      <c r="E55" s="9" t="b">
        <v>1</v>
      </c>
    </row>
    <row r="56">
      <c r="A56" s="8" t="b">
        <v>1</v>
      </c>
      <c r="B56" s="8" t="s">
        <v>297</v>
      </c>
      <c r="C56" s="7"/>
      <c r="D56" s="7" t="s">
        <v>54</v>
      </c>
      <c r="E56" s="7" t="b">
        <v>1</v>
      </c>
    </row>
    <row r="57">
      <c r="A57" s="10" t="b">
        <v>1</v>
      </c>
      <c r="B57" s="10" t="s">
        <v>298</v>
      </c>
      <c r="C57" s="9"/>
      <c r="D57" s="9" t="s">
        <v>55</v>
      </c>
      <c r="E57" s="9" t="b">
        <v>1</v>
      </c>
    </row>
    <row r="58">
      <c r="A58" s="8" t="b">
        <v>1</v>
      </c>
      <c r="B58" s="8" t="s">
        <v>299</v>
      </c>
      <c r="C58" s="7"/>
      <c r="D58" s="7" t="s">
        <v>56</v>
      </c>
      <c r="E58" s="7" t="b">
        <v>1</v>
      </c>
    </row>
    <row r="59">
      <c r="A59" s="10" t="b">
        <v>1</v>
      </c>
      <c r="B59" s="10" t="s">
        <v>300</v>
      </c>
      <c r="C59" s="9"/>
      <c r="D59" s="9" t="s">
        <v>57</v>
      </c>
      <c r="E59" s="9" t="b">
        <v>1</v>
      </c>
    </row>
    <row r="60">
      <c r="A60" s="8" t="b">
        <v>1</v>
      </c>
      <c r="B60" s="8" t="s">
        <v>301</v>
      </c>
      <c r="C60" s="7"/>
      <c r="D60" s="7" t="s">
        <v>58</v>
      </c>
      <c r="E60" s="7" t="b">
        <v>1</v>
      </c>
    </row>
    <row r="61">
      <c r="A61" s="10" t="b">
        <v>1</v>
      </c>
      <c r="B61" s="10" t="s">
        <v>302</v>
      </c>
      <c r="C61" s="9"/>
      <c r="D61" s="9" t="s">
        <v>59</v>
      </c>
      <c r="E61" s="9" t="b">
        <v>1</v>
      </c>
    </row>
    <row r="62">
      <c r="A62" s="8" t="b">
        <v>1</v>
      </c>
      <c r="B62" s="8" t="s">
        <v>303</v>
      </c>
      <c r="C62" s="7"/>
      <c r="D62" s="7" t="s">
        <v>60</v>
      </c>
      <c r="E62" s="7" t="b">
        <v>1</v>
      </c>
    </row>
    <row r="63">
      <c r="A63" s="10" t="b">
        <v>1</v>
      </c>
      <c r="B63" s="10" t="s">
        <v>304</v>
      </c>
      <c r="C63" s="9"/>
      <c r="D63" s="9" t="s">
        <v>61</v>
      </c>
      <c r="E63" s="9" t="b">
        <v>1</v>
      </c>
    </row>
    <row r="64">
      <c r="A64" s="8" t="b">
        <v>1</v>
      </c>
      <c r="B64" s="8" t="s">
        <v>305</v>
      </c>
      <c r="C64" s="7"/>
      <c r="D64" s="7" t="s">
        <v>62</v>
      </c>
      <c r="E64" s="7" t="b">
        <v>1</v>
      </c>
    </row>
    <row r="65">
      <c r="A65" s="10" t="b">
        <v>1</v>
      </c>
      <c r="B65" s="10" t="s">
        <v>306</v>
      </c>
      <c r="C65" s="9"/>
      <c r="D65" s="9" t="s">
        <v>63</v>
      </c>
      <c r="E65" s="9" t="b">
        <v>1</v>
      </c>
    </row>
    <row r="66">
      <c r="A66" s="8" t="b">
        <v>1</v>
      </c>
      <c r="B66" s="8" t="s">
        <v>307</v>
      </c>
      <c r="C66" s="7"/>
      <c r="D66" s="7" t="s">
        <v>64</v>
      </c>
      <c r="E66" s="7" t="b">
        <v>1</v>
      </c>
    </row>
    <row r="67">
      <c r="A67" s="10" t="b">
        <v>1</v>
      </c>
      <c r="B67" s="10" t="s">
        <v>308</v>
      </c>
      <c r="C67" s="9"/>
      <c r="D67" s="9" t="s">
        <v>65</v>
      </c>
      <c r="E67" s="9" t="b">
        <v>1</v>
      </c>
    </row>
    <row r="68">
      <c r="A68" s="8" t="b">
        <v>1</v>
      </c>
      <c r="B68" s="8" t="s">
        <v>309</v>
      </c>
      <c r="C68" s="7"/>
      <c r="D68" s="7" t="s">
        <v>66</v>
      </c>
      <c r="E68" s="7" t="b">
        <v>1</v>
      </c>
    </row>
    <row r="69">
      <c r="A69" s="9" t="b">
        <v>0</v>
      </c>
      <c r="B69" s="10" t="s">
        <v>310</v>
      </c>
      <c r="C69" s="9"/>
      <c r="D69" s="9" t="s">
        <v>67</v>
      </c>
      <c r="E69" s="9" t="b">
        <v>1</v>
      </c>
    </row>
    <row r="70">
      <c r="A70" s="8" t="b">
        <v>1</v>
      </c>
      <c r="B70" s="8" t="s">
        <v>311</v>
      </c>
      <c r="C70" s="7"/>
      <c r="D70" s="7" t="s">
        <v>68</v>
      </c>
      <c r="E70" s="7" t="b">
        <v>1</v>
      </c>
    </row>
    <row r="71">
      <c r="A71" s="10" t="b">
        <v>1</v>
      </c>
      <c r="B71" s="10" t="s">
        <v>312</v>
      </c>
      <c r="C71" s="9"/>
      <c r="D71" s="9" t="s">
        <v>69</v>
      </c>
      <c r="E71" s="9" t="b">
        <v>1</v>
      </c>
    </row>
    <row r="72">
      <c r="A72" s="8" t="b">
        <v>1</v>
      </c>
      <c r="B72" s="8" t="s">
        <v>313</v>
      </c>
      <c r="C72" s="7"/>
      <c r="D72" s="7" t="s">
        <v>70</v>
      </c>
      <c r="E72" s="7" t="b">
        <v>1</v>
      </c>
    </row>
    <row r="73">
      <c r="A73" s="10" t="b">
        <v>1</v>
      </c>
      <c r="B73" s="10" t="s">
        <v>314</v>
      </c>
      <c r="C73" s="9"/>
      <c r="D73" s="9" t="s">
        <v>71</v>
      </c>
      <c r="E73" s="9" t="b">
        <v>1</v>
      </c>
    </row>
    <row r="74">
      <c r="A74" s="7" t="b">
        <v>0</v>
      </c>
      <c r="B74" s="8" t="s">
        <v>315</v>
      </c>
      <c r="C74" s="7"/>
      <c r="D74" s="7" t="s">
        <v>72</v>
      </c>
      <c r="E74" s="7" t="b">
        <v>1</v>
      </c>
    </row>
    <row r="75">
      <c r="A75" s="10" t="b">
        <v>1</v>
      </c>
      <c r="B75" s="10" t="s">
        <v>316</v>
      </c>
      <c r="C75" s="9"/>
      <c r="D75" s="9" t="s">
        <v>73</v>
      </c>
      <c r="E75" s="9" t="b">
        <v>1</v>
      </c>
    </row>
    <row r="76">
      <c r="A76" s="8" t="b">
        <v>1</v>
      </c>
      <c r="B76" s="8" t="s">
        <v>317</v>
      </c>
      <c r="C76" s="7"/>
      <c r="D76" s="7" t="s">
        <v>74</v>
      </c>
      <c r="E76" s="7" t="b">
        <v>1</v>
      </c>
    </row>
    <row r="77">
      <c r="A77" s="10" t="b">
        <v>1</v>
      </c>
      <c r="B77" s="10" t="s">
        <v>318</v>
      </c>
      <c r="C77" s="9"/>
      <c r="D77" s="9" t="s">
        <v>75</v>
      </c>
      <c r="E77" s="9" t="b">
        <v>1</v>
      </c>
    </row>
    <row r="78">
      <c r="A78" s="8" t="b">
        <v>1</v>
      </c>
      <c r="B78" s="8" t="s">
        <v>319</v>
      </c>
      <c r="C78" s="7"/>
      <c r="D78" s="7" t="s">
        <v>76</v>
      </c>
      <c r="E78" s="7" t="b">
        <v>1</v>
      </c>
    </row>
    <row r="79">
      <c r="A79" s="10" t="b">
        <v>1</v>
      </c>
      <c r="B79" s="10" t="s">
        <v>320</v>
      </c>
      <c r="C79" s="9"/>
      <c r="D79" s="9" t="s">
        <v>77</v>
      </c>
      <c r="E79" s="9" t="b">
        <v>1</v>
      </c>
    </row>
    <row r="80">
      <c r="A80" s="8" t="b">
        <v>1</v>
      </c>
      <c r="B80" s="8" t="s">
        <v>321</v>
      </c>
      <c r="C80" s="7"/>
      <c r="D80" s="7" t="s">
        <v>78</v>
      </c>
      <c r="E80" s="7" t="b">
        <v>1</v>
      </c>
    </row>
    <row r="81">
      <c r="A81" s="10" t="b">
        <v>1</v>
      </c>
      <c r="B81" s="10" t="s">
        <v>322</v>
      </c>
      <c r="C81" s="9"/>
      <c r="D81" s="9" t="s">
        <v>79</v>
      </c>
      <c r="E81" s="9" t="b">
        <v>1</v>
      </c>
    </row>
    <row r="82">
      <c r="A82" s="8" t="b">
        <v>1</v>
      </c>
      <c r="B82" s="8" t="s">
        <v>323</v>
      </c>
      <c r="C82" s="7"/>
      <c r="D82" s="7" t="s">
        <v>80</v>
      </c>
      <c r="E82" s="7" t="b">
        <v>1</v>
      </c>
    </row>
    <row r="83">
      <c r="A83" s="10" t="b">
        <v>1</v>
      </c>
      <c r="B83" s="10" t="s">
        <v>324</v>
      </c>
      <c r="C83" s="9"/>
      <c r="D83" s="9" t="s">
        <v>81</v>
      </c>
      <c r="E83" s="9" t="b">
        <v>1</v>
      </c>
    </row>
    <row r="84">
      <c r="A84" s="8" t="b">
        <v>1</v>
      </c>
      <c r="B84" s="8" t="s">
        <v>325</v>
      </c>
      <c r="C84" s="7"/>
      <c r="D84" s="7" t="s">
        <v>82</v>
      </c>
      <c r="E84" s="7" t="b">
        <v>1</v>
      </c>
    </row>
    <row r="85">
      <c r="A85" s="10" t="b">
        <v>1</v>
      </c>
      <c r="B85" s="10" t="s">
        <v>326</v>
      </c>
      <c r="C85" s="9"/>
      <c r="D85" s="9" t="s">
        <v>83</v>
      </c>
      <c r="E85" s="9" t="b">
        <v>1</v>
      </c>
    </row>
    <row r="86">
      <c r="A86" s="8" t="b">
        <v>1</v>
      </c>
      <c r="B86" s="8" t="s">
        <v>327</v>
      </c>
      <c r="C86" s="7"/>
      <c r="D86" s="7" t="s">
        <v>84</v>
      </c>
      <c r="E86" s="7" t="b">
        <v>1</v>
      </c>
    </row>
    <row r="87">
      <c r="A87" s="10" t="b">
        <v>1</v>
      </c>
      <c r="B87" s="10" t="s">
        <v>328</v>
      </c>
      <c r="C87" s="9"/>
      <c r="D87" s="9" t="s">
        <v>85</v>
      </c>
      <c r="E87" s="9" t="b">
        <v>1</v>
      </c>
    </row>
    <row r="88">
      <c r="A88" s="8" t="b">
        <v>1</v>
      </c>
      <c r="B88" s="8" t="s">
        <v>329</v>
      </c>
      <c r="C88" s="7"/>
      <c r="D88" s="7" t="s">
        <v>86</v>
      </c>
      <c r="E88" s="7" t="b">
        <v>1</v>
      </c>
    </row>
    <row r="89">
      <c r="A89" s="10" t="b">
        <v>1</v>
      </c>
      <c r="B89" s="10" t="s">
        <v>330</v>
      </c>
      <c r="C89" s="9"/>
      <c r="D89" s="9" t="s">
        <v>87</v>
      </c>
      <c r="E89" s="9" t="b">
        <v>1</v>
      </c>
    </row>
    <row r="90">
      <c r="A90" s="8" t="b">
        <v>1</v>
      </c>
      <c r="B90" s="8" t="s">
        <v>331</v>
      </c>
      <c r="C90" s="7"/>
      <c r="D90" s="7" t="s">
        <v>88</v>
      </c>
      <c r="E90" s="7" t="b">
        <v>1</v>
      </c>
    </row>
    <row r="91">
      <c r="A91" s="10" t="b">
        <v>1</v>
      </c>
      <c r="B91" s="10" t="s">
        <v>332</v>
      </c>
      <c r="C91" s="9"/>
      <c r="D91" s="9" t="s">
        <v>89</v>
      </c>
      <c r="E91" s="9" t="b">
        <v>1</v>
      </c>
    </row>
    <row r="92">
      <c r="A92" s="8" t="b">
        <v>1</v>
      </c>
      <c r="B92" s="8" t="s">
        <v>333</v>
      </c>
      <c r="C92" s="7"/>
      <c r="D92" s="7" t="s">
        <v>90</v>
      </c>
      <c r="E92" s="7" t="b">
        <v>1</v>
      </c>
    </row>
    <row r="93">
      <c r="A93" s="10" t="b">
        <v>1</v>
      </c>
      <c r="B93" s="10" t="s">
        <v>334</v>
      </c>
      <c r="C93" s="9"/>
      <c r="D93" s="9" t="s">
        <v>91</v>
      </c>
      <c r="E93" s="9" t="b">
        <v>1</v>
      </c>
    </row>
    <row r="94">
      <c r="A94" s="8" t="b">
        <v>1</v>
      </c>
      <c r="B94" s="8" t="s">
        <v>335</v>
      </c>
      <c r="C94" s="7"/>
      <c r="D94" s="7" t="s">
        <v>92</v>
      </c>
      <c r="E94" s="7" t="b">
        <v>1</v>
      </c>
    </row>
    <row r="95">
      <c r="A95" s="10" t="b">
        <v>1</v>
      </c>
      <c r="B95" s="10" t="s">
        <v>336</v>
      </c>
      <c r="C95" s="9"/>
      <c r="D95" s="9" t="s">
        <v>93</v>
      </c>
      <c r="E95" s="9" t="b">
        <v>1</v>
      </c>
    </row>
    <row r="96">
      <c r="A96" s="8" t="b">
        <v>1</v>
      </c>
      <c r="B96" s="8" t="s">
        <v>337</v>
      </c>
      <c r="C96" s="7"/>
      <c r="D96" s="7" t="s">
        <v>94</v>
      </c>
      <c r="E96" s="7" t="b">
        <v>1</v>
      </c>
    </row>
    <row r="97">
      <c r="A97" s="10" t="b">
        <v>1</v>
      </c>
      <c r="B97" s="10" t="s">
        <v>338</v>
      </c>
      <c r="C97" s="9"/>
      <c r="D97" s="9" t="s">
        <v>95</v>
      </c>
      <c r="E97" s="9" t="b">
        <v>1</v>
      </c>
    </row>
    <row r="98">
      <c r="A98" s="8" t="b">
        <v>1</v>
      </c>
      <c r="B98" s="8" t="s">
        <v>339</v>
      </c>
      <c r="C98" s="7"/>
      <c r="D98" s="7" t="s">
        <v>96</v>
      </c>
      <c r="E98" s="7" t="b">
        <v>1</v>
      </c>
    </row>
    <row r="99">
      <c r="A99" s="10" t="b">
        <v>1</v>
      </c>
      <c r="B99" s="10" t="s">
        <v>340</v>
      </c>
      <c r="C99" s="9"/>
      <c r="D99" s="9" t="s">
        <v>97</v>
      </c>
      <c r="E99" s="9" t="b">
        <v>1</v>
      </c>
    </row>
    <row r="100">
      <c r="A100" s="8" t="b">
        <v>1</v>
      </c>
      <c r="B100" s="8" t="s">
        <v>341</v>
      </c>
      <c r="C100" s="7"/>
      <c r="D100" s="7" t="s">
        <v>98</v>
      </c>
      <c r="E100" s="7" t="b">
        <v>1</v>
      </c>
    </row>
    <row r="101">
      <c r="A101" s="10" t="b">
        <v>1</v>
      </c>
      <c r="B101" s="10" t="s">
        <v>342</v>
      </c>
      <c r="C101" s="9"/>
      <c r="D101" s="9" t="s">
        <v>99</v>
      </c>
      <c r="E101" s="9" t="b">
        <v>1</v>
      </c>
    </row>
    <row r="102">
      <c r="A102" s="8" t="b">
        <v>1</v>
      </c>
      <c r="B102" s="8" t="s">
        <v>343</v>
      </c>
      <c r="C102" s="7"/>
      <c r="D102" s="7" t="s">
        <v>100</v>
      </c>
      <c r="E102" s="7" t="b">
        <v>1</v>
      </c>
    </row>
    <row r="103">
      <c r="A103" s="10" t="b">
        <v>1</v>
      </c>
      <c r="B103" s="10" t="s">
        <v>344</v>
      </c>
      <c r="C103" s="9"/>
      <c r="D103" s="9" t="s">
        <v>101</v>
      </c>
      <c r="E103" s="9" t="b">
        <v>1</v>
      </c>
    </row>
    <row r="104">
      <c r="A104" s="8" t="b">
        <v>1</v>
      </c>
      <c r="B104" s="8" t="s">
        <v>345</v>
      </c>
      <c r="C104" s="7"/>
      <c r="D104" s="7" t="s">
        <v>102</v>
      </c>
      <c r="E104" s="7" t="b">
        <v>1</v>
      </c>
    </row>
    <row r="105">
      <c r="A105" s="10" t="b">
        <v>1</v>
      </c>
      <c r="B105" s="10" t="s">
        <v>346</v>
      </c>
      <c r="C105" s="9"/>
      <c r="D105" s="9" t="s">
        <v>103</v>
      </c>
      <c r="E105" s="9" t="b">
        <v>1</v>
      </c>
    </row>
    <row r="106">
      <c r="A106" s="8" t="b">
        <v>1</v>
      </c>
      <c r="B106" s="8" t="s">
        <v>347</v>
      </c>
      <c r="C106" s="7"/>
      <c r="D106" s="7" t="s">
        <v>104</v>
      </c>
      <c r="E106" s="7" t="b">
        <v>1</v>
      </c>
    </row>
    <row r="107">
      <c r="A107" s="10" t="b">
        <v>1</v>
      </c>
      <c r="B107" s="10" t="s">
        <v>348</v>
      </c>
      <c r="C107" s="9"/>
      <c r="D107" s="9" t="s">
        <v>105</v>
      </c>
      <c r="E107" s="9" t="b">
        <v>1</v>
      </c>
    </row>
    <row r="108">
      <c r="A108" s="8" t="b">
        <v>0</v>
      </c>
      <c r="B108" s="8" t="s">
        <v>349</v>
      </c>
      <c r="C108" s="7"/>
      <c r="D108" s="7" t="s">
        <v>106</v>
      </c>
      <c r="E108" s="7" t="b">
        <v>1</v>
      </c>
    </row>
    <row r="109">
      <c r="A109" s="10" t="b">
        <v>0</v>
      </c>
      <c r="B109" s="10" t="s">
        <v>350</v>
      </c>
      <c r="C109" s="10" t="s">
        <v>351</v>
      </c>
      <c r="D109" s="11" t="s">
        <v>0</v>
      </c>
      <c r="E109" s="9" t="b">
        <v>1</v>
      </c>
    </row>
    <row r="110">
      <c r="A110" s="8" t="b">
        <v>0</v>
      </c>
      <c r="B110" s="8" t="s">
        <v>352</v>
      </c>
      <c r="C110" s="7"/>
      <c r="D110" s="12" t="s">
        <v>1</v>
      </c>
      <c r="E110" s="7" t="b">
        <v>1</v>
      </c>
    </row>
    <row r="111">
      <c r="A111" s="10" t="b">
        <v>0</v>
      </c>
      <c r="B111" s="10" t="s">
        <v>353</v>
      </c>
      <c r="C111" s="10" t="s">
        <v>354</v>
      </c>
      <c r="D111" s="11" t="s">
        <v>118</v>
      </c>
      <c r="E111" s="9" t="b">
        <v>1</v>
      </c>
    </row>
    <row r="112">
      <c r="A112" s="8" t="b">
        <v>0</v>
      </c>
      <c r="B112" s="8" t="s">
        <v>355</v>
      </c>
      <c r="C112" s="7"/>
      <c r="D112" s="12" t="s">
        <v>178</v>
      </c>
      <c r="E112" s="7" t="b">
        <v>1</v>
      </c>
    </row>
    <row r="113">
      <c r="A113" s="10" t="b">
        <v>0</v>
      </c>
      <c r="B113" s="10" t="s">
        <v>356</v>
      </c>
      <c r="C113" s="9"/>
      <c r="D113" s="11" t="s">
        <v>217</v>
      </c>
      <c r="E113" s="9" t="b">
        <v>1</v>
      </c>
    </row>
    <row r="114">
      <c r="A114" s="8" t="b">
        <v>0</v>
      </c>
      <c r="B114" s="8" t="s">
        <v>357</v>
      </c>
      <c r="C114" s="7"/>
      <c r="D114" s="12" t="s">
        <v>184</v>
      </c>
      <c r="E114" s="7" t="b">
        <v>1</v>
      </c>
    </row>
    <row r="115">
      <c r="A115" s="10" t="b">
        <v>0</v>
      </c>
      <c r="B115" s="10" t="s">
        <v>358</v>
      </c>
      <c r="C115" s="9"/>
      <c r="D115" s="11" t="s">
        <v>182</v>
      </c>
      <c r="E115" s="9" t="b">
        <v>1</v>
      </c>
    </row>
    <row r="116">
      <c r="A116" s="8" t="b">
        <v>0</v>
      </c>
      <c r="B116" s="8" t="s">
        <v>359</v>
      </c>
      <c r="C116" s="7"/>
      <c r="D116" s="12" t="s">
        <v>6</v>
      </c>
      <c r="E116" s="7" t="b">
        <v>1</v>
      </c>
    </row>
    <row r="117">
      <c r="A117" s="10" t="b">
        <v>1</v>
      </c>
      <c r="B117" s="10" t="s">
        <v>360</v>
      </c>
      <c r="C117" s="9"/>
      <c r="D117" s="11" t="s">
        <v>221</v>
      </c>
      <c r="E117" s="9" t="b">
        <v>1</v>
      </c>
    </row>
    <row r="118">
      <c r="A118" s="8" t="b">
        <v>0</v>
      </c>
      <c r="B118" s="8" t="s">
        <v>361</v>
      </c>
      <c r="C118" s="7"/>
      <c r="D118" s="12" t="s">
        <v>195</v>
      </c>
      <c r="E118" s="7" t="b">
        <v>1</v>
      </c>
    </row>
    <row r="119">
      <c r="A119" s="10" t="b">
        <v>1</v>
      </c>
      <c r="B119" s="10" t="s">
        <v>362</v>
      </c>
      <c r="C119" s="9"/>
      <c r="D119" s="11" t="s">
        <v>14</v>
      </c>
      <c r="E119" s="9" t="b">
        <v>1</v>
      </c>
    </row>
    <row r="120">
      <c r="A120" s="8" t="b">
        <v>0</v>
      </c>
      <c r="B120" s="8" t="s">
        <v>363</v>
      </c>
      <c r="C120" s="7"/>
      <c r="D120" s="12" t="s">
        <v>233</v>
      </c>
      <c r="E120" s="7" t="b">
        <v>1</v>
      </c>
    </row>
    <row r="121">
      <c r="A121" s="10" t="b">
        <v>0</v>
      </c>
      <c r="B121" s="10" t="s">
        <v>364</v>
      </c>
      <c r="C121" s="9"/>
      <c r="D121" s="11" t="s">
        <v>10</v>
      </c>
      <c r="E121" s="9" t="b">
        <v>1</v>
      </c>
    </row>
    <row r="122">
      <c r="A122" s="8" t="b">
        <v>0</v>
      </c>
      <c r="B122" s="8" t="s">
        <v>365</v>
      </c>
      <c r="C122" s="7"/>
      <c r="D122" s="12" t="s">
        <v>11</v>
      </c>
      <c r="E122" s="7" t="b">
        <v>1</v>
      </c>
    </row>
    <row r="123">
      <c r="A123" s="10" t="b">
        <v>0</v>
      </c>
      <c r="B123" s="10" t="s">
        <v>366</v>
      </c>
      <c r="C123" s="9"/>
      <c r="D123" s="11" t="s">
        <v>192</v>
      </c>
      <c r="E123" s="9" t="b">
        <v>1</v>
      </c>
    </row>
    <row r="124">
      <c r="A124" s="8" t="b">
        <v>1</v>
      </c>
      <c r="B124" s="8" t="s">
        <v>367</v>
      </c>
      <c r="C124" s="8" t="s">
        <v>368</v>
      </c>
      <c r="D124" s="12" t="s">
        <v>134</v>
      </c>
      <c r="E124" s="7" t="b">
        <v>1</v>
      </c>
    </row>
    <row r="125">
      <c r="A125" s="10" t="b">
        <v>0</v>
      </c>
      <c r="B125" s="10" t="s">
        <v>369</v>
      </c>
      <c r="C125" s="10" t="s">
        <v>370</v>
      </c>
      <c r="D125" s="11" t="s">
        <v>178</v>
      </c>
      <c r="E125" s="9" t="b">
        <v>1</v>
      </c>
    </row>
    <row r="126">
      <c r="A126" s="8" t="b">
        <v>0</v>
      </c>
      <c r="B126" s="8" t="s">
        <v>371</v>
      </c>
      <c r="C126" s="7"/>
      <c r="D126" s="12" t="s">
        <v>4</v>
      </c>
      <c r="E126" s="7" t="b">
        <v>1</v>
      </c>
    </row>
    <row r="127">
      <c r="A127" s="10" t="b">
        <v>0</v>
      </c>
      <c r="B127" s="10" t="s">
        <v>372</v>
      </c>
      <c r="C127" s="9"/>
      <c r="D127" s="11" t="s">
        <v>184</v>
      </c>
      <c r="E127" s="9" t="b">
        <v>1</v>
      </c>
    </row>
    <row r="128">
      <c r="A128" s="8" t="b">
        <v>0</v>
      </c>
      <c r="B128" s="8" t="s">
        <v>373</v>
      </c>
      <c r="C128" s="7"/>
      <c r="D128" s="12" t="s">
        <v>233</v>
      </c>
      <c r="E128" s="7" t="b">
        <v>1</v>
      </c>
    </row>
    <row r="129">
      <c r="A129" s="10" t="b">
        <v>0</v>
      </c>
      <c r="B129" s="10" t="s">
        <v>374</v>
      </c>
      <c r="C129" s="9"/>
      <c r="D129" s="11" t="s">
        <v>6</v>
      </c>
      <c r="E129" s="9" t="b">
        <v>1</v>
      </c>
    </row>
    <row r="130">
      <c r="A130" s="8" t="b">
        <v>0</v>
      </c>
      <c r="B130" s="8" t="s">
        <v>375</v>
      </c>
      <c r="C130" s="7"/>
      <c r="D130" s="12" t="s">
        <v>221</v>
      </c>
      <c r="E130" s="7" t="b">
        <v>1</v>
      </c>
    </row>
    <row r="131">
      <c r="A131" s="10" t="b">
        <v>0</v>
      </c>
      <c r="B131" s="10" t="s">
        <v>376</v>
      </c>
      <c r="C131" s="10" t="s">
        <v>377</v>
      </c>
      <c r="D131" s="11" t="s">
        <v>12</v>
      </c>
      <c r="E131" s="9" t="b">
        <v>1</v>
      </c>
    </row>
    <row r="132">
      <c r="A132" s="8" t="b">
        <v>0</v>
      </c>
      <c r="B132" s="8" t="s">
        <v>378</v>
      </c>
      <c r="C132" s="8" t="s">
        <v>379</v>
      </c>
      <c r="D132" s="12" t="s">
        <v>380</v>
      </c>
      <c r="E132" s="7" t="b">
        <v>0</v>
      </c>
    </row>
    <row r="133">
      <c r="A133" s="10" t="b">
        <v>0</v>
      </c>
      <c r="B133" s="10" t="s">
        <v>381</v>
      </c>
      <c r="C133" s="10" t="s">
        <v>379</v>
      </c>
      <c r="D133" s="11" t="s">
        <v>216</v>
      </c>
      <c r="E133" s="9" t="b">
        <v>1</v>
      </c>
    </row>
    <row r="134">
      <c r="A134" s="8" t="b">
        <v>0</v>
      </c>
      <c r="B134" s="8" t="s">
        <v>382</v>
      </c>
      <c r="C134" s="8" t="s">
        <v>379</v>
      </c>
      <c r="D134" s="12" t="s">
        <v>185</v>
      </c>
      <c r="E134" s="7" t="b">
        <v>1</v>
      </c>
    </row>
    <row r="135">
      <c r="A135" s="10" t="b">
        <v>0</v>
      </c>
      <c r="B135" s="10" t="s">
        <v>383</v>
      </c>
      <c r="C135" s="10" t="s">
        <v>379</v>
      </c>
      <c r="D135" s="11" t="s">
        <v>6</v>
      </c>
      <c r="E135" s="9" t="b">
        <v>1</v>
      </c>
    </row>
    <row r="136">
      <c r="A136" s="8" t="b">
        <v>1</v>
      </c>
      <c r="B136" s="8" t="s">
        <v>384</v>
      </c>
      <c r="C136" s="8" t="s">
        <v>379</v>
      </c>
      <c r="D136" s="12" t="s">
        <v>108</v>
      </c>
      <c r="E136" s="7" t="b">
        <v>1</v>
      </c>
    </row>
    <row r="137">
      <c r="A137" s="10" t="b">
        <v>0</v>
      </c>
      <c r="B137" s="10" t="s">
        <v>385</v>
      </c>
      <c r="C137" s="10" t="s">
        <v>379</v>
      </c>
      <c r="D137" s="11" t="s">
        <v>27</v>
      </c>
      <c r="E137" s="9" t="b">
        <v>1</v>
      </c>
    </row>
    <row r="138">
      <c r="A138" s="8" t="b">
        <v>0</v>
      </c>
      <c r="B138" s="8" t="s">
        <v>386</v>
      </c>
      <c r="C138" s="8" t="s">
        <v>379</v>
      </c>
      <c r="D138" s="12" t="s">
        <v>219</v>
      </c>
      <c r="E138" s="7" t="b">
        <v>1</v>
      </c>
    </row>
    <row r="139">
      <c r="A139" s="10" t="b">
        <v>0</v>
      </c>
      <c r="B139" s="10" t="s">
        <v>387</v>
      </c>
      <c r="C139" s="10" t="s">
        <v>379</v>
      </c>
      <c r="D139" s="11" t="s">
        <v>28</v>
      </c>
      <c r="E139" s="9" t="b">
        <v>1</v>
      </c>
    </row>
    <row r="140">
      <c r="A140" s="8" t="b">
        <v>1</v>
      </c>
      <c r="B140" s="8" t="s">
        <v>388</v>
      </c>
      <c r="C140" s="8" t="s">
        <v>379</v>
      </c>
      <c r="D140" s="12" t="s">
        <v>30</v>
      </c>
      <c r="E140" s="7" t="b">
        <v>1</v>
      </c>
    </row>
    <row r="141">
      <c r="A141" s="10" t="b">
        <v>1</v>
      </c>
      <c r="B141" s="10" t="s">
        <v>389</v>
      </c>
      <c r="C141" s="10" t="s">
        <v>379</v>
      </c>
      <c r="D141" s="11" t="s">
        <v>29</v>
      </c>
      <c r="E141" s="9" t="b">
        <v>1</v>
      </c>
    </row>
    <row r="142">
      <c r="A142" s="8" t="b">
        <v>1</v>
      </c>
      <c r="B142" s="8" t="s">
        <v>390</v>
      </c>
      <c r="C142" s="8" t="s">
        <v>379</v>
      </c>
      <c r="D142" s="12" t="s">
        <v>31</v>
      </c>
      <c r="E142" s="7" t="b">
        <v>1</v>
      </c>
    </row>
    <row r="143">
      <c r="A143" s="10" t="b">
        <v>1</v>
      </c>
      <c r="B143" s="10" t="s">
        <v>391</v>
      </c>
      <c r="C143" s="10" t="s">
        <v>379</v>
      </c>
      <c r="D143" s="11" t="s">
        <v>224</v>
      </c>
      <c r="E143" s="9" t="b">
        <v>1</v>
      </c>
    </row>
    <row r="144">
      <c r="A144" s="8" t="b">
        <v>0</v>
      </c>
      <c r="B144" s="8" t="s">
        <v>392</v>
      </c>
      <c r="C144" s="8" t="s">
        <v>379</v>
      </c>
      <c r="D144" s="12" t="s">
        <v>32</v>
      </c>
      <c r="E144" s="7" t="b">
        <v>1</v>
      </c>
    </row>
    <row r="145">
      <c r="A145" s="10" t="b">
        <v>1</v>
      </c>
      <c r="B145" s="10" t="s">
        <v>393</v>
      </c>
      <c r="C145" s="10" t="s">
        <v>379</v>
      </c>
      <c r="D145" s="11" t="s">
        <v>191</v>
      </c>
      <c r="E145" s="9" t="b">
        <v>1</v>
      </c>
    </row>
    <row r="146">
      <c r="A146" s="8" t="b">
        <v>0</v>
      </c>
      <c r="B146" s="8" t="s">
        <v>394</v>
      </c>
      <c r="C146" s="8" t="s">
        <v>379</v>
      </c>
      <c r="D146" s="12" t="s">
        <v>110</v>
      </c>
      <c r="E146" s="7" t="b">
        <v>1</v>
      </c>
    </row>
    <row r="147">
      <c r="A147" s="10" t="b">
        <v>0</v>
      </c>
      <c r="B147" s="10" t="s">
        <v>395</v>
      </c>
      <c r="C147" s="10" t="s">
        <v>379</v>
      </c>
      <c r="D147" s="11" t="s">
        <v>234</v>
      </c>
      <c r="E147" s="9" t="b">
        <v>1</v>
      </c>
    </row>
    <row r="148">
      <c r="A148" s="8" t="b">
        <v>1</v>
      </c>
      <c r="B148" s="8" t="s">
        <v>396</v>
      </c>
      <c r="C148" s="8" t="s">
        <v>379</v>
      </c>
      <c r="D148" s="12" t="s">
        <v>181</v>
      </c>
      <c r="E148" s="7" t="b">
        <v>1</v>
      </c>
    </row>
    <row r="149">
      <c r="A149" s="10" t="b">
        <v>1</v>
      </c>
      <c r="B149" s="10" t="s">
        <v>397</v>
      </c>
      <c r="C149" s="10" t="s">
        <v>379</v>
      </c>
      <c r="D149" s="11" t="s">
        <v>109</v>
      </c>
      <c r="E149" s="9" t="b">
        <v>1</v>
      </c>
    </row>
    <row r="150">
      <c r="A150" s="8" t="b">
        <v>1</v>
      </c>
      <c r="B150" s="8" t="s">
        <v>398</v>
      </c>
      <c r="C150" s="8" t="s">
        <v>379</v>
      </c>
      <c r="D150" s="12" t="s">
        <v>121</v>
      </c>
      <c r="E150" s="7" t="b">
        <v>1</v>
      </c>
    </row>
    <row r="151">
      <c r="A151" s="10" t="b">
        <v>1</v>
      </c>
      <c r="B151" s="10" t="s">
        <v>399</v>
      </c>
      <c r="C151" s="10" t="s">
        <v>379</v>
      </c>
      <c r="D151" s="11" t="s">
        <v>122</v>
      </c>
      <c r="E151" s="9" t="b">
        <v>1</v>
      </c>
    </row>
    <row r="152">
      <c r="A152" s="8" t="b">
        <v>1</v>
      </c>
      <c r="B152" s="8" t="s">
        <v>400</v>
      </c>
      <c r="C152" s="8" t="s">
        <v>379</v>
      </c>
      <c r="D152" s="12" t="s">
        <v>123</v>
      </c>
      <c r="E152" s="7" t="b">
        <v>1</v>
      </c>
    </row>
    <row r="153">
      <c r="A153" s="10" t="b">
        <v>1</v>
      </c>
      <c r="B153" s="10" t="s">
        <v>401</v>
      </c>
      <c r="C153" s="10" t="s">
        <v>379</v>
      </c>
      <c r="D153" s="11" t="s">
        <v>120</v>
      </c>
      <c r="E153" s="9" t="b">
        <v>1</v>
      </c>
    </row>
    <row r="154">
      <c r="A154" s="8" t="b">
        <v>1</v>
      </c>
      <c r="B154" s="8" t="s">
        <v>402</v>
      </c>
      <c r="C154" s="8" t="s">
        <v>379</v>
      </c>
      <c r="D154" s="12" t="s">
        <v>403</v>
      </c>
      <c r="E154" s="7" t="b">
        <v>1</v>
      </c>
    </row>
    <row r="155">
      <c r="A155" s="10" t="b">
        <v>0</v>
      </c>
      <c r="B155" s="10" t="s">
        <v>404</v>
      </c>
      <c r="C155" s="10" t="s">
        <v>379</v>
      </c>
      <c r="D155" s="11" t="s">
        <v>228</v>
      </c>
      <c r="E155" s="9" t="b">
        <v>1</v>
      </c>
    </row>
    <row r="156">
      <c r="A156" s="8" t="b">
        <v>0</v>
      </c>
      <c r="B156" s="8" t="s">
        <v>405</v>
      </c>
      <c r="C156" s="8" t="s">
        <v>379</v>
      </c>
      <c r="D156" s="12" t="s">
        <v>229</v>
      </c>
      <c r="E156" s="7" t="b">
        <v>1</v>
      </c>
    </row>
    <row r="157">
      <c r="A157" s="10" t="b">
        <v>1</v>
      </c>
      <c r="B157" s="10" t="s">
        <v>406</v>
      </c>
      <c r="C157" s="10" t="s">
        <v>379</v>
      </c>
      <c r="D157" s="11" t="s">
        <v>230</v>
      </c>
      <c r="E157" s="9" t="b">
        <v>1</v>
      </c>
    </row>
    <row r="158">
      <c r="A158" s="8" t="b">
        <v>1</v>
      </c>
      <c r="B158" s="8" t="s">
        <v>407</v>
      </c>
      <c r="C158" s="8" t="s">
        <v>379</v>
      </c>
      <c r="D158" s="12" t="s">
        <v>162</v>
      </c>
      <c r="E158" s="7" t="b">
        <v>1</v>
      </c>
    </row>
    <row r="159">
      <c r="A159" s="10" t="b">
        <v>1</v>
      </c>
      <c r="B159" s="10" t="s">
        <v>408</v>
      </c>
      <c r="C159" s="10" t="s">
        <v>379</v>
      </c>
      <c r="D159" s="11" t="s">
        <v>139</v>
      </c>
      <c r="E159" s="9" t="b">
        <v>1</v>
      </c>
    </row>
    <row r="160">
      <c r="A160" s="8" t="b">
        <v>1</v>
      </c>
      <c r="B160" s="8" t="s">
        <v>409</v>
      </c>
      <c r="C160" s="8" t="s">
        <v>379</v>
      </c>
      <c r="D160" s="12" t="s">
        <v>157</v>
      </c>
      <c r="E160" s="7" t="b">
        <v>1</v>
      </c>
    </row>
    <row r="161">
      <c r="A161" s="10" t="b">
        <v>1</v>
      </c>
      <c r="B161" s="10" t="s">
        <v>410</v>
      </c>
      <c r="C161" s="10" t="s">
        <v>379</v>
      </c>
      <c r="D161" s="11" t="s">
        <v>158</v>
      </c>
      <c r="E161" s="9" t="b">
        <v>1</v>
      </c>
    </row>
    <row r="162">
      <c r="A162" s="8" t="b">
        <v>0</v>
      </c>
      <c r="B162" s="8" t="s">
        <v>411</v>
      </c>
      <c r="C162" s="8" t="s">
        <v>379</v>
      </c>
      <c r="D162" s="12" t="s">
        <v>227</v>
      </c>
      <c r="E162" s="7" t="b">
        <v>1</v>
      </c>
    </row>
    <row r="163">
      <c r="A163" s="10" t="b">
        <v>1</v>
      </c>
      <c r="B163" s="10" t="s">
        <v>412</v>
      </c>
      <c r="C163" s="10" t="s">
        <v>379</v>
      </c>
      <c r="D163" s="11" t="s">
        <v>141</v>
      </c>
      <c r="E163" s="9" t="b">
        <v>1</v>
      </c>
    </row>
    <row r="164">
      <c r="A164" s="8" t="b">
        <v>0</v>
      </c>
      <c r="B164" s="8" t="s">
        <v>413</v>
      </c>
      <c r="C164" s="8" t="s">
        <v>379</v>
      </c>
      <c r="D164" s="12" t="s">
        <v>226</v>
      </c>
      <c r="E164" s="7" t="b">
        <v>1</v>
      </c>
    </row>
    <row r="165">
      <c r="A165" s="10" t="b">
        <v>1</v>
      </c>
      <c r="B165" s="10" t="s">
        <v>414</v>
      </c>
      <c r="C165" s="10" t="s">
        <v>379</v>
      </c>
      <c r="D165" s="11" t="s">
        <v>144</v>
      </c>
      <c r="E165" s="9" t="b">
        <v>1</v>
      </c>
    </row>
    <row r="166">
      <c r="A166" s="8" t="b">
        <v>1</v>
      </c>
      <c r="B166" s="8" t="s">
        <v>415</v>
      </c>
      <c r="C166" s="8" t="s">
        <v>379</v>
      </c>
      <c r="D166" s="12" t="s">
        <v>154</v>
      </c>
      <c r="E166" s="7" t="b">
        <v>1</v>
      </c>
    </row>
    <row r="167">
      <c r="A167" s="10" t="b">
        <v>1</v>
      </c>
      <c r="B167" s="10" t="s">
        <v>416</v>
      </c>
      <c r="C167" s="10" t="s">
        <v>379</v>
      </c>
      <c r="D167" s="11" t="s">
        <v>147</v>
      </c>
      <c r="E167" s="9" t="b">
        <v>1</v>
      </c>
    </row>
    <row r="168">
      <c r="A168" s="8" t="b">
        <v>1</v>
      </c>
      <c r="B168" s="8" t="s">
        <v>417</v>
      </c>
      <c r="C168" s="8" t="s">
        <v>379</v>
      </c>
      <c r="D168" s="12" t="s">
        <v>152</v>
      </c>
      <c r="E168" s="7" t="b">
        <v>1</v>
      </c>
    </row>
    <row r="169">
      <c r="A169" s="10" t="b">
        <v>1</v>
      </c>
      <c r="B169" s="10" t="s">
        <v>418</v>
      </c>
      <c r="C169" s="10" t="s">
        <v>379</v>
      </c>
      <c r="D169" s="11" t="s">
        <v>153</v>
      </c>
      <c r="E169" s="9" t="b">
        <v>1</v>
      </c>
    </row>
    <row r="170">
      <c r="A170" s="8" t="b">
        <v>1</v>
      </c>
      <c r="B170" s="8" t="s">
        <v>419</v>
      </c>
      <c r="C170" s="8" t="s">
        <v>379</v>
      </c>
      <c r="D170" s="12" t="s">
        <v>145</v>
      </c>
      <c r="E170" s="7" t="b">
        <v>1</v>
      </c>
    </row>
    <row r="171">
      <c r="A171" s="10" t="b">
        <v>1</v>
      </c>
      <c r="B171" s="10" t="s">
        <v>420</v>
      </c>
      <c r="C171" s="10" t="s">
        <v>379</v>
      </c>
      <c r="D171" s="11" t="s">
        <v>146</v>
      </c>
      <c r="E171" s="9" t="b">
        <v>1</v>
      </c>
    </row>
    <row r="172">
      <c r="A172" s="8" t="b">
        <v>1</v>
      </c>
      <c r="B172" s="8" t="s">
        <v>421</v>
      </c>
      <c r="C172" s="8" t="s">
        <v>379</v>
      </c>
      <c r="D172" s="12" t="s">
        <v>150</v>
      </c>
      <c r="E172" s="7" t="b">
        <v>1</v>
      </c>
    </row>
    <row r="173">
      <c r="A173" s="10" t="b">
        <v>1</v>
      </c>
      <c r="B173" s="10" t="s">
        <v>422</v>
      </c>
      <c r="C173" s="10" t="s">
        <v>379</v>
      </c>
      <c r="D173" s="11" t="s">
        <v>149</v>
      </c>
      <c r="E173" s="9" t="b">
        <v>1</v>
      </c>
    </row>
    <row r="174">
      <c r="A174" s="8" t="b">
        <v>1</v>
      </c>
      <c r="B174" s="8" t="s">
        <v>423</v>
      </c>
      <c r="C174" s="8" t="s">
        <v>379</v>
      </c>
      <c r="D174" s="12" t="s">
        <v>148</v>
      </c>
      <c r="E174" s="7" t="b">
        <v>1</v>
      </c>
    </row>
    <row r="175">
      <c r="A175" s="10" t="b">
        <v>1</v>
      </c>
      <c r="B175" s="10" t="s">
        <v>424</v>
      </c>
      <c r="C175" s="10" t="s">
        <v>379</v>
      </c>
      <c r="D175" s="11" t="s">
        <v>159</v>
      </c>
      <c r="E175" s="9" t="b">
        <v>1</v>
      </c>
    </row>
    <row r="176">
      <c r="A176" s="8" t="b">
        <v>1</v>
      </c>
      <c r="B176" s="8" t="s">
        <v>425</v>
      </c>
      <c r="C176" s="8" t="s">
        <v>379</v>
      </c>
      <c r="D176" s="12" t="s">
        <v>142</v>
      </c>
      <c r="E176" s="7" t="b">
        <v>1</v>
      </c>
    </row>
    <row r="177">
      <c r="A177" s="10" t="b">
        <v>1</v>
      </c>
      <c r="B177" s="10" t="s">
        <v>426</v>
      </c>
      <c r="C177" s="10" t="s">
        <v>379</v>
      </c>
      <c r="D177" s="11" t="s">
        <v>112</v>
      </c>
      <c r="E177" s="9" t="b">
        <v>1</v>
      </c>
    </row>
    <row r="178" hidden="1">
      <c r="A178" s="8" t="b">
        <v>0</v>
      </c>
      <c r="B178" s="8" t="s">
        <v>427</v>
      </c>
      <c r="C178" s="8"/>
      <c r="D178" s="12" t="s">
        <v>160</v>
      </c>
      <c r="E178" s="7" t="b">
        <v>1</v>
      </c>
    </row>
    <row r="179" hidden="1">
      <c r="A179" s="10" t="b">
        <v>0</v>
      </c>
      <c r="B179" s="10" t="s">
        <v>428</v>
      </c>
      <c r="C179" s="10" t="s">
        <v>429</v>
      </c>
      <c r="D179" s="11" t="s">
        <v>380</v>
      </c>
      <c r="E179" s="9" t="b">
        <v>0</v>
      </c>
    </row>
    <row r="180" hidden="1">
      <c r="A180" s="8" t="b">
        <v>0</v>
      </c>
      <c r="B180" s="8" t="s">
        <v>430</v>
      </c>
      <c r="C180" s="8" t="s">
        <v>429</v>
      </c>
      <c r="D180" s="12" t="s">
        <v>216</v>
      </c>
      <c r="E180" s="7" t="b">
        <v>1</v>
      </c>
    </row>
    <row r="181" hidden="1">
      <c r="A181" s="10" t="b">
        <v>0</v>
      </c>
      <c r="B181" s="10" t="s">
        <v>431</v>
      </c>
      <c r="C181" s="10" t="s">
        <v>429</v>
      </c>
      <c r="D181" s="11" t="s">
        <v>432</v>
      </c>
      <c r="E181" s="9" t="b">
        <v>0</v>
      </c>
    </row>
    <row r="182" hidden="1">
      <c r="A182" s="8" t="b">
        <v>0</v>
      </c>
      <c r="B182" s="8" t="s">
        <v>433</v>
      </c>
      <c r="C182" s="8" t="s">
        <v>429</v>
      </c>
      <c r="D182" s="12" t="s">
        <v>434</v>
      </c>
      <c r="E182" s="7" t="b">
        <v>0</v>
      </c>
    </row>
    <row r="183" hidden="1">
      <c r="A183" s="10" t="b">
        <v>0</v>
      </c>
      <c r="B183" s="10" t="s">
        <v>435</v>
      </c>
      <c r="C183" s="10" t="s">
        <v>429</v>
      </c>
      <c r="D183" s="11" t="s">
        <v>108</v>
      </c>
      <c r="E183" s="9" t="b">
        <v>1</v>
      </c>
    </row>
    <row r="184" hidden="1">
      <c r="A184" s="8" t="b">
        <v>0</v>
      </c>
      <c r="B184" s="8" t="s">
        <v>436</v>
      </c>
      <c r="C184" s="8" t="s">
        <v>429</v>
      </c>
      <c r="D184" s="12" t="s">
        <v>27</v>
      </c>
      <c r="E184" s="7" t="b">
        <v>1</v>
      </c>
    </row>
    <row r="185" hidden="1">
      <c r="A185" s="10" t="b">
        <v>0</v>
      </c>
      <c r="B185" s="10" t="s">
        <v>437</v>
      </c>
      <c r="C185" s="10" t="s">
        <v>429</v>
      </c>
      <c r="D185" s="11" t="s">
        <v>219</v>
      </c>
      <c r="E185" s="9" t="b">
        <v>1</v>
      </c>
    </row>
    <row r="186" hidden="1">
      <c r="A186" s="8" t="b">
        <v>0</v>
      </c>
      <c r="B186" s="8" t="s">
        <v>438</v>
      </c>
      <c r="C186" s="8" t="s">
        <v>429</v>
      </c>
      <c r="D186" s="12" t="s">
        <v>28</v>
      </c>
      <c r="E186" s="7" t="b">
        <v>1</v>
      </c>
    </row>
    <row r="187" hidden="1">
      <c r="A187" s="10" t="b">
        <v>0</v>
      </c>
      <c r="B187" s="10" t="s">
        <v>439</v>
      </c>
      <c r="C187" s="10" t="s">
        <v>429</v>
      </c>
      <c r="D187" s="11" t="s">
        <v>30</v>
      </c>
      <c r="E187" s="9" t="b">
        <v>1</v>
      </c>
    </row>
    <row r="188" hidden="1">
      <c r="A188" s="8" t="b">
        <v>0</v>
      </c>
      <c r="B188" s="8" t="s">
        <v>440</v>
      </c>
      <c r="C188" s="8" t="s">
        <v>429</v>
      </c>
      <c r="D188" s="12" t="s">
        <v>29</v>
      </c>
      <c r="E188" s="7" t="b">
        <v>1</v>
      </c>
    </row>
    <row r="189" hidden="1">
      <c r="A189" s="10" t="b">
        <v>0</v>
      </c>
      <c r="B189" s="10" t="s">
        <v>441</v>
      </c>
      <c r="C189" s="10" t="s">
        <v>429</v>
      </c>
      <c r="D189" s="11" t="s">
        <v>31</v>
      </c>
      <c r="E189" s="9" t="b">
        <v>1</v>
      </c>
    </row>
    <row r="190" hidden="1">
      <c r="A190" s="8" t="b">
        <v>0</v>
      </c>
      <c r="B190" s="8" t="s">
        <v>442</v>
      </c>
      <c r="C190" s="8" t="s">
        <v>429</v>
      </c>
      <c r="D190" s="12" t="s">
        <v>224</v>
      </c>
      <c r="E190" s="7" t="b">
        <v>1</v>
      </c>
    </row>
    <row r="191" hidden="1">
      <c r="A191" s="10" t="b">
        <v>0</v>
      </c>
      <c r="B191" s="10" t="s">
        <v>443</v>
      </c>
      <c r="C191" s="10" t="s">
        <v>429</v>
      </c>
      <c r="D191" s="11" t="s">
        <v>32</v>
      </c>
      <c r="E191" s="9" t="b">
        <v>1</v>
      </c>
    </row>
    <row r="192" hidden="1">
      <c r="A192" s="8" t="b">
        <v>0</v>
      </c>
      <c r="B192" s="8" t="s">
        <v>444</v>
      </c>
      <c r="C192" s="8" t="s">
        <v>429</v>
      </c>
      <c r="D192" s="12" t="s">
        <v>191</v>
      </c>
      <c r="E192" s="7" t="b">
        <v>1</v>
      </c>
    </row>
    <row r="193" hidden="1">
      <c r="A193" s="10" t="b">
        <v>0</v>
      </c>
      <c r="B193" s="10" t="s">
        <v>445</v>
      </c>
      <c r="C193" s="10" t="s">
        <v>429</v>
      </c>
      <c r="D193" s="11" t="s">
        <v>110</v>
      </c>
      <c r="E193" s="9" t="b">
        <v>1</v>
      </c>
    </row>
    <row r="194" hidden="1">
      <c r="A194" s="8" t="b">
        <v>0</v>
      </c>
      <c r="B194" s="8" t="s">
        <v>446</v>
      </c>
      <c r="C194" s="8" t="s">
        <v>429</v>
      </c>
      <c r="D194" s="12" t="s">
        <v>234</v>
      </c>
      <c r="E194" s="7" t="b">
        <v>1</v>
      </c>
    </row>
    <row r="195" hidden="1">
      <c r="A195" s="10" t="b">
        <v>0</v>
      </c>
      <c r="B195" s="10" t="s">
        <v>447</v>
      </c>
      <c r="C195" s="10" t="s">
        <v>429</v>
      </c>
      <c r="D195" s="11" t="s">
        <v>181</v>
      </c>
      <c r="E195" s="9" t="b">
        <v>1</v>
      </c>
    </row>
    <row r="196" hidden="1">
      <c r="A196" s="8" t="b">
        <v>0</v>
      </c>
      <c r="B196" s="8" t="s">
        <v>448</v>
      </c>
      <c r="C196" s="8" t="s">
        <v>429</v>
      </c>
      <c r="D196" s="12" t="s">
        <v>109</v>
      </c>
      <c r="E196" s="7" t="b">
        <v>1</v>
      </c>
    </row>
    <row r="197" hidden="1">
      <c r="A197" s="10" t="b">
        <v>0</v>
      </c>
      <c r="B197" s="10" t="s">
        <v>449</v>
      </c>
      <c r="C197" s="10" t="s">
        <v>429</v>
      </c>
      <c r="D197" s="11" t="s">
        <v>121</v>
      </c>
      <c r="E197" s="9" t="b">
        <v>1</v>
      </c>
    </row>
    <row r="198" hidden="1">
      <c r="A198" s="8" t="b">
        <v>0</v>
      </c>
      <c r="B198" s="8" t="s">
        <v>450</v>
      </c>
      <c r="C198" s="8" t="s">
        <v>429</v>
      </c>
      <c r="D198" s="12" t="s">
        <v>122</v>
      </c>
      <c r="E198" s="7" t="b">
        <v>1</v>
      </c>
    </row>
    <row r="199" hidden="1">
      <c r="A199" s="10" t="b">
        <v>0</v>
      </c>
      <c r="B199" s="10" t="s">
        <v>451</v>
      </c>
      <c r="C199" s="10" t="s">
        <v>429</v>
      </c>
      <c r="D199" s="11" t="s">
        <v>123</v>
      </c>
      <c r="E199" s="9" t="b">
        <v>1</v>
      </c>
    </row>
    <row r="200" hidden="1">
      <c r="A200" s="8" t="b">
        <v>0</v>
      </c>
      <c r="B200" s="8" t="s">
        <v>452</v>
      </c>
      <c r="C200" s="8" t="s">
        <v>429</v>
      </c>
      <c r="D200" s="12" t="s">
        <v>120</v>
      </c>
      <c r="E200" s="7" t="b">
        <v>1</v>
      </c>
    </row>
    <row r="201" hidden="1">
      <c r="A201" s="10" t="b">
        <v>0</v>
      </c>
      <c r="B201" s="10" t="s">
        <v>453</v>
      </c>
      <c r="C201" s="10" t="s">
        <v>429</v>
      </c>
      <c r="D201" s="11" t="s">
        <v>403</v>
      </c>
      <c r="E201" s="9" t="b">
        <v>1</v>
      </c>
    </row>
    <row r="202" hidden="1">
      <c r="A202" s="8" t="b">
        <v>0</v>
      </c>
      <c r="B202" s="8" t="s">
        <v>454</v>
      </c>
      <c r="C202" s="8" t="s">
        <v>429</v>
      </c>
      <c r="D202" s="12" t="s">
        <v>228</v>
      </c>
      <c r="E202" s="7" t="b">
        <v>1</v>
      </c>
    </row>
    <row r="203" hidden="1">
      <c r="A203" s="10" t="b">
        <v>0</v>
      </c>
      <c r="B203" s="10" t="s">
        <v>455</v>
      </c>
      <c r="C203" s="10" t="s">
        <v>429</v>
      </c>
      <c r="D203" s="11" t="s">
        <v>229</v>
      </c>
      <c r="E203" s="9" t="b">
        <v>1</v>
      </c>
    </row>
    <row r="204" hidden="1">
      <c r="A204" s="8" t="b">
        <v>0</v>
      </c>
      <c r="B204" s="8" t="s">
        <v>456</v>
      </c>
      <c r="C204" s="8" t="s">
        <v>429</v>
      </c>
      <c r="D204" s="12" t="s">
        <v>230</v>
      </c>
      <c r="E204" s="7" t="b">
        <v>1</v>
      </c>
    </row>
    <row r="205" hidden="1">
      <c r="A205" s="10" t="b">
        <v>0</v>
      </c>
      <c r="B205" s="10" t="s">
        <v>457</v>
      </c>
      <c r="C205" s="10" t="s">
        <v>429</v>
      </c>
      <c r="D205" s="11" t="s">
        <v>162</v>
      </c>
      <c r="E205" s="9" t="b">
        <v>1</v>
      </c>
    </row>
    <row r="206" hidden="1">
      <c r="A206" s="8" t="b">
        <v>0</v>
      </c>
      <c r="B206" s="8" t="s">
        <v>458</v>
      </c>
      <c r="C206" s="8" t="s">
        <v>429</v>
      </c>
      <c r="D206" s="12" t="s">
        <v>139</v>
      </c>
      <c r="E206" s="7" t="b">
        <v>1</v>
      </c>
    </row>
    <row r="207" hidden="1">
      <c r="A207" s="10" t="b">
        <v>0</v>
      </c>
      <c r="B207" s="10" t="s">
        <v>459</v>
      </c>
      <c r="C207" s="10" t="s">
        <v>429</v>
      </c>
      <c r="D207" s="11" t="s">
        <v>157</v>
      </c>
      <c r="E207" s="9" t="b">
        <v>1</v>
      </c>
    </row>
    <row r="208" hidden="1">
      <c r="A208" s="8" t="b">
        <v>0</v>
      </c>
      <c r="B208" s="8" t="s">
        <v>460</v>
      </c>
      <c r="C208" s="8" t="s">
        <v>429</v>
      </c>
      <c r="D208" s="12" t="s">
        <v>158</v>
      </c>
      <c r="E208" s="7" t="b">
        <v>1</v>
      </c>
    </row>
    <row r="209" hidden="1">
      <c r="A209" s="10" t="b">
        <v>0</v>
      </c>
      <c r="B209" s="10" t="s">
        <v>461</v>
      </c>
      <c r="C209" s="10" t="s">
        <v>429</v>
      </c>
      <c r="D209" s="11" t="s">
        <v>227</v>
      </c>
      <c r="E209" s="9" t="b">
        <v>1</v>
      </c>
    </row>
    <row r="210" hidden="1">
      <c r="A210" s="8" t="b">
        <v>0</v>
      </c>
      <c r="B210" s="8" t="s">
        <v>462</v>
      </c>
      <c r="C210" s="8" t="s">
        <v>429</v>
      </c>
      <c r="D210" s="12" t="s">
        <v>141</v>
      </c>
      <c r="E210" s="7" t="b">
        <v>1</v>
      </c>
    </row>
    <row r="211" hidden="1">
      <c r="A211" s="10" t="b">
        <v>0</v>
      </c>
      <c r="B211" s="10" t="s">
        <v>463</v>
      </c>
      <c r="C211" s="10" t="s">
        <v>429</v>
      </c>
      <c r="D211" s="11" t="s">
        <v>226</v>
      </c>
      <c r="E211" s="9" t="b">
        <v>1</v>
      </c>
    </row>
    <row r="212" hidden="1">
      <c r="A212" s="8" t="b">
        <v>0</v>
      </c>
      <c r="B212" s="8" t="s">
        <v>464</v>
      </c>
      <c r="C212" s="8" t="s">
        <v>429</v>
      </c>
      <c r="D212" s="12" t="s">
        <v>144</v>
      </c>
      <c r="E212" s="7" t="b">
        <v>1</v>
      </c>
    </row>
    <row r="213" hidden="1">
      <c r="A213" s="10" t="b">
        <v>0</v>
      </c>
      <c r="B213" s="10" t="s">
        <v>465</v>
      </c>
      <c r="C213" s="10" t="s">
        <v>429</v>
      </c>
      <c r="D213" s="11" t="s">
        <v>154</v>
      </c>
      <c r="E213" s="9" t="b">
        <v>1</v>
      </c>
    </row>
    <row r="214" hidden="1">
      <c r="A214" s="8" t="b">
        <v>0</v>
      </c>
      <c r="B214" s="8" t="s">
        <v>466</v>
      </c>
      <c r="C214" s="8" t="s">
        <v>429</v>
      </c>
      <c r="D214" s="12" t="s">
        <v>147</v>
      </c>
      <c r="E214" s="7" t="b">
        <v>1</v>
      </c>
    </row>
    <row r="215" hidden="1">
      <c r="A215" s="10" t="b">
        <v>0</v>
      </c>
      <c r="B215" s="10" t="s">
        <v>467</v>
      </c>
      <c r="C215" s="10" t="s">
        <v>429</v>
      </c>
      <c r="D215" s="11" t="s">
        <v>152</v>
      </c>
      <c r="E215" s="9" t="b">
        <v>1</v>
      </c>
    </row>
    <row r="216" hidden="1">
      <c r="A216" s="8" t="b">
        <v>0</v>
      </c>
      <c r="B216" s="8" t="s">
        <v>468</v>
      </c>
      <c r="C216" s="8" t="s">
        <v>429</v>
      </c>
      <c r="D216" s="12" t="s">
        <v>153</v>
      </c>
      <c r="E216" s="7" t="b">
        <v>1</v>
      </c>
    </row>
    <row r="217" hidden="1">
      <c r="A217" s="10" t="b">
        <v>0</v>
      </c>
      <c r="B217" s="10" t="s">
        <v>469</v>
      </c>
      <c r="C217" s="10" t="s">
        <v>429</v>
      </c>
      <c r="D217" s="11" t="s">
        <v>145</v>
      </c>
      <c r="E217" s="9" t="b">
        <v>1</v>
      </c>
    </row>
    <row r="218" hidden="1">
      <c r="A218" s="8" t="b">
        <v>0</v>
      </c>
      <c r="B218" s="8" t="s">
        <v>470</v>
      </c>
      <c r="C218" s="8" t="s">
        <v>429</v>
      </c>
      <c r="D218" s="12" t="s">
        <v>146</v>
      </c>
      <c r="E218" s="7" t="b">
        <v>1</v>
      </c>
    </row>
    <row r="219" hidden="1">
      <c r="A219" s="10" t="b">
        <v>0</v>
      </c>
      <c r="B219" s="10" t="s">
        <v>471</v>
      </c>
      <c r="C219" s="10" t="s">
        <v>429</v>
      </c>
      <c r="D219" s="11" t="s">
        <v>150</v>
      </c>
      <c r="E219" s="9" t="b">
        <v>1</v>
      </c>
    </row>
    <row r="220" hidden="1">
      <c r="A220" s="8" t="b">
        <v>0</v>
      </c>
      <c r="B220" s="8" t="s">
        <v>472</v>
      </c>
      <c r="C220" s="8" t="s">
        <v>429</v>
      </c>
      <c r="D220" s="12" t="s">
        <v>149</v>
      </c>
      <c r="E220" s="7" t="b">
        <v>1</v>
      </c>
    </row>
    <row r="221" hidden="1">
      <c r="A221" s="10" t="b">
        <v>0</v>
      </c>
      <c r="B221" s="10" t="s">
        <v>473</v>
      </c>
      <c r="C221" s="10" t="s">
        <v>429</v>
      </c>
      <c r="D221" s="11" t="s">
        <v>148</v>
      </c>
      <c r="E221" s="9" t="b">
        <v>1</v>
      </c>
    </row>
    <row r="222" hidden="1">
      <c r="A222" s="8" t="b">
        <v>0</v>
      </c>
      <c r="B222" s="8" t="s">
        <v>474</v>
      </c>
      <c r="C222" s="8" t="s">
        <v>429</v>
      </c>
      <c r="D222" s="12" t="s">
        <v>159</v>
      </c>
      <c r="E222" s="7" t="b">
        <v>1</v>
      </c>
    </row>
    <row r="223" hidden="1">
      <c r="A223" s="10" t="b">
        <v>0</v>
      </c>
      <c r="B223" s="10" t="s">
        <v>475</v>
      </c>
      <c r="C223" s="10" t="s">
        <v>429</v>
      </c>
      <c r="D223" s="11" t="s">
        <v>142</v>
      </c>
      <c r="E223" s="9" t="b">
        <v>1</v>
      </c>
    </row>
    <row r="224" hidden="1">
      <c r="A224" s="8" t="b">
        <v>0</v>
      </c>
      <c r="B224" s="8" t="s">
        <v>476</v>
      </c>
      <c r="C224" s="8" t="s">
        <v>429</v>
      </c>
      <c r="D224" s="12" t="s">
        <v>112</v>
      </c>
      <c r="E224" s="7" t="b">
        <v>1</v>
      </c>
    </row>
    <row r="225" hidden="1">
      <c r="A225" s="10" t="b">
        <v>0</v>
      </c>
      <c r="B225" s="10" t="s">
        <v>477</v>
      </c>
      <c r="C225" s="9"/>
      <c r="D225" s="11" t="s">
        <v>160</v>
      </c>
      <c r="E225" s="9" t="b">
        <v>1</v>
      </c>
    </row>
    <row r="226" hidden="1">
      <c r="A226" s="8" t="b">
        <v>0</v>
      </c>
      <c r="B226" s="8" t="s">
        <v>478</v>
      </c>
      <c r="C226" s="8" t="s">
        <v>479</v>
      </c>
      <c r="D226" s="12" t="s">
        <v>380</v>
      </c>
      <c r="E226" s="7" t="b">
        <v>0</v>
      </c>
    </row>
    <row r="227" hidden="1">
      <c r="A227" s="10" t="b">
        <v>0</v>
      </c>
      <c r="B227" s="10" t="s">
        <v>480</v>
      </c>
      <c r="C227" s="10" t="s">
        <v>479</v>
      </c>
      <c r="D227" s="11" t="s">
        <v>216</v>
      </c>
      <c r="E227" s="9" t="b">
        <v>1</v>
      </c>
    </row>
    <row r="228" hidden="1">
      <c r="A228" s="8" t="b">
        <v>0</v>
      </c>
      <c r="B228" s="8" t="s">
        <v>481</v>
      </c>
      <c r="C228" s="8" t="s">
        <v>479</v>
      </c>
      <c r="D228" s="12" t="s">
        <v>432</v>
      </c>
      <c r="E228" s="7" t="b">
        <v>0</v>
      </c>
    </row>
    <row r="229" hidden="1">
      <c r="A229" s="10" t="b">
        <v>0</v>
      </c>
      <c r="B229" s="10" t="s">
        <v>482</v>
      </c>
      <c r="C229" s="10" t="s">
        <v>479</v>
      </c>
      <c r="D229" s="11" t="s">
        <v>434</v>
      </c>
      <c r="E229" s="9" t="b">
        <v>0</v>
      </c>
    </row>
    <row r="230" hidden="1">
      <c r="A230" s="8" t="b">
        <v>0</v>
      </c>
      <c r="B230" s="8" t="s">
        <v>483</v>
      </c>
      <c r="C230" s="8" t="s">
        <v>479</v>
      </c>
      <c r="D230" s="12" t="s">
        <v>108</v>
      </c>
      <c r="E230" s="7" t="b">
        <v>1</v>
      </c>
    </row>
    <row r="231" hidden="1">
      <c r="A231" s="10" t="b">
        <v>0</v>
      </c>
      <c r="B231" s="10" t="s">
        <v>484</v>
      </c>
      <c r="C231" s="10" t="s">
        <v>479</v>
      </c>
      <c r="D231" s="11" t="s">
        <v>27</v>
      </c>
      <c r="E231" s="9" t="b">
        <v>1</v>
      </c>
    </row>
    <row r="232" hidden="1">
      <c r="A232" s="8" t="b">
        <v>0</v>
      </c>
      <c r="B232" s="8" t="s">
        <v>485</v>
      </c>
      <c r="C232" s="8" t="s">
        <v>479</v>
      </c>
      <c r="D232" s="12" t="s">
        <v>219</v>
      </c>
      <c r="E232" s="7" t="b">
        <v>1</v>
      </c>
    </row>
    <row r="233" hidden="1">
      <c r="A233" s="10" t="b">
        <v>0</v>
      </c>
      <c r="B233" s="10" t="s">
        <v>486</v>
      </c>
      <c r="C233" s="10" t="s">
        <v>479</v>
      </c>
      <c r="D233" s="11" t="s">
        <v>28</v>
      </c>
      <c r="E233" s="9" t="b">
        <v>1</v>
      </c>
    </row>
    <row r="234" hidden="1">
      <c r="A234" s="8" t="b">
        <v>0</v>
      </c>
      <c r="B234" s="8" t="s">
        <v>487</v>
      </c>
      <c r="C234" s="8" t="s">
        <v>479</v>
      </c>
      <c r="D234" s="12" t="s">
        <v>30</v>
      </c>
      <c r="E234" s="7" t="b">
        <v>1</v>
      </c>
    </row>
    <row r="235" hidden="1">
      <c r="A235" s="10" t="b">
        <v>0</v>
      </c>
      <c r="B235" s="10" t="s">
        <v>488</v>
      </c>
      <c r="C235" s="10" t="s">
        <v>479</v>
      </c>
      <c r="D235" s="11" t="s">
        <v>29</v>
      </c>
      <c r="E235" s="9" t="b">
        <v>1</v>
      </c>
    </row>
    <row r="236" hidden="1">
      <c r="A236" s="8" t="b">
        <v>0</v>
      </c>
      <c r="B236" s="8" t="s">
        <v>489</v>
      </c>
      <c r="C236" s="8" t="s">
        <v>479</v>
      </c>
      <c r="D236" s="12" t="s">
        <v>31</v>
      </c>
      <c r="E236" s="7" t="b">
        <v>1</v>
      </c>
    </row>
    <row r="237" hidden="1">
      <c r="A237" s="10" t="b">
        <v>0</v>
      </c>
      <c r="B237" s="10" t="s">
        <v>490</v>
      </c>
      <c r="C237" s="10" t="s">
        <v>479</v>
      </c>
      <c r="D237" s="11" t="s">
        <v>224</v>
      </c>
      <c r="E237" s="9" t="b">
        <v>1</v>
      </c>
    </row>
    <row r="238" hidden="1">
      <c r="A238" s="8" t="b">
        <v>0</v>
      </c>
      <c r="B238" s="8" t="s">
        <v>491</v>
      </c>
      <c r="C238" s="8" t="s">
        <v>479</v>
      </c>
      <c r="D238" s="12" t="s">
        <v>32</v>
      </c>
      <c r="E238" s="7" t="b">
        <v>1</v>
      </c>
    </row>
    <row r="239" hidden="1">
      <c r="A239" s="10" t="b">
        <v>0</v>
      </c>
      <c r="B239" s="10" t="s">
        <v>492</v>
      </c>
      <c r="C239" s="10" t="s">
        <v>479</v>
      </c>
      <c r="D239" s="11" t="s">
        <v>191</v>
      </c>
      <c r="E239" s="9" t="b">
        <v>1</v>
      </c>
    </row>
    <row r="240" hidden="1">
      <c r="A240" s="8" t="b">
        <v>0</v>
      </c>
      <c r="B240" s="8" t="s">
        <v>493</v>
      </c>
      <c r="C240" s="8" t="s">
        <v>479</v>
      </c>
      <c r="D240" s="12" t="s">
        <v>110</v>
      </c>
      <c r="E240" s="7" t="b">
        <v>1</v>
      </c>
    </row>
    <row r="241" hidden="1">
      <c r="A241" s="10" t="b">
        <v>0</v>
      </c>
      <c r="B241" s="10" t="s">
        <v>494</v>
      </c>
      <c r="C241" s="10" t="s">
        <v>479</v>
      </c>
      <c r="D241" s="11" t="s">
        <v>234</v>
      </c>
      <c r="E241" s="9" t="b">
        <v>1</v>
      </c>
    </row>
    <row r="242" hidden="1">
      <c r="A242" s="8" t="b">
        <v>0</v>
      </c>
      <c r="B242" s="8" t="s">
        <v>495</v>
      </c>
      <c r="C242" s="8" t="s">
        <v>479</v>
      </c>
      <c r="D242" s="12" t="s">
        <v>181</v>
      </c>
      <c r="E242" s="7" t="b">
        <v>1</v>
      </c>
    </row>
    <row r="243" hidden="1">
      <c r="A243" s="10" t="b">
        <v>0</v>
      </c>
      <c r="B243" s="10" t="s">
        <v>496</v>
      </c>
      <c r="C243" s="10" t="s">
        <v>479</v>
      </c>
      <c r="D243" s="11" t="s">
        <v>109</v>
      </c>
      <c r="E243" s="9" t="b">
        <v>1</v>
      </c>
    </row>
    <row r="244" hidden="1">
      <c r="A244" s="8" t="b">
        <v>0</v>
      </c>
      <c r="B244" s="8" t="s">
        <v>497</v>
      </c>
      <c r="C244" s="8" t="s">
        <v>479</v>
      </c>
      <c r="D244" s="12" t="s">
        <v>121</v>
      </c>
      <c r="E244" s="7" t="b">
        <v>1</v>
      </c>
    </row>
    <row r="245" hidden="1">
      <c r="A245" s="10" t="b">
        <v>0</v>
      </c>
      <c r="B245" s="10" t="s">
        <v>498</v>
      </c>
      <c r="C245" s="10" t="s">
        <v>479</v>
      </c>
      <c r="D245" s="11" t="s">
        <v>122</v>
      </c>
      <c r="E245" s="9" t="b">
        <v>1</v>
      </c>
    </row>
    <row r="246" hidden="1">
      <c r="A246" s="8" t="b">
        <v>0</v>
      </c>
      <c r="B246" s="8" t="s">
        <v>499</v>
      </c>
      <c r="C246" s="8" t="s">
        <v>479</v>
      </c>
      <c r="D246" s="12" t="s">
        <v>123</v>
      </c>
      <c r="E246" s="7" t="b">
        <v>1</v>
      </c>
    </row>
    <row r="247" hidden="1">
      <c r="A247" s="10" t="b">
        <v>0</v>
      </c>
      <c r="B247" s="10" t="s">
        <v>500</v>
      </c>
      <c r="C247" s="10" t="s">
        <v>479</v>
      </c>
      <c r="D247" s="11" t="s">
        <v>120</v>
      </c>
      <c r="E247" s="9" t="b">
        <v>1</v>
      </c>
    </row>
    <row r="248" hidden="1">
      <c r="A248" s="8" t="b">
        <v>0</v>
      </c>
      <c r="B248" s="8" t="s">
        <v>501</v>
      </c>
      <c r="C248" s="8" t="s">
        <v>479</v>
      </c>
      <c r="D248" s="12" t="s">
        <v>403</v>
      </c>
      <c r="E248" s="7" t="b">
        <v>1</v>
      </c>
    </row>
    <row r="249" hidden="1">
      <c r="A249" s="10" t="b">
        <v>0</v>
      </c>
      <c r="B249" s="10" t="s">
        <v>502</v>
      </c>
      <c r="C249" s="10" t="s">
        <v>479</v>
      </c>
      <c r="D249" s="11" t="s">
        <v>228</v>
      </c>
      <c r="E249" s="9" t="b">
        <v>1</v>
      </c>
    </row>
    <row r="250" hidden="1">
      <c r="A250" s="8" t="b">
        <v>0</v>
      </c>
      <c r="B250" s="8" t="s">
        <v>503</v>
      </c>
      <c r="C250" s="8" t="s">
        <v>479</v>
      </c>
      <c r="D250" s="12" t="s">
        <v>229</v>
      </c>
      <c r="E250" s="7" t="b">
        <v>1</v>
      </c>
    </row>
    <row r="251" hidden="1">
      <c r="A251" s="10" t="b">
        <v>0</v>
      </c>
      <c r="B251" s="10" t="s">
        <v>504</v>
      </c>
      <c r="C251" s="10" t="s">
        <v>479</v>
      </c>
      <c r="D251" s="11" t="s">
        <v>230</v>
      </c>
      <c r="E251" s="9" t="b">
        <v>1</v>
      </c>
    </row>
    <row r="252" hidden="1">
      <c r="A252" s="8" t="b">
        <v>0</v>
      </c>
      <c r="B252" s="8" t="s">
        <v>505</v>
      </c>
      <c r="C252" s="8" t="s">
        <v>479</v>
      </c>
      <c r="D252" s="12" t="s">
        <v>162</v>
      </c>
      <c r="E252" s="7" t="b">
        <v>1</v>
      </c>
    </row>
    <row r="253" hidden="1">
      <c r="A253" s="10" t="b">
        <v>0</v>
      </c>
      <c r="B253" s="10" t="s">
        <v>506</v>
      </c>
      <c r="C253" s="10" t="s">
        <v>479</v>
      </c>
      <c r="D253" s="11" t="s">
        <v>139</v>
      </c>
      <c r="E253" s="9" t="b">
        <v>1</v>
      </c>
    </row>
    <row r="254" hidden="1">
      <c r="A254" s="8" t="b">
        <v>0</v>
      </c>
      <c r="B254" s="8" t="s">
        <v>507</v>
      </c>
      <c r="C254" s="8" t="s">
        <v>479</v>
      </c>
      <c r="D254" s="12" t="s">
        <v>157</v>
      </c>
      <c r="E254" s="7" t="b">
        <v>1</v>
      </c>
    </row>
    <row r="255" hidden="1">
      <c r="A255" s="10" t="b">
        <v>0</v>
      </c>
      <c r="B255" s="10" t="s">
        <v>508</v>
      </c>
      <c r="C255" s="10" t="s">
        <v>479</v>
      </c>
      <c r="D255" s="11" t="s">
        <v>158</v>
      </c>
      <c r="E255" s="9" t="b">
        <v>1</v>
      </c>
    </row>
    <row r="256" hidden="1">
      <c r="A256" s="8" t="b">
        <v>0</v>
      </c>
      <c r="B256" s="8" t="s">
        <v>509</v>
      </c>
      <c r="C256" s="8" t="s">
        <v>479</v>
      </c>
      <c r="D256" s="12" t="s">
        <v>227</v>
      </c>
      <c r="E256" s="7" t="b">
        <v>1</v>
      </c>
    </row>
    <row r="257" hidden="1">
      <c r="A257" s="10" t="b">
        <v>0</v>
      </c>
      <c r="B257" s="10" t="s">
        <v>510</v>
      </c>
      <c r="C257" s="10" t="s">
        <v>479</v>
      </c>
      <c r="D257" s="11" t="s">
        <v>141</v>
      </c>
      <c r="E257" s="9" t="b">
        <v>1</v>
      </c>
    </row>
    <row r="258" hidden="1">
      <c r="A258" s="8" t="b">
        <v>0</v>
      </c>
      <c r="B258" s="8" t="s">
        <v>511</v>
      </c>
      <c r="C258" s="8" t="s">
        <v>479</v>
      </c>
      <c r="D258" s="12" t="s">
        <v>226</v>
      </c>
      <c r="E258" s="7" t="b">
        <v>1</v>
      </c>
    </row>
    <row r="259" hidden="1">
      <c r="A259" s="10" t="b">
        <v>0</v>
      </c>
      <c r="B259" s="10" t="s">
        <v>512</v>
      </c>
      <c r="C259" s="10" t="s">
        <v>479</v>
      </c>
      <c r="D259" s="11" t="s">
        <v>144</v>
      </c>
      <c r="E259" s="9" t="b">
        <v>1</v>
      </c>
    </row>
    <row r="260" hidden="1">
      <c r="A260" s="8" t="b">
        <v>0</v>
      </c>
      <c r="B260" s="8" t="s">
        <v>513</v>
      </c>
      <c r="C260" s="8" t="s">
        <v>479</v>
      </c>
      <c r="D260" s="12" t="s">
        <v>154</v>
      </c>
      <c r="E260" s="7" t="b">
        <v>1</v>
      </c>
    </row>
    <row r="261" hidden="1">
      <c r="A261" s="10" t="b">
        <v>0</v>
      </c>
      <c r="B261" s="10" t="s">
        <v>514</v>
      </c>
      <c r="C261" s="10" t="s">
        <v>479</v>
      </c>
      <c r="D261" s="11" t="s">
        <v>147</v>
      </c>
      <c r="E261" s="9" t="b">
        <v>1</v>
      </c>
    </row>
    <row r="262" hidden="1">
      <c r="A262" s="8" t="b">
        <v>0</v>
      </c>
      <c r="B262" s="8" t="s">
        <v>515</v>
      </c>
      <c r="C262" s="8" t="s">
        <v>479</v>
      </c>
      <c r="D262" s="12" t="s">
        <v>152</v>
      </c>
      <c r="E262" s="7" t="b">
        <v>1</v>
      </c>
    </row>
    <row r="263" hidden="1">
      <c r="A263" s="10" t="b">
        <v>0</v>
      </c>
      <c r="B263" s="10" t="s">
        <v>516</v>
      </c>
      <c r="C263" s="10" t="s">
        <v>479</v>
      </c>
      <c r="D263" s="11" t="s">
        <v>153</v>
      </c>
      <c r="E263" s="9" t="b">
        <v>1</v>
      </c>
    </row>
    <row r="264" hidden="1">
      <c r="A264" s="8" t="b">
        <v>0</v>
      </c>
      <c r="B264" s="8" t="s">
        <v>517</v>
      </c>
      <c r="C264" s="8" t="s">
        <v>479</v>
      </c>
      <c r="D264" s="12" t="s">
        <v>145</v>
      </c>
      <c r="E264" s="7" t="b">
        <v>1</v>
      </c>
    </row>
    <row r="265" hidden="1">
      <c r="A265" s="10" t="b">
        <v>0</v>
      </c>
      <c r="B265" s="10" t="s">
        <v>518</v>
      </c>
      <c r="C265" s="10" t="s">
        <v>479</v>
      </c>
      <c r="D265" s="11" t="s">
        <v>146</v>
      </c>
      <c r="E265" s="9" t="b">
        <v>1</v>
      </c>
    </row>
    <row r="266" hidden="1">
      <c r="A266" s="8" t="b">
        <v>0</v>
      </c>
      <c r="B266" s="8" t="s">
        <v>519</v>
      </c>
      <c r="C266" s="8" t="s">
        <v>479</v>
      </c>
      <c r="D266" s="12" t="s">
        <v>150</v>
      </c>
      <c r="E266" s="7" t="b">
        <v>1</v>
      </c>
    </row>
    <row r="267" hidden="1">
      <c r="A267" s="10" t="b">
        <v>0</v>
      </c>
      <c r="B267" s="10" t="s">
        <v>520</v>
      </c>
      <c r="C267" s="10" t="s">
        <v>479</v>
      </c>
      <c r="D267" s="11" t="s">
        <v>149</v>
      </c>
      <c r="E267" s="9" t="b">
        <v>1</v>
      </c>
    </row>
    <row r="268" hidden="1">
      <c r="A268" s="8" t="b">
        <v>0</v>
      </c>
      <c r="B268" s="8" t="s">
        <v>521</v>
      </c>
      <c r="C268" s="8" t="s">
        <v>479</v>
      </c>
      <c r="D268" s="12" t="s">
        <v>148</v>
      </c>
      <c r="E268" s="7" t="b">
        <v>1</v>
      </c>
    </row>
    <row r="269" hidden="1">
      <c r="A269" s="10" t="b">
        <v>0</v>
      </c>
      <c r="B269" s="10" t="s">
        <v>522</v>
      </c>
      <c r="C269" s="10" t="s">
        <v>479</v>
      </c>
      <c r="D269" s="11" t="s">
        <v>159</v>
      </c>
      <c r="E269" s="9" t="b">
        <v>1</v>
      </c>
    </row>
    <row r="270" hidden="1">
      <c r="A270" s="8" t="b">
        <v>0</v>
      </c>
      <c r="B270" s="8" t="s">
        <v>523</v>
      </c>
      <c r="C270" s="8" t="s">
        <v>479</v>
      </c>
      <c r="D270" s="12" t="s">
        <v>142</v>
      </c>
      <c r="E270" s="7" t="b">
        <v>1</v>
      </c>
    </row>
    <row r="271" hidden="1">
      <c r="A271" s="10" t="b">
        <v>0</v>
      </c>
      <c r="B271" s="10" t="s">
        <v>524</v>
      </c>
      <c r="C271" s="10" t="s">
        <v>479</v>
      </c>
      <c r="D271" s="11" t="s">
        <v>112</v>
      </c>
      <c r="E271" s="9" t="b">
        <v>1</v>
      </c>
    </row>
    <row r="272" hidden="1">
      <c r="A272" s="8" t="b">
        <v>0</v>
      </c>
      <c r="B272" s="8" t="s">
        <v>525</v>
      </c>
      <c r="C272" s="7"/>
      <c r="D272" s="12" t="s">
        <v>160</v>
      </c>
      <c r="E272" s="7" t="b">
        <v>1</v>
      </c>
    </row>
    <row r="273" hidden="1">
      <c r="A273" s="10" t="b">
        <v>0</v>
      </c>
      <c r="B273" s="10" t="s">
        <v>526</v>
      </c>
      <c r="C273" s="10" t="s">
        <v>527</v>
      </c>
      <c r="D273" s="11" t="s">
        <v>380</v>
      </c>
      <c r="E273" s="9" t="b">
        <v>0</v>
      </c>
    </row>
    <row r="274" hidden="1">
      <c r="A274" s="8" t="b">
        <v>0</v>
      </c>
      <c r="B274" s="8" t="s">
        <v>528</v>
      </c>
      <c r="C274" s="8" t="s">
        <v>527</v>
      </c>
      <c r="D274" s="12" t="s">
        <v>216</v>
      </c>
      <c r="E274" s="7" t="b">
        <v>1</v>
      </c>
    </row>
    <row r="275" hidden="1">
      <c r="A275" s="10" t="b">
        <v>0</v>
      </c>
      <c r="B275" s="10" t="s">
        <v>529</v>
      </c>
      <c r="C275" s="10" t="s">
        <v>527</v>
      </c>
      <c r="D275" s="11" t="s">
        <v>432</v>
      </c>
      <c r="E275" s="9" t="b">
        <v>0</v>
      </c>
    </row>
    <row r="276" hidden="1">
      <c r="A276" s="8" t="b">
        <v>0</v>
      </c>
      <c r="B276" s="8" t="s">
        <v>530</v>
      </c>
      <c r="C276" s="8" t="s">
        <v>527</v>
      </c>
      <c r="D276" s="12" t="s">
        <v>434</v>
      </c>
      <c r="E276" s="7" t="b">
        <v>0</v>
      </c>
    </row>
    <row r="277" hidden="1">
      <c r="A277" s="10" t="b">
        <v>0</v>
      </c>
      <c r="B277" s="10" t="s">
        <v>531</v>
      </c>
      <c r="C277" s="10" t="s">
        <v>527</v>
      </c>
      <c r="D277" s="11" t="s">
        <v>108</v>
      </c>
      <c r="E277" s="9" t="b">
        <v>1</v>
      </c>
    </row>
    <row r="278" hidden="1">
      <c r="A278" s="8" t="b">
        <v>0</v>
      </c>
      <c r="B278" s="8" t="s">
        <v>532</v>
      </c>
      <c r="C278" s="8" t="s">
        <v>527</v>
      </c>
      <c r="D278" s="12" t="s">
        <v>27</v>
      </c>
      <c r="E278" s="7" t="b">
        <v>1</v>
      </c>
    </row>
    <row r="279" hidden="1">
      <c r="A279" s="10" t="b">
        <v>0</v>
      </c>
      <c r="B279" s="10" t="s">
        <v>533</v>
      </c>
      <c r="C279" s="10" t="s">
        <v>527</v>
      </c>
      <c r="D279" s="11" t="s">
        <v>219</v>
      </c>
      <c r="E279" s="9" t="b">
        <v>1</v>
      </c>
    </row>
    <row r="280" hidden="1">
      <c r="A280" s="8" t="b">
        <v>0</v>
      </c>
      <c r="B280" s="8" t="s">
        <v>534</v>
      </c>
      <c r="C280" s="8" t="s">
        <v>527</v>
      </c>
      <c r="D280" s="12" t="s">
        <v>28</v>
      </c>
      <c r="E280" s="7" t="b">
        <v>1</v>
      </c>
    </row>
    <row r="281" hidden="1">
      <c r="A281" s="10" t="b">
        <v>0</v>
      </c>
      <c r="B281" s="10" t="s">
        <v>535</v>
      </c>
      <c r="C281" s="10" t="s">
        <v>527</v>
      </c>
      <c r="D281" s="11" t="s">
        <v>30</v>
      </c>
      <c r="E281" s="9" t="b">
        <v>1</v>
      </c>
    </row>
    <row r="282" hidden="1">
      <c r="A282" s="8" t="b">
        <v>0</v>
      </c>
      <c r="B282" s="8" t="s">
        <v>536</v>
      </c>
      <c r="C282" s="8" t="s">
        <v>527</v>
      </c>
      <c r="D282" s="12" t="s">
        <v>29</v>
      </c>
      <c r="E282" s="7" t="b">
        <v>1</v>
      </c>
    </row>
    <row r="283" hidden="1">
      <c r="A283" s="10" t="b">
        <v>0</v>
      </c>
      <c r="B283" s="10" t="s">
        <v>537</v>
      </c>
      <c r="C283" s="10" t="s">
        <v>527</v>
      </c>
      <c r="D283" s="11" t="s">
        <v>31</v>
      </c>
      <c r="E283" s="9" t="b">
        <v>1</v>
      </c>
    </row>
    <row r="284" hidden="1">
      <c r="A284" s="8" t="b">
        <v>0</v>
      </c>
      <c r="B284" s="8" t="s">
        <v>538</v>
      </c>
      <c r="C284" s="8" t="s">
        <v>527</v>
      </c>
      <c r="D284" s="12" t="s">
        <v>224</v>
      </c>
      <c r="E284" s="7" t="b">
        <v>1</v>
      </c>
    </row>
    <row r="285" hidden="1">
      <c r="A285" s="10" t="b">
        <v>0</v>
      </c>
      <c r="B285" s="10" t="s">
        <v>539</v>
      </c>
      <c r="C285" s="10" t="s">
        <v>527</v>
      </c>
      <c r="D285" s="11" t="s">
        <v>32</v>
      </c>
      <c r="E285" s="9" t="b">
        <v>1</v>
      </c>
    </row>
    <row r="286" hidden="1">
      <c r="A286" s="8" t="b">
        <v>0</v>
      </c>
      <c r="B286" s="8" t="s">
        <v>540</v>
      </c>
      <c r="C286" s="8" t="s">
        <v>527</v>
      </c>
      <c r="D286" s="12" t="s">
        <v>191</v>
      </c>
      <c r="E286" s="7" t="b">
        <v>1</v>
      </c>
    </row>
    <row r="287" hidden="1">
      <c r="A287" s="10" t="b">
        <v>0</v>
      </c>
      <c r="B287" s="10" t="s">
        <v>541</v>
      </c>
      <c r="C287" s="10" t="s">
        <v>527</v>
      </c>
      <c r="D287" s="11" t="s">
        <v>110</v>
      </c>
      <c r="E287" s="9" t="b">
        <v>1</v>
      </c>
    </row>
    <row r="288" hidden="1">
      <c r="A288" s="8" t="b">
        <v>0</v>
      </c>
      <c r="B288" s="8" t="s">
        <v>542</v>
      </c>
      <c r="C288" s="8" t="s">
        <v>527</v>
      </c>
      <c r="D288" s="12" t="s">
        <v>234</v>
      </c>
      <c r="E288" s="7" t="b">
        <v>1</v>
      </c>
    </row>
    <row r="289" hidden="1">
      <c r="A289" s="10" t="b">
        <v>0</v>
      </c>
      <c r="B289" s="10" t="s">
        <v>543</v>
      </c>
      <c r="C289" s="10" t="s">
        <v>527</v>
      </c>
      <c r="D289" s="11" t="s">
        <v>181</v>
      </c>
      <c r="E289" s="9" t="b">
        <v>1</v>
      </c>
    </row>
    <row r="290" hidden="1">
      <c r="A290" s="8" t="b">
        <v>0</v>
      </c>
      <c r="B290" s="8" t="s">
        <v>544</v>
      </c>
      <c r="C290" s="8" t="s">
        <v>527</v>
      </c>
      <c r="D290" s="12" t="s">
        <v>109</v>
      </c>
      <c r="E290" s="7" t="b">
        <v>1</v>
      </c>
    </row>
    <row r="291" hidden="1">
      <c r="A291" s="10" t="b">
        <v>0</v>
      </c>
      <c r="B291" s="10" t="s">
        <v>545</v>
      </c>
      <c r="C291" s="10" t="s">
        <v>527</v>
      </c>
      <c r="D291" s="11" t="s">
        <v>121</v>
      </c>
      <c r="E291" s="9" t="b">
        <v>1</v>
      </c>
    </row>
    <row r="292" hidden="1">
      <c r="A292" s="8" t="b">
        <v>0</v>
      </c>
      <c r="B292" s="8" t="s">
        <v>546</v>
      </c>
      <c r="C292" s="8" t="s">
        <v>527</v>
      </c>
      <c r="D292" s="12" t="s">
        <v>122</v>
      </c>
      <c r="E292" s="7" t="b">
        <v>1</v>
      </c>
    </row>
    <row r="293" hidden="1">
      <c r="A293" s="10" t="b">
        <v>0</v>
      </c>
      <c r="B293" s="10" t="s">
        <v>547</v>
      </c>
      <c r="C293" s="10" t="s">
        <v>527</v>
      </c>
      <c r="D293" s="11" t="s">
        <v>123</v>
      </c>
      <c r="E293" s="9" t="b">
        <v>1</v>
      </c>
    </row>
    <row r="294" hidden="1">
      <c r="A294" s="8" t="b">
        <v>0</v>
      </c>
      <c r="B294" s="8" t="s">
        <v>548</v>
      </c>
      <c r="C294" s="8" t="s">
        <v>527</v>
      </c>
      <c r="D294" s="12" t="s">
        <v>120</v>
      </c>
      <c r="E294" s="7" t="b">
        <v>1</v>
      </c>
    </row>
    <row r="295" hidden="1">
      <c r="A295" s="10" t="b">
        <v>0</v>
      </c>
      <c r="B295" s="10" t="s">
        <v>549</v>
      </c>
      <c r="C295" s="10" t="s">
        <v>527</v>
      </c>
      <c r="D295" s="11" t="s">
        <v>403</v>
      </c>
      <c r="E295" s="9" t="b">
        <v>1</v>
      </c>
    </row>
    <row r="296" hidden="1">
      <c r="A296" s="8" t="b">
        <v>0</v>
      </c>
      <c r="B296" s="8" t="s">
        <v>550</v>
      </c>
      <c r="C296" s="8" t="s">
        <v>527</v>
      </c>
      <c r="D296" s="12" t="s">
        <v>228</v>
      </c>
      <c r="E296" s="7" t="b">
        <v>1</v>
      </c>
    </row>
    <row r="297" hidden="1">
      <c r="A297" s="10" t="b">
        <v>0</v>
      </c>
      <c r="B297" s="10" t="s">
        <v>551</v>
      </c>
      <c r="C297" s="10" t="s">
        <v>527</v>
      </c>
      <c r="D297" s="11" t="s">
        <v>229</v>
      </c>
      <c r="E297" s="9" t="b">
        <v>1</v>
      </c>
    </row>
    <row r="298" hidden="1">
      <c r="A298" s="8" t="b">
        <v>0</v>
      </c>
      <c r="B298" s="8" t="s">
        <v>552</v>
      </c>
      <c r="C298" s="8" t="s">
        <v>527</v>
      </c>
      <c r="D298" s="12" t="s">
        <v>230</v>
      </c>
      <c r="E298" s="7" t="b">
        <v>1</v>
      </c>
    </row>
    <row r="299" hidden="1">
      <c r="A299" s="10" t="b">
        <v>0</v>
      </c>
      <c r="B299" s="10" t="s">
        <v>553</v>
      </c>
      <c r="C299" s="10" t="s">
        <v>527</v>
      </c>
      <c r="D299" s="11" t="s">
        <v>162</v>
      </c>
      <c r="E299" s="9" t="b">
        <v>1</v>
      </c>
    </row>
    <row r="300" hidden="1">
      <c r="A300" s="8" t="b">
        <v>0</v>
      </c>
      <c r="B300" s="8" t="s">
        <v>554</v>
      </c>
      <c r="C300" s="8" t="s">
        <v>527</v>
      </c>
      <c r="D300" s="12" t="s">
        <v>139</v>
      </c>
      <c r="E300" s="7" t="b">
        <v>1</v>
      </c>
    </row>
    <row r="301" hidden="1">
      <c r="A301" s="10" t="b">
        <v>0</v>
      </c>
      <c r="B301" s="10" t="s">
        <v>555</v>
      </c>
      <c r="C301" s="10" t="s">
        <v>527</v>
      </c>
      <c r="D301" s="11" t="s">
        <v>157</v>
      </c>
      <c r="E301" s="9" t="b">
        <v>1</v>
      </c>
    </row>
    <row r="302" hidden="1">
      <c r="A302" s="8" t="b">
        <v>0</v>
      </c>
      <c r="B302" s="8" t="s">
        <v>556</v>
      </c>
      <c r="C302" s="8" t="s">
        <v>527</v>
      </c>
      <c r="D302" s="12" t="s">
        <v>158</v>
      </c>
      <c r="E302" s="7" t="b">
        <v>1</v>
      </c>
    </row>
    <row r="303" hidden="1">
      <c r="A303" s="10" t="b">
        <v>0</v>
      </c>
      <c r="B303" s="10" t="s">
        <v>557</v>
      </c>
      <c r="C303" s="10" t="s">
        <v>527</v>
      </c>
      <c r="D303" s="11" t="s">
        <v>227</v>
      </c>
      <c r="E303" s="9" t="b">
        <v>1</v>
      </c>
    </row>
    <row r="304" hidden="1">
      <c r="A304" s="8" t="b">
        <v>0</v>
      </c>
      <c r="B304" s="8" t="s">
        <v>558</v>
      </c>
      <c r="C304" s="8" t="s">
        <v>527</v>
      </c>
      <c r="D304" s="12" t="s">
        <v>141</v>
      </c>
      <c r="E304" s="7" t="b">
        <v>1</v>
      </c>
    </row>
    <row r="305" hidden="1">
      <c r="A305" s="10" t="b">
        <v>0</v>
      </c>
      <c r="B305" s="10" t="s">
        <v>559</v>
      </c>
      <c r="C305" s="10" t="s">
        <v>527</v>
      </c>
      <c r="D305" s="11" t="s">
        <v>226</v>
      </c>
      <c r="E305" s="9" t="b">
        <v>1</v>
      </c>
    </row>
    <row r="306" hidden="1">
      <c r="A306" s="8" t="b">
        <v>0</v>
      </c>
      <c r="B306" s="8" t="s">
        <v>560</v>
      </c>
      <c r="C306" s="8" t="s">
        <v>527</v>
      </c>
      <c r="D306" s="12" t="s">
        <v>144</v>
      </c>
      <c r="E306" s="7" t="b">
        <v>1</v>
      </c>
    </row>
    <row r="307" hidden="1">
      <c r="A307" s="10" t="b">
        <v>0</v>
      </c>
      <c r="B307" s="10" t="s">
        <v>561</v>
      </c>
      <c r="C307" s="10" t="s">
        <v>527</v>
      </c>
      <c r="D307" s="11" t="s">
        <v>154</v>
      </c>
      <c r="E307" s="9" t="b">
        <v>1</v>
      </c>
    </row>
    <row r="308" hidden="1">
      <c r="A308" s="8" t="b">
        <v>0</v>
      </c>
      <c r="B308" s="8" t="s">
        <v>562</v>
      </c>
      <c r="C308" s="8" t="s">
        <v>527</v>
      </c>
      <c r="D308" s="12" t="s">
        <v>147</v>
      </c>
      <c r="E308" s="7" t="b">
        <v>1</v>
      </c>
    </row>
    <row r="309" hidden="1">
      <c r="A309" s="10" t="b">
        <v>0</v>
      </c>
      <c r="B309" s="10" t="s">
        <v>563</v>
      </c>
      <c r="C309" s="10" t="s">
        <v>527</v>
      </c>
      <c r="D309" s="11" t="s">
        <v>152</v>
      </c>
      <c r="E309" s="9" t="b">
        <v>1</v>
      </c>
    </row>
    <row r="310" hidden="1">
      <c r="A310" s="8" t="b">
        <v>0</v>
      </c>
      <c r="B310" s="8" t="s">
        <v>564</v>
      </c>
      <c r="C310" s="8" t="s">
        <v>527</v>
      </c>
      <c r="D310" s="12" t="s">
        <v>153</v>
      </c>
      <c r="E310" s="7" t="b">
        <v>1</v>
      </c>
    </row>
    <row r="311" hidden="1">
      <c r="A311" s="10" t="b">
        <v>0</v>
      </c>
      <c r="B311" s="10" t="s">
        <v>565</v>
      </c>
      <c r="C311" s="10" t="s">
        <v>527</v>
      </c>
      <c r="D311" s="11" t="s">
        <v>145</v>
      </c>
      <c r="E311" s="9" t="b">
        <v>1</v>
      </c>
    </row>
    <row r="312" hidden="1">
      <c r="A312" s="8" t="b">
        <v>0</v>
      </c>
      <c r="B312" s="8" t="s">
        <v>566</v>
      </c>
      <c r="C312" s="8" t="s">
        <v>527</v>
      </c>
      <c r="D312" s="12" t="s">
        <v>146</v>
      </c>
      <c r="E312" s="7" t="b">
        <v>1</v>
      </c>
    </row>
    <row r="313" hidden="1">
      <c r="A313" s="10" t="b">
        <v>0</v>
      </c>
      <c r="B313" s="10" t="s">
        <v>567</v>
      </c>
      <c r="C313" s="10" t="s">
        <v>527</v>
      </c>
      <c r="D313" s="11" t="s">
        <v>150</v>
      </c>
      <c r="E313" s="9" t="b">
        <v>1</v>
      </c>
    </row>
    <row r="314" hidden="1">
      <c r="A314" s="8" t="b">
        <v>0</v>
      </c>
      <c r="B314" s="8" t="s">
        <v>568</v>
      </c>
      <c r="C314" s="8" t="s">
        <v>527</v>
      </c>
      <c r="D314" s="12" t="s">
        <v>149</v>
      </c>
      <c r="E314" s="7" t="b">
        <v>1</v>
      </c>
    </row>
    <row r="315" hidden="1">
      <c r="A315" s="10" t="b">
        <v>0</v>
      </c>
      <c r="B315" s="10" t="s">
        <v>569</v>
      </c>
      <c r="C315" s="10" t="s">
        <v>527</v>
      </c>
      <c r="D315" s="11" t="s">
        <v>148</v>
      </c>
      <c r="E315" s="9" t="b">
        <v>1</v>
      </c>
    </row>
    <row r="316" hidden="1">
      <c r="A316" s="8" t="b">
        <v>0</v>
      </c>
      <c r="B316" s="8" t="s">
        <v>570</v>
      </c>
      <c r="C316" s="8" t="s">
        <v>527</v>
      </c>
      <c r="D316" s="12" t="s">
        <v>159</v>
      </c>
      <c r="E316" s="7" t="b">
        <v>1</v>
      </c>
    </row>
    <row r="317" hidden="1">
      <c r="A317" s="10" t="b">
        <v>0</v>
      </c>
      <c r="B317" s="10" t="s">
        <v>571</v>
      </c>
      <c r="C317" s="10" t="s">
        <v>527</v>
      </c>
      <c r="D317" s="11" t="s">
        <v>142</v>
      </c>
      <c r="E317" s="9" t="b">
        <v>1</v>
      </c>
    </row>
    <row r="318" hidden="1">
      <c r="A318" s="8" t="b">
        <v>0</v>
      </c>
      <c r="B318" s="8" t="s">
        <v>572</v>
      </c>
      <c r="C318" s="8" t="s">
        <v>527</v>
      </c>
      <c r="D318" s="12" t="s">
        <v>112</v>
      </c>
      <c r="E318" s="7" t="b">
        <v>1</v>
      </c>
    </row>
    <row r="319" hidden="1">
      <c r="A319" s="10" t="b">
        <v>0</v>
      </c>
      <c r="B319" s="10" t="s">
        <v>573</v>
      </c>
      <c r="C319" s="9"/>
      <c r="D319" s="11" t="s">
        <v>160</v>
      </c>
      <c r="E319" s="9" t="b">
        <v>1</v>
      </c>
    </row>
    <row r="320" hidden="1">
      <c r="A320" s="8" t="b">
        <v>0</v>
      </c>
      <c r="B320" s="8" t="s">
        <v>574</v>
      </c>
      <c r="C320" s="8" t="s">
        <v>575</v>
      </c>
      <c r="D320" s="12" t="s">
        <v>380</v>
      </c>
      <c r="E320" s="7" t="b">
        <v>0</v>
      </c>
    </row>
    <row r="321" hidden="1">
      <c r="A321" s="10" t="b">
        <v>0</v>
      </c>
      <c r="B321" s="10" t="s">
        <v>576</v>
      </c>
      <c r="C321" s="10" t="s">
        <v>575</v>
      </c>
      <c r="D321" s="11" t="s">
        <v>216</v>
      </c>
      <c r="E321" s="9" t="b">
        <v>1</v>
      </c>
    </row>
    <row r="322" hidden="1">
      <c r="A322" s="8" t="b">
        <v>0</v>
      </c>
      <c r="B322" s="8" t="s">
        <v>577</v>
      </c>
      <c r="C322" s="8" t="s">
        <v>575</v>
      </c>
      <c r="D322" s="12" t="s">
        <v>432</v>
      </c>
      <c r="E322" s="7" t="b">
        <v>0</v>
      </c>
    </row>
    <row r="323" hidden="1">
      <c r="A323" s="10" t="b">
        <v>0</v>
      </c>
      <c r="B323" s="10" t="s">
        <v>578</v>
      </c>
      <c r="C323" s="10" t="s">
        <v>575</v>
      </c>
      <c r="D323" s="11" t="s">
        <v>434</v>
      </c>
      <c r="E323" s="9" t="b">
        <v>0</v>
      </c>
    </row>
    <row r="324" hidden="1">
      <c r="A324" s="8" t="b">
        <v>0</v>
      </c>
      <c r="B324" s="8" t="s">
        <v>579</v>
      </c>
      <c r="C324" s="8" t="s">
        <v>575</v>
      </c>
      <c r="D324" s="12" t="s">
        <v>108</v>
      </c>
      <c r="E324" s="7" t="b">
        <v>1</v>
      </c>
    </row>
    <row r="325" hidden="1">
      <c r="A325" s="10" t="b">
        <v>0</v>
      </c>
      <c r="B325" s="10" t="s">
        <v>580</v>
      </c>
      <c r="C325" s="10" t="s">
        <v>575</v>
      </c>
      <c r="D325" s="11" t="s">
        <v>27</v>
      </c>
      <c r="E325" s="9" t="b">
        <v>1</v>
      </c>
    </row>
    <row r="326" hidden="1">
      <c r="A326" s="8" t="b">
        <v>0</v>
      </c>
      <c r="B326" s="8" t="s">
        <v>581</v>
      </c>
      <c r="C326" s="8" t="s">
        <v>575</v>
      </c>
      <c r="D326" s="12" t="s">
        <v>219</v>
      </c>
      <c r="E326" s="7" t="b">
        <v>1</v>
      </c>
    </row>
    <row r="327" hidden="1">
      <c r="A327" s="10" t="b">
        <v>0</v>
      </c>
      <c r="B327" s="10" t="s">
        <v>582</v>
      </c>
      <c r="C327" s="10" t="s">
        <v>575</v>
      </c>
      <c r="D327" s="11" t="s">
        <v>28</v>
      </c>
      <c r="E327" s="9" t="b">
        <v>1</v>
      </c>
    </row>
    <row r="328" hidden="1">
      <c r="A328" s="8" t="b">
        <v>0</v>
      </c>
      <c r="B328" s="8" t="s">
        <v>583</v>
      </c>
      <c r="C328" s="8" t="s">
        <v>575</v>
      </c>
      <c r="D328" s="12" t="s">
        <v>30</v>
      </c>
      <c r="E328" s="7" t="b">
        <v>1</v>
      </c>
    </row>
    <row r="329" hidden="1">
      <c r="A329" s="10" t="b">
        <v>0</v>
      </c>
      <c r="B329" s="10" t="s">
        <v>584</v>
      </c>
      <c r="C329" s="10" t="s">
        <v>575</v>
      </c>
      <c r="D329" s="11" t="s">
        <v>29</v>
      </c>
      <c r="E329" s="9" t="b">
        <v>1</v>
      </c>
    </row>
    <row r="330" hidden="1">
      <c r="A330" s="8" t="b">
        <v>0</v>
      </c>
      <c r="B330" s="8" t="s">
        <v>585</v>
      </c>
      <c r="C330" s="8" t="s">
        <v>575</v>
      </c>
      <c r="D330" s="12" t="s">
        <v>31</v>
      </c>
      <c r="E330" s="7" t="b">
        <v>1</v>
      </c>
    </row>
    <row r="331" hidden="1">
      <c r="A331" s="10" t="b">
        <v>0</v>
      </c>
      <c r="B331" s="10" t="s">
        <v>586</v>
      </c>
      <c r="C331" s="10" t="s">
        <v>575</v>
      </c>
      <c r="D331" s="11" t="s">
        <v>224</v>
      </c>
      <c r="E331" s="9" t="b">
        <v>1</v>
      </c>
    </row>
    <row r="332" hidden="1">
      <c r="A332" s="8" t="b">
        <v>0</v>
      </c>
      <c r="B332" s="8" t="s">
        <v>587</v>
      </c>
      <c r="C332" s="8" t="s">
        <v>575</v>
      </c>
      <c r="D332" s="12" t="s">
        <v>32</v>
      </c>
      <c r="E332" s="7" t="b">
        <v>1</v>
      </c>
    </row>
    <row r="333" hidden="1">
      <c r="A333" s="10" t="b">
        <v>0</v>
      </c>
      <c r="B333" s="10" t="s">
        <v>588</v>
      </c>
      <c r="C333" s="10" t="s">
        <v>575</v>
      </c>
      <c r="D333" s="11" t="s">
        <v>191</v>
      </c>
      <c r="E333" s="9" t="b">
        <v>1</v>
      </c>
    </row>
    <row r="334" hidden="1">
      <c r="A334" s="8" t="b">
        <v>0</v>
      </c>
      <c r="B334" s="8" t="s">
        <v>589</v>
      </c>
      <c r="C334" s="8" t="s">
        <v>575</v>
      </c>
      <c r="D334" s="12" t="s">
        <v>110</v>
      </c>
      <c r="E334" s="7" t="b">
        <v>1</v>
      </c>
    </row>
    <row r="335" hidden="1">
      <c r="A335" s="10" t="b">
        <v>0</v>
      </c>
      <c r="B335" s="10" t="s">
        <v>590</v>
      </c>
      <c r="C335" s="10" t="s">
        <v>575</v>
      </c>
      <c r="D335" s="11" t="s">
        <v>234</v>
      </c>
      <c r="E335" s="9" t="b">
        <v>1</v>
      </c>
    </row>
    <row r="336" hidden="1">
      <c r="A336" s="8" t="b">
        <v>0</v>
      </c>
      <c r="B336" s="8" t="s">
        <v>591</v>
      </c>
      <c r="C336" s="8" t="s">
        <v>575</v>
      </c>
      <c r="D336" s="12" t="s">
        <v>181</v>
      </c>
      <c r="E336" s="7" t="b">
        <v>1</v>
      </c>
    </row>
    <row r="337" hidden="1">
      <c r="A337" s="10" t="b">
        <v>0</v>
      </c>
      <c r="B337" s="10" t="s">
        <v>592</v>
      </c>
      <c r="C337" s="10" t="s">
        <v>575</v>
      </c>
      <c r="D337" s="11" t="s">
        <v>109</v>
      </c>
      <c r="E337" s="9" t="b">
        <v>1</v>
      </c>
    </row>
    <row r="338" hidden="1">
      <c r="A338" s="8" t="b">
        <v>0</v>
      </c>
      <c r="B338" s="8" t="s">
        <v>593</v>
      </c>
      <c r="C338" s="8" t="s">
        <v>575</v>
      </c>
      <c r="D338" s="12" t="s">
        <v>121</v>
      </c>
      <c r="E338" s="7" t="b">
        <v>1</v>
      </c>
    </row>
    <row r="339" hidden="1">
      <c r="A339" s="10" t="b">
        <v>0</v>
      </c>
      <c r="B339" s="10" t="s">
        <v>594</v>
      </c>
      <c r="C339" s="10" t="s">
        <v>575</v>
      </c>
      <c r="D339" s="11" t="s">
        <v>122</v>
      </c>
      <c r="E339" s="9" t="b">
        <v>1</v>
      </c>
    </row>
    <row r="340" hidden="1">
      <c r="A340" s="8" t="b">
        <v>0</v>
      </c>
      <c r="B340" s="8" t="s">
        <v>595</v>
      </c>
      <c r="C340" s="8" t="s">
        <v>575</v>
      </c>
      <c r="D340" s="12" t="s">
        <v>123</v>
      </c>
      <c r="E340" s="7" t="b">
        <v>1</v>
      </c>
    </row>
    <row r="341" hidden="1">
      <c r="A341" s="10" t="b">
        <v>0</v>
      </c>
      <c r="B341" s="10" t="s">
        <v>596</v>
      </c>
      <c r="C341" s="10" t="s">
        <v>575</v>
      </c>
      <c r="D341" s="11" t="s">
        <v>120</v>
      </c>
      <c r="E341" s="9" t="b">
        <v>1</v>
      </c>
    </row>
    <row r="342" hidden="1">
      <c r="A342" s="8" t="b">
        <v>0</v>
      </c>
      <c r="B342" s="8" t="s">
        <v>597</v>
      </c>
      <c r="C342" s="8" t="s">
        <v>575</v>
      </c>
      <c r="D342" s="12" t="s">
        <v>403</v>
      </c>
      <c r="E342" s="7" t="b">
        <v>1</v>
      </c>
    </row>
    <row r="343" hidden="1">
      <c r="A343" s="10" t="b">
        <v>0</v>
      </c>
      <c r="B343" s="10" t="s">
        <v>598</v>
      </c>
      <c r="C343" s="10" t="s">
        <v>575</v>
      </c>
      <c r="D343" s="11" t="s">
        <v>228</v>
      </c>
      <c r="E343" s="9" t="b">
        <v>1</v>
      </c>
    </row>
    <row r="344" hidden="1">
      <c r="A344" s="8" t="b">
        <v>0</v>
      </c>
      <c r="B344" s="8" t="s">
        <v>599</v>
      </c>
      <c r="C344" s="8" t="s">
        <v>575</v>
      </c>
      <c r="D344" s="12" t="s">
        <v>229</v>
      </c>
      <c r="E344" s="7" t="b">
        <v>1</v>
      </c>
    </row>
    <row r="345" hidden="1">
      <c r="A345" s="10" t="b">
        <v>0</v>
      </c>
      <c r="B345" s="10" t="s">
        <v>600</v>
      </c>
      <c r="C345" s="10" t="s">
        <v>575</v>
      </c>
      <c r="D345" s="11" t="s">
        <v>230</v>
      </c>
      <c r="E345" s="9" t="b">
        <v>1</v>
      </c>
    </row>
    <row r="346" hidden="1">
      <c r="A346" s="8" t="b">
        <v>0</v>
      </c>
      <c r="B346" s="8" t="s">
        <v>601</v>
      </c>
      <c r="C346" s="8" t="s">
        <v>575</v>
      </c>
      <c r="D346" s="12" t="s">
        <v>162</v>
      </c>
      <c r="E346" s="7" t="b">
        <v>1</v>
      </c>
    </row>
    <row r="347" hidden="1">
      <c r="A347" s="10" t="b">
        <v>0</v>
      </c>
      <c r="B347" s="10" t="s">
        <v>602</v>
      </c>
      <c r="C347" s="10" t="s">
        <v>575</v>
      </c>
      <c r="D347" s="11" t="s">
        <v>139</v>
      </c>
      <c r="E347" s="9" t="b">
        <v>1</v>
      </c>
    </row>
    <row r="348" hidden="1">
      <c r="A348" s="8" t="b">
        <v>0</v>
      </c>
      <c r="B348" s="8" t="s">
        <v>603</v>
      </c>
      <c r="C348" s="8" t="s">
        <v>575</v>
      </c>
      <c r="D348" s="12" t="s">
        <v>157</v>
      </c>
      <c r="E348" s="7" t="b">
        <v>1</v>
      </c>
    </row>
    <row r="349" hidden="1">
      <c r="A349" s="10" t="b">
        <v>0</v>
      </c>
      <c r="B349" s="10" t="s">
        <v>604</v>
      </c>
      <c r="C349" s="10" t="s">
        <v>575</v>
      </c>
      <c r="D349" s="11" t="s">
        <v>158</v>
      </c>
      <c r="E349" s="9" t="b">
        <v>1</v>
      </c>
    </row>
    <row r="350" hidden="1">
      <c r="A350" s="8" t="b">
        <v>0</v>
      </c>
      <c r="B350" s="8" t="s">
        <v>605</v>
      </c>
      <c r="C350" s="8" t="s">
        <v>575</v>
      </c>
      <c r="D350" s="12" t="s">
        <v>227</v>
      </c>
      <c r="E350" s="7" t="b">
        <v>1</v>
      </c>
    </row>
    <row r="351" hidden="1">
      <c r="A351" s="10" t="b">
        <v>0</v>
      </c>
      <c r="B351" s="10" t="s">
        <v>606</v>
      </c>
      <c r="C351" s="10" t="s">
        <v>575</v>
      </c>
      <c r="D351" s="11" t="s">
        <v>141</v>
      </c>
      <c r="E351" s="9" t="b">
        <v>1</v>
      </c>
    </row>
    <row r="352" hidden="1">
      <c r="A352" s="8" t="b">
        <v>0</v>
      </c>
      <c r="B352" s="8" t="s">
        <v>607</v>
      </c>
      <c r="C352" s="8" t="s">
        <v>575</v>
      </c>
      <c r="D352" s="12" t="s">
        <v>226</v>
      </c>
      <c r="E352" s="7" t="b">
        <v>1</v>
      </c>
    </row>
    <row r="353" hidden="1">
      <c r="A353" s="10" t="b">
        <v>0</v>
      </c>
      <c r="B353" s="10" t="s">
        <v>608</v>
      </c>
      <c r="C353" s="10" t="s">
        <v>575</v>
      </c>
      <c r="D353" s="11" t="s">
        <v>144</v>
      </c>
      <c r="E353" s="9" t="b">
        <v>1</v>
      </c>
    </row>
    <row r="354" hidden="1">
      <c r="A354" s="8" t="b">
        <v>0</v>
      </c>
      <c r="B354" s="8" t="s">
        <v>609</v>
      </c>
      <c r="C354" s="8" t="s">
        <v>575</v>
      </c>
      <c r="D354" s="12" t="s">
        <v>154</v>
      </c>
      <c r="E354" s="7" t="b">
        <v>1</v>
      </c>
    </row>
    <row r="355" hidden="1">
      <c r="A355" s="10" t="b">
        <v>0</v>
      </c>
      <c r="B355" s="10" t="s">
        <v>610</v>
      </c>
      <c r="C355" s="10" t="s">
        <v>575</v>
      </c>
      <c r="D355" s="11" t="s">
        <v>147</v>
      </c>
      <c r="E355" s="9" t="b">
        <v>1</v>
      </c>
    </row>
    <row r="356" hidden="1">
      <c r="A356" s="8" t="b">
        <v>0</v>
      </c>
      <c r="B356" s="8" t="s">
        <v>611</v>
      </c>
      <c r="C356" s="8" t="s">
        <v>575</v>
      </c>
      <c r="D356" s="12" t="s">
        <v>152</v>
      </c>
      <c r="E356" s="7" t="b">
        <v>1</v>
      </c>
    </row>
    <row r="357" hidden="1">
      <c r="A357" s="10" t="b">
        <v>0</v>
      </c>
      <c r="B357" s="10" t="s">
        <v>612</v>
      </c>
      <c r="C357" s="10" t="s">
        <v>575</v>
      </c>
      <c r="D357" s="11" t="s">
        <v>153</v>
      </c>
      <c r="E357" s="9" t="b">
        <v>1</v>
      </c>
    </row>
    <row r="358" hidden="1">
      <c r="A358" s="8" t="b">
        <v>0</v>
      </c>
      <c r="B358" s="8" t="s">
        <v>613</v>
      </c>
      <c r="C358" s="8" t="s">
        <v>575</v>
      </c>
      <c r="D358" s="12" t="s">
        <v>145</v>
      </c>
      <c r="E358" s="7" t="b">
        <v>1</v>
      </c>
    </row>
    <row r="359" hidden="1">
      <c r="A359" s="10" t="b">
        <v>0</v>
      </c>
      <c r="B359" s="10" t="s">
        <v>614</v>
      </c>
      <c r="C359" s="10" t="s">
        <v>575</v>
      </c>
      <c r="D359" s="11" t="s">
        <v>146</v>
      </c>
      <c r="E359" s="9" t="b">
        <v>1</v>
      </c>
    </row>
    <row r="360" hidden="1">
      <c r="A360" s="8" t="b">
        <v>0</v>
      </c>
      <c r="B360" s="8" t="s">
        <v>615</v>
      </c>
      <c r="C360" s="8" t="s">
        <v>575</v>
      </c>
      <c r="D360" s="12" t="s">
        <v>150</v>
      </c>
      <c r="E360" s="7" t="b">
        <v>1</v>
      </c>
    </row>
    <row r="361" hidden="1">
      <c r="A361" s="10" t="b">
        <v>0</v>
      </c>
      <c r="B361" s="10" t="s">
        <v>616</v>
      </c>
      <c r="C361" s="10" t="s">
        <v>575</v>
      </c>
      <c r="D361" s="11" t="s">
        <v>149</v>
      </c>
      <c r="E361" s="9" t="b">
        <v>1</v>
      </c>
    </row>
    <row r="362" hidden="1">
      <c r="A362" s="8" t="b">
        <v>0</v>
      </c>
      <c r="B362" s="8" t="s">
        <v>617</v>
      </c>
      <c r="C362" s="8" t="s">
        <v>575</v>
      </c>
      <c r="D362" s="12" t="s">
        <v>148</v>
      </c>
      <c r="E362" s="7" t="b">
        <v>1</v>
      </c>
    </row>
    <row r="363" hidden="1">
      <c r="A363" s="10" t="b">
        <v>0</v>
      </c>
      <c r="B363" s="10" t="s">
        <v>618</v>
      </c>
      <c r="C363" s="10" t="s">
        <v>575</v>
      </c>
      <c r="D363" s="11" t="s">
        <v>159</v>
      </c>
      <c r="E363" s="9" t="b">
        <v>1</v>
      </c>
    </row>
    <row r="364" hidden="1">
      <c r="A364" s="8" t="b">
        <v>0</v>
      </c>
      <c r="B364" s="8" t="s">
        <v>619</v>
      </c>
      <c r="C364" s="8" t="s">
        <v>575</v>
      </c>
      <c r="D364" s="12" t="s">
        <v>142</v>
      </c>
      <c r="E364" s="7" t="b">
        <v>1</v>
      </c>
    </row>
    <row r="365" hidden="1">
      <c r="A365" s="10" t="b">
        <v>0</v>
      </c>
      <c r="B365" s="10" t="s">
        <v>620</v>
      </c>
      <c r="C365" s="10" t="s">
        <v>575</v>
      </c>
      <c r="D365" s="11" t="s">
        <v>112</v>
      </c>
      <c r="E365" s="9" t="b">
        <v>1</v>
      </c>
    </row>
    <row r="366" hidden="1">
      <c r="A366" s="8" t="b">
        <v>0</v>
      </c>
      <c r="B366" s="8" t="s">
        <v>621</v>
      </c>
      <c r="C366" s="7"/>
      <c r="D366" s="12" t="s">
        <v>160</v>
      </c>
      <c r="E366" s="7" t="b">
        <v>1</v>
      </c>
    </row>
    <row r="367" hidden="1">
      <c r="A367" s="10" t="b">
        <v>0</v>
      </c>
      <c r="B367" s="10" t="s">
        <v>622</v>
      </c>
      <c r="C367" s="10" t="s">
        <v>623</v>
      </c>
      <c r="D367" s="11" t="s">
        <v>380</v>
      </c>
      <c r="E367" s="9" t="b">
        <v>0</v>
      </c>
    </row>
    <row r="368" hidden="1">
      <c r="A368" s="8" t="b">
        <v>0</v>
      </c>
      <c r="B368" s="8" t="s">
        <v>624</v>
      </c>
      <c r="C368" s="8" t="s">
        <v>623</v>
      </c>
      <c r="D368" s="12" t="s">
        <v>216</v>
      </c>
      <c r="E368" s="7" t="b">
        <v>1</v>
      </c>
    </row>
    <row r="369" hidden="1">
      <c r="A369" s="10" t="b">
        <v>0</v>
      </c>
      <c r="B369" s="10" t="s">
        <v>625</v>
      </c>
      <c r="C369" s="10" t="s">
        <v>623</v>
      </c>
      <c r="D369" s="11" t="s">
        <v>432</v>
      </c>
      <c r="E369" s="9" t="b">
        <v>0</v>
      </c>
    </row>
    <row r="370" hidden="1">
      <c r="A370" s="8" t="b">
        <v>0</v>
      </c>
      <c r="B370" s="8" t="s">
        <v>626</v>
      </c>
      <c r="C370" s="8" t="s">
        <v>623</v>
      </c>
      <c r="D370" s="12" t="s">
        <v>434</v>
      </c>
      <c r="E370" s="7" t="b">
        <v>0</v>
      </c>
    </row>
    <row r="371" hidden="1">
      <c r="A371" s="10" t="b">
        <v>0</v>
      </c>
      <c r="B371" s="10" t="s">
        <v>627</v>
      </c>
      <c r="C371" s="10" t="s">
        <v>623</v>
      </c>
      <c r="D371" s="11" t="s">
        <v>108</v>
      </c>
      <c r="E371" s="9" t="b">
        <v>1</v>
      </c>
    </row>
    <row r="372" hidden="1">
      <c r="A372" s="8" t="b">
        <v>0</v>
      </c>
      <c r="B372" s="8" t="s">
        <v>628</v>
      </c>
      <c r="C372" s="8" t="s">
        <v>623</v>
      </c>
      <c r="D372" s="12" t="s">
        <v>27</v>
      </c>
      <c r="E372" s="7" t="b">
        <v>1</v>
      </c>
    </row>
    <row r="373" hidden="1">
      <c r="A373" s="10" t="b">
        <v>0</v>
      </c>
      <c r="B373" s="10" t="s">
        <v>629</v>
      </c>
      <c r="C373" s="10" t="s">
        <v>623</v>
      </c>
      <c r="D373" s="11" t="s">
        <v>219</v>
      </c>
      <c r="E373" s="9" t="b">
        <v>1</v>
      </c>
    </row>
    <row r="374" hidden="1">
      <c r="A374" s="8" t="b">
        <v>0</v>
      </c>
      <c r="B374" s="8" t="s">
        <v>630</v>
      </c>
      <c r="C374" s="8" t="s">
        <v>623</v>
      </c>
      <c r="D374" s="12" t="s">
        <v>28</v>
      </c>
      <c r="E374" s="7" t="b">
        <v>1</v>
      </c>
    </row>
    <row r="375" hidden="1">
      <c r="A375" s="10" t="b">
        <v>0</v>
      </c>
      <c r="B375" s="10" t="s">
        <v>631</v>
      </c>
      <c r="C375" s="10" t="s">
        <v>623</v>
      </c>
      <c r="D375" s="11" t="s">
        <v>30</v>
      </c>
      <c r="E375" s="9" t="b">
        <v>1</v>
      </c>
    </row>
    <row r="376" hidden="1">
      <c r="A376" s="8" t="b">
        <v>0</v>
      </c>
      <c r="B376" s="8" t="s">
        <v>632</v>
      </c>
      <c r="C376" s="8" t="s">
        <v>623</v>
      </c>
      <c r="D376" s="12" t="s">
        <v>29</v>
      </c>
      <c r="E376" s="7" t="b">
        <v>1</v>
      </c>
    </row>
    <row r="377" hidden="1">
      <c r="A377" s="10" t="b">
        <v>0</v>
      </c>
      <c r="B377" s="10" t="s">
        <v>633</v>
      </c>
      <c r="C377" s="10" t="s">
        <v>623</v>
      </c>
      <c r="D377" s="11" t="s">
        <v>31</v>
      </c>
      <c r="E377" s="9" t="b">
        <v>1</v>
      </c>
    </row>
    <row r="378" hidden="1">
      <c r="A378" s="8" t="b">
        <v>0</v>
      </c>
      <c r="B378" s="8" t="s">
        <v>634</v>
      </c>
      <c r="C378" s="8" t="s">
        <v>623</v>
      </c>
      <c r="D378" s="12" t="s">
        <v>224</v>
      </c>
      <c r="E378" s="7" t="b">
        <v>1</v>
      </c>
    </row>
    <row r="379" hidden="1">
      <c r="A379" s="10" t="b">
        <v>0</v>
      </c>
      <c r="B379" s="10" t="s">
        <v>635</v>
      </c>
      <c r="C379" s="10" t="s">
        <v>623</v>
      </c>
      <c r="D379" s="11" t="s">
        <v>32</v>
      </c>
      <c r="E379" s="9" t="b">
        <v>1</v>
      </c>
    </row>
    <row r="380" hidden="1">
      <c r="A380" s="8" t="b">
        <v>0</v>
      </c>
      <c r="B380" s="8" t="s">
        <v>636</v>
      </c>
      <c r="C380" s="8" t="s">
        <v>623</v>
      </c>
      <c r="D380" s="12" t="s">
        <v>191</v>
      </c>
      <c r="E380" s="7" t="b">
        <v>1</v>
      </c>
    </row>
    <row r="381" hidden="1">
      <c r="A381" s="10" t="b">
        <v>0</v>
      </c>
      <c r="B381" s="10" t="s">
        <v>637</v>
      </c>
      <c r="C381" s="10" t="s">
        <v>623</v>
      </c>
      <c r="D381" s="11" t="s">
        <v>110</v>
      </c>
      <c r="E381" s="9" t="b">
        <v>1</v>
      </c>
    </row>
    <row r="382" hidden="1">
      <c r="A382" s="8" t="b">
        <v>0</v>
      </c>
      <c r="B382" s="8" t="s">
        <v>638</v>
      </c>
      <c r="C382" s="8" t="s">
        <v>623</v>
      </c>
      <c r="D382" s="12" t="s">
        <v>234</v>
      </c>
      <c r="E382" s="7" t="b">
        <v>1</v>
      </c>
    </row>
    <row r="383" hidden="1">
      <c r="A383" s="10" t="b">
        <v>0</v>
      </c>
      <c r="B383" s="10" t="s">
        <v>639</v>
      </c>
      <c r="C383" s="10" t="s">
        <v>623</v>
      </c>
      <c r="D383" s="11" t="s">
        <v>181</v>
      </c>
      <c r="E383" s="9" t="b">
        <v>1</v>
      </c>
    </row>
    <row r="384" hidden="1">
      <c r="A384" s="8" t="b">
        <v>0</v>
      </c>
      <c r="B384" s="8" t="s">
        <v>640</v>
      </c>
      <c r="C384" s="8" t="s">
        <v>623</v>
      </c>
      <c r="D384" s="12" t="s">
        <v>109</v>
      </c>
      <c r="E384" s="7" t="b">
        <v>1</v>
      </c>
    </row>
    <row r="385" hidden="1">
      <c r="A385" s="10" t="b">
        <v>0</v>
      </c>
      <c r="B385" s="10" t="s">
        <v>641</v>
      </c>
      <c r="C385" s="10" t="s">
        <v>623</v>
      </c>
      <c r="D385" s="11" t="s">
        <v>121</v>
      </c>
      <c r="E385" s="9" t="b">
        <v>1</v>
      </c>
    </row>
    <row r="386" hidden="1">
      <c r="A386" s="8" t="b">
        <v>0</v>
      </c>
      <c r="B386" s="8" t="s">
        <v>642</v>
      </c>
      <c r="C386" s="8" t="s">
        <v>623</v>
      </c>
      <c r="D386" s="12" t="s">
        <v>122</v>
      </c>
      <c r="E386" s="7" t="b">
        <v>1</v>
      </c>
    </row>
    <row r="387" hidden="1">
      <c r="A387" s="10" t="b">
        <v>0</v>
      </c>
      <c r="B387" s="10" t="s">
        <v>643</v>
      </c>
      <c r="C387" s="10" t="s">
        <v>623</v>
      </c>
      <c r="D387" s="11" t="s">
        <v>123</v>
      </c>
      <c r="E387" s="9" t="b">
        <v>1</v>
      </c>
    </row>
    <row r="388" hidden="1">
      <c r="A388" s="8" t="b">
        <v>0</v>
      </c>
      <c r="B388" s="8" t="s">
        <v>644</v>
      </c>
      <c r="C388" s="8" t="s">
        <v>623</v>
      </c>
      <c r="D388" s="12" t="s">
        <v>120</v>
      </c>
      <c r="E388" s="7" t="b">
        <v>1</v>
      </c>
    </row>
    <row r="389" hidden="1">
      <c r="A389" s="10" t="b">
        <v>0</v>
      </c>
      <c r="B389" s="10" t="s">
        <v>645</v>
      </c>
      <c r="C389" s="10" t="s">
        <v>623</v>
      </c>
      <c r="D389" s="11" t="s">
        <v>403</v>
      </c>
      <c r="E389" s="9" t="b">
        <v>1</v>
      </c>
    </row>
    <row r="390" hidden="1">
      <c r="A390" s="8" t="b">
        <v>0</v>
      </c>
      <c r="B390" s="8" t="s">
        <v>646</v>
      </c>
      <c r="C390" s="8" t="s">
        <v>623</v>
      </c>
      <c r="D390" s="12" t="s">
        <v>228</v>
      </c>
      <c r="E390" s="7" t="b">
        <v>1</v>
      </c>
    </row>
    <row r="391" hidden="1">
      <c r="A391" s="10" t="b">
        <v>0</v>
      </c>
      <c r="B391" s="10" t="s">
        <v>647</v>
      </c>
      <c r="C391" s="10" t="s">
        <v>623</v>
      </c>
      <c r="D391" s="11" t="s">
        <v>229</v>
      </c>
      <c r="E391" s="9" t="b">
        <v>1</v>
      </c>
    </row>
    <row r="392" hidden="1">
      <c r="A392" s="8" t="b">
        <v>0</v>
      </c>
      <c r="B392" s="8" t="s">
        <v>648</v>
      </c>
      <c r="C392" s="8" t="s">
        <v>623</v>
      </c>
      <c r="D392" s="12" t="s">
        <v>230</v>
      </c>
      <c r="E392" s="7" t="b">
        <v>1</v>
      </c>
    </row>
    <row r="393" hidden="1">
      <c r="A393" s="10" t="b">
        <v>0</v>
      </c>
      <c r="B393" s="10" t="s">
        <v>649</v>
      </c>
      <c r="C393" s="10" t="s">
        <v>623</v>
      </c>
      <c r="D393" s="11" t="s">
        <v>162</v>
      </c>
      <c r="E393" s="9" t="b">
        <v>1</v>
      </c>
    </row>
    <row r="394" hidden="1">
      <c r="A394" s="8" t="b">
        <v>0</v>
      </c>
      <c r="B394" s="8" t="s">
        <v>650</v>
      </c>
      <c r="C394" s="8" t="s">
        <v>623</v>
      </c>
      <c r="D394" s="12" t="s">
        <v>139</v>
      </c>
      <c r="E394" s="7" t="b">
        <v>1</v>
      </c>
    </row>
    <row r="395" hidden="1">
      <c r="A395" s="10" t="b">
        <v>0</v>
      </c>
      <c r="B395" s="10" t="s">
        <v>651</v>
      </c>
      <c r="C395" s="10" t="s">
        <v>623</v>
      </c>
      <c r="D395" s="11" t="s">
        <v>157</v>
      </c>
      <c r="E395" s="9" t="b">
        <v>1</v>
      </c>
    </row>
    <row r="396" hidden="1">
      <c r="A396" s="8" t="b">
        <v>0</v>
      </c>
      <c r="B396" s="8" t="s">
        <v>652</v>
      </c>
      <c r="C396" s="8" t="s">
        <v>623</v>
      </c>
      <c r="D396" s="12" t="s">
        <v>158</v>
      </c>
      <c r="E396" s="7" t="b">
        <v>1</v>
      </c>
    </row>
    <row r="397" hidden="1">
      <c r="A397" s="10" t="b">
        <v>0</v>
      </c>
      <c r="B397" s="10" t="s">
        <v>653</v>
      </c>
      <c r="C397" s="10" t="s">
        <v>623</v>
      </c>
      <c r="D397" s="11" t="s">
        <v>227</v>
      </c>
      <c r="E397" s="9" t="b">
        <v>1</v>
      </c>
    </row>
    <row r="398" hidden="1">
      <c r="A398" s="8" t="b">
        <v>0</v>
      </c>
      <c r="B398" s="8" t="s">
        <v>654</v>
      </c>
      <c r="C398" s="8" t="s">
        <v>623</v>
      </c>
      <c r="D398" s="12" t="s">
        <v>141</v>
      </c>
      <c r="E398" s="7" t="b">
        <v>1</v>
      </c>
    </row>
    <row r="399" hidden="1">
      <c r="A399" s="10" t="b">
        <v>0</v>
      </c>
      <c r="B399" s="10" t="s">
        <v>655</v>
      </c>
      <c r="C399" s="10" t="s">
        <v>623</v>
      </c>
      <c r="D399" s="11" t="s">
        <v>226</v>
      </c>
      <c r="E399" s="9" t="b">
        <v>1</v>
      </c>
    </row>
    <row r="400" hidden="1">
      <c r="A400" s="8" t="b">
        <v>0</v>
      </c>
      <c r="B400" s="8" t="s">
        <v>656</v>
      </c>
      <c r="C400" s="8" t="s">
        <v>623</v>
      </c>
      <c r="D400" s="12" t="s">
        <v>144</v>
      </c>
      <c r="E400" s="7" t="b">
        <v>1</v>
      </c>
    </row>
    <row r="401" hidden="1">
      <c r="A401" s="10" t="b">
        <v>0</v>
      </c>
      <c r="B401" s="10" t="s">
        <v>657</v>
      </c>
      <c r="C401" s="10" t="s">
        <v>623</v>
      </c>
      <c r="D401" s="11" t="s">
        <v>154</v>
      </c>
      <c r="E401" s="9" t="b">
        <v>1</v>
      </c>
    </row>
    <row r="402" hidden="1">
      <c r="A402" s="8" t="b">
        <v>0</v>
      </c>
      <c r="B402" s="8" t="s">
        <v>658</v>
      </c>
      <c r="C402" s="8" t="s">
        <v>623</v>
      </c>
      <c r="D402" s="12" t="s">
        <v>147</v>
      </c>
      <c r="E402" s="7" t="b">
        <v>1</v>
      </c>
    </row>
    <row r="403" hidden="1">
      <c r="A403" s="10" t="b">
        <v>0</v>
      </c>
      <c r="B403" s="10" t="s">
        <v>659</v>
      </c>
      <c r="C403" s="10" t="s">
        <v>623</v>
      </c>
      <c r="D403" s="11" t="s">
        <v>152</v>
      </c>
      <c r="E403" s="9" t="b">
        <v>1</v>
      </c>
    </row>
    <row r="404" hidden="1">
      <c r="A404" s="8" t="b">
        <v>0</v>
      </c>
      <c r="B404" s="8" t="s">
        <v>660</v>
      </c>
      <c r="C404" s="8" t="s">
        <v>623</v>
      </c>
      <c r="D404" s="12" t="s">
        <v>153</v>
      </c>
      <c r="E404" s="7" t="b">
        <v>1</v>
      </c>
    </row>
    <row r="405" hidden="1">
      <c r="A405" s="10" t="b">
        <v>0</v>
      </c>
      <c r="B405" s="10" t="s">
        <v>661</v>
      </c>
      <c r="C405" s="10" t="s">
        <v>623</v>
      </c>
      <c r="D405" s="11" t="s">
        <v>145</v>
      </c>
      <c r="E405" s="9" t="b">
        <v>1</v>
      </c>
    </row>
    <row r="406" hidden="1">
      <c r="A406" s="8" t="b">
        <v>0</v>
      </c>
      <c r="B406" s="8" t="s">
        <v>662</v>
      </c>
      <c r="C406" s="8" t="s">
        <v>623</v>
      </c>
      <c r="D406" s="12" t="s">
        <v>146</v>
      </c>
      <c r="E406" s="7" t="b">
        <v>1</v>
      </c>
    </row>
    <row r="407" hidden="1">
      <c r="A407" s="10" t="b">
        <v>0</v>
      </c>
      <c r="B407" s="10" t="s">
        <v>663</v>
      </c>
      <c r="C407" s="10" t="s">
        <v>623</v>
      </c>
      <c r="D407" s="11" t="s">
        <v>150</v>
      </c>
      <c r="E407" s="9" t="b">
        <v>1</v>
      </c>
    </row>
    <row r="408" hidden="1">
      <c r="A408" s="8" t="b">
        <v>0</v>
      </c>
      <c r="B408" s="8" t="s">
        <v>664</v>
      </c>
      <c r="C408" s="8" t="s">
        <v>623</v>
      </c>
      <c r="D408" s="12" t="s">
        <v>149</v>
      </c>
      <c r="E408" s="7" t="b">
        <v>1</v>
      </c>
    </row>
    <row r="409" hidden="1">
      <c r="A409" s="10" t="b">
        <v>0</v>
      </c>
      <c r="B409" s="10" t="s">
        <v>665</v>
      </c>
      <c r="C409" s="10" t="s">
        <v>623</v>
      </c>
      <c r="D409" s="11" t="s">
        <v>148</v>
      </c>
      <c r="E409" s="9" t="b">
        <v>1</v>
      </c>
    </row>
    <row r="410" hidden="1">
      <c r="A410" s="8" t="b">
        <v>0</v>
      </c>
      <c r="B410" s="8" t="s">
        <v>666</v>
      </c>
      <c r="C410" s="8" t="s">
        <v>623</v>
      </c>
      <c r="D410" s="12" t="s">
        <v>159</v>
      </c>
      <c r="E410" s="7" t="b">
        <v>1</v>
      </c>
    </row>
    <row r="411" hidden="1">
      <c r="A411" s="10" t="b">
        <v>0</v>
      </c>
      <c r="B411" s="10" t="s">
        <v>667</v>
      </c>
      <c r="C411" s="10" t="s">
        <v>623</v>
      </c>
      <c r="D411" s="11" t="s">
        <v>142</v>
      </c>
      <c r="E411" s="9" t="b">
        <v>1</v>
      </c>
    </row>
    <row r="412" hidden="1">
      <c r="A412" s="8" t="b">
        <v>0</v>
      </c>
      <c r="B412" s="8" t="s">
        <v>668</v>
      </c>
      <c r="C412" s="8" t="s">
        <v>623</v>
      </c>
      <c r="D412" s="12" t="s">
        <v>112</v>
      </c>
      <c r="E412" s="7" t="b">
        <v>1</v>
      </c>
    </row>
    <row r="413" hidden="1">
      <c r="A413" s="10" t="b">
        <v>0</v>
      </c>
      <c r="B413" s="10" t="s">
        <v>669</v>
      </c>
      <c r="C413" s="9"/>
      <c r="D413" s="11" t="s">
        <v>160</v>
      </c>
      <c r="E413" s="9" t="b">
        <v>1</v>
      </c>
    </row>
    <row r="414">
      <c r="A414" s="8" t="b">
        <v>1</v>
      </c>
      <c r="B414" s="8" t="s">
        <v>670</v>
      </c>
      <c r="C414" s="7"/>
      <c r="D414" s="12" t="s">
        <v>114</v>
      </c>
      <c r="E414" s="7" t="b">
        <v>1</v>
      </c>
    </row>
    <row r="415">
      <c r="A415" s="10" t="b">
        <v>1</v>
      </c>
      <c r="B415" s="10" t="s">
        <v>671</v>
      </c>
      <c r="C415" s="9"/>
      <c r="D415" s="11" t="s">
        <v>115</v>
      </c>
      <c r="E415" s="9" t="b">
        <v>1</v>
      </c>
    </row>
    <row r="416">
      <c r="A416" s="8" t="b">
        <v>1</v>
      </c>
      <c r="B416" s="8" t="s">
        <v>672</v>
      </c>
      <c r="C416" s="7"/>
      <c r="D416" s="12" t="s">
        <v>117</v>
      </c>
      <c r="E416" s="7" t="b">
        <v>1</v>
      </c>
    </row>
    <row r="417">
      <c r="A417" s="10" t="b">
        <v>1</v>
      </c>
      <c r="B417" s="10" t="s">
        <v>673</v>
      </c>
      <c r="C417" s="9"/>
      <c r="D417" s="11" t="s">
        <v>131</v>
      </c>
      <c r="E417" s="9" t="b">
        <v>1</v>
      </c>
    </row>
    <row r="418">
      <c r="A418" s="8" t="b">
        <v>1</v>
      </c>
      <c r="B418" s="8" t="s">
        <v>674</v>
      </c>
      <c r="C418" s="7"/>
      <c r="D418" s="12" t="s">
        <v>132</v>
      </c>
      <c r="E418" s="7" t="b">
        <v>1</v>
      </c>
    </row>
    <row r="419">
      <c r="A419" s="10" t="b">
        <v>1</v>
      </c>
      <c r="B419" s="10" t="s">
        <v>675</v>
      </c>
      <c r="C419" s="9"/>
      <c r="D419" s="11" t="s">
        <v>130</v>
      </c>
      <c r="E419" s="9" t="b">
        <v>1</v>
      </c>
    </row>
    <row r="420">
      <c r="A420" s="8" t="b">
        <v>1</v>
      </c>
      <c r="B420" s="8" t="s">
        <v>676</v>
      </c>
      <c r="C420" s="7"/>
      <c r="D420" s="12" t="s">
        <v>133</v>
      </c>
      <c r="E420" s="7" t="b">
        <v>1</v>
      </c>
    </row>
    <row r="421">
      <c r="A421" s="10" t="b">
        <v>1</v>
      </c>
      <c r="B421" s="10" t="s">
        <v>677</v>
      </c>
      <c r="C421" s="9"/>
      <c r="D421" s="11" t="s">
        <v>129</v>
      </c>
      <c r="E421" s="9" t="b">
        <v>1</v>
      </c>
    </row>
    <row r="422">
      <c r="A422" s="8" t="b">
        <v>1</v>
      </c>
      <c r="B422" s="8" t="s">
        <v>678</v>
      </c>
      <c r="C422" s="7"/>
      <c r="D422" s="12" t="s">
        <v>199</v>
      </c>
      <c r="E422" s="7" t="b">
        <v>1</v>
      </c>
    </row>
    <row r="423">
      <c r="A423" s="10" t="b">
        <v>1</v>
      </c>
      <c r="B423" s="10" t="s">
        <v>679</v>
      </c>
      <c r="C423" s="9"/>
      <c r="D423" s="11" t="s">
        <v>202</v>
      </c>
      <c r="E423" s="9" t="b">
        <v>1</v>
      </c>
    </row>
    <row r="424">
      <c r="A424" s="8" t="b">
        <v>1</v>
      </c>
      <c r="B424" s="8" t="s">
        <v>680</v>
      </c>
      <c r="C424" s="7"/>
      <c r="D424" s="12" t="s">
        <v>200</v>
      </c>
      <c r="E424" s="7" t="b">
        <v>1</v>
      </c>
    </row>
    <row r="425">
      <c r="A425" s="10" t="b">
        <v>1</v>
      </c>
      <c r="B425" s="10" t="s">
        <v>681</v>
      </c>
      <c r="C425" s="9"/>
      <c r="D425" s="11" t="s">
        <v>201</v>
      </c>
      <c r="E425" s="9" t="b">
        <v>1</v>
      </c>
    </row>
    <row r="426">
      <c r="A426" s="8" t="b">
        <v>1</v>
      </c>
      <c r="B426" s="8" t="s">
        <v>682</v>
      </c>
      <c r="C426" s="7"/>
      <c r="D426" s="12" t="s">
        <v>203</v>
      </c>
      <c r="E426" s="7" t="b">
        <v>1</v>
      </c>
    </row>
    <row r="427">
      <c r="A427" s="10" t="b">
        <v>1</v>
      </c>
      <c r="B427" s="10" t="s">
        <v>683</v>
      </c>
      <c r="C427" s="9"/>
      <c r="D427" s="11" t="s">
        <v>204</v>
      </c>
      <c r="E427" s="9" t="b">
        <v>1</v>
      </c>
    </row>
    <row r="428">
      <c r="A428" s="8" t="b">
        <v>1</v>
      </c>
      <c r="B428" s="8" t="s">
        <v>684</v>
      </c>
      <c r="C428" s="7"/>
      <c r="D428" s="12" t="s">
        <v>197</v>
      </c>
      <c r="E428" s="7" t="b">
        <v>1</v>
      </c>
    </row>
    <row r="429">
      <c r="A429" s="10" t="b">
        <v>1</v>
      </c>
      <c r="B429" s="10" t="s">
        <v>685</v>
      </c>
      <c r="C429" s="9"/>
      <c r="D429" s="11" t="s">
        <v>196</v>
      </c>
      <c r="E429" s="9" t="b">
        <v>1</v>
      </c>
    </row>
    <row r="430">
      <c r="A430" s="8" t="b">
        <v>1</v>
      </c>
      <c r="B430" s="8" t="s">
        <v>686</v>
      </c>
      <c r="C430" s="7"/>
      <c r="D430" s="12" t="s">
        <v>198</v>
      </c>
      <c r="E430" s="7" t="b">
        <v>1</v>
      </c>
    </row>
    <row r="431">
      <c r="A431" s="10" t="b">
        <v>1</v>
      </c>
      <c r="B431" s="10" t="s">
        <v>687</v>
      </c>
      <c r="C431" s="9"/>
      <c r="D431" s="11" t="s">
        <v>128</v>
      </c>
      <c r="E431" s="9" t="b">
        <v>1</v>
      </c>
    </row>
    <row r="432">
      <c r="A432" s="8" t="b">
        <v>1</v>
      </c>
      <c r="B432" s="8" t="s">
        <v>688</v>
      </c>
      <c r="C432" s="7"/>
      <c r="D432" s="12" t="s">
        <v>127</v>
      </c>
      <c r="E432" s="7" t="b">
        <v>1</v>
      </c>
    </row>
    <row r="433">
      <c r="A433" s="10" t="b">
        <v>1</v>
      </c>
      <c r="B433" s="10" t="s">
        <v>689</v>
      </c>
      <c r="C433" s="9"/>
      <c r="D433" s="11" t="s">
        <v>124</v>
      </c>
      <c r="E433" s="9" t="b">
        <v>1</v>
      </c>
    </row>
    <row r="434">
      <c r="A434" s="8" t="b">
        <v>1</v>
      </c>
      <c r="B434" s="8" t="s">
        <v>690</v>
      </c>
      <c r="C434" s="7"/>
      <c r="D434" s="12" t="s">
        <v>126</v>
      </c>
      <c r="E434" s="7" t="b">
        <v>1</v>
      </c>
    </row>
    <row r="435">
      <c r="A435" s="10" t="b">
        <v>1</v>
      </c>
      <c r="B435" s="10" t="s">
        <v>691</v>
      </c>
      <c r="C435" s="9"/>
      <c r="D435" s="11" t="s">
        <v>125</v>
      </c>
      <c r="E435" s="9" t="b">
        <v>1</v>
      </c>
    </row>
    <row r="436">
      <c r="A436" s="8" t="b">
        <v>1</v>
      </c>
      <c r="B436" s="8" t="s">
        <v>692</v>
      </c>
      <c r="C436" s="7"/>
      <c r="D436" s="12" t="s">
        <v>136</v>
      </c>
      <c r="E436" s="7" t="b">
        <v>1</v>
      </c>
    </row>
    <row r="437">
      <c r="A437" s="10" t="b">
        <v>1</v>
      </c>
      <c r="B437" s="10" t="s">
        <v>693</v>
      </c>
      <c r="C437" s="9"/>
      <c r="D437" s="11" t="s">
        <v>163</v>
      </c>
      <c r="E437" s="9" t="b">
        <v>1</v>
      </c>
    </row>
    <row r="438">
      <c r="A438" s="8" t="b">
        <v>1</v>
      </c>
      <c r="B438" s="8" t="s">
        <v>694</v>
      </c>
      <c r="C438" s="7"/>
      <c r="D438" s="12" t="s">
        <v>138</v>
      </c>
      <c r="E438" s="7" t="b">
        <v>1</v>
      </c>
    </row>
    <row r="439">
      <c r="A439" s="10" t="b">
        <v>1</v>
      </c>
      <c r="B439" s="10" t="s">
        <v>695</v>
      </c>
      <c r="C439" s="9"/>
      <c r="D439" s="11" t="s">
        <v>207</v>
      </c>
      <c r="E439" s="9" t="b">
        <v>1</v>
      </c>
    </row>
    <row r="440">
      <c r="A440" s="8" t="b">
        <v>1</v>
      </c>
      <c r="B440" s="8" t="s">
        <v>696</v>
      </c>
      <c r="C440" s="7"/>
      <c r="D440" s="12" t="s">
        <v>208</v>
      </c>
      <c r="E440" s="7" t="b">
        <v>1</v>
      </c>
    </row>
    <row r="441">
      <c r="A441" s="10" t="b">
        <v>1</v>
      </c>
      <c r="B441" s="10" t="s">
        <v>697</v>
      </c>
      <c r="C441" s="9"/>
      <c r="D441" s="11" t="s">
        <v>211</v>
      </c>
      <c r="E441" s="9" t="b">
        <v>1</v>
      </c>
    </row>
    <row r="442">
      <c r="A442" s="8" t="b">
        <v>1</v>
      </c>
      <c r="B442" s="8" t="s">
        <v>698</v>
      </c>
      <c r="C442" s="7"/>
      <c r="D442" s="12" t="s">
        <v>210</v>
      </c>
      <c r="E442" s="7" t="b">
        <v>1</v>
      </c>
    </row>
    <row r="443">
      <c r="A443" s="10" t="b">
        <v>1</v>
      </c>
      <c r="B443" s="10" t="s">
        <v>699</v>
      </c>
      <c r="C443" s="9"/>
      <c r="D443" s="11" t="s">
        <v>209</v>
      </c>
      <c r="E443" s="9" t="b">
        <v>1</v>
      </c>
    </row>
    <row r="444">
      <c r="A444" s="8" t="b">
        <v>1</v>
      </c>
      <c r="B444" s="8" t="s">
        <v>700</v>
      </c>
      <c r="C444" s="7"/>
      <c r="D444" s="12" t="s">
        <v>206</v>
      </c>
      <c r="E444" s="7" t="b">
        <v>1</v>
      </c>
    </row>
    <row r="445">
      <c r="A445" s="10" t="b">
        <v>1</v>
      </c>
      <c r="B445" s="10" t="s">
        <v>701</v>
      </c>
      <c r="C445" s="9"/>
      <c r="D445" s="11" t="s">
        <v>205</v>
      </c>
      <c r="E445" s="9" t="b">
        <v>1</v>
      </c>
    </row>
    <row r="446">
      <c r="A446" s="8" t="b">
        <v>1</v>
      </c>
      <c r="B446" s="8" t="s">
        <v>702</v>
      </c>
      <c r="C446" s="7"/>
      <c r="D446" s="12" t="s">
        <v>235</v>
      </c>
      <c r="E446" s="7" t="b">
        <v>1</v>
      </c>
    </row>
    <row r="447">
      <c r="A447" s="10" t="b">
        <v>1</v>
      </c>
      <c r="B447" s="10" t="s">
        <v>703</v>
      </c>
      <c r="C447" s="9"/>
      <c r="D447" s="11" t="s">
        <v>194</v>
      </c>
      <c r="E447" s="9" t="b">
        <v>1</v>
      </c>
    </row>
    <row r="448">
      <c r="A448" s="8" t="b">
        <v>1</v>
      </c>
      <c r="B448" s="8" t="s">
        <v>704</v>
      </c>
      <c r="C448" s="7"/>
      <c r="D448" s="12" t="s">
        <v>193</v>
      </c>
      <c r="E448" s="7" t="b">
        <v>1</v>
      </c>
    </row>
    <row r="449">
      <c r="A449" s="10" t="b">
        <v>1</v>
      </c>
      <c r="B449" s="10" t="s">
        <v>705</v>
      </c>
      <c r="C449" s="9"/>
      <c r="D449" s="11" t="s">
        <v>232</v>
      </c>
      <c r="E449" s="9" t="b">
        <v>1</v>
      </c>
    </row>
    <row r="450">
      <c r="A450" s="8" t="b">
        <v>1</v>
      </c>
      <c r="B450" s="8" t="s">
        <v>706</v>
      </c>
      <c r="C450" s="7"/>
      <c r="D450" s="12" t="s">
        <v>113</v>
      </c>
      <c r="E450" s="7" t="b">
        <v>1</v>
      </c>
    </row>
    <row r="451">
      <c r="A451" s="10" t="b">
        <v>1</v>
      </c>
      <c r="B451" s="10" t="s">
        <v>707</v>
      </c>
      <c r="C451" s="9"/>
      <c r="D451" s="11" t="s">
        <v>111</v>
      </c>
      <c r="E451" s="9" t="b">
        <v>1</v>
      </c>
    </row>
    <row r="452">
      <c r="A452" s="8" t="b">
        <v>1</v>
      </c>
      <c r="B452" s="8" t="s">
        <v>708</v>
      </c>
      <c r="C452" s="7"/>
      <c r="D452" s="12" t="s">
        <v>212</v>
      </c>
      <c r="E452" s="7" t="b">
        <v>1</v>
      </c>
    </row>
    <row r="453">
      <c r="A453" s="10" t="b">
        <v>1</v>
      </c>
      <c r="B453" s="10" t="s">
        <v>709</v>
      </c>
      <c r="C453" s="9"/>
      <c r="D453" s="11" t="s">
        <v>168</v>
      </c>
      <c r="E453" s="9" t="b">
        <v>1</v>
      </c>
    </row>
    <row r="454">
      <c r="A454" s="8" t="b">
        <v>1</v>
      </c>
      <c r="B454" s="8" t="s">
        <v>710</v>
      </c>
      <c r="C454" s="7"/>
      <c r="D454" s="12" t="s">
        <v>171</v>
      </c>
      <c r="E454" s="7" t="b">
        <v>1</v>
      </c>
    </row>
    <row r="455">
      <c r="A455" s="10" t="b">
        <v>1</v>
      </c>
      <c r="B455" s="10" t="s">
        <v>711</v>
      </c>
      <c r="C455" s="9"/>
      <c r="D455" s="11" t="s">
        <v>174</v>
      </c>
      <c r="E455" s="9" t="b">
        <v>1</v>
      </c>
    </row>
    <row r="456">
      <c r="A456" s="8" t="b">
        <v>1</v>
      </c>
      <c r="B456" s="8" t="s">
        <v>712</v>
      </c>
      <c r="C456" s="7"/>
      <c r="D456" s="12" t="s">
        <v>173</v>
      </c>
      <c r="E456" s="7" t="b">
        <v>1</v>
      </c>
    </row>
    <row r="457">
      <c r="A457" s="10" t="b">
        <v>1</v>
      </c>
      <c r="B457" s="10" t="s">
        <v>713</v>
      </c>
      <c r="C457" s="9"/>
      <c r="D457" s="11" t="s">
        <v>172</v>
      </c>
      <c r="E457" s="9" t="b">
        <v>1</v>
      </c>
    </row>
    <row r="458">
      <c r="A458" s="8" t="b">
        <v>1</v>
      </c>
      <c r="B458" s="8" t="s">
        <v>714</v>
      </c>
      <c r="C458" s="7"/>
      <c r="D458" s="12" t="s">
        <v>170</v>
      </c>
      <c r="E458" s="7" t="b">
        <v>1</v>
      </c>
    </row>
    <row r="459">
      <c r="A459" s="10" t="b">
        <v>1</v>
      </c>
      <c r="B459" s="10" t="s">
        <v>715</v>
      </c>
      <c r="C459" s="9"/>
      <c r="D459" s="11" t="s">
        <v>169</v>
      </c>
      <c r="E459" s="9" t="b">
        <v>1</v>
      </c>
    </row>
    <row r="460">
      <c r="A460" s="8" t="b">
        <v>1</v>
      </c>
      <c r="B460" s="8" t="s">
        <v>716</v>
      </c>
      <c r="C460" s="7"/>
      <c r="D460" s="12" t="s">
        <v>167</v>
      </c>
      <c r="E460" s="7" t="b">
        <v>1</v>
      </c>
    </row>
    <row r="461">
      <c r="A461" s="10" t="b">
        <v>1</v>
      </c>
      <c r="B461" s="10" t="s">
        <v>717</v>
      </c>
      <c r="C461" s="9"/>
      <c r="D461" s="11" t="s">
        <v>175</v>
      </c>
      <c r="E461" s="9" t="b">
        <v>1</v>
      </c>
    </row>
    <row r="462">
      <c r="A462" s="8" t="b">
        <v>1</v>
      </c>
      <c r="B462" s="8" t="s">
        <v>718</v>
      </c>
      <c r="C462" s="7"/>
      <c r="D462" s="12" t="s">
        <v>176</v>
      </c>
      <c r="E462" s="7" t="b">
        <v>1</v>
      </c>
    </row>
    <row r="463">
      <c r="A463" s="10" t="b">
        <v>1</v>
      </c>
      <c r="B463" s="10" t="s">
        <v>719</v>
      </c>
      <c r="C463" s="9"/>
      <c r="D463" s="11" t="s">
        <v>166</v>
      </c>
      <c r="E463" s="9" t="b">
        <v>1</v>
      </c>
    </row>
    <row r="464">
      <c r="A464" s="8" t="b">
        <v>1</v>
      </c>
      <c r="B464" s="8" t="s">
        <v>720</v>
      </c>
      <c r="C464" s="7"/>
      <c r="D464" s="12" t="s">
        <v>165</v>
      </c>
      <c r="E464" s="7" t="b">
        <v>1</v>
      </c>
    </row>
    <row r="465">
      <c r="A465" s="10" t="b">
        <v>1</v>
      </c>
      <c r="B465" s="10" t="s">
        <v>721</v>
      </c>
      <c r="C465" s="9"/>
      <c r="D465" s="11" t="s">
        <v>164</v>
      </c>
      <c r="E465" s="9" t="b">
        <v>1</v>
      </c>
    </row>
    <row r="466">
      <c r="A466" s="8" t="b">
        <v>1</v>
      </c>
      <c r="B466" s="8" t="s">
        <v>722</v>
      </c>
      <c r="C466" s="7"/>
      <c r="D466" s="12" t="s">
        <v>119</v>
      </c>
      <c r="E466" s="7" t="b">
        <v>1</v>
      </c>
    </row>
    <row r="467">
      <c r="A467" s="10" t="b">
        <v>1</v>
      </c>
      <c r="B467" s="10" t="s">
        <v>723</v>
      </c>
      <c r="C467" s="9"/>
      <c r="D467" s="11" t="s">
        <v>186</v>
      </c>
      <c r="E467" s="9" t="b">
        <v>1</v>
      </c>
    </row>
    <row r="468">
      <c r="A468" s="8" t="b">
        <v>1</v>
      </c>
      <c r="B468" s="8" t="s">
        <v>724</v>
      </c>
      <c r="C468" s="7"/>
      <c r="D468" s="12" t="s">
        <v>188</v>
      </c>
      <c r="E468" s="7" t="b">
        <v>1</v>
      </c>
    </row>
    <row r="469">
      <c r="A469" s="10" t="b">
        <v>1</v>
      </c>
      <c r="B469" s="10" t="s">
        <v>725</v>
      </c>
      <c r="C469" s="9"/>
      <c r="D469" s="11" t="s">
        <v>190</v>
      </c>
      <c r="E469" s="9" t="b">
        <v>1</v>
      </c>
    </row>
    <row r="470">
      <c r="A470" s="8" t="b">
        <v>1</v>
      </c>
      <c r="B470" s="8" t="s">
        <v>726</v>
      </c>
      <c r="C470" s="7"/>
      <c r="D470" s="12" t="s">
        <v>189</v>
      </c>
      <c r="E470" s="7" t="b">
        <v>1</v>
      </c>
    </row>
    <row r="471">
      <c r="A471" s="10" t="b">
        <v>1</v>
      </c>
      <c r="B471" s="10" t="s">
        <v>727</v>
      </c>
      <c r="C471" s="9"/>
      <c r="D471" s="11" t="s">
        <v>187</v>
      </c>
      <c r="E471" s="9" t="b">
        <v>1</v>
      </c>
    </row>
    <row r="472">
      <c r="A472" s="8" t="b">
        <v>0</v>
      </c>
      <c r="B472" s="8" t="s">
        <v>728</v>
      </c>
      <c r="C472" s="7"/>
      <c r="D472" s="12" t="s">
        <v>183</v>
      </c>
      <c r="E472" s="7" t="b">
        <v>1</v>
      </c>
    </row>
    <row r="473">
      <c r="A473" s="10" t="b">
        <v>1</v>
      </c>
      <c r="B473" s="10" t="s">
        <v>729</v>
      </c>
      <c r="C473" s="9"/>
      <c r="D473" s="11" t="s">
        <v>161</v>
      </c>
      <c r="E473" s="9" t="b">
        <v>1</v>
      </c>
    </row>
    <row r="474">
      <c r="A474" s="8" t="b">
        <v>0</v>
      </c>
      <c r="B474" s="8" t="s">
        <v>730</v>
      </c>
      <c r="C474" s="7"/>
      <c r="D474" s="12" t="s">
        <v>231</v>
      </c>
      <c r="E474" s="7" t="b">
        <v>1</v>
      </c>
    </row>
    <row r="475">
      <c r="A475" s="10" t="b">
        <v>1</v>
      </c>
      <c r="B475" s="10" t="s">
        <v>731</v>
      </c>
      <c r="C475" s="9"/>
      <c r="D475" s="11" t="s">
        <v>137</v>
      </c>
      <c r="E475" s="9" t="b">
        <v>1</v>
      </c>
    </row>
    <row r="476">
      <c r="A476" s="8" t="b">
        <v>0</v>
      </c>
      <c r="B476" s="8" t="s">
        <v>732</v>
      </c>
      <c r="C476" s="7"/>
      <c r="D476" s="12" t="s">
        <v>218</v>
      </c>
      <c r="E476" s="7" t="b">
        <v>1</v>
      </c>
    </row>
    <row r="477">
      <c r="A477" s="10" t="b">
        <v>1</v>
      </c>
      <c r="B477" s="10" t="s">
        <v>733</v>
      </c>
      <c r="C477" s="9"/>
      <c r="D477" s="11" t="s">
        <v>215</v>
      </c>
      <c r="E477" s="9" t="b">
        <v>1</v>
      </c>
    </row>
    <row r="478">
      <c r="A478" s="8" t="b">
        <v>1</v>
      </c>
      <c r="B478" s="8" t="s">
        <v>734</v>
      </c>
      <c r="C478" s="7"/>
      <c r="D478" s="12" t="s">
        <v>140</v>
      </c>
      <c r="E478" s="7" t="b">
        <v>1</v>
      </c>
    </row>
    <row r="479">
      <c r="A479" s="10" t="b">
        <v>1</v>
      </c>
      <c r="B479" s="10" t="s">
        <v>735</v>
      </c>
      <c r="C479" s="9"/>
      <c r="D479" s="11" t="s">
        <v>220</v>
      </c>
      <c r="E479" s="9" t="b">
        <v>1</v>
      </c>
    </row>
    <row r="480">
      <c r="A480" s="8" t="b">
        <v>1</v>
      </c>
      <c r="B480" s="8" t="s">
        <v>736</v>
      </c>
      <c r="C480" s="7"/>
      <c r="D480" s="12" t="s">
        <v>225</v>
      </c>
      <c r="E480" s="7" t="b">
        <v>1</v>
      </c>
    </row>
    <row r="481">
      <c r="A481" s="10" t="b">
        <v>1</v>
      </c>
      <c r="B481" s="10" t="s">
        <v>737</v>
      </c>
      <c r="C481" s="9"/>
      <c r="D481" s="11" t="s">
        <v>135</v>
      </c>
      <c r="E481" s="9" t="b">
        <v>1</v>
      </c>
    </row>
    <row r="482">
      <c r="A482" s="8" t="b">
        <v>1</v>
      </c>
      <c r="B482" s="8" t="s">
        <v>738</v>
      </c>
      <c r="C482" s="7"/>
      <c r="D482" s="12" t="s">
        <v>223</v>
      </c>
      <c r="E482" s="7" t="b">
        <v>1</v>
      </c>
    </row>
    <row r="483">
      <c r="A483" s="10" t="b">
        <v>1</v>
      </c>
      <c r="B483" s="10" t="s">
        <v>739</v>
      </c>
      <c r="C483" s="9"/>
      <c r="D483" s="11" t="s">
        <v>180</v>
      </c>
      <c r="E483" s="9" t="b">
        <v>1</v>
      </c>
    </row>
    <row r="484">
      <c r="A484" s="8" t="b">
        <v>1</v>
      </c>
      <c r="B484" s="8" t="s">
        <v>740</v>
      </c>
      <c r="C484" s="7"/>
      <c r="D484" s="12" t="s">
        <v>214</v>
      </c>
      <c r="E484" s="7" t="b">
        <v>1</v>
      </c>
    </row>
    <row r="485">
      <c r="A485" s="10" t="b">
        <v>1</v>
      </c>
      <c r="B485" s="10" t="s">
        <v>741</v>
      </c>
      <c r="C485" s="9"/>
      <c r="D485" s="11" t="s">
        <v>213</v>
      </c>
      <c r="E485" s="9" t="b">
        <v>1</v>
      </c>
    </row>
    <row r="486">
      <c r="A486" s="8" t="b">
        <v>0</v>
      </c>
      <c r="B486" s="8" t="s">
        <v>742</v>
      </c>
      <c r="C486" s="7"/>
      <c r="D486" s="12" t="s">
        <v>143</v>
      </c>
      <c r="E486" s="7" t="b">
        <v>1</v>
      </c>
    </row>
    <row r="487">
      <c r="A487" s="10" t="b">
        <v>0</v>
      </c>
      <c r="B487" s="10" t="s">
        <v>743</v>
      </c>
      <c r="C487" s="9"/>
      <c r="D487" s="11" t="s">
        <v>106</v>
      </c>
      <c r="E487" s="9" t="b">
        <v>1</v>
      </c>
    </row>
  </sheetData>
  <autoFilter ref="$A$1:$E$487"/>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8.63"/>
    <col customWidth="1" min="3" max="3" width="23.63"/>
    <col customWidth="1" min="4" max="4" width="18.13"/>
  </cols>
  <sheetData>
    <row r="1">
      <c r="A1" s="13" t="s">
        <v>237</v>
      </c>
      <c r="B1" s="13" t="s">
        <v>239</v>
      </c>
      <c r="C1" s="13" t="s">
        <v>744</v>
      </c>
      <c r="D1" s="13" t="s">
        <v>745</v>
      </c>
    </row>
    <row r="2">
      <c r="A2" s="14" t="str">
        <f>IFERROR(__xludf.DUMMYFUNCTION("query(filtrado!A2:E188,""SELECT B, D WHERE A=TRUE"")"),"H008")</f>
        <v>H008</v>
      </c>
      <c r="B2" s="14" t="str">
        <f>IFERROR(__xludf.DUMMYFUNCTION("""COMPUTED_VALUE"""),"DNI")</f>
        <v>DNI</v>
      </c>
      <c r="C2" s="14" t="str">
        <f>IFERROR(__xludf.DUMMYFUNCTION("VLOOKUP($B2,IMPORTRANGE(""https://docs.google.com/spreadsheets/d/1FYVlxGM-gYXe-QaL0HOSFmUpogUrsx0e6DntOW4RH1o/edit#gid=2017480677"",""Preguntas!E2:J""),2,false)"),"")</f>
        <v/>
      </c>
      <c r="D2" s="14" t="str">
        <f>IFERROR(__xludf.DUMMYFUNCTION("VLOOKUP($B2,IMPORTRANGE(""https://docs.google.com/spreadsheets/d/1FYVlxGM-gYXe-QaL0HOSFmUpogUrsx0e6DntOW4RH1o/edit#gid=2017480677"",""Preguntas!E2:J""),4,false)"),"Datos Básicos-General")</f>
        <v>Datos Básicos-General</v>
      </c>
    </row>
    <row r="3">
      <c r="A3" s="15" t="str">
        <f>IFERROR(__xludf.DUMMYFUNCTION("""COMPUTED_VALUE"""),"H009")</f>
        <v>H009</v>
      </c>
      <c r="B3" s="15" t="str">
        <f>IFERROR(__xludf.DUMMYFUNCTION("""COMPUTED_VALUE"""),"Nº DNI (sin puntos ni espacios)")</f>
        <v>Nº DNI (sin puntos ni espacios)</v>
      </c>
      <c r="C3" s="15" t="str">
        <f>IFERROR(__xludf.DUMMYFUNCTION("VLOOKUP($B3,IMPORTRANGE(""https://docs.google.com/spreadsheets/d/1FYVlxGM-gYXe-QaL0HOSFmUpogUrsx0e6DntOW4RH1o/edit#gid=2017480677"",""Preguntas!E2:J""),2,false)"),"")</f>
        <v/>
      </c>
      <c r="D3" s="15" t="str">
        <f>IFERROR(__xludf.DUMMYFUNCTION("VLOOKUP($B3,IMPORTRANGE(""https://docs.google.com/spreadsheets/d/1FYVlxGM-gYXe-QaL0HOSFmUpogUrsx0e6DntOW4RH1o/edit#gid=2017480677"",""Preguntas!E2:J""),4,false)"),"Datos Básicos-General")</f>
        <v>Datos Básicos-General</v>
      </c>
    </row>
    <row r="4">
      <c r="A4" s="14" t="str">
        <f>IFERROR(__xludf.DUMMYFUNCTION("""COMPUTED_VALUE"""),"H010")</f>
        <v>H010</v>
      </c>
      <c r="B4" s="14" t="str">
        <f>IFERROR(__xludf.DUMMYFUNCTION("""COMPUTED_VALUE"""),"Edad")</f>
        <v>Edad</v>
      </c>
      <c r="C4" s="14" t="str">
        <f>IFERROR(__xludf.DUMMYFUNCTION("VLOOKUP($B4,IMPORTRANGE(""https://docs.google.com/spreadsheets/d/1FYVlxGM-gYXe-QaL0HOSFmUpogUrsx0e6DntOW4RH1o/edit#gid=2017480677"",""Preguntas!E2:J""),2,false)"),"")</f>
        <v/>
      </c>
      <c r="D4" s="14" t="str">
        <f>IFERROR(__xludf.DUMMYFUNCTION("VLOOKUP($B4,IMPORTRANGE(""https://docs.google.com/spreadsheets/d/1FYVlxGM-gYXe-QaL0HOSFmUpogUrsx0e6DntOW4RH1o/edit#gid=2017480677"",""Preguntas!E2:J""),4,false)"),"Datos Básicos-General")</f>
        <v>Datos Básicos-General</v>
      </c>
    </row>
    <row r="5">
      <c r="A5" s="15" t="str">
        <f>IFERROR(__xludf.DUMMYFUNCTION("""COMPUTED_VALUE"""),"H015")</f>
        <v>H015</v>
      </c>
      <c r="B5" s="15" t="str">
        <f>IFERROR(__xludf.DUMMYFUNCTION("""COMPUTED_VALUE"""),"Nacionalidad")</f>
        <v>Nacionalidad</v>
      </c>
      <c r="C5" s="15" t="str">
        <f>IFERROR(__xludf.DUMMYFUNCTION("VLOOKUP($B5,IMPORTRANGE(""https://docs.google.com/spreadsheets/d/1FYVlxGM-gYXe-QaL0HOSFmUpogUrsx0e6DntOW4RH1o/edit#gid=2017480677"",""Preguntas!E2:J""),2,false)"),"Argentina; Paraguaya; Boliviana; Chilena; Uruguaya; Brasileña; Otros")</f>
        <v>Argentina; Paraguaya; Boliviana; Chilena; Uruguaya; Brasileña; Otros</v>
      </c>
      <c r="D5" s="15" t="str">
        <f>IFERROR(__xludf.DUMMYFUNCTION("VLOOKUP($B5,IMPORTRANGE(""https://docs.google.com/spreadsheets/d/1FYVlxGM-gYXe-QaL0HOSFmUpogUrsx0e6DntOW4RH1o/edit#gid=2017480677"",""Preguntas!E2:J""),4,false)"),"Datos Básicos-General")</f>
        <v>Datos Básicos-General</v>
      </c>
    </row>
    <row r="6">
      <c r="A6" s="14" t="str">
        <f>IFERROR(__xludf.DUMMYFUNCTION("""COMPUTED_VALUE"""),"H019")</f>
        <v>H019</v>
      </c>
      <c r="B6" s="14" t="str">
        <f>IFERROR(__xludf.DUMMYFUNCTION("""COMPUTED_VALUE"""),"Si está inscripto a actividades deportivas, especificar cuales")</f>
        <v>Si está inscripto a actividades deportivas, especificar cuales</v>
      </c>
      <c r="C6" s="14" t="str">
        <f>IFERROR(__xludf.DUMMYFUNCTION("VLOOKUP($B6,IMPORTRANGE(""https://docs.google.com/spreadsheets/d/1FYVlxGM-gYXe-QaL0HOSFmUpogUrsx0e6DntOW4RH1o/edit#gid=2017480677"",""Preguntas!E2:J""),2,false)"),"NO está inscripto a ninguna; Hockey; Boxeo; Handball; Voley; Gimnasia Deportiva; Taekwondo; Otro")</f>
        <v>NO está inscripto a ninguna; Hockey; Boxeo; Handball; Voley; Gimnasia Deportiva; Taekwondo; Otro</v>
      </c>
      <c r="D6" s="14" t="str">
        <f>IFERROR(__xludf.DUMMYFUNCTION("VLOOKUP($B6,IMPORTRANGE(""https://docs.google.com/spreadsheets/d/1FYVlxGM-gYXe-QaL0HOSFmUpogUrsx0e6DntOW4RH1o/edit#gid=2017480677"",""Preguntas!E2:J""),4,false)"),"Datos Básicos-General")</f>
        <v>Datos Básicos-General</v>
      </c>
    </row>
    <row r="7">
      <c r="A7" s="15" t="str">
        <f>IFERROR(__xludf.DUMMYFUNCTION("""COMPUTED_VALUE"""),"H020")</f>
        <v>H020</v>
      </c>
      <c r="B7" s="15" t="str">
        <f>IFERROR(__xludf.DUMMYFUNCTION("""COMPUTED_VALUE"""),"Si está inscripto en actividades culturales, especificar a cuales")</f>
        <v>Si está inscripto en actividades culturales, especificar a cuales</v>
      </c>
      <c r="C7" s="15" t="str">
        <f>IFERROR(__xludf.DUMMYFUNCTION("VLOOKUP($B7,IMPORTRANGE(""https://docs.google.com/spreadsheets/d/1FYVlxGM-gYXe-QaL0HOSFmUpogUrsx0e6DntOW4RH1o/edit#gid=2017480677"",""Preguntas!E2:J""),2,false)"),"NO está inscripto a ninguna; Dibujo; Canto; Teatro; Folklore; Otro")</f>
        <v>NO está inscripto a ninguna; Dibujo; Canto; Teatro; Folklore; Otro</v>
      </c>
      <c r="D7" s="15" t="str">
        <f>IFERROR(__xludf.DUMMYFUNCTION("VLOOKUP($B7,IMPORTRANGE(""https://docs.google.com/spreadsheets/d/1FYVlxGM-gYXe-QaL0HOSFmUpogUrsx0e6DntOW4RH1o/edit#gid=2017480677"",""Preguntas!E2:J""),4,false)"),"Datos Básicos-General")</f>
        <v>Datos Básicos-General</v>
      </c>
    </row>
    <row r="8">
      <c r="A8" s="14" t="str">
        <f>IFERROR(__xludf.DUMMYFUNCTION("""COMPUTED_VALUE"""),"H021")</f>
        <v>H021</v>
      </c>
      <c r="B8" s="14" t="str">
        <f>IFERROR(__xludf.DUMMYFUNCTION("""COMPUTED_VALUE"""),"Si esta inscripto a actividades educativas, especificar a cuales")</f>
        <v>Si esta inscripto a actividades educativas, especificar a cuales</v>
      </c>
      <c r="C8" s="14" t="str">
        <f>IFERROR(__xludf.DUMMYFUNCTION("VLOOKUP($B8,IMPORTRANGE(""https://docs.google.com/spreadsheets/d/1FYVlxGM-gYXe-QaL0HOSFmUpogUrsx0e6DntOW4RH1o/edit#gid=2017480677"",""Preguntas!E2:J""),2,false)"),"NO está inscripto a ninguna; Alfabetización; Nivelación Escolar; Apoyo Escolar; Otro ")</f>
        <v>NO está inscripto a ninguna; Alfabetización; Nivelación Escolar; Apoyo Escolar; Otro </v>
      </c>
      <c r="D8" s="14" t="str">
        <f>IFERROR(__xludf.DUMMYFUNCTION("VLOOKUP($B8,IMPORTRANGE(""https://docs.google.com/spreadsheets/d/1FYVlxGM-gYXe-QaL0HOSFmUpogUrsx0e6DntOW4RH1o/edit#gid=2017480677"",""Preguntas!E2:J""),4,false)"),"Datos Básicos-General")</f>
        <v>Datos Básicos-General</v>
      </c>
    </row>
    <row r="9">
      <c r="A9" s="15" t="str">
        <f>IFERROR(__xludf.DUMMYFUNCTION("""COMPUTED_VALUE"""),"H022")</f>
        <v>H022</v>
      </c>
      <c r="B9" s="15" t="str">
        <f>IFERROR(__xludf.DUMMYFUNCTION("""COMPUTED_VALUE"""),"¿Con quien vivís en tu hogar? ")</f>
        <v>¿Con quien vivís en tu hogar? </v>
      </c>
      <c r="C9" s="15" t="str">
        <f>IFERROR(__xludf.DUMMYFUNCTION("VLOOKUP($B9,IMPORTRANGE(""https://docs.google.com/spreadsheets/d/1FYVlxGM-gYXe-QaL0HOSFmUpogUrsx0e6DntOW4RH1o/edit#gid=2017480677"",""Preguntas!E2:J""),2,false)"),"Familiares Directos, sin padre y/o Madre. (Hermanos, Tios, Abuelos); Padre; Madre; Padre y Madre; Familiares Indirectos, sin padre y/o madre (Primos/ Tios segundos, padrastros, etc); Cuidador/ Tutor")</f>
        <v>Familiares Directos, sin padre y/o Madre. (Hermanos, Tios, Abuelos); Padre; Madre; Padre y Madre; Familiares Indirectos, sin padre y/o madre (Primos/ Tios segundos, padrastros, etc); Cuidador/ Tutor</v>
      </c>
      <c r="D9" s="15" t="str">
        <f>IFERROR(__xludf.DUMMYFUNCTION("VLOOKUP($B9,IMPORTRANGE(""https://docs.google.com/spreadsheets/d/1FYVlxGM-gYXe-QaL0HOSFmUpogUrsx0e6DntOW4RH1o/edit#gid=2017480677"",""Preguntas!E2:J""),4,false)"),"Familia-Estructura Familiar")</f>
        <v>Familia-Estructura Familiar</v>
      </c>
    </row>
    <row r="10">
      <c r="A10" s="14" t="str">
        <f>IFERROR(__xludf.DUMMYFUNCTION("""COMPUTED_VALUE"""),"H027")</f>
        <v>H027</v>
      </c>
      <c r="B10" s="14" t="str">
        <f>IFERROR(__xludf.DUMMYFUNCTION("""COMPUTED_VALUE"""),"¿Asistís a la Escuela actualmente? (o ya terminaste la Escuela?)")</f>
        <v>¿Asistís a la Escuela actualmente? (o ya terminaste la Escuela?)</v>
      </c>
      <c r="C10" s="14" t="str">
        <f>IFERROR(__xludf.DUMMYFUNCTION("VLOOKUP($B10,IMPORTRANGE(""https://docs.google.com/spreadsheets/d/1FYVlxGM-gYXe-QaL0HOSFmUpogUrsx0e6DntOW4RH1o/edit#gid=2017480677"",""Preguntas!E2:J""),2,false)"),"Si; No")</f>
        <v>Si; No</v>
      </c>
      <c r="D10" s="14" t="str">
        <f>IFERROR(__xludf.DUMMYFUNCTION("VLOOKUP($B10,IMPORTRANGE(""https://docs.google.com/spreadsheets/d/1FYVlxGM-gYXe-QaL0HOSFmUpogUrsx0e6DntOW4RH1o/edit#gid=2017480677"",""Preguntas!E2:J""),4,false)"),"Educación-General")</f>
        <v>Educación-General</v>
      </c>
    </row>
    <row r="11">
      <c r="A11" s="15" t="str">
        <f>IFERROR(__xludf.DUMMYFUNCTION("""COMPUTED_VALUE"""),"H029")</f>
        <v>H029</v>
      </c>
      <c r="B11" s="15" t="str">
        <f>IFERROR(__xludf.DUMMYFUNCTION("""COMPUTED_VALUE"""),"Gestión")</f>
        <v>Gestión</v>
      </c>
      <c r="C11" s="15" t="str">
        <f>IFERROR(__xludf.DUMMYFUNCTION("VLOOKUP($B11,IMPORTRANGE(""https://docs.google.com/spreadsheets/d/1FYVlxGM-gYXe-QaL0HOSFmUpogUrsx0e6DntOW4RH1o/edit#gid=2017480677"",""Preguntas!E2:J""),2,false)"),"Gestión Estatal; Gestión Privada o Subvencionada")</f>
        <v>Gestión Estatal; Gestión Privada o Subvencionada</v>
      </c>
      <c r="D11" s="15" t="str">
        <f>IFERROR(__xludf.DUMMYFUNCTION("VLOOKUP($B11,IMPORTRANGE(""https://docs.google.com/spreadsheets/d/1FYVlxGM-gYXe-QaL0HOSFmUpogUrsx0e6DntOW4RH1o/edit#gid=2017480677"",""Preguntas!E2:J""),4,false)"),"Educación-General")</f>
        <v>Educación-General</v>
      </c>
    </row>
    <row r="12">
      <c r="A12" s="14" t="str">
        <f>IFERROR(__xludf.DUMMYFUNCTION("""COMPUTED_VALUE"""),"H030")</f>
        <v>H030</v>
      </c>
      <c r="B12" s="14" t="str">
        <f>IFERROR(__xludf.DUMMYFUNCTION("""COMPUTED_VALUE"""),"Grado")</f>
        <v>Grado</v>
      </c>
      <c r="C12" s="14" t="str">
        <f>IFERROR(__xludf.DUMMYFUNCTION("VLOOKUP($B12,IMPORTRANGE(""https://docs.google.com/spreadsheets/d/1FYVlxGM-gYXe-QaL0HOSFmUpogUrsx0e6DntOW4RH1o/edit#gid=2017480677"",""Preguntas!E2:J""),2,false)"),"1º Grado; 2º Grado; 3º Grado; 4º Grado; 5º Grado; 6º Grado; 1º año; 2º año; 3ºaño; 4º año; 5º año; 6º año; Otro")</f>
        <v>1º Grado; 2º Grado; 3º Grado; 4º Grado; 5º Grado; 6º Grado; 1º año; 2º año; 3ºaño; 4º año; 5º año; 6º año; Otro</v>
      </c>
      <c r="D12" s="14" t="str">
        <f>IFERROR(__xludf.DUMMYFUNCTION("VLOOKUP($B12,IMPORTRANGE(""https://docs.google.com/spreadsheets/d/1FYVlxGM-gYXe-QaL0HOSFmUpogUrsx0e6DntOW4RH1o/edit#gid=2017480677"",""Preguntas!E2:J""),4,false)"),"Educación-General")</f>
        <v>Educación-General</v>
      </c>
    </row>
    <row r="13">
      <c r="A13" s="15" t="str">
        <f>IFERROR(__xludf.DUMMYFUNCTION("""COMPUTED_VALUE"""),"H031")</f>
        <v>H031</v>
      </c>
      <c r="B13" s="15" t="str">
        <f>IFERROR(__xludf.DUMMYFUNCTION("""COMPUTED_VALUE"""),"Ciclo")</f>
        <v>Ciclo</v>
      </c>
      <c r="C13" s="15" t="str">
        <f>IFERROR(__xludf.DUMMYFUNCTION("VLOOKUP($B13,IMPORTRANGE(""https://docs.google.com/spreadsheets/d/1FYVlxGM-gYXe-QaL0HOSFmUpogUrsx0e6DntOW4RH1o/edit#gid=2017480677"",""Preguntas!E2:J""),2,false)"),"Jardín; Primaria, Secundaria, Terciaria; Universitaria")</f>
        <v>Jardín; Primaria, Secundaria, Terciaria; Universitaria</v>
      </c>
      <c r="D13" s="15" t="str">
        <f>IFERROR(__xludf.DUMMYFUNCTION("VLOOKUP($B13,IMPORTRANGE(""https://docs.google.com/spreadsheets/d/1FYVlxGM-gYXe-QaL0HOSFmUpogUrsx0e6DntOW4RH1o/edit#gid=2017480677"",""Preguntas!E2:J""),4,false)"),"Educación-General")</f>
        <v>Educación-General</v>
      </c>
    </row>
    <row r="14">
      <c r="A14" s="14" t="str">
        <f>IFERROR(__xludf.DUMMYFUNCTION("""COMPUTED_VALUE"""),"H032")</f>
        <v>H032</v>
      </c>
      <c r="B14" s="14" t="str">
        <f>IFERROR(__xludf.DUMMYFUNCTION("""COMPUTED_VALUE"""),"Turno")</f>
        <v>Turno</v>
      </c>
      <c r="C14" s="14" t="str">
        <f>IFERROR(__xludf.DUMMYFUNCTION("VLOOKUP($B14,IMPORTRANGE(""https://docs.google.com/spreadsheets/d/1FYVlxGM-gYXe-QaL0HOSFmUpogUrsx0e6DntOW4RH1o/edit#gid=2017480677"",""Preguntas!E2:J""),2,false)"),"Mañana; Tarde; Noche; Jornada Completa (Mañana y Tarde)")</f>
        <v>Mañana; Tarde; Noche; Jornada Completa (Mañana y Tarde)</v>
      </c>
      <c r="D14" s="14" t="str">
        <f>IFERROR(__xludf.DUMMYFUNCTION("VLOOKUP($B14,IMPORTRANGE(""https://docs.google.com/spreadsheets/d/1FYVlxGM-gYXe-QaL0HOSFmUpogUrsx0e6DntOW4RH1o/edit#gid=2017480677"",""Preguntas!E2:J""),4,false)"),"Educación-General")</f>
        <v>Educación-General</v>
      </c>
    </row>
    <row r="15">
      <c r="A15" s="15" t="str">
        <f>IFERROR(__xludf.DUMMYFUNCTION("""COMPUTED_VALUE"""),"H034")</f>
        <v>H034</v>
      </c>
      <c r="B15" s="15" t="str">
        <f>IFERROR(__xludf.DUMMYFUNCTION("""COMPUTED_VALUE"""),"¿Repetiste alguna vez?")</f>
        <v>¿Repetiste alguna vez?</v>
      </c>
      <c r="C15" s="15" t="str">
        <f>IFERROR(__xludf.DUMMYFUNCTION("VLOOKUP($B15,IMPORTRANGE(""https://docs.google.com/spreadsheets/d/1FYVlxGM-gYXe-QaL0HOSFmUpogUrsx0e6DntOW4RH1o/edit#gid=2017480677"",""Preguntas!E2:J""),2,false)"),"Si; No")</f>
        <v>Si; No</v>
      </c>
      <c r="D15" s="15" t="str">
        <f>IFERROR(__xludf.DUMMYFUNCTION("VLOOKUP($B15,IMPORTRANGE(""https://docs.google.com/spreadsheets/d/1FYVlxGM-gYXe-QaL0HOSFmUpogUrsx0e6DntOW4RH1o/edit#gid=2017480677"",""Preguntas!E2:J""),4,false)"),"Educación-Rendimiento")</f>
        <v>Educación-Rendimiento</v>
      </c>
    </row>
    <row r="16">
      <c r="A16" s="14" t="str">
        <f>IFERROR(__xludf.DUMMYFUNCTION("""COMPUTED_VALUE"""),"H036")</f>
        <v>H036</v>
      </c>
      <c r="B16" s="14" t="str">
        <f>IFERROR(__xludf.DUMMYFUNCTION("""COMPUTED_VALUE"""),"¿Cuando fué la última vez que repetiste?")</f>
        <v>¿Cuando fué la última vez que repetiste?</v>
      </c>
      <c r="C16" s="14" t="str">
        <f>IFERROR(__xludf.DUMMYFUNCTION("VLOOKUP($B16,IMPORTRANGE(""https://docs.google.com/spreadsheets/d/1FYVlxGM-gYXe-QaL0HOSFmUpogUrsx0e6DntOW4RH1o/edit#gid=2017480677"",""Preguntas!E2:J""),2,false)"),"Hace 1 año o menos; Hace 2 años; Hace 3 o 4 años; Hace 5 años o mas")</f>
        <v>Hace 1 año o menos; Hace 2 años; Hace 3 o 4 años; Hace 5 años o mas</v>
      </c>
      <c r="D16" s="14" t="str">
        <f>IFERROR(__xludf.DUMMYFUNCTION("VLOOKUP($B16,IMPORTRANGE(""https://docs.google.com/spreadsheets/d/1FYVlxGM-gYXe-QaL0HOSFmUpogUrsx0e6DntOW4RH1o/edit#gid=2017480677"",""Preguntas!E2:J""),4,false)"),"Educación-Rendimiento")</f>
        <v>Educación-Rendimiento</v>
      </c>
    </row>
    <row r="17">
      <c r="A17" s="15" t="str">
        <f>IFERROR(__xludf.DUMMYFUNCTION("""COMPUTED_VALUE"""),"H037")</f>
        <v>H037</v>
      </c>
      <c r="B17" s="15" t="str">
        <f>IFERROR(__xludf.DUMMYFUNCTION("""COMPUTED_VALUE"""),"Del 1 al 5 ¿Cómo te consideras como alumno? (Por ejemplo, entrega de tareas a tiempo, notas, compromiso, dificultad, que piensan los profesores de vos, etc)")</f>
        <v>Del 1 al 5 ¿Cómo te consideras como alumno? (Por ejemplo, entrega de tareas a tiempo, notas, compromiso, dificultad, que piensan los profesores de vos, etc)</v>
      </c>
      <c r="C17" s="15" t="str">
        <f>IFERROR(__xludf.DUMMYFUNCTION("VLOOKUP($B17,IMPORTRANGE(""https://docs.google.com/spreadsheets/d/1FYVlxGM-gYXe-QaL0HOSFmUpogUrsx0e6DntOW4RH1o/edit#gid=2017480677"",""Preguntas!E2:J""),2,false)"),"1; 2; 3; 4; 5")</f>
        <v>1; 2; 3; 4; 5</v>
      </c>
      <c r="D17" s="15" t="str">
        <f>IFERROR(__xludf.DUMMYFUNCTION("VLOOKUP($B17,IMPORTRANGE(""https://docs.google.com/spreadsheets/d/1FYVlxGM-gYXe-QaL0HOSFmUpogUrsx0e6DntOW4RH1o/edit#gid=2017480677"",""Preguntas!E2:J""),4,false)"),"Educación-Rendimiento")</f>
        <v>Educación-Rendimiento</v>
      </c>
    </row>
    <row r="18">
      <c r="A18" s="14" t="str">
        <f>IFERROR(__xludf.DUMMYFUNCTION("""COMPUTED_VALUE"""),"H038")</f>
        <v>H038</v>
      </c>
      <c r="B18" s="14" t="str">
        <f>IFERROR(__xludf.DUMMYFUNCTION("""COMPUTED_VALUE"""),"Del 1 al 5 ¿Cuánto sentís que te cuesta la Escuela?")</f>
        <v>Del 1 al 5 ¿Cuánto sentís que te cuesta la Escuela?</v>
      </c>
      <c r="C18" s="14" t="str">
        <f>IFERROR(__xludf.DUMMYFUNCTION("VLOOKUP($B18,IMPORTRANGE(""https://docs.google.com/spreadsheets/d/1FYVlxGM-gYXe-QaL0HOSFmUpogUrsx0e6DntOW4RH1o/edit#gid=2017480677"",""Preguntas!E2:J""),2,false)"),"1; 2; 3; 4; 5")</f>
        <v>1; 2; 3; 4; 5</v>
      </c>
      <c r="D18" s="14" t="str">
        <f>IFERROR(__xludf.DUMMYFUNCTION("VLOOKUP($B18,IMPORTRANGE(""https://docs.google.com/spreadsheets/d/1FYVlxGM-gYXe-QaL0HOSFmUpogUrsx0e6DntOW4RH1o/edit#gid=2017480677"",""Preguntas!E2:J""),4,false)"),"Educación-Rendimiento")</f>
        <v>Educación-Rendimiento</v>
      </c>
    </row>
    <row r="19">
      <c r="A19" s="15" t="str">
        <f>IFERROR(__xludf.DUMMYFUNCTION("""COMPUTED_VALUE"""),"H039")</f>
        <v>H039</v>
      </c>
      <c r="B19" s="15" t="str">
        <f>IFERROR(__xludf.DUMMYFUNCTION("""COMPUTED_VALUE"""),"¿Cuantas horas por semana estudias o le dedicas a las tareas, luego de la Escuela?")</f>
        <v>¿Cuantas horas por semana estudias o le dedicas a las tareas, luego de la Escuela?</v>
      </c>
      <c r="C19" s="15" t="str">
        <f>IFERROR(__xludf.DUMMYFUNCTION("VLOOKUP($B19,IMPORTRANGE(""https://docs.google.com/spreadsheets/d/1FYVlxGM-gYXe-QaL0HOSFmUpogUrsx0e6DntOW4RH1o/edit#gid=2017480677"",""Preguntas!E2:J""),2,false)"),"Menos de 1 hora por semana; Entre 1 y 3 horas a la semana; Entre 3 y 6 horas a la semana; Entre 6 y 9 horas a la semana; Mas de 9 horas a la semana")</f>
        <v>Menos de 1 hora por semana; Entre 1 y 3 horas a la semana; Entre 3 y 6 horas a la semana; Entre 6 y 9 horas a la semana; Mas de 9 horas a la semana</v>
      </c>
      <c r="D19" s="15" t="str">
        <f>IFERROR(__xludf.DUMMYFUNCTION("VLOOKUP($B19,IMPORTRANGE(""https://docs.google.com/spreadsheets/d/1FYVlxGM-gYXe-QaL0HOSFmUpogUrsx0e6DntOW4RH1o/edit#gid=2017480677"",""Preguntas!E2:J""),4,false)"),"Educación-Rendimiento")</f>
        <v>Educación-Rendimiento</v>
      </c>
    </row>
    <row r="20">
      <c r="A20" s="14" t="str">
        <f>IFERROR(__xludf.DUMMYFUNCTION("""COMPUTED_VALUE"""),"H040")</f>
        <v>H040</v>
      </c>
      <c r="B20" s="14" t="str">
        <f>IFERROR(__xludf.DUMMYFUNCTION("""COMPUTED_VALUE"""),"¿Tenes en tu hogar un lugar cómodo  y apropiado donde podes hacer las tareas y estudiar?")</f>
        <v>¿Tenes en tu hogar un lugar cómodo  y apropiado donde podes hacer las tareas y estudiar?</v>
      </c>
      <c r="C20" s="14" t="str">
        <f>IFERROR(__xludf.DUMMYFUNCTION("VLOOKUP($B20,IMPORTRANGE(""https://docs.google.com/spreadsheets/d/1FYVlxGM-gYXe-QaL0HOSFmUpogUrsx0e6DntOW4RH1o/edit#gid=2017480677"",""Preguntas!E2:J""),2,false)"),"Si; No")</f>
        <v>Si; No</v>
      </c>
      <c r="D20" s="14" t="str">
        <f>IFERROR(__xludf.DUMMYFUNCTION("VLOOKUP($B20,IMPORTRANGE(""https://docs.google.com/spreadsheets/d/1FYVlxGM-gYXe-QaL0HOSFmUpogUrsx0e6DntOW4RH1o/edit#gid=2017480677"",""Preguntas!E2:J""),4,false)"),"Educación-Rendimiento")</f>
        <v>Educación-Rendimiento</v>
      </c>
    </row>
    <row r="21">
      <c r="A21" s="15" t="str">
        <f>IFERROR(__xludf.DUMMYFUNCTION("""COMPUTED_VALUE"""),"H041")</f>
        <v>H041</v>
      </c>
      <c r="B21" s="15" t="str">
        <f>IFERROR(__xludf.DUMMYFUNCTION("""COMPUTED_VALUE"""),"¿Sentis que alguien en tu hogar se preocupa por saber como te va en la Escuela?")</f>
        <v>¿Sentis que alguien en tu hogar se preocupa por saber como te va en la Escuela?</v>
      </c>
      <c r="C21" s="15" t="str">
        <f>IFERROR(__xludf.DUMMYFUNCTION("VLOOKUP($B21,IMPORTRANGE(""https://docs.google.com/spreadsheets/d/1FYVlxGM-gYXe-QaL0HOSFmUpogUrsx0e6DntOW4RH1o/edit#gid=2017480677"",""Preguntas!E2:J""),2,false)"),"Si; No")</f>
        <v>Si; No</v>
      </c>
      <c r="D21" s="15" t="str">
        <f>IFERROR(__xludf.DUMMYFUNCTION("VLOOKUP($B21,IMPORTRANGE(""https://docs.google.com/spreadsheets/d/1FYVlxGM-gYXe-QaL0HOSFmUpogUrsx0e6DntOW4RH1o/edit#gid=2017480677"",""Preguntas!E2:J""),4,false)"),"Educación-Rendimiento")</f>
        <v>Educación-Rendimiento</v>
      </c>
    </row>
    <row r="22">
      <c r="A22" s="14" t="str">
        <f>IFERROR(__xludf.DUMMYFUNCTION("""COMPUTED_VALUE"""),"H042")</f>
        <v>H042</v>
      </c>
      <c r="B22" s="14" t="str">
        <f>IFERROR(__xludf.DUMMYFUNCTION("""COMPUTED_VALUE"""),"¿Cuántas veces faltaste a la Escuela el último mes?")</f>
        <v>¿Cuántas veces faltaste a la Escuela el último mes?</v>
      </c>
      <c r="C22" s="14" t="str">
        <f>IFERROR(__xludf.DUMMYFUNCTION("VLOOKUP($B22,IMPORTRANGE(""https://docs.google.com/spreadsheets/d/1FYVlxGM-gYXe-QaL0HOSFmUpogUrsx0e6DntOW4RH1o/edit#gid=2017480677"",""Preguntas!E2:J""),2,false)"),"0; 1; 2; 3; 4; 5; 6; 7; 8; 9; 10; 11; 12; 13; 14; 15; 16; 17; 18; 19; 20; 21; 22; 23; 24; 25; 26; 27; 28; 29; 30; 31")</f>
        <v>0; 1; 2; 3; 4; 5; 6; 7; 8; 9; 10; 11; 12; 13; 14; 15; 16; 17; 18; 19; 20; 21; 22; 23; 24; 25; 26; 27; 28; 29; 30; 31</v>
      </c>
      <c r="D22" s="14" t="str">
        <f>IFERROR(__xludf.DUMMYFUNCTION("VLOOKUP($B22,IMPORTRANGE(""https://docs.google.com/spreadsheets/d/1FYVlxGM-gYXe-QaL0HOSFmUpogUrsx0e6DntOW4RH1o/edit#gid=2017480677"",""Preguntas!E2:J""),4,false)"),"Educación-Rendimiento")</f>
        <v>Educación-Rendimiento</v>
      </c>
    </row>
    <row r="23">
      <c r="A23" s="15" t="str">
        <f>IFERROR(__xludf.DUMMYFUNCTION("""COMPUTED_VALUE"""),"H043")</f>
        <v>H043</v>
      </c>
      <c r="B23" s="15" t="str">
        <f>IFERROR(__xludf.DUMMYFUNCTION("""COMPUTED_VALUE"""),"Del 1 al 5, ¿Cuan seguro o cómodo te sentís en la Escuela?")</f>
        <v>Del 1 al 5, ¿Cuan seguro o cómodo te sentís en la Escuela?</v>
      </c>
      <c r="C23" s="15" t="str">
        <f>IFERROR(__xludf.DUMMYFUNCTION("VLOOKUP($B23,IMPORTRANGE(""https://docs.google.com/spreadsheets/d/1FYVlxGM-gYXe-QaL0HOSFmUpogUrsx0e6DntOW4RH1o/edit#gid=2017480677"",""Preguntas!E2:J""),2,false)"),"1; 2; 3; 4; 5")</f>
        <v>1; 2; 3; 4; 5</v>
      </c>
      <c r="D23" s="15" t="str">
        <f>IFERROR(__xludf.DUMMYFUNCTION("VLOOKUP($B23,IMPORTRANGE(""https://docs.google.com/spreadsheets/d/1FYVlxGM-gYXe-QaL0HOSFmUpogUrsx0e6DntOW4RH1o/edit#gid=2017480677"",""Preguntas!E2:J""),4,false)"),"Educación-Maltrato Escolar")</f>
        <v>Educación-Maltrato Escolar</v>
      </c>
    </row>
    <row r="24">
      <c r="A24" s="14" t="str">
        <f>IFERROR(__xludf.DUMMYFUNCTION("""COMPUTED_VALUE"""),"H044")</f>
        <v>H044</v>
      </c>
      <c r="B24" s="14" t="str">
        <f>IFERROR(__xludf.DUMMYFUNCTION("""COMPUTED_VALUE"""),"En el último año ¿Alguien te burló en la  Escuela?")</f>
        <v>En el último año ¿Alguien te burló en la  Escuela?</v>
      </c>
      <c r="C24" s="14" t="str">
        <f>IFERROR(__xludf.DUMMYFUNCTION("VLOOKUP($B24,IMPORTRANGE(""https://docs.google.com/spreadsheets/d/1FYVlxGM-gYXe-QaL0HOSFmUpogUrsx0e6DntOW4RH1o/edit#gid=2017480677"",""Preguntas!E2:J""),2,false)"),"Si; No")</f>
        <v>Si; No</v>
      </c>
      <c r="D24" s="14" t="str">
        <f>IFERROR(__xludf.DUMMYFUNCTION("VLOOKUP($B24,IMPORTRANGE(""https://docs.google.com/spreadsheets/d/1FYVlxGM-gYXe-QaL0HOSFmUpogUrsx0e6DntOW4RH1o/edit#gid=2017480677"",""Preguntas!E2:J""),4,false)"),"Educación-Maltrato Escolar")</f>
        <v>Educación-Maltrato Escolar</v>
      </c>
    </row>
    <row r="25">
      <c r="A25" s="15" t="str">
        <f>IFERROR(__xludf.DUMMYFUNCTION("""COMPUTED_VALUE"""),"H045")</f>
        <v>H045</v>
      </c>
      <c r="B25" s="15" t="str">
        <f>IFERROR(__xludf.DUMMYFUNCTION("""COMPUTED_VALUE"""),"Si la respuesta es SI, ¿Cuan seguido sucede?")</f>
        <v>Si la respuesta es SI, ¿Cuan seguido sucede?</v>
      </c>
      <c r="C25" s="15" t="str">
        <f>IFERROR(__xludf.DUMMYFUNCTION("VLOOKUP($B25,IMPORTRANGE(""https://docs.google.com/spreadsheets/d/1FYVlxGM-gYXe-QaL0HOSFmUpogUrsx0e6DntOW4RH1o/edit#gid=2017480677"",""Preguntas!E2:J""),2,false)"),"Nunca o casi nunca; Pocas Veces; Varias veces; Bastante; Siempre")</f>
        <v>Nunca o casi nunca; Pocas Veces; Varias veces; Bastante; Siempre</v>
      </c>
      <c r="D25" s="15" t="str">
        <f>IFERROR(__xludf.DUMMYFUNCTION("VLOOKUP($B25,IMPORTRANGE(""https://docs.google.com/spreadsheets/d/1FYVlxGM-gYXe-QaL0HOSFmUpogUrsx0e6DntOW4RH1o/edit#gid=2017480677"",""Preguntas!E2:J""),4,false)"),"Educación-Maltrato Escolar")</f>
        <v>Educación-Maltrato Escolar</v>
      </c>
    </row>
    <row r="26">
      <c r="A26" s="14" t="str">
        <f>IFERROR(__xludf.DUMMYFUNCTION("""COMPUTED_VALUE"""),"H046")</f>
        <v>H046</v>
      </c>
      <c r="B26" s="14" t="str">
        <f>IFERROR(__xludf.DUMMYFUNCTION("""COMPUTED_VALUE"""),"¿Tenés computadora en tu casa?")</f>
        <v>¿Tenés computadora en tu casa?</v>
      </c>
      <c r="C26" s="14" t="str">
        <f>IFERROR(__xludf.DUMMYFUNCTION("VLOOKUP($B26,IMPORTRANGE(""https://docs.google.com/spreadsheets/d/1FYVlxGM-gYXe-QaL0HOSFmUpogUrsx0e6DntOW4RH1o/edit#gid=2017480677"",""Preguntas!E2:J""),2,false)"),"Si; No")</f>
        <v>Si; No</v>
      </c>
      <c r="D26" s="14" t="str">
        <f>IFERROR(__xludf.DUMMYFUNCTION("VLOOKUP($B26,IMPORTRANGE(""https://docs.google.com/spreadsheets/d/1FYVlxGM-gYXe-QaL0HOSFmUpogUrsx0e6DntOW4RH1o/edit#gid=2017480677"",""Preguntas!E2:J""),4,false)"),"Educación-Educación Tecnológica")</f>
        <v>Educación-Educación Tecnológica</v>
      </c>
    </row>
    <row r="27">
      <c r="A27" s="15" t="str">
        <f>IFERROR(__xludf.DUMMYFUNCTION("""COMPUTED_VALUE"""),"H047")</f>
        <v>H047</v>
      </c>
      <c r="B27" s="15" t="str">
        <f>IFERROR(__xludf.DUMMYFUNCTION("""COMPUTED_VALUE"""),"Si tiene computadora ¿Con que frecuencia la usas?")</f>
        <v>Si tiene computadora ¿Con que frecuencia la usas?</v>
      </c>
      <c r="C27" s="15" t="str">
        <f>IFERROR(__xludf.DUMMYFUNCTION("VLOOKUP($B27,IMPORTRANGE(""https://docs.google.com/spreadsheets/d/1FYVlxGM-gYXe-QaL0HOSFmUpogUrsx0e6DntOW4RH1o/edit#gid=2017480677"",""Preguntas!E2:J""),2,false)"),"1; 2; 3; 4; 5")</f>
        <v>1; 2; 3; 4; 5</v>
      </c>
      <c r="D27" s="15" t="str">
        <f>IFERROR(__xludf.DUMMYFUNCTION("VLOOKUP($B27,IMPORTRANGE(""https://docs.google.com/spreadsheets/d/1FYVlxGM-gYXe-QaL0HOSFmUpogUrsx0e6DntOW4RH1o/edit#gid=2017480677"",""Preguntas!E2:J""),4,false)"),"Educación-Educación Tecnológica")</f>
        <v>Educación-Educación Tecnológica</v>
      </c>
    </row>
    <row r="28">
      <c r="A28" s="14" t="str">
        <f>IFERROR(__xludf.DUMMYFUNCTION("""COMPUTED_VALUE"""),"H048")</f>
        <v>H048</v>
      </c>
      <c r="B28" s="14" t="str">
        <f>IFERROR(__xludf.DUMMYFUNCTION("""COMPUTED_VALUE"""),"¿Cuánto consideras que sabes usar la computadora?")</f>
        <v>¿Cuánto consideras que sabes usar la computadora?</v>
      </c>
      <c r="C28" s="14" t="str">
        <f>IFERROR(__xludf.DUMMYFUNCTION("VLOOKUP($B28,IMPORTRANGE(""https://docs.google.com/spreadsheets/d/1FYVlxGM-gYXe-QaL0HOSFmUpogUrsx0e6DntOW4RH1o/edit#gid=2017480677"",""Preguntas!E2:J""),2,false)"),"1; 2; 3; 4; 5")</f>
        <v>1; 2; 3; 4; 5</v>
      </c>
      <c r="D28" s="14" t="str">
        <f>IFERROR(__xludf.DUMMYFUNCTION("VLOOKUP($B28,IMPORTRANGE(""https://docs.google.com/spreadsheets/d/1FYVlxGM-gYXe-QaL0HOSFmUpogUrsx0e6DntOW4RH1o/edit#gid=2017480677"",""Preguntas!E2:J""),4,false)"),"Educación-Educación Tecnológica")</f>
        <v>Educación-Educación Tecnológica</v>
      </c>
    </row>
    <row r="29">
      <c r="A29" s="15" t="str">
        <f>IFERROR(__xludf.DUMMYFUNCTION("""COMPUTED_VALUE"""),"H049")</f>
        <v>H049</v>
      </c>
      <c r="B29" s="15" t="str">
        <f>IFERROR(__xludf.DUMMYFUNCTION("""COMPUTED_VALUE"""),"¿Tenés celular?")</f>
        <v>¿Tenés celular?</v>
      </c>
      <c r="C29" s="15" t="str">
        <f>IFERROR(__xludf.DUMMYFUNCTION("VLOOKUP($B29,IMPORTRANGE(""https://docs.google.com/spreadsheets/d/1FYVlxGM-gYXe-QaL0HOSFmUpogUrsx0e6DntOW4RH1o/edit#gid=2017480677"",""Preguntas!E2:J""),2,false)"),"Si; No")</f>
        <v>Si; No</v>
      </c>
      <c r="D29" s="15" t="str">
        <f>IFERROR(__xludf.DUMMYFUNCTION("VLOOKUP($B29,IMPORTRANGE(""https://docs.google.com/spreadsheets/d/1FYVlxGM-gYXe-QaL0HOSFmUpogUrsx0e6DntOW4RH1o/edit#gid=2017480677"",""Preguntas!E2:J""),4,false)"),"Educación-Educación Tecnológica")</f>
        <v>Educación-Educación Tecnológica</v>
      </c>
    </row>
    <row r="30">
      <c r="A30" s="14" t="str">
        <f>IFERROR(__xludf.DUMMYFUNCTION("""COMPUTED_VALUE"""),"H050")</f>
        <v>H050</v>
      </c>
      <c r="B30" s="14" t="str">
        <f>IFERROR(__xludf.DUMMYFUNCTION("""COMPUTED_VALUE"""),"Si tiene celular ¿Con que frecuencia lo usas?")</f>
        <v>Si tiene celular ¿Con que frecuencia lo usas?</v>
      </c>
      <c r="C30" s="14" t="str">
        <f>IFERROR(__xludf.DUMMYFUNCTION("VLOOKUP($B30,IMPORTRANGE(""https://docs.google.com/spreadsheets/d/1FYVlxGM-gYXe-QaL0HOSFmUpogUrsx0e6DntOW4RH1o/edit#gid=2017480677"",""Preguntas!E2:J""),2,false)"),"1; 2; 3; 4; 5")</f>
        <v>1; 2; 3; 4; 5</v>
      </c>
      <c r="D30" s="14" t="str">
        <f>IFERROR(__xludf.DUMMYFUNCTION("VLOOKUP($B30,IMPORTRANGE(""https://docs.google.com/spreadsheets/d/1FYVlxGM-gYXe-QaL0HOSFmUpogUrsx0e6DntOW4RH1o/edit#gid=2017480677"",""Preguntas!E2:J""),4,false)"),"Educación-Educación Tecnológica")</f>
        <v>Educación-Educación Tecnológica</v>
      </c>
    </row>
    <row r="31">
      <c r="A31" s="15" t="str">
        <f>IFERROR(__xludf.DUMMYFUNCTION("""COMPUTED_VALUE"""),"H051")</f>
        <v>H051</v>
      </c>
      <c r="B31" s="15" t="str">
        <f>IFERROR(__xludf.DUMMYFUNCTION("""COMPUTED_VALUE"""),"¿Tenés conexión a internet o wifi en tu casa?")</f>
        <v>¿Tenés conexión a internet o wifi en tu casa?</v>
      </c>
      <c r="C31" s="15" t="str">
        <f>IFERROR(__xludf.DUMMYFUNCTION("VLOOKUP($B31,IMPORTRANGE(""https://docs.google.com/spreadsheets/d/1FYVlxGM-gYXe-QaL0HOSFmUpogUrsx0e6DntOW4RH1o/edit#gid=2017480677"",""Preguntas!E2:J""),2,false)"),"Si; No")</f>
        <v>Si; No</v>
      </c>
      <c r="D31" s="15" t="str">
        <f>IFERROR(__xludf.DUMMYFUNCTION("VLOOKUP($B31,IMPORTRANGE(""https://docs.google.com/spreadsheets/d/1FYVlxGM-gYXe-QaL0HOSFmUpogUrsx0e6DntOW4RH1o/edit#gid=2017480677"",""Preguntas!E2:J""),4,false)"),"Educación-Educación Tecnológica")</f>
        <v>Educación-Educación Tecnológica</v>
      </c>
    </row>
    <row r="32">
      <c r="A32" s="14" t="str">
        <f>IFERROR(__xludf.DUMMYFUNCTION("""COMPUTED_VALUE"""),"H052")</f>
        <v>H052</v>
      </c>
      <c r="B32" s="14" t="str">
        <f>IFERROR(__xludf.DUMMYFUNCTION("""COMPUTED_VALUE"""),"Si tiene Internet ¿Con que frecuencia lo usas?")</f>
        <v>Si tiene Internet ¿Con que frecuencia lo usas?</v>
      </c>
      <c r="C32" s="14" t="str">
        <f>IFERROR(__xludf.DUMMYFUNCTION("VLOOKUP($B32,IMPORTRANGE(""https://docs.google.com/spreadsheets/d/1FYVlxGM-gYXe-QaL0HOSFmUpogUrsx0e6DntOW4RH1o/edit#gid=2017480677"",""Preguntas!E2:J""),2,false)"),"1; 2; 3; 4; 5")</f>
        <v>1; 2; 3; 4; 5</v>
      </c>
      <c r="D32" s="14" t="str">
        <f>IFERROR(__xludf.DUMMYFUNCTION("VLOOKUP($B32,IMPORTRANGE(""https://docs.google.com/spreadsheets/d/1FYVlxGM-gYXe-QaL0HOSFmUpogUrsx0e6DntOW4RH1o/edit#gid=2017480677"",""Preguntas!E2:J""),4,false)"),"Educación-Educación Tecnológica")</f>
        <v>Educación-Educación Tecnológica</v>
      </c>
    </row>
    <row r="33">
      <c r="A33" s="15" t="str">
        <f>IFERROR(__xludf.DUMMYFUNCTION("""COMPUTED_VALUE"""),"H053")</f>
        <v>H053</v>
      </c>
      <c r="B33" s="15" t="str">
        <f>IFERROR(__xludf.DUMMYFUNCTION("""COMPUTED_VALUE"""),"¿Tenés y usas correo electrónico?")</f>
        <v>¿Tenés y usas correo electrónico?</v>
      </c>
      <c r="C33" s="15" t="str">
        <f>IFERROR(__xludf.DUMMYFUNCTION("VLOOKUP($B33,IMPORTRANGE(""https://docs.google.com/spreadsheets/d/1FYVlxGM-gYXe-QaL0HOSFmUpogUrsx0e6DntOW4RH1o/edit#gid=2017480677"",""Preguntas!E2:J""),2,false)"),"Si; No")</f>
        <v>Si; No</v>
      </c>
      <c r="D33" s="15" t="str">
        <f>IFERROR(__xludf.DUMMYFUNCTION("VLOOKUP($B33,IMPORTRANGE(""https://docs.google.com/spreadsheets/d/1FYVlxGM-gYXe-QaL0HOSFmUpogUrsx0e6DntOW4RH1o/edit#gid=2017480677"",""Preguntas!E2:J""),4,false)"),"Educación-Educación Tecnológica")</f>
        <v>Educación-Educación Tecnológica</v>
      </c>
    </row>
    <row r="34">
      <c r="A34" s="14" t="str">
        <f>IFERROR(__xludf.DUMMYFUNCTION("""COMPUTED_VALUE"""),"H054")</f>
        <v>H054</v>
      </c>
      <c r="B34" s="14" t="str">
        <f>IFERROR(__xludf.DUMMYFUNCTION("""COMPUTED_VALUE"""),"¿Cuánto consideras que sabes usar internet?")</f>
        <v>¿Cuánto consideras que sabes usar internet?</v>
      </c>
      <c r="C34" s="14" t="str">
        <f>IFERROR(__xludf.DUMMYFUNCTION("VLOOKUP($B34,IMPORTRANGE(""https://docs.google.com/spreadsheets/d/1FYVlxGM-gYXe-QaL0HOSFmUpogUrsx0e6DntOW4RH1o/edit#gid=2017480677"",""Preguntas!E2:J""),2,false)"),"1; 2; 3; 4; 5")</f>
        <v>1; 2; 3; 4; 5</v>
      </c>
      <c r="D34" s="14" t="str">
        <f>IFERROR(__xludf.DUMMYFUNCTION("VLOOKUP($B34,IMPORTRANGE(""https://docs.google.com/spreadsheets/d/1FYVlxGM-gYXe-QaL0HOSFmUpogUrsx0e6DntOW4RH1o/edit#gid=2017480677"",""Preguntas!E2:J""),4,false)"),"Educación-Educación Tecnológica")</f>
        <v>Educación-Educación Tecnológica</v>
      </c>
    </row>
    <row r="35">
      <c r="A35" s="15" t="str">
        <f>IFERROR(__xludf.DUMMYFUNCTION("""COMPUTED_VALUE"""),"H055")</f>
        <v>H055</v>
      </c>
      <c r="B35" s="15" t="str">
        <f>IFERROR(__xludf.DUMMYFUNCTION("""COMPUTED_VALUE"""),"¿Te gusta el mundo de la informática?")</f>
        <v>¿Te gusta el mundo de la informática?</v>
      </c>
      <c r="C35" s="15" t="str">
        <f>IFERROR(__xludf.DUMMYFUNCTION("VLOOKUP($B35,IMPORTRANGE(""https://docs.google.com/spreadsheets/d/1FYVlxGM-gYXe-QaL0HOSFmUpogUrsx0e6DntOW4RH1o/edit#gid=2017480677"",""Preguntas!E2:J""),2,false)"),"Si; No")</f>
        <v>Si; No</v>
      </c>
      <c r="D35" s="15" t="str">
        <f>IFERROR(__xludf.DUMMYFUNCTION("VLOOKUP($B35,IMPORTRANGE(""https://docs.google.com/spreadsheets/d/1FYVlxGM-gYXe-QaL0HOSFmUpogUrsx0e6DntOW4RH1o/edit#gid=2017480677"",""Preguntas!E2:J""),4,false)"),"Educación-Educación Tecnológica")</f>
        <v>Educación-Educación Tecnológica</v>
      </c>
    </row>
    <row r="36">
      <c r="A36" s="14" t="str">
        <f>IFERROR(__xludf.DUMMYFUNCTION("""COMPUTED_VALUE"""),"H056")</f>
        <v>H056</v>
      </c>
      <c r="B36" s="14" t="str">
        <f>IFERROR(__xludf.DUMMYFUNCTION("""COMPUTED_VALUE"""),"¿Te gustaría aprender a utilizar mejor la computadora y el internet, a programar, a manejar ciertos programas, etc?")</f>
        <v>¿Te gustaría aprender a utilizar mejor la computadora y el internet, a programar, a manejar ciertos programas, etc?</v>
      </c>
      <c r="C36" s="14" t="str">
        <f>IFERROR(__xludf.DUMMYFUNCTION("VLOOKUP($B36,IMPORTRANGE(""https://docs.google.com/spreadsheets/d/1FYVlxGM-gYXe-QaL0HOSFmUpogUrsx0e6DntOW4RH1o/edit#gid=2017480677"",""Preguntas!E2:J""),2,false)"),"Si; No")</f>
        <v>Si; No</v>
      </c>
      <c r="D36" s="14" t="str">
        <f>IFERROR(__xludf.DUMMYFUNCTION("VLOOKUP($B36,IMPORTRANGE(""https://docs.google.com/spreadsheets/d/1FYVlxGM-gYXe-QaL0HOSFmUpogUrsx0e6DntOW4RH1o/edit#gid=2017480677"",""Preguntas!E2:J""),4,false)"),"Educación-Educación Tecnológica")</f>
        <v>Educación-Educación Tecnológica</v>
      </c>
    </row>
    <row r="37">
      <c r="A37" s="15" t="str">
        <f>IFERROR(__xludf.DUMMYFUNCTION("""COMPUTED_VALUE"""),"H057")</f>
        <v>H057</v>
      </c>
      <c r="B37" s="15" t="str">
        <f>IFERROR(__xludf.DUMMYFUNCTION("""COMPUTED_VALUE"""),"¿Hay algún adulto que te cuida durante la mayor parte del día?")</f>
        <v>¿Hay algún adulto que te cuida durante la mayor parte del día?</v>
      </c>
      <c r="C37" s="15" t="str">
        <f>IFERROR(__xludf.DUMMYFUNCTION("VLOOKUP($B37,IMPORTRANGE(""https://docs.google.com/spreadsheets/d/1FYVlxGM-gYXe-QaL0HOSFmUpogUrsx0e6DntOW4RH1o/edit#gid=2017480677"",""Preguntas!E2:J""),2,false)"),"Si; No")</f>
        <v>Si; No</v>
      </c>
      <c r="D37" s="15" t="str">
        <f>IFERROR(__xludf.DUMMYFUNCTION("VLOOKUP($B37,IMPORTRANGE(""https://docs.google.com/spreadsheets/d/1FYVlxGM-gYXe-QaL0HOSFmUpogUrsx0e6DntOW4RH1o/edit#gid=2017480677"",""Preguntas!E2:J""),4,false)"),"Crianza-Cuidados")</f>
        <v>Crianza-Cuidados</v>
      </c>
    </row>
    <row r="38">
      <c r="A38" s="14" t="str">
        <f>IFERROR(__xludf.DUMMYFUNCTION("""COMPUTED_VALUE"""),"H058")</f>
        <v>H058</v>
      </c>
      <c r="B38" s="14" t="str">
        <f>IFERROR(__xludf.DUMMYFUNCTION("""COMPUTED_VALUE"""),"Cuando estas fuera de tu hogar, ¿tus padres saben donde estas?")</f>
        <v>Cuando estas fuera de tu hogar, ¿tus padres saben donde estas?</v>
      </c>
      <c r="C38" s="14" t="str">
        <f>IFERROR(__xludf.DUMMYFUNCTION("VLOOKUP($B38,IMPORTRANGE(""https://docs.google.com/spreadsheets/d/1FYVlxGM-gYXe-QaL0HOSFmUpogUrsx0e6DntOW4RH1o/edit#gid=2017480677"",""Preguntas!E2:J""),2,false)"),"Si; No")</f>
        <v>Si; No</v>
      </c>
      <c r="D38" s="14" t="str">
        <f>IFERROR(__xludf.DUMMYFUNCTION("VLOOKUP($B38,IMPORTRANGE(""https://docs.google.com/spreadsheets/d/1FYVlxGM-gYXe-QaL0HOSFmUpogUrsx0e6DntOW4RH1o/edit#gid=2017480677"",""Preguntas!E2:J""),4,false)"),"Crianza-Cuidados")</f>
        <v>Crianza-Cuidados</v>
      </c>
    </row>
    <row r="39">
      <c r="A39" s="15" t="str">
        <f>IFERROR(__xludf.DUMMYFUNCTION("""COMPUTED_VALUE"""),"H059")</f>
        <v>H059</v>
      </c>
      <c r="B39" s="15" t="str">
        <f>IFERROR(__xludf.DUMMYFUNCTION("""COMPUTED_VALUE"""),"En una semana normal, ¿Cada cuanto se sientan a comer juntos vos y alguno de tus padres?")</f>
        <v>En una semana normal, ¿Cada cuanto se sientan a comer juntos vos y alguno de tus padres?</v>
      </c>
      <c r="C39" s="15" t="str">
        <f>IFERROR(__xludf.DUMMYFUNCTION("VLOOKUP($B39,IMPORTRANGE(""https://docs.google.com/spreadsheets/d/1FYVlxGM-gYXe-QaL0HOSFmUpogUrsx0e6DntOW4RH1o/edit#gid=2017480677"",""Preguntas!E2:J""),2,false)"),"1; 2; 3; 4; 5")</f>
        <v>1; 2; 3; 4; 5</v>
      </c>
      <c r="D39" s="15" t="str">
        <f>IFERROR(__xludf.DUMMYFUNCTION("VLOOKUP($B39,IMPORTRANGE(""https://docs.google.com/spreadsheets/d/1FYVlxGM-gYXe-QaL0HOSFmUpogUrsx0e6DntOW4RH1o/edit#gid=2017480677"",""Preguntas!E2:J""),4,false)"),"Crianza-Cuidados")</f>
        <v>Crianza-Cuidados</v>
      </c>
    </row>
    <row r="40">
      <c r="A40" s="14" t="str">
        <f>IFERROR(__xludf.DUMMYFUNCTION("""COMPUTED_VALUE"""),"H060")</f>
        <v>H060</v>
      </c>
      <c r="B40" s="14" t="str">
        <f>IFERROR(__xludf.DUMMYFUNCTION("""COMPUTED_VALUE"""),"En tu hogar, ¿tenes cama propia o compartis  con alguien?")</f>
        <v>En tu hogar, ¿tenes cama propia o compartis  con alguien?</v>
      </c>
      <c r="C40" s="14" t="str">
        <f>IFERROR(__xludf.DUMMYFUNCTION("VLOOKUP($B40,IMPORTRANGE(""https://docs.google.com/spreadsheets/d/1FYVlxGM-gYXe-QaL0HOSFmUpogUrsx0e6DntOW4RH1o/edit#gid=2017480677"",""Preguntas!E2:J""),2,false)"),"Cama propia; Comparto cama; Solo colchón propio; Solo colchón compartido")</f>
        <v>Cama propia; Comparto cama; Solo colchón propio; Solo colchón compartido</v>
      </c>
      <c r="D40" s="14" t="str">
        <f>IFERROR(__xludf.DUMMYFUNCTION("VLOOKUP($B40,IMPORTRANGE(""https://docs.google.com/spreadsheets/d/1FYVlxGM-gYXe-QaL0HOSFmUpogUrsx0e6DntOW4RH1o/edit#gid=2017480677"",""Preguntas!E2:J""),4,false)"),"Crianza-Cuidados")</f>
        <v>Crianza-Cuidados</v>
      </c>
    </row>
    <row r="41">
      <c r="A41" s="15" t="str">
        <f>IFERROR(__xludf.DUMMYFUNCTION("""COMPUTED_VALUE"""),"H061")</f>
        <v>H061</v>
      </c>
      <c r="B41" s="15" t="str">
        <f>IFERROR(__xludf.DUMMYFUNCTION("""COMPUTED_VALUE"""),"¿Compartís tiempo con tus padres? (o cuidadores) actividades, juegos, charlas, etc...")</f>
        <v>¿Compartís tiempo con tus padres? (o cuidadores) actividades, juegos, charlas, etc...</v>
      </c>
      <c r="C41" s="15" t="str">
        <f>IFERROR(__xludf.DUMMYFUNCTION("VLOOKUP($B41,IMPORTRANGE(""https://docs.google.com/spreadsheets/d/1FYVlxGM-gYXe-QaL0HOSFmUpogUrsx0e6DntOW4RH1o/edit#gid=2017480677"",""Preguntas!E2:J""),2,false)"),"Si; No")</f>
        <v>Si; No</v>
      </c>
      <c r="D41" s="15" t="str">
        <f>IFERROR(__xludf.DUMMYFUNCTION("VLOOKUP($B41,IMPORTRANGE(""https://docs.google.com/spreadsheets/d/1FYVlxGM-gYXe-QaL0HOSFmUpogUrsx0e6DntOW4RH1o/edit#gid=2017480677"",""Preguntas!E2:J""),4,false)"),"Crianza-Cuidados")</f>
        <v>Crianza-Cuidados</v>
      </c>
    </row>
    <row r="42">
      <c r="A42" s="14" t="str">
        <f>IFERROR(__xludf.DUMMYFUNCTION("""COMPUTED_VALUE"""),"H062")</f>
        <v>H062</v>
      </c>
      <c r="B42" s="14" t="str">
        <f>IFERROR(__xludf.DUMMYFUNCTION("""COMPUTED_VALUE"""),"Del 1 al 5 ¿Cuan escuchado te sentís por los adultos cuando necesitas hablar de algo importante?")</f>
        <v>Del 1 al 5 ¿Cuan escuchado te sentís por los adultos cuando necesitas hablar de algo importante?</v>
      </c>
      <c r="C42" s="14" t="str">
        <f>IFERROR(__xludf.DUMMYFUNCTION("VLOOKUP($B42,IMPORTRANGE(""https://docs.google.com/spreadsheets/d/1FYVlxGM-gYXe-QaL0HOSFmUpogUrsx0e6DntOW4RH1o/edit#gid=2017480677"",""Preguntas!E2:J""),2,false)"),"1; 2; 3; 4; 5")</f>
        <v>1; 2; 3; 4; 5</v>
      </c>
      <c r="D42" s="14" t="str">
        <f>IFERROR(__xludf.DUMMYFUNCTION("VLOOKUP($B42,IMPORTRANGE(""https://docs.google.com/spreadsheets/d/1FYVlxGM-gYXe-QaL0HOSFmUpogUrsx0e6DntOW4RH1o/edit#gid=2017480677"",""Preguntas!E2:J""),4,false)"),"Crianza-Cuidados")</f>
        <v>Crianza-Cuidados</v>
      </c>
    </row>
    <row r="43">
      <c r="A43" s="15" t="str">
        <f>IFERROR(__xludf.DUMMYFUNCTION("""COMPUTED_VALUE"""),"H063")</f>
        <v>H063</v>
      </c>
      <c r="B43" s="15" t="str">
        <f>IFERROR(__xludf.DUMMYFUNCTION("""COMPUTED_VALUE"""),"En un día normal, ¿Que comidas soles comer?")</f>
        <v>En un día normal, ¿Que comidas soles comer?</v>
      </c>
      <c r="C43" s="15" t="str">
        <f>IFERROR(__xludf.DUMMYFUNCTION("VLOOKUP($B43,IMPORTRANGE(""https://docs.google.com/spreadsheets/d/1FYVlxGM-gYXe-QaL0HOSFmUpogUrsx0e6DntOW4RH1o/edit#gid=2017480677"",""Preguntas!E2:J""),2,false)"),"Desayuno; Almuerzo; Merienda; Cena")</f>
        <v>Desayuno; Almuerzo; Merienda; Cena</v>
      </c>
      <c r="D43" s="15" t="str">
        <f>IFERROR(__xludf.DUMMYFUNCTION("VLOOKUP($B43,IMPORTRANGE(""https://docs.google.com/spreadsheets/d/1FYVlxGM-gYXe-QaL0HOSFmUpogUrsx0e6DntOW4RH1o/edit#gid=2017480677"",""Preguntas!E2:J""),4,false)"),"Crianza-Salud")</f>
        <v>Crianza-Salud</v>
      </c>
    </row>
    <row r="44">
      <c r="A44" s="14" t="str">
        <f>IFERROR(__xludf.DUMMYFUNCTION("""COMPUTED_VALUE"""),"H064")</f>
        <v>H064</v>
      </c>
      <c r="B44" s="14" t="str">
        <f>IFERROR(__xludf.DUMMYFUNCTION("""COMPUTED_VALUE"""),"Cuando salís de la Escuela, tus padres, ¿saben dónde estas?")</f>
        <v>Cuando salís de la Escuela, tus padres, ¿saben dónde estas?</v>
      </c>
      <c r="C44" s="14" t="str">
        <f>IFERROR(__xludf.DUMMYFUNCTION("VLOOKUP($B44,IMPORTRANGE(""https://docs.google.com/spreadsheets/d/1FYVlxGM-gYXe-QaL0HOSFmUpogUrsx0e6DntOW4RH1o/edit#gid=2017480677"",""Preguntas!E2:J""),2,false)"),"Si; No")</f>
        <v>Si; No</v>
      </c>
      <c r="D44" s="14" t="str">
        <f>IFERROR(__xludf.DUMMYFUNCTION("VLOOKUP($B44,IMPORTRANGE(""https://docs.google.com/spreadsheets/d/1FYVlxGM-gYXe-QaL0HOSFmUpogUrsx0e6DntOW4RH1o/edit#gid=2017480677"",""Preguntas!E2:J""),4,false)"),"Crianza-Cuidados")</f>
        <v>Crianza-Cuidados</v>
      </c>
    </row>
    <row r="45">
      <c r="A45" s="15" t="str">
        <f>IFERROR(__xludf.DUMMYFUNCTION("""COMPUTED_VALUE"""),"H065")</f>
        <v>H065</v>
      </c>
      <c r="B45" s="15" t="str">
        <f>IFERROR(__xludf.DUMMYFUNCTION("""COMPUTED_VALUE"""),"Cuando estas enfermo, ¿solés ir al doctor?")</f>
        <v>Cuando estas enfermo, ¿solés ir al doctor?</v>
      </c>
      <c r="C45" s="15" t="str">
        <f>IFERROR(__xludf.DUMMYFUNCTION("VLOOKUP($B45,IMPORTRANGE(""https://docs.google.com/spreadsheets/d/1FYVlxGM-gYXe-QaL0HOSFmUpogUrsx0e6DntOW4RH1o/edit#gid=2017480677"",""Preguntas!E2:J""),2,false)"),"Si; No")</f>
        <v>Si; No</v>
      </c>
      <c r="D45" s="15" t="str">
        <f>IFERROR(__xludf.DUMMYFUNCTION("VLOOKUP($B45,IMPORTRANGE(""https://docs.google.com/spreadsheets/d/1FYVlxGM-gYXe-QaL0HOSFmUpogUrsx0e6DntOW4RH1o/edit#gid=2017480677"",""Preguntas!E2:J""),4,false)"),"Crianza-Salud")</f>
        <v>Crianza-Salud</v>
      </c>
    </row>
    <row r="46">
      <c r="A46" s="14" t="str">
        <f>IFERROR(__xludf.DUMMYFUNCTION("""COMPUTED_VALUE"""),"H066")</f>
        <v>H066</v>
      </c>
      <c r="B46" s="14" t="str">
        <f>IFERROR(__xludf.DUMMYFUNCTION("""COMPUTED_VALUE"""),"¿Cuando fuiste al médico por última vez?")</f>
        <v>¿Cuando fuiste al médico por última vez?</v>
      </c>
      <c r="C46" s="14" t="str">
        <f>IFERROR(__xludf.DUMMYFUNCTION("VLOOKUP($B46,IMPORTRANGE(""https://docs.google.com/spreadsheets/d/1FYVlxGM-gYXe-QaL0HOSFmUpogUrsx0e6DntOW4RH1o/edit#gid=2017480677"",""Preguntas!E2:J""),2,false)"),"Hace 6 meses o menos; Hace mas de 6 meses y menos de un año; Hace mas de un año y menos de 2 años; Hace mas de 2 años y menos de 3; Hace 3 años o mas")</f>
        <v>Hace 6 meses o menos; Hace mas de 6 meses y menos de un año; Hace mas de un año y menos de 2 años; Hace mas de 2 años y menos de 3; Hace 3 años o mas</v>
      </c>
      <c r="D46" s="14" t="str">
        <f>IFERROR(__xludf.DUMMYFUNCTION("VLOOKUP($B46,IMPORTRANGE(""https://docs.google.com/spreadsheets/d/1FYVlxGM-gYXe-QaL0HOSFmUpogUrsx0e6DntOW4RH1o/edit#gid=2017480677"",""Preguntas!E2:J""),4,false)"),"Crianza-Salud")</f>
        <v>Crianza-Salud</v>
      </c>
    </row>
    <row r="47">
      <c r="A47" s="15" t="str">
        <f>IFERROR(__xludf.DUMMYFUNCTION("""COMPUTED_VALUE"""),"H067")</f>
        <v>H067</v>
      </c>
      <c r="B47" s="15" t="str">
        <f>IFERROR(__xludf.DUMMYFUNCTION("""COMPUTED_VALUE"""),"¿Trabajaste el último mes a cambio de plata?")</f>
        <v>¿Trabajaste el último mes a cambio de plata?</v>
      </c>
      <c r="C47" s="15" t="str">
        <f>IFERROR(__xludf.DUMMYFUNCTION("VLOOKUP($B47,IMPORTRANGE(""https://docs.google.com/spreadsheets/d/1FYVlxGM-gYXe-QaL0HOSFmUpogUrsx0e6DntOW4RH1o/edit#gid=2017480677"",""Preguntas!E2:J""),2,false)"),"Si; No")</f>
        <v>Si; No</v>
      </c>
      <c r="D47" s="15" t="str">
        <f>IFERROR(__xludf.DUMMYFUNCTION("VLOOKUP($B47,IMPORTRANGE(""https://docs.google.com/spreadsheets/d/1FYVlxGM-gYXe-QaL0HOSFmUpogUrsx0e6DntOW4RH1o/edit#gid=2017480677"",""Preguntas!E2:J""),4,false)"),"Trabajo Infantil-General")</f>
        <v>Trabajo Infantil-General</v>
      </c>
    </row>
    <row r="48">
      <c r="A48" s="14" t="str">
        <f>IFERROR(__xludf.DUMMYFUNCTION("""COMPUTED_VALUE"""),"H069")</f>
        <v>H069</v>
      </c>
      <c r="B48" s="14" t="str">
        <f>IFERROR(__xludf.DUMMYFUNCTION("""COMPUTED_VALUE"""),"Si trabajaste, ¿Para que usas el dinero ganado? ")</f>
        <v>Si trabajaste, ¿Para que usas el dinero ganado? </v>
      </c>
      <c r="C48" s="14" t="str">
        <f>IFERROR(__xludf.DUMMYFUNCTION("VLOOKUP($B48,IMPORTRANGE(""https://docs.google.com/spreadsheets/d/1FYVlxGM-gYXe-QaL0HOSFmUpogUrsx0e6DntOW4RH1o/edit#gid=2017480677"",""Preguntas!E2:J""),2,false)"),"Para uso personal; Para sostenimiento del hogar; Otro")</f>
        <v>Para uso personal; Para sostenimiento del hogar; Otro</v>
      </c>
      <c r="D48" s="14" t="str">
        <f>IFERROR(__xludf.DUMMYFUNCTION("VLOOKUP($B48,IMPORTRANGE(""https://docs.google.com/spreadsheets/d/1FYVlxGM-gYXe-QaL0HOSFmUpogUrsx0e6DntOW4RH1o/edit#gid=2017480677"",""Preguntas!E2:J""),4,false)"),"Trabajo Infantil-General")</f>
        <v>Trabajo Infantil-General</v>
      </c>
    </row>
    <row r="49">
      <c r="A49" s="15" t="str">
        <f>IFERROR(__xludf.DUMMYFUNCTION("""COMPUTED_VALUE"""),"H070")</f>
        <v>H070</v>
      </c>
      <c r="B49" s="15" t="str">
        <f>IFERROR(__xludf.DUMMYFUNCTION("""COMPUTED_VALUE"""),"Si trabajaste, ¿Cuántas horas a la semana le dedicas al trabajo?")</f>
        <v>Si trabajaste, ¿Cuántas horas a la semana le dedicas al trabajo?</v>
      </c>
      <c r="C49" s="15" t="str">
        <f>IFERROR(__xludf.DUMMYFUNCTION("VLOOKUP($B49,IMPORTRANGE(""https://docs.google.com/spreadsheets/d/1FYVlxGM-gYXe-QaL0HOSFmUpogUrsx0e6DntOW4RH1o/edit#gid=2017480677"",""Preguntas!E2:J""),2,false)"),"Entre 1 y 5 horas; Entre 6 y 10 horas; Entre 11 y 15 horas; Entre 15 y 20 horas; Mas de 20 horas")</f>
        <v>Entre 1 y 5 horas; Entre 6 y 10 horas; Entre 11 y 15 horas; Entre 15 y 20 horas; Mas de 20 horas</v>
      </c>
      <c r="D49" s="15" t="str">
        <f>IFERROR(__xludf.DUMMYFUNCTION("VLOOKUP($B49,IMPORTRANGE(""https://docs.google.com/spreadsheets/d/1FYVlxGM-gYXe-QaL0HOSFmUpogUrsx0e6DntOW4RH1o/edit#gid=2017480677"",""Preguntas!E2:J""),4,false)"),"Trabajo Infantil-General")</f>
        <v>Trabajo Infantil-General</v>
      </c>
    </row>
    <row r="50">
      <c r="A50" s="14" t="str">
        <f>IFERROR(__xludf.DUMMYFUNCTION("""COMPUTED_VALUE"""),"H071")</f>
        <v>H071</v>
      </c>
      <c r="B50" s="14" t="str">
        <f>IFERROR(__xludf.DUMMYFUNCTION("""COMPUTED_VALUE"""),"Si trabaja. ¿El trabajo te saca tiempo para ir a la escuela o estudiar?")</f>
        <v>Si trabaja. ¿El trabajo te saca tiempo para ir a la escuela o estudiar?</v>
      </c>
      <c r="C50" s="14" t="str">
        <f>IFERROR(__xludf.DUMMYFUNCTION("VLOOKUP($B50,IMPORTRANGE(""https://docs.google.com/spreadsheets/d/1FYVlxGM-gYXe-QaL0HOSFmUpogUrsx0e6DntOW4RH1o/edit#gid=2017480677"",""Preguntas!E2:J""),2,false)"),"Si; No")</f>
        <v>Si; No</v>
      </c>
      <c r="D50" s="14" t="str">
        <f>IFERROR(__xludf.DUMMYFUNCTION("VLOOKUP($B50,IMPORTRANGE(""https://docs.google.com/spreadsheets/d/1FYVlxGM-gYXe-QaL0HOSFmUpogUrsx0e6DntOW4RH1o/edit#gid=2017480677"",""Preguntas!E2:J""),4,false)"),"Trabajo Infantil-General")</f>
        <v>Trabajo Infantil-General</v>
      </c>
    </row>
    <row r="51">
      <c r="A51" s="15" t="str">
        <f>IFERROR(__xludf.DUMMYFUNCTION("""COMPUTED_VALUE"""),"H072")</f>
        <v>H072</v>
      </c>
      <c r="B51" s="15" t="str">
        <f>IFERROR(__xludf.DUMMYFUNCTION("""COMPUTED_VALUE"""),"Ademas de la Escuela, ¿Realizas otras actividades fuera del hogar?")</f>
        <v>Ademas de la Escuela, ¿Realizas otras actividades fuera del hogar?</v>
      </c>
      <c r="C51" s="15" t="str">
        <f>IFERROR(__xludf.DUMMYFUNCTION("VLOOKUP($B51,IMPORTRANGE(""https://docs.google.com/spreadsheets/d/1FYVlxGM-gYXe-QaL0HOSFmUpogUrsx0e6DntOW4RH1o/edit#gid=2017480677"",""Preguntas!E2:J""),2,false)"),"Si; No")</f>
        <v>Si; No</v>
      </c>
      <c r="D51" s="15" t="str">
        <f>IFERROR(__xludf.DUMMYFUNCTION("VLOOKUP($B51,IMPORTRANGE(""https://docs.google.com/spreadsheets/d/1FYVlxGM-gYXe-QaL0HOSFmUpogUrsx0e6DntOW4RH1o/edit#gid=2017480677"",""Preguntas!E2:J""),4,false)"),"Tiempo Libre-General")</f>
        <v>Tiempo Libre-General</v>
      </c>
    </row>
    <row r="52">
      <c r="A52" s="14" t="str">
        <f>IFERROR(__xludf.DUMMYFUNCTION("""COMPUTED_VALUE"""),"H074")</f>
        <v>H074</v>
      </c>
      <c r="B52" s="14" t="str">
        <f>IFERROR(__xludf.DUMMYFUNCTION("""COMPUTED_VALUE"""),"¿Realizás algún tipo de actividad física?")</f>
        <v>¿Realizás algún tipo de actividad física?</v>
      </c>
      <c r="C52" s="14" t="str">
        <f>IFERROR(__xludf.DUMMYFUNCTION("VLOOKUP($B52,IMPORTRANGE(""https://docs.google.com/spreadsheets/d/1FYVlxGM-gYXe-QaL0HOSFmUpogUrsx0e6DntOW4RH1o/edit#gid=2017480677"",""Preguntas!E2:J""),2,false)"),"Si; No")</f>
        <v>Si; No</v>
      </c>
      <c r="D52" s="14" t="str">
        <f>IFERROR(__xludf.DUMMYFUNCTION("VLOOKUP($B52,IMPORTRANGE(""https://docs.google.com/spreadsheets/d/1FYVlxGM-gYXe-QaL0HOSFmUpogUrsx0e6DntOW4RH1o/edit#gid=2017480677"",""Preguntas!E2:J""),4,false)"),"Tiempo Libre-General")</f>
        <v>Tiempo Libre-General</v>
      </c>
    </row>
    <row r="53">
      <c r="A53" s="15" t="str">
        <f>IFERROR(__xludf.DUMMYFUNCTION("""COMPUTED_VALUE"""),"H075")</f>
        <v>H075</v>
      </c>
      <c r="B53" s="15" t="str">
        <f>IFERROR(__xludf.DUMMYFUNCTION("""COMPUTED_VALUE"""),"¿Cuantas horas a la semana dedicas a la act. Física?")</f>
        <v>¿Cuantas horas a la semana dedicas a la act. Física?</v>
      </c>
      <c r="C53" s="15" t="str">
        <f>IFERROR(__xludf.DUMMYFUNCTION("VLOOKUP($B53,IMPORTRANGE(""https://docs.google.com/spreadsheets/d/1FYVlxGM-gYXe-QaL0HOSFmUpogUrsx0e6DntOW4RH1o/edit#gid=2017480677"",""Preguntas!E2:J""),2,false)"),"Menos de 1 hora por semana; Entre 1 y 2 horas por semana; Entre 3 y 4 horas por semana; Entre 4 y 5 horas por semana; 6 horas o mas por semana")</f>
        <v>Menos de 1 hora por semana; Entre 1 y 2 horas por semana; Entre 3 y 4 horas por semana; Entre 4 y 5 horas por semana; 6 horas o mas por semana</v>
      </c>
      <c r="D53" s="15" t="str">
        <f>IFERROR(__xludf.DUMMYFUNCTION("VLOOKUP($B53,IMPORTRANGE(""https://docs.google.com/spreadsheets/d/1FYVlxGM-gYXe-QaL0HOSFmUpogUrsx0e6DntOW4RH1o/edit#gid=2017480677"",""Preguntas!E2:J""),4,false)"),"Tiempo Libre-General")</f>
        <v>Tiempo Libre-General</v>
      </c>
    </row>
    <row r="54">
      <c r="A54" s="14" t="str">
        <f>IFERROR(__xludf.DUMMYFUNCTION("""COMPUTED_VALUE"""),"H076")</f>
        <v>H076</v>
      </c>
      <c r="B54" s="14" t="str">
        <f>IFERROR(__xludf.DUMMYFUNCTION("""COMPUTED_VALUE"""),"¿Formás parte de algún grupo, club, comunidad, circulo social, deportivo, religioso, cultural o de ayuda social?")</f>
        <v>¿Formás parte de algún grupo, club, comunidad, circulo social, deportivo, religioso, cultural o de ayuda social?</v>
      </c>
      <c r="C54" s="14" t="str">
        <f>IFERROR(__xludf.DUMMYFUNCTION("VLOOKUP($B54,IMPORTRANGE(""https://docs.google.com/spreadsheets/d/1FYVlxGM-gYXe-QaL0HOSFmUpogUrsx0e6DntOW4RH1o/edit#gid=2017480677"",""Preguntas!E2:J""),2,false)"),"Si; No")</f>
        <v>Si; No</v>
      </c>
      <c r="D54" s="14" t="str">
        <f>IFERROR(__xludf.DUMMYFUNCTION("VLOOKUP($B54,IMPORTRANGE(""https://docs.google.com/spreadsheets/d/1FYVlxGM-gYXe-QaL0HOSFmUpogUrsx0e6DntOW4RH1o/edit#gid=2017480677"",""Preguntas!E2:J""),4,false)"),"Ámbitos protectores-Pares")</f>
        <v>Ámbitos protectores-Pares</v>
      </c>
    </row>
    <row r="55">
      <c r="A55" s="15" t="str">
        <f>IFERROR(__xludf.DUMMYFUNCTION("""COMPUTED_VALUE"""),"H077")</f>
        <v>H077</v>
      </c>
      <c r="B55" s="15" t="str">
        <f>IFERROR(__xludf.DUMMYFUNCTION("""COMPUTED_VALUE"""),"Si la respuesta es SI, ¿De que tipo?")</f>
        <v>Si la respuesta es SI, ¿De que tipo?</v>
      </c>
      <c r="C55" s="15" t="str">
        <f>IFERROR(__xludf.DUMMYFUNCTION("VLOOKUP($B55,IMPORTRANGE(""https://docs.google.com/spreadsheets/d/1FYVlxGM-gYXe-QaL0HOSFmUpogUrsx0e6DntOW4RH1o/edit#gid=2017480677"",""Preguntas!E2:J""),2,false)"),"Deportivo; Cultural; De ayuda Social; Religioso; Comunitario")</f>
        <v>Deportivo; Cultural; De ayuda Social; Religioso; Comunitario</v>
      </c>
      <c r="D55" s="15" t="str">
        <f>IFERROR(__xludf.DUMMYFUNCTION("VLOOKUP($B55,IMPORTRANGE(""https://docs.google.com/spreadsheets/d/1FYVlxGM-gYXe-QaL0HOSFmUpogUrsx0e6DntOW4RH1o/edit#gid=2017480677"",""Preguntas!E2:J""),4,false)"),"Ámbitos protectores-Pares")</f>
        <v>Ámbitos protectores-Pares</v>
      </c>
    </row>
    <row r="56">
      <c r="A56" s="14" t="str">
        <f>IFERROR(__xludf.DUMMYFUNCTION("""COMPUTED_VALUE"""),"H078")</f>
        <v>H078</v>
      </c>
      <c r="B56" s="14" t="str">
        <f>IFERROR(__xludf.DUMMYFUNCTION("""COMPUTED_VALUE"""),"¿Tenes amigos?")</f>
        <v>¿Tenes amigos?</v>
      </c>
      <c r="C56" s="14" t="str">
        <f>IFERROR(__xludf.DUMMYFUNCTION("VLOOKUP($B56,IMPORTRANGE(""https://docs.google.com/spreadsheets/d/1FYVlxGM-gYXe-QaL0HOSFmUpogUrsx0e6DntOW4RH1o/edit#gid=2017480677"",""Preguntas!E2:J""),2,false)"),"Si; No")</f>
        <v>Si; No</v>
      </c>
      <c r="D56" s="14" t="str">
        <f>IFERROR(__xludf.DUMMYFUNCTION("VLOOKUP($B56,IMPORTRANGE(""https://docs.google.com/spreadsheets/d/1FYVlxGM-gYXe-QaL0HOSFmUpogUrsx0e6DntOW4RH1o/edit#gid=2017480677"",""Preguntas!E2:J""),4,false)"),"Ámbitos protectores-Pares")</f>
        <v>Ámbitos protectores-Pares</v>
      </c>
    </row>
    <row r="57">
      <c r="A57" s="15" t="str">
        <f>IFERROR(__xludf.DUMMYFUNCTION("""COMPUTED_VALUE"""),"H079")</f>
        <v>H079</v>
      </c>
      <c r="B57" s="15" t="str">
        <f>IFERROR(__xludf.DUMMYFUNCTION("""COMPUTED_VALUE"""),"¿En cual de los siguientes ámbitos te sentís MAS seguro? ")</f>
        <v>¿En cual de los siguientes ámbitos te sentís MAS seguro? </v>
      </c>
      <c r="C57" s="15" t="str">
        <f>IFERROR(__xludf.DUMMYFUNCTION("VLOOKUP($B57,IMPORTRANGE(""https://docs.google.com/spreadsheets/d/1FYVlxGM-gYXe-QaL0HOSFmUpogUrsx0e6DntOW4RH1o/edit#gid=2017480677"",""Preguntas!E2:J""),2,false)"),"Hogar; Escuela; Iglesia; Club; Calle; Casa de familiar; Casa de amigos")</f>
        <v>Hogar; Escuela; Iglesia; Club; Calle; Casa de familiar; Casa de amigos</v>
      </c>
      <c r="D57" s="15" t="str">
        <f>IFERROR(__xludf.DUMMYFUNCTION("VLOOKUP($B57,IMPORTRANGE(""https://docs.google.com/spreadsheets/d/1FYVlxGM-gYXe-QaL0HOSFmUpogUrsx0e6DntOW4RH1o/edit#gid=2017480677"",""Preguntas!E2:J""),4,false)"),"Ámbitos protectores-Comunidad")</f>
        <v>Ámbitos protectores-Comunidad</v>
      </c>
    </row>
    <row r="58">
      <c r="A58" s="14" t="str">
        <f>IFERROR(__xludf.DUMMYFUNCTION("""COMPUTED_VALUE"""),"H080")</f>
        <v>H080</v>
      </c>
      <c r="B58" s="14" t="str">
        <f>IFERROR(__xludf.DUMMYFUNCTION("""COMPUTED_VALUE"""),"¿En cual de los siguientes ámbitos te sentís MENOS seguro?")</f>
        <v>¿En cual de los siguientes ámbitos te sentís MENOS seguro?</v>
      </c>
      <c r="C58" s="14" t="str">
        <f>IFERROR(__xludf.DUMMYFUNCTION("VLOOKUP($B58,IMPORTRANGE(""https://docs.google.com/spreadsheets/d/1FYVlxGM-gYXe-QaL0HOSFmUpogUrsx0e6DntOW4RH1o/edit#gid=2017480677"",""Preguntas!E2:J""),2,false)"),"Escuela; Hogar; Iglesia; Club; Calle; Casa de familiar; Casa de amigos")</f>
        <v>Escuela; Hogar; Iglesia; Club; Calle; Casa de familiar; Casa de amigos</v>
      </c>
      <c r="D58" s="14" t="str">
        <f>IFERROR(__xludf.DUMMYFUNCTION("VLOOKUP($B58,IMPORTRANGE(""https://docs.google.com/spreadsheets/d/1FYVlxGM-gYXe-QaL0HOSFmUpogUrsx0e6DntOW4RH1o/edit#gid=2017480677"",""Preguntas!E2:J""),4,false)"),"Ámbitos protectores-Comunidad")</f>
        <v>Ámbitos protectores-Comunidad</v>
      </c>
    </row>
    <row r="59">
      <c r="A59" s="15" t="str">
        <f>IFERROR(__xludf.DUMMYFUNCTION("""COMPUTED_VALUE"""),"H081")</f>
        <v>H081</v>
      </c>
      <c r="B59" s="15" t="str">
        <f>IFERROR(__xludf.DUMMYFUNCTION("""COMPUTED_VALUE"""),"La ayuda de un profesional (como puede ser un tutor, consejero, terapeuta) es algo muy común en chicos de tu edad, ¿Vos sentís que necesitas ayuda de alguien para  trabajar tus problemas? ")</f>
        <v>La ayuda de un profesional (como puede ser un tutor, consejero, terapeuta) es algo muy común en chicos de tu edad, ¿Vos sentís que necesitas ayuda de alguien para  trabajar tus problemas? </v>
      </c>
      <c r="C59" s="15" t="str">
        <f>IFERROR(__xludf.DUMMYFUNCTION("VLOOKUP($B59,IMPORTRANGE(""https://docs.google.com/spreadsheets/d/1FYVlxGM-gYXe-QaL0HOSFmUpogUrsx0e6DntOW4RH1o/edit#gid=2017480677"",""Preguntas!E2:J""),2,false)"),"Si; No")</f>
        <v>Si; No</v>
      </c>
      <c r="D59" s="15" t="str">
        <f>IFERROR(__xludf.DUMMYFUNCTION("VLOOKUP($B59,IMPORTRANGE(""https://docs.google.com/spreadsheets/d/1FYVlxGM-gYXe-QaL0HOSFmUpogUrsx0e6DntOW4RH1o/edit#gid=2017480677"",""Preguntas!E2:J""),4,false)"),"Salud-Mental")</f>
        <v>Salud-Mental</v>
      </c>
    </row>
    <row r="60">
      <c r="A60" s="14" t="str">
        <f>IFERROR(__xludf.DUMMYFUNCTION("""COMPUTED_VALUE"""),"H082")</f>
        <v>H082</v>
      </c>
      <c r="B60" s="14" t="str">
        <f>IFERROR(__xludf.DUMMYFUNCTION("""COMPUTED_VALUE"""),"Del 1 al 5, ¿Cuan Feliz te sentís en tu vida?")</f>
        <v>Del 1 al 5, ¿Cuan Feliz te sentís en tu vida?</v>
      </c>
      <c r="C60" s="14" t="str">
        <f>IFERROR(__xludf.DUMMYFUNCTION("VLOOKUP($B60,IMPORTRANGE(""https://docs.google.com/spreadsheets/d/1FYVlxGM-gYXe-QaL0HOSFmUpogUrsx0e6DntOW4RH1o/edit#gid=2017480677"",""Preguntas!E2:J""),2,false)"),"1; 2; 3; 4; 5")</f>
        <v>1; 2; 3; 4; 5</v>
      </c>
      <c r="D60" s="14" t="str">
        <f>IFERROR(__xludf.DUMMYFUNCTION("VLOOKUP($B60,IMPORTRANGE(""https://docs.google.com/spreadsheets/d/1FYVlxGM-gYXe-QaL0HOSFmUpogUrsx0e6DntOW4RH1o/edit#gid=2017480677"",""Preguntas!E2:J""),4,false)"),"Salud-Mental")</f>
        <v>Salud-Mental</v>
      </c>
    </row>
    <row r="61">
      <c r="A61" s="15" t="str">
        <f>IFERROR(__xludf.DUMMYFUNCTION("""COMPUTED_VALUE"""),"H083")</f>
        <v>H083</v>
      </c>
      <c r="B61" s="15" t="str">
        <f>IFERROR(__xludf.DUMMYFUNCTION("""COMPUTED_VALUE"""),"Del 1 al 5, ¿Cuan conforme te sentis con vos mismo?")</f>
        <v>Del 1 al 5, ¿Cuan conforme te sentis con vos mismo?</v>
      </c>
      <c r="C61" s="15" t="str">
        <f>IFERROR(__xludf.DUMMYFUNCTION("VLOOKUP($B61,IMPORTRANGE(""https://docs.google.com/spreadsheets/d/1FYVlxGM-gYXe-QaL0HOSFmUpogUrsx0e6DntOW4RH1o/edit#gid=2017480677"",""Preguntas!E2:J""),2,false)"),"1; 2; 3; 4; 5")</f>
        <v>1; 2; 3; 4; 5</v>
      </c>
      <c r="D61" s="15" t="str">
        <f>IFERROR(__xludf.DUMMYFUNCTION("VLOOKUP($B61,IMPORTRANGE(""https://docs.google.com/spreadsheets/d/1FYVlxGM-gYXe-QaL0HOSFmUpogUrsx0e6DntOW4RH1o/edit#gid=2017480677"",""Preguntas!E2:J""),4,false)"),"Salud-Mental")</f>
        <v>Salud-Mental</v>
      </c>
    </row>
    <row r="62">
      <c r="A62" s="14" t="str">
        <f>IFERROR(__xludf.DUMMYFUNCTION("""COMPUTED_VALUE"""),"H084")</f>
        <v>H084</v>
      </c>
      <c r="B62" s="14" t="str">
        <f>IFERROR(__xludf.DUMMYFUNCTION("""COMPUTED_VALUE"""),"Del 1 al 5, ¿Cuan conforme te sentis con tu cuerpo?")</f>
        <v>Del 1 al 5, ¿Cuan conforme te sentis con tu cuerpo?</v>
      </c>
      <c r="C62" s="14" t="str">
        <f>IFERROR(__xludf.DUMMYFUNCTION("VLOOKUP($B62,IMPORTRANGE(""https://docs.google.com/spreadsheets/d/1FYVlxGM-gYXe-QaL0HOSFmUpogUrsx0e6DntOW4RH1o/edit#gid=2017480677"",""Preguntas!E2:J""),2,false)"),"1; 2; 3; 4; 5")</f>
        <v>1; 2; 3; 4; 5</v>
      </c>
      <c r="D62" s="14" t="str">
        <f>IFERROR(__xludf.DUMMYFUNCTION("VLOOKUP($B62,IMPORTRANGE(""https://docs.google.com/spreadsheets/d/1FYVlxGM-gYXe-QaL0HOSFmUpogUrsx0e6DntOW4RH1o/edit#gid=2017480677"",""Preguntas!E2:J""),4,false)"),"Salud-Mental")</f>
        <v>Salud-Mental</v>
      </c>
    </row>
    <row r="63">
      <c r="A63" s="15" t="str">
        <f>IFERROR(__xludf.DUMMYFUNCTION("""COMPUTED_VALUE"""),"H085")</f>
        <v>H085</v>
      </c>
      <c r="B63" s="15" t="str">
        <f>IFERROR(__xludf.DUMMYFUNCTION("""COMPUTED_VALUE"""),"Del 1 al 5, ¿ Cuan querido te sentís por los adultos?")</f>
        <v>Del 1 al 5, ¿ Cuan querido te sentís por los adultos?</v>
      </c>
      <c r="C63" s="15" t="str">
        <f>IFERROR(__xludf.DUMMYFUNCTION("VLOOKUP($B63,IMPORTRANGE(""https://docs.google.com/spreadsheets/d/1FYVlxGM-gYXe-QaL0HOSFmUpogUrsx0e6DntOW4RH1o/edit#gid=2017480677"",""Preguntas!E2:J""),2,false)"),"1; 2; 3; 4; 5")</f>
        <v>1; 2; 3; 4; 5</v>
      </c>
      <c r="D63" s="15" t="str">
        <f>IFERROR(__xludf.DUMMYFUNCTION("VLOOKUP($B63,IMPORTRANGE(""https://docs.google.com/spreadsheets/d/1FYVlxGM-gYXe-QaL0HOSFmUpogUrsx0e6DntOW4RH1o/edit#gid=2017480677"",""Preguntas!E2:J""),4,false)"),"Salud-Mental")</f>
        <v>Salud-Mental</v>
      </c>
    </row>
    <row r="64">
      <c r="A64" s="14" t="str">
        <f>IFERROR(__xludf.DUMMYFUNCTION("""COMPUTED_VALUE"""),"H086")</f>
        <v>H086</v>
      </c>
      <c r="B64" s="14" t="str">
        <f>IFERROR(__xludf.DUMMYFUNCTION("""COMPUTED_VALUE"""),"¿Cuan querido te sentís por tus compañeros y amigos?")</f>
        <v>¿Cuan querido te sentís por tus compañeros y amigos?</v>
      </c>
      <c r="C64" s="14" t="str">
        <f>IFERROR(__xludf.DUMMYFUNCTION("VLOOKUP($B64,IMPORTRANGE(""https://docs.google.com/spreadsheets/d/1FYVlxGM-gYXe-QaL0HOSFmUpogUrsx0e6DntOW4RH1o/edit#gid=2017480677"",""Preguntas!E2:J""),2,false)"),"1; 2; 3; 4; 5")</f>
        <v>1; 2; 3; 4; 5</v>
      </c>
      <c r="D64" s="14" t="str">
        <f>IFERROR(__xludf.DUMMYFUNCTION("VLOOKUP($B64,IMPORTRANGE(""https://docs.google.com/spreadsheets/d/1FYVlxGM-gYXe-QaL0HOSFmUpogUrsx0e6DntOW4RH1o/edit#gid=2017480677"",""Preguntas!E2:J""),4,false)"),"Salud-Mental")</f>
        <v>Salud-Mental</v>
      </c>
    </row>
    <row r="65">
      <c r="A65" s="15" t="str">
        <f>IFERROR(__xludf.DUMMYFUNCTION("""COMPUTED_VALUE"""),"H087")</f>
        <v>H087</v>
      </c>
      <c r="B65" s="15" t="str">
        <f>IFERROR(__xludf.DUMMYFUNCTION("""COMPUTED_VALUE"""),"¿Experimentaste alguna vez deseos de lastimarte o dejar de vivir?")</f>
        <v>¿Experimentaste alguna vez deseos de lastimarte o dejar de vivir?</v>
      </c>
      <c r="C65" s="15" t="str">
        <f>IFERROR(__xludf.DUMMYFUNCTION("VLOOKUP($B65,IMPORTRANGE(""https://docs.google.com/spreadsheets/d/1FYVlxGM-gYXe-QaL0HOSFmUpogUrsx0e6DntOW4RH1o/edit#gid=2017480677"",""Preguntas!E2:J""),2,false)"),"Si; No")</f>
        <v>Si; No</v>
      </c>
      <c r="D65" s="15" t="str">
        <f>IFERROR(__xludf.DUMMYFUNCTION("VLOOKUP($B65,IMPORTRANGE(""https://docs.google.com/spreadsheets/d/1FYVlxGM-gYXe-QaL0HOSFmUpogUrsx0e6DntOW4RH1o/edit#gid=2017480677"",""Preguntas!E2:J""),4,false)"),"Salud-Mental")</f>
        <v>Salud-Mental</v>
      </c>
    </row>
    <row r="66">
      <c r="A66" s="14" t="str">
        <f>IFERROR(__xludf.DUMMYFUNCTION("""COMPUTED_VALUE"""),"H088")</f>
        <v>H088</v>
      </c>
      <c r="B66" s="14" t="str">
        <f>IFERROR(__xludf.DUMMYFUNCTION("""COMPUTED_VALUE"""),"¿Intentaste lastimarte a propósito alguna vez?")</f>
        <v>¿Intentaste lastimarte a propósito alguna vez?</v>
      </c>
      <c r="C66" s="14" t="str">
        <f>IFERROR(__xludf.DUMMYFUNCTION("VLOOKUP($B66,IMPORTRANGE(""https://docs.google.com/spreadsheets/d/1FYVlxGM-gYXe-QaL0HOSFmUpogUrsx0e6DntOW4RH1o/edit#gid=2017480677"",""Preguntas!E2:J""),2,false)"),"Si; No")</f>
        <v>Si; No</v>
      </c>
      <c r="D66" s="14" t="str">
        <f>IFERROR(__xludf.DUMMYFUNCTION("VLOOKUP($B66,IMPORTRANGE(""https://docs.google.com/spreadsheets/d/1FYVlxGM-gYXe-QaL0HOSFmUpogUrsx0e6DntOW4RH1o/edit#gid=2017480677"",""Preguntas!E2:J""),4,false)"),"Salud-Mental")</f>
        <v>Salud-Mental</v>
      </c>
    </row>
    <row r="67">
      <c r="A67" s="15" t="str">
        <f>IFERROR(__xludf.DUMMYFUNCTION("""COMPUTED_VALUE"""),"H089")</f>
        <v>H089</v>
      </c>
      <c r="B67" s="15" t="str">
        <f>IFERROR(__xludf.DUMMYFUNCTION("""COMPUTED_VALUE"""),"¿Tenés hijos?")</f>
        <v>¿Tenés hijos?</v>
      </c>
      <c r="C67" s="15" t="str">
        <f>IFERROR(__xludf.DUMMYFUNCTION("VLOOKUP($B67,IMPORTRANGE(""https://docs.google.com/spreadsheets/d/1FYVlxGM-gYXe-QaL0HOSFmUpogUrsx0e6DntOW4RH1o/edit#gid=2017480677"",""Preguntas!E2:J""),2,false)"),"Si; No")</f>
        <v>Si; No</v>
      </c>
      <c r="D67" s="15" t="str">
        <f>IFERROR(__xludf.DUMMYFUNCTION("VLOOKUP($B67,IMPORTRANGE(""https://docs.google.com/spreadsheets/d/1FYVlxGM-gYXe-QaL0HOSFmUpogUrsx0e6DntOW4RH1o/edit#gid=2017480677"",""Preguntas!E2:J""),4,false)"),"Salud-Sexual")</f>
        <v>Salud-Sexual</v>
      </c>
    </row>
    <row r="68">
      <c r="A68" s="14" t="str">
        <f>IFERROR(__xludf.DUMMYFUNCTION("""COMPUTED_VALUE"""),"H090")</f>
        <v>H090</v>
      </c>
      <c r="B68" s="14" t="str">
        <f>IFERROR(__xludf.DUMMYFUNCTION("""COMPUTED_VALUE"""),"¿Estuviste embarazada? (si es mujer) ¿Dejaste embarazada a alguna chica alguna vez? (si es varón)")</f>
        <v>¿Estuviste embarazada? (si es mujer) ¿Dejaste embarazada a alguna chica alguna vez? (si es varón)</v>
      </c>
      <c r="C68" s="14" t="str">
        <f>IFERROR(__xludf.DUMMYFUNCTION("VLOOKUP($B68,IMPORTRANGE(""https://docs.google.com/spreadsheets/d/1FYVlxGM-gYXe-QaL0HOSFmUpogUrsx0e6DntOW4RH1o/edit#gid=2017480677"",""Preguntas!E2:J""),2,false)"),"Si; No")</f>
        <v>Si; No</v>
      </c>
      <c r="D68" s="14" t="str">
        <f>IFERROR(__xludf.DUMMYFUNCTION("VLOOKUP($B68,IMPORTRANGE(""https://docs.google.com/spreadsheets/d/1FYVlxGM-gYXe-QaL0HOSFmUpogUrsx0e6DntOW4RH1o/edit#gid=2017480677"",""Preguntas!E2:J""),4,false)"),"Salud-Sexual")</f>
        <v>Salud-Sexual</v>
      </c>
    </row>
    <row r="69">
      <c r="A69" s="15" t="str">
        <f>IFERROR(__xludf.DUMMYFUNCTION("""COMPUTED_VALUE"""),"H091")</f>
        <v>H091</v>
      </c>
      <c r="B69" s="15" t="str">
        <f>IFERROR(__xludf.DUMMYFUNCTION("""COMPUTED_VALUE"""),"¿Tenes amigos que consumen regularmente alcohol?")</f>
        <v>¿Tenes amigos que consumen regularmente alcohol?</v>
      </c>
      <c r="C69" s="15" t="str">
        <f>IFERROR(__xludf.DUMMYFUNCTION("VLOOKUP($B69,IMPORTRANGE(""https://docs.google.com/spreadsheets/d/1FYVlxGM-gYXe-QaL0HOSFmUpogUrsx0e6DntOW4RH1o/edit#gid=2017480677"",""Preguntas!E2:J""),2,false)"),"Si; No")</f>
        <v>Si; No</v>
      </c>
      <c r="D69" s="15" t="str">
        <f>IFERROR(__xludf.DUMMYFUNCTION("VLOOKUP($B69,IMPORTRANGE(""https://docs.google.com/spreadsheets/d/1FYVlxGM-gYXe-QaL0HOSFmUpogUrsx0e6DntOW4RH1o/edit#gid=2017480677"",""Preguntas!E2:J""),4,false)"),"Ámbitos protectores-Pares")</f>
        <v>Ámbitos protectores-Pares</v>
      </c>
    </row>
    <row r="70">
      <c r="A70" s="14" t="str">
        <f>IFERROR(__xludf.DUMMYFUNCTION("""COMPUTED_VALUE"""),"H092")</f>
        <v>H092</v>
      </c>
      <c r="B70" s="14" t="str">
        <f>IFERROR(__xludf.DUMMYFUNCTION("""COMPUTED_VALUE"""),"¿Tenes amigos que consumen regularmente drogas?")</f>
        <v>¿Tenes amigos que consumen regularmente drogas?</v>
      </c>
      <c r="C70" s="14" t="str">
        <f>IFERROR(__xludf.DUMMYFUNCTION("VLOOKUP($B70,IMPORTRANGE(""https://docs.google.com/spreadsheets/d/1FYVlxGM-gYXe-QaL0HOSFmUpogUrsx0e6DntOW4RH1o/edit#gid=2017480677"",""Preguntas!E2:J""),2,false)"),"Si; No")</f>
        <v>Si; No</v>
      </c>
      <c r="D70" s="14" t="str">
        <f>IFERROR(__xludf.DUMMYFUNCTION("VLOOKUP($B70,IMPORTRANGE(""https://docs.google.com/spreadsheets/d/1FYVlxGM-gYXe-QaL0HOSFmUpogUrsx0e6DntOW4RH1o/edit#gid=2017480677"",""Preguntas!E2:J""),4,false)"),"Ámbitos protectores-Pares")</f>
        <v>Ámbitos protectores-Pares</v>
      </c>
    </row>
    <row r="71">
      <c r="A71" s="15" t="str">
        <f>IFERROR(__xludf.DUMMYFUNCTION("""COMPUTED_VALUE"""),"H093")</f>
        <v>H093</v>
      </c>
      <c r="B71" s="15" t="str">
        <f>IFERROR(__xludf.DUMMYFUNCTION("""COMPUTED_VALUE"""),"¿Consumiste alguna vez alcohol?")</f>
        <v>¿Consumiste alguna vez alcohol?</v>
      </c>
      <c r="C71" s="15" t="str">
        <f>IFERROR(__xludf.DUMMYFUNCTION("VLOOKUP($B71,IMPORTRANGE(""https://docs.google.com/spreadsheets/d/1FYVlxGM-gYXe-QaL0HOSFmUpogUrsx0e6DntOW4RH1o/edit#gid=2017480677"",""Preguntas!E2:J""),2,false)"),"Si; No")</f>
        <v>Si; No</v>
      </c>
      <c r="D71" s="15" t="str">
        <f>IFERROR(__xludf.DUMMYFUNCTION("VLOOKUP($B71,IMPORTRANGE(""https://docs.google.com/spreadsheets/d/1FYVlxGM-gYXe-QaL0HOSFmUpogUrsx0e6DntOW4RH1o/edit#gid=2017480677"",""Preguntas!E2:J""),4,false)"),"Ámbitos protectores-Pares")</f>
        <v>Ámbitos protectores-Pares</v>
      </c>
    </row>
    <row r="72">
      <c r="A72" s="14" t="str">
        <f>IFERROR(__xludf.DUMMYFUNCTION("""COMPUTED_VALUE"""),"H094")</f>
        <v>H094</v>
      </c>
      <c r="B72" s="14" t="str">
        <f>IFERROR(__xludf.DUMMYFUNCTION("""COMPUTED_VALUE"""),"Si contesto si la anterior: ¿Consumis regularmente alcohol?")</f>
        <v>Si contesto si la anterior: ¿Consumis regularmente alcohol?</v>
      </c>
      <c r="C72" s="14" t="str">
        <f>IFERROR(__xludf.DUMMYFUNCTION("VLOOKUP($B72,IMPORTRANGE(""https://docs.google.com/spreadsheets/d/1FYVlxGM-gYXe-QaL0HOSFmUpogUrsx0e6DntOW4RH1o/edit#gid=2017480677"",""Preguntas!E2:J""),2,false)"),"Si; No")</f>
        <v>Si; No</v>
      </c>
      <c r="D72" s="14" t="str">
        <f>IFERROR(__xludf.DUMMYFUNCTION("VLOOKUP($B72,IMPORTRANGE(""https://docs.google.com/spreadsheets/d/1FYVlxGM-gYXe-QaL0HOSFmUpogUrsx0e6DntOW4RH1o/edit#gid=2017480677"",""Preguntas!E2:J""),4,false)"),"Ámbitos protectores-Pares")</f>
        <v>Ámbitos protectores-Pares</v>
      </c>
    </row>
    <row r="73">
      <c r="A73" s="15" t="str">
        <f>IFERROR(__xludf.DUMMYFUNCTION("""COMPUTED_VALUE"""),"H095")</f>
        <v>H095</v>
      </c>
      <c r="B73" s="15" t="str">
        <f>IFERROR(__xludf.DUMMYFUNCTION("""COMPUTED_VALUE"""),"¿Consumiste alguna vez drogas?")</f>
        <v>¿Consumiste alguna vez drogas?</v>
      </c>
      <c r="C73" s="15" t="str">
        <f>IFERROR(__xludf.DUMMYFUNCTION("VLOOKUP($B73,IMPORTRANGE(""https://docs.google.com/spreadsheets/d/1FYVlxGM-gYXe-QaL0HOSFmUpogUrsx0e6DntOW4RH1o/edit#gid=2017480677"",""Preguntas!E2:J""),2,false)"),"Si; No")</f>
        <v>Si; No</v>
      </c>
      <c r="D73" s="15" t="str">
        <f>IFERROR(__xludf.DUMMYFUNCTION("VLOOKUP($B73,IMPORTRANGE(""https://docs.google.com/spreadsheets/d/1FYVlxGM-gYXe-QaL0HOSFmUpogUrsx0e6DntOW4RH1o/edit#gid=2017480677"",""Preguntas!E2:J""),4,false)"),"Ámbitos protectores-Pares")</f>
        <v>Ámbitos protectores-Pares</v>
      </c>
    </row>
    <row r="74">
      <c r="A74" s="14" t="str">
        <f>IFERROR(__xludf.DUMMYFUNCTION("""COMPUTED_VALUE"""),"H096")</f>
        <v>H096</v>
      </c>
      <c r="B74" s="14" t="str">
        <f>IFERROR(__xludf.DUMMYFUNCTION("""COMPUTED_VALUE"""),"Si contesto si la anterior:  ¿Consumis regularmente drogas?")</f>
        <v>Si contesto si la anterior:  ¿Consumis regularmente drogas?</v>
      </c>
      <c r="C74" s="14" t="str">
        <f>IFERROR(__xludf.DUMMYFUNCTION("VLOOKUP($B74,IMPORTRANGE(""https://docs.google.com/spreadsheets/d/1FYVlxGM-gYXe-QaL0HOSFmUpogUrsx0e6DntOW4RH1o/edit#gid=2017480677"",""Preguntas!E2:J""),2,false)"),"Si; No")</f>
        <v>Si; No</v>
      </c>
      <c r="D74" s="14" t="str">
        <f>IFERROR(__xludf.DUMMYFUNCTION("VLOOKUP($B74,IMPORTRANGE(""https://docs.google.com/spreadsheets/d/1FYVlxGM-gYXe-QaL0HOSFmUpogUrsx0e6DntOW4RH1o/edit#gid=2017480677"",""Preguntas!E2:J""),4,false)"),"Ámbitos protectores-Pares")</f>
        <v>Ámbitos protectores-Pares</v>
      </c>
    </row>
    <row r="75">
      <c r="A75" s="15" t="str">
        <f>IFERROR(__xludf.DUMMYFUNCTION("""COMPUTED_VALUE"""),"H097")</f>
        <v>H097</v>
      </c>
      <c r="B75" s="15" t="str">
        <f>IFERROR(__xludf.DUMMYFUNCTION("""COMPUTED_VALUE"""),"¿Participaste de alguna pelea en el último tiempo?")</f>
        <v>¿Participaste de alguna pelea en el último tiempo?</v>
      </c>
      <c r="C75" s="15" t="str">
        <f>IFERROR(__xludf.DUMMYFUNCTION("VLOOKUP($B75,IMPORTRANGE(""https://docs.google.com/spreadsheets/d/1FYVlxGM-gYXe-QaL0HOSFmUpogUrsx0e6DntOW4RH1o/edit#gid=2017480677"",""Preguntas!E2:J""),2,false)"),"Si; No")</f>
        <v>Si; No</v>
      </c>
      <c r="D75" s="15" t="str">
        <f>IFERROR(__xludf.DUMMYFUNCTION("VLOOKUP($B75,IMPORTRANGE(""https://docs.google.com/spreadsheets/d/1FYVlxGM-gYXe-QaL0HOSFmUpogUrsx0e6DntOW4RH1o/edit#gid=2017480677"",""Preguntas!E2:J""),4,false)"),"Ámbitos protectores-Pares")</f>
        <v>Ámbitos protectores-Pares</v>
      </c>
    </row>
    <row r="76">
      <c r="A76" s="14" t="str">
        <f>IFERROR(__xludf.DUMMYFUNCTION("""COMPUTED_VALUE"""),"H098")</f>
        <v>H098</v>
      </c>
      <c r="B76" s="14" t="str">
        <f>IFERROR(__xludf.DUMMYFUNCTION("""COMPUTED_VALUE"""),"¿Fuiste amenazado por alguien el último tiempo?")</f>
        <v>¿Fuiste amenazado por alguien el último tiempo?</v>
      </c>
      <c r="C76" s="14" t="str">
        <f>IFERROR(__xludf.DUMMYFUNCTION("VLOOKUP($B76,IMPORTRANGE(""https://docs.google.com/spreadsheets/d/1FYVlxGM-gYXe-QaL0HOSFmUpogUrsx0e6DntOW4RH1o/edit#gid=2017480677"",""Preguntas!E2:J""),2,false)"),"Si; No")</f>
        <v>Si; No</v>
      </c>
      <c r="D76" s="14" t="str">
        <f>IFERROR(__xludf.DUMMYFUNCTION("VLOOKUP($B76,IMPORTRANGE(""https://docs.google.com/spreadsheets/d/1FYVlxGM-gYXe-QaL0HOSFmUpogUrsx0e6DntOW4RH1o/edit#gid=2017480677"",""Preguntas!E2:J""),4,false)"),"Ámbitos protectores-Comunidad")</f>
        <v>Ámbitos protectores-Comunidad</v>
      </c>
    </row>
    <row r="77">
      <c r="A77" s="15" t="str">
        <f>IFERROR(__xludf.DUMMYFUNCTION("""COMPUTED_VALUE"""),"H099")</f>
        <v>H099</v>
      </c>
      <c r="B77" s="15" t="str">
        <f>IFERROR(__xludf.DUMMYFUNCTION("""COMPUTED_VALUE"""),"¿Fuiste asaltado el último tiempo?")</f>
        <v>¿Fuiste asaltado el último tiempo?</v>
      </c>
      <c r="C77" s="15" t="str">
        <f>IFERROR(__xludf.DUMMYFUNCTION("VLOOKUP($B77,IMPORTRANGE(""https://docs.google.com/spreadsheets/d/1FYVlxGM-gYXe-QaL0HOSFmUpogUrsx0e6DntOW4RH1o/edit#gid=2017480677"",""Preguntas!E2:J""),2,false)"),"Si; No")</f>
        <v>Si; No</v>
      </c>
      <c r="D77" s="15" t="str">
        <f>IFERROR(__xludf.DUMMYFUNCTION("VLOOKUP($B77,IMPORTRANGE(""https://docs.google.com/spreadsheets/d/1FYVlxGM-gYXe-QaL0HOSFmUpogUrsx0e6DntOW4RH1o/edit#gid=2017480677"",""Preguntas!E2:J""),4,false)"),"Ámbitos protectores-Comunidad")</f>
        <v>Ámbitos protectores-Comunidad</v>
      </c>
    </row>
    <row r="78">
      <c r="A78" s="14" t="str">
        <f>IFERROR(__xludf.DUMMYFUNCTION("""COMPUTED_VALUE"""),"H100")</f>
        <v>H100</v>
      </c>
      <c r="B78" s="14" t="str">
        <f>IFERROR(__xludf.DUMMYFUNCTION("""COMPUTED_VALUE"""),"¿Viajaste en un vehículo conducido por un menor el último tiempo?")</f>
        <v>¿Viajaste en un vehículo conducido por un menor el último tiempo?</v>
      </c>
      <c r="C78" s="14" t="str">
        <f>IFERROR(__xludf.DUMMYFUNCTION("VLOOKUP($B78,IMPORTRANGE(""https://docs.google.com/spreadsheets/d/1FYVlxGM-gYXe-QaL0HOSFmUpogUrsx0e6DntOW4RH1o/edit#gid=2017480677"",""Preguntas!E2:J""),2,false)"),"Si; No")</f>
        <v>Si; No</v>
      </c>
      <c r="D78" s="14" t="str">
        <f>IFERROR(__xludf.DUMMYFUNCTION("VLOOKUP($B78,IMPORTRANGE(""https://docs.google.com/spreadsheets/d/1FYVlxGM-gYXe-QaL0HOSFmUpogUrsx0e6DntOW4RH1o/edit#gid=2017480677"",""Preguntas!E2:J""),4,false)"),"Ámbitos protectores-Pares")</f>
        <v>Ámbitos protectores-Pares</v>
      </c>
    </row>
    <row r="79">
      <c r="A79" s="15" t="str">
        <f>IFERROR(__xludf.DUMMYFUNCTION("""COMPUTED_VALUE"""),"H101")</f>
        <v>H101</v>
      </c>
      <c r="B79" s="15" t="str">
        <f>IFERROR(__xludf.DUMMYFUNCTION("""COMPUTED_VALUE"""),"Sospecha ASI")</f>
        <v>Sospecha ASI</v>
      </c>
      <c r="C79" s="15" t="str">
        <f>IFERROR(__xludf.DUMMYFUNCTION("VLOOKUP($B79,IMPORTRANGE(""https://docs.google.com/spreadsheets/d/1FYVlxGM-gYXe-QaL0HOSFmUpogUrsx0e6DntOW4RH1o/edit#gid=2017480677"",""Preguntas!E2:J""),2,false)"),"Si; No")</f>
        <v>Si; No</v>
      </c>
      <c r="D79" s="15" t="str">
        <f>IFERROR(__xludf.DUMMYFUNCTION("VLOOKUP($B79,IMPORTRANGE(""https://docs.google.com/spreadsheets/d/1FYVlxGM-gYXe-QaL0HOSFmUpogUrsx0e6DntOW4RH1o/edit#gid=2017480677"",""Preguntas!E2:J""),4,false)"),"Sospechas-General")</f>
        <v>Sospechas-General</v>
      </c>
    </row>
    <row r="80">
      <c r="A80" s="14" t="str">
        <f>IFERROR(__xludf.DUMMYFUNCTION("""COMPUTED_VALUE"""),"H102")</f>
        <v>H102</v>
      </c>
      <c r="B80" s="14" t="str">
        <f>IFERROR(__xludf.DUMMYFUNCTION("""COMPUTED_VALUE"""),"Sospecha Maltrato")</f>
        <v>Sospecha Maltrato</v>
      </c>
      <c r="C80" s="14" t="str">
        <f>IFERROR(__xludf.DUMMYFUNCTION("VLOOKUP($B80,IMPORTRANGE(""https://docs.google.com/spreadsheets/d/1FYVlxGM-gYXe-QaL0HOSFmUpogUrsx0e6DntOW4RH1o/edit#gid=2017480677"",""Preguntas!E2:J""),2,false)"),"Si; No")</f>
        <v>Si; No</v>
      </c>
      <c r="D80" s="14" t="str">
        <f>IFERROR(__xludf.DUMMYFUNCTION("VLOOKUP($B80,IMPORTRANGE(""https://docs.google.com/spreadsheets/d/1FYVlxGM-gYXe-QaL0HOSFmUpogUrsx0e6DntOW4RH1o/edit#gid=2017480677"",""Preguntas!E2:J""),4,false)"),"Sospechas-General")</f>
        <v>Sospechas-General</v>
      </c>
    </row>
    <row r="81">
      <c r="A81" s="15" t="str">
        <f>IFERROR(__xludf.DUMMYFUNCTION("""COMPUTED_VALUE"""),"H103")</f>
        <v>H103</v>
      </c>
      <c r="B81" s="15" t="str">
        <f>IFERROR(__xludf.DUMMYFUNCTION("""COMPUTED_VALUE"""),"Sospecha Consumo problemático")</f>
        <v>Sospecha Consumo problemático</v>
      </c>
      <c r="C81" s="15" t="str">
        <f>IFERROR(__xludf.DUMMYFUNCTION("VLOOKUP($B81,IMPORTRANGE(""https://docs.google.com/spreadsheets/d/1FYVlxGM-gYXe-QaL0HOSFmUpogUrsx0e6DntOW4RH1o/edit#gid=2017480677"",""Preguntas!E2:J""),2,false)"),"Si; No")</f>
        <v>Si; No</v>
      </c>
      <c r="D81" s="15" t="str">
        <f>IFERROR(__xludf.DUMMYFUNCTION("VLOOKUP($B81,IMPORTRANGE(""https://docs.google.com/spreadsheets/d/1FYVlxGM-gYXe-QaL0HOSFmUpogUrsx0e6DntOW4RH1o/edit#gid=2017480677"",""Preguntas!E2:J""),4,false)"),"Sospechas-General")</f>
        <v>Sospechas-General</v>
      </c>
    </row>
    <row r="82">
      <c r="A82" s="14" t="str">
        <f>IFERROR(__xludf.DUMMYFUNCTION("""COMPUTED_VALUE"""),"H104")</f>
        <v>H104</v>
      </c>
      <c r="B82" s="14" t="str">
        <f>IFERROR(__xludf.DUMMYFUNCTION("""COMPUTED_VALUE"""),"Sospecha problemática emocional o psicológica (Requiere tratamiento)")</f>
        <v>Sospecha problemática emocional o psicológica (Requiere tratamiento)</v>
      </c>
      <c r="C82" s="14" t="str">
        <f>IFERROR(__xludf.DUMMYFUNCTION("VLOOKUP($B82,IMPORTRANGE(""https://docs.google.com/spreadsheets/d/1FYVlxGM-gYXe-QaL0HOSFmUpogUrsx0e6DntOW4RH1o/edit#gid=2017480677"",""Preguntas!E2:J""),2,false)"),"Si; No")</f>
        <v>Si; No</v>
      </c>
      <c r="D82" s="14" t="str">
        <f>IFERROR(__xludf.DUMMYFUNCTION("VLOOKUP($B82,IMPORTRANGE(""https://docs.google.com/spreadsheets/d/1FYVlxGM-gYXe-QaL0HOSFmUpogUrsx0e6DntOW4RH1o/edit#gid=2017480677"",""Preguntas!E2:J""),4,false)"),"Sospechas-General")</f>
        <v>Sospechas-General</v>
      </c>
    </row>
    <row r="83">
      <c r="A83" s="15" t="str">
        <f>IFERROR(__xludf.DUMMYFUNCTION("""COMPUTED_VALUE"""),"H105")</f>
        <v>H105</v>
      </c>
      <c r="B83" s="15" t="str">
        <f>IFERROR(__xludf.DUMMYFUNCTION("""COMPUTED_VALUE"""),"Sospecha de Riesgo para si mismo")</f>
        <v>Sospecha de Riesgo para si mismo</v>
      </c>
      <c r="C83" s="15" t="str">
        <f>IFERROR(__xludf.DUMMYFUNCTION("VLOOKUP($B83,IMPORTRANGE(""https://docs.google.com/spreadsheets/d/1FYVlxGM-gYXe-QaL0HOSFmUpogUrsx0e6DntOW4RH1o/edit#gid=2017480677"",""Preguntas!E2:J""),2,false)"),"Si; No")</f>
        <v>Si; No</v>
      </c>
      <c r="D83" s="15" t="str">
        <f>IFERROR(__xludf.DUMMYFUNCTION("VLOOKUP($B83,IMPORTRANGE(""https://docs.google.com/spreadsheets/d/1FYVlxGM-gYXe-QaL0HOSFmUpogUrsx0e6DntOW4RH1o/edit#gid=2017480677"",""Preguntas!E2:J""),4,false)"),"Sospechas-General")</f>
        <v>Sospechas-General</v>
      </c>
    </row>
    <row r="84">
      <c r="A84" s="14" t="str">
        <f>IFERROR(__xludf.DUMMYFUNCTION("""COMPUTED_VALUE"""),"H106")</f>
        <v>H106</v>
      </c>
      <c r="B84" s="14" t="str">
        <f>IFERROR(__xludf.DUMMYFUNCTION("""COMPUTED_VALUE"""),"Sospecha enfermedad o condición grave no tratada")</f>
        <v>Sospecha enfermedad o condición grave no tratada</v>
      </c>
      <c r="C84" s="14" t="str">
        <f>IFERROR(__xludf.DUMMYFUNCTION("VLOOKUP($B84,IMPORTRANGE(""https://docs.google.com/spreadsheets/d/1FYVlxGM-gYXe-QaL0HOSFmUpogUrsx0e6DntOW4RH1o/edit#gid=2017480677"",""Preguntas!E2:J""),2,false)"),"Si; No")</f>
        <v>Si; No</v>
      </c>
      <c r="D84" s="14" t="str">
        <f>IFERROR(__xludf.DUMMYFUNCTION("VLOOKUP($B84,IMPORTRANGE(""https://docs.google.com/spreadsheets/d/1FYVlxGM-gYXe-QaL0HOSFmUpogUrsx0e6DntOW4RH1o/edit#gid=2017480677"",""Preguntas!E2:J""),4,false)"),"Sospechas-General")</f>
        <v>Sospechas-General</v>
      </c>
    </row>
    <row r="85">
      <c r="A85" s="15" t="str">
        <f>IFERROR(__xludf.DUMMYFUNCTION("""COMPUTED_VALUE"""),"P009")</f>
        <v>P009</v>
      </c>
      <c r="B85" s="15" t="str">
        <f>IFERROR(__xludf.DUMMYFUNCTION("""COMPUTED_VALUE"""),"Relación con el niño")</f>
        <v>Relación con el niño</v>
      </c>
      <c r="C85" s="15" t="str">
        <f>IFERROR(__xludf.DUMMYFUNCTION("VLOOKUP($B85,IMPORTRANGE(""https://docs.google.com/spreadsheets/d/1FYVlxGM-gYXe-QaL0HOSFmUpogUrsx0e6DntOW4RH1o/edit#gid=2017480677"",""Preguntas!E2:J""),2,false)"),"Padre; Madre; Cuidador/ Tutor Legal; Abuelo")</f>
        <v>Padre; Madre; Cuidador/ Tutor Legal; Abuelo</v>
      </c>
      <c r="D85" s="15" t="str">
        <f>IFERROR(__xludf.DUMMYFUNCTION("VLOOKUP($B85,IMPORTRANGE(""https://docs.google.com/spreadsheets/d/1FYVlxGM-gYXe-QaL0HOSFmUpogUrsx0e6DntOW4RH1o/edit#gid=2017480677"",""Preguntas!E2:J""),4,false)"),"Datos Básicos-General")</f>
        <v>Datos Básicos-General</v>
      </c>
    </row>
    <row r="86">
      <c r="A86" s="14" t="str">
        <f>IFERROR(__xludf.DUMMYFUNCTION("""COMPUTED_VALUE"""),"P011")</f>
        <v>P011</v>
      </c>
      <c r="B86" s="14" t="str">
        <f>IFERROR(__xludf.DUMMYFUNCTION("""COMPUTED_VALUE"""),"Nacionalidad")</f>
        <v>Nacionalidad</v>
      </c>
      <c r="C86" s="14" t="str">
        <f>IFERROR(__xludf.DUMMYFUNCTION("VLOOKUP($B86,IMPORTRANGE(""https://docs.google.com/spreadsheets/d/1FYVlxGM-gYXe-QaL0HOSFmUpogUrsx0e6DntOW4RH1o/edit#gid=2017480677"",""Preguntas!E2:J""),2,false)"),"Argentina; Paraguaya; Boliviana; Chilena; Uruguaya; Brasileña; Otros")</f>
        <v>Argentina; Paraguaya; Boliviana; Chilena; Uruguaya; Brasileña; Otros</v>
      </c>
      <c r="D86" s="14" t="str">
        <f>IFERROR(__xludf.DUMMYFUNCTION("VLOOKUP($B86,IMPORTRANGE(""https://docs.google.com/spreadsheets/d/1FYVlxGM-gYXe-QaL0HOSFmUpogUrsx0e6DntOW4RH1o/edit#gid=2017480677"",""Preguntas!E2:J""),4,false)"),"Datos Básicos-General")</f>
        <v>Datos Básicos-General</v>
      </c>
    </row>
    <row r="87">
      <c r="A87" s="15" t="str">
        <f>IFERROR(__xludf.DUMMYFUNCTION("""COMPUTED_VALUE"""),"P016")</f>
        <v>P016</v>
      </c>
      <c r="B87" s="15" t="str">
        <f>IFERROR(__xludf.DUMMYFUNCTION("""COMPUTED_VALUE"""),"¿Hay otro adulto responsable? ( Padre o apoyo en la crianza)")</f>
        <v>¿Hay otro adulto responsable? ( Padre o apoyo en la crianza)</v>
      </c>
      <c r="C87" s="15" t="str">
        <f>IFERROR(__xludf.DUMMYFUNCTION("VLOOKUP($B87,IMPORTRANGE(""https://docs.google.com/spreadsheets/d/1FYVlxGM-gYXe-QaL0HOSFmUpogUrsx0e6DntOW4RH1o/edit#gid=2017480677"",""Preguntas!E2:J""),2,false)"),"Si; No")</f>
        <v>Si; No</v>
      </c>
      <c r="D87" s="15" t="str">
        <f>IFERROR(__xludf.DUMMYFUNCTION("VLOOKUP($B87,IMPORTRANGE(""https://docs.google.com/spreadsheets/d/1FYVlxGM-gYXe-QaL0HOSFmUpogUrsx0e6DntOW4RH1o/edit#gid=2017480677"",""Preguntas!E2:J""),4,false)"),"Familia-Estructura Familiar")</f>
        <v>Familia-Estructura Familiar</v>
      </c>
    </row>
    <row r="88">
      <c r="A88" s="14" t="str">
        <f>IFERROR(__xludf.DUMMYFUNCTION("""COMPUTED_VALUE"""),"P028")</f>
        <v>P028</v>
      </c>
      <c r="B88" s="14" t="str">
        <f>IFERROR(__xludf.DUMMYFUNCTION("""COMPUTED_VALUE"""),"¿Asiste el niño a la Escuela actualmente? (o ya finalizó la Escuela?)")</f>
        <v>¿Asiste el niño a la Escuela actualmente? (o ya finalizó la Escuela?)</v>
      </c>
      <c r="C88" s="14" t="str">
        <f>IFERROR(__xludf.DUMMYFUNCTION("VLOOKUP($B88,IMPORTRANGE(""https://docs.google.com/spreadsheets/d/1FYVlxGM-gYXe-QaL0HOSFmUpogUrsx0e6DntOW4RH1o/edit#gid=2017480677"",""Preguntas!E2:J""),2,false)"),"Si; No")</f>
        <v>Si; No</v>
      </c>
      <c r="D88" s="14" t="str">
        <f>IFERROR(__xludf.DUMMYFUNCTION("VLOOKUP($B88,IMPORTRANGE(""https://docs.google.com/spreadsheets/d/1FYVlxGM-gYXe-QaL0HOSFmUpogUrsx0e6DntOW4RH1o/edit#gid=2017480677"",""Preguntas!E2:J""),4,false)"),"Educación-General")</f>
        <v>Educación-General</v>
      </c>
    </row>
    <row r="89">
      <c r="A89" s="15" t="str">
        <f>IFERROR(__xludf.DUMMYFUNCTION("""COMPUTED_VALUE"""),"P032")</f>
        <v>P032</v>
      </c>
      <c r="B89" s="15" t="str">
        <f>IFERROR(__xludf.DUMMYFUNCTION("""COMPUTED_VALUE"""),"Ciclo")</f>
        <v>Ciclo</v>
      </c>
      <c r="C89" s="15" t="str">
        <f>IFERROR(__xludf.DUMMYFUNCTION("VLOOKUP($B89,IMPORTRANGE(""https://docs.google.com/spreadsheets/d/1FYVlxGM-gYXe-QaL0HOSFmUpogUrsx0e6DntOW4RH1o/edit#gid=2017480677"",""Preguntas!E2:J""),2,false)"),"Jardín; Primaria, Secundaria, Terciaria; Universitaria")</f>
        <v>Jardín; Primaria, Secundaria, Terciaria; Universitaria</v>
      </c>
      <c r="D89" s="15" t="str">
        <f>IFERROR(__xludf.DUMMYFUNCTION("VLOOKUP($B89,IMPORTRANGE(""https://docs.google.com/spreadsheets/d/1FYVlxGM-gYXe-QaL0HOSFmUpogUrsx0e6DntOW4RH1o/edit#gid=2017480677"",""Preguntas!E2:J""),4,false)"),"Educación-General")</f>
        <v>Educación-General</v>
      </c>
    </row>
    <row r="90">
      <c r="A90" s="14" t="str">
        <f>IFERROR(__xludf.DUMMYFUNCTION("""COMPUTED_VALUE"""),"P033")</f>
        <v>P033</v>
      </c>
      <c r="B90" s="14" t="str">
        <f>IFERROR(__xludf.DUMMYFUNCTION("""COMPUTED_VALUE"""),"Grado")</f>
        <v>Grado</v>
      </c>
      <c r="C90" s="14" t="str">
        <f>IFERROR(__xludf.DUMMYFUNCTION("VLOOKUP($B90,IMPORTRANGE(""https://docs.google.com/spreadsheets/d/1FYVlxGM-gYXe-QaL0HOSFmUpogUrsx0e6DntOW4RH1o/edit#gid=2017480677"",""Preguntas!E2:J""),2,false)"),"1º Grado; 2º Grado; 3º Grado; 4º Grado; 5º Grado; 6º Grado; 1º año; 2º año; 3ºaño; 4º año; 5º año; 6º año; Otro")</f>
        <v>1º Grado; 2º Grado; 3º Grado; 4º Grado; 5º Grado; 6º Grado; 1º año; 2º año; 3ºaño; 4º año; 5º año; 6º año; Otro</v>
      </c>
      <c r="D90" s="14" t="str">
        <f>IFERROR(__xludf.DUMMYFUNCTION("VLOOKUP($B90,IMPORTRANGE(""https://docs.google.com/spreadsheets/d/1FYVlxGM-gYXe-QaL0HOSFmUpogUrsx0e6DntOW4RH1o/edit#gid=2017480677"",""Preguntas!E2:J""),4,false)"),"Educación-General")</f>
        <v>Educación-General</v>
      </c>
    </row>
    <row r="91">
      <c r="A91" s="15" t="str">
        <f>IFERROR(__xludf.DUMMYFUNCTION("""COMPUTED_VALUE"""),"P034")</f>
        <v>P034</v>
      </c>
      <c r="B91" s="15" t="str">
        <f>IFERROR(__xludf.DUMMYFUNCTION("""COMPUTED_VALUE"""),"Turno")</f>
        <v>Turno</v>
      </c>
      <c r="C91" s="15" t="str">
        <f>IFERROR(__xludf.DUMMYFUNCTION("VLOOKUP($B91,IMPORTRANGE(""https://docs.google.com/spreadsheets/d/1FYVlxGM-gYXe-QaL0HOSFmUpogUrsx0e6DntOW4RH1o/edit#gid=2017480677"",""Preguntas!E2:J""),2,false)"),"Mañana; Tarde; Noche; Jornada Completa (Mañana y Tarde)")</f>
        <v>Mañana; Tarde; Noche; Jornada Completa (Mañana y Tarde)</v>
      </c>
      <c r="D91" s="15" t="str">
        <f>IFERROR(__xludf.DUMMYFUNCTION("VLOOKUP($B91,IMPORTRANGE(""https://docs.google.com/spreadsheets/d/1FYVlxGM-gYXe-QaL0HOSFmUpogUrsx0e6DntOW4RH1o/edit#gid=2017480677"",""Preguntas!E2:J""),4,false)"),"Educación-General")</f>
        <v>Educación-General</v>
      </c>
    </row>
    <row r="92">
      <c r="A92" s="14" t="str">
        <f>IFERROR(__xludf.DUMMYFUNCTION("""COMPUTED_VALUE"""),"P035")</f>
        <v>P035</v>
      </c>
      <c r="B92" s="14" t="str">
        <f>IFERROR(__xludf.DUMMYFUNCTION("""COMPUTED_VALUE"""),"Si NO asiste a la escuela. ¿Cual es el último grado/ año alcanzado?")</f>
        <v>Si NO asiste a la escuela. ¿Cual es el último grado/ año alcanzado?</v>
      </c>
      <c r="C92" s="14" t="str">
        <f>IFERROR(__xludf.DUMMYFUNCTION("VLOOKUP($B92,IMPORTRANGE(""https://docs.google.com/spreadsheets/d/1FYVlxGM-gYXe-QaL0HOSFmUpogUrsx0e6DntOW4RH1o/edit#gid=2017480677"",""Preguntas!E2:J""),2,false)"),"1º Grado; 2º Grado; 3º Grado; 4º Grado; 5º Grado; 6º Grado; 1º año; 2º año; 3ºaño; 4º año; 5º año; 6º año; Otro")</f>
        <v>1º Grado; 2º Grado; 3º Grado; 4º Grado; 5º Grado; 6º Grado; 1º año; 2º año; 3ºaño; 4º año; 5º año; 6º año; Otro</v>
      </c>
      <c r="D92" s="14" t="str">
        <f>IFERROR(__xludf.DUMMYFUNCTION("VLOOKUP($B92,IMPORTRANGE(""https://docs.google.com/spreadsheets/d/1FYVlxGM-gYXe-QaL0HOSFmUpogUrsx0e6DntOW4RH1o/edit#gid=2017480677"",""Preguntas!E2:J""),4,false)"),"Educación-General")</f>
        <v>Educación-General</v>
      </c>
    </row>
    <row r="93">
      <c r="A93" s="15" t="str">
        <f>IFERROR(__xludf.DUMMYFUNCTION("""COMPUTED_VALUE"""),"P037")</f>
        <v>P037</v>
      </c>
      <c r="B93" s="15" t="str">
        <f>IFERROR(__xludf.DUMMYFUNCTION("""COMPUTED_VALUE"""),"En cuanto a la cobertura de salud. ¿Esta afiliado a alguna de las siguientes?")</f>
        <v>En cuanto a la cobertura de salud. ¿Esta afiliado a alguna de las siguientes?</v>
      </c>
      <c r="C93" s="15" t="str">
        <f>IFERROR(__xludf.DUMMYFUNCTION("VLOOKUP($B93,IMPORTRANGE(""https://docs.google.com/spreadsheets/d/1FYVlxGM-gYXe-QaL0HOSFmUpogUrsx0e6DntOW4RH1o/edit#gid=2017480677"",""Preguntas!E2:J""),2,false)"),"Obra Social; Prepaga; Mutual; A un sistema de emergencia pago; A Ninguna")</f>
        <v>Obra Social; Prepaga; Mutual; A un sistema de emergencia pago; A Ninguna</v>
      </c>
      <c r="D93" s="15" t="str">
        <f>IFERROR(__xludf.DUMMYFUNCTION("VLOOKUP($B93,IMPORTRANGE(""https://docs.google.com/spreadsheets/d/1FYVlxGM-gYXe-QaL0HOSFmUpogUrsx0e6DntOW4RH1o/edit#gid=2017480677"",""Preguntas!E2:J""),4,false)"),"Salud-General")</f>
        <v>Salud-General</v>
      </c>
    </row>
    <row r="94">
      <c r="A94" s="14" t="str">
        <f>IFERROR(__xludf.DUMMYFUNCTION("""COMPUTED_VALUE"""),"P040")</f>
        <v>P040</v>
      </c>
      <c r="B94" s="14" t="str">
        <f>IFERROR(__xludf.DUMMYFUNCTION("""COMPUTED_VALUE"""),"Centro de Salud en donde se atiende")</f>
        <v>Centro de Salud en donde se atiende</v>
      </c>
      <c r="C94" s="14" t="str">
        <f>IFERROR(__xludf.DUMMYFUNCTION("VLOOKUP($B94,IMPORTRANGE(""https://docs.google.com/spreadsheets/d/1FYVlxGM-gYXe-QaL0HOSFmUpogUrsx0e6DntOW4RH1o/edit#gid=2017480677"",""Preguntas!E2:J""),2,false)"),"20 de Julio; 29 de Septiembre; Ana Terese Barthalot; C.I.C ""Maria Lobato""; Camila Rolón; Cándido Castello; Rodolfo Podestá; Cura Brochero; Alberto Sabin; Federico Leloir; Suárez París; Raúl Matera; René Favaloro; Marta Antoniazzi; Padre Mora; Pte. Perón"&amp;"; Ramón Castillo; San Miguel Oeste; U.F.O (Manuelita); Hospital Público; Clínica Privada o Sanatorio; No asiste a instituciones de salud")</f>
        <v>20 de Julio; 29 de Septiembre; Ana Terese Barthalot; C.I.C "Maria Lobato"; Camila Rolón; Cándido Castello; Rodolfo Podestá; Cura Brochero; Alberto Sabin; Federico Leloir; Suárez París; Raúl Matera; René Favaloro; Marta Antoniazzi; Padre Mora; Pte. Perón; Ramón Castillo; San Miguel Oeste; U.F.O (Manuelita); Hospital Público; Clínica Privada o Sanatorio; No asiste a instituciones de salud</v>
      </c>
      <c r="D94" s="14" t="str">
        <f>IFERROR(__xludf.DUMMYFUNCTION("VLOOKUP($B94,IMPORTRANGE(""https://docs.google.com/spreadsheets/d/1FYVlxGM-gYXe-QaL0HOSFmUpogUrsx0e6DntOW4RH1o/edit#gid=2017480677"",""Preguntas!E2:J""),4,false)"),"Salud-General")</f>
        <v>Salud-General</v>
      </c>
    </row>
    <row r="95">
      <c r="A95" s="15" t="str">
        <f>IFERROR(__xludf.DUMMYFUNCTION("""COMPUTED_VALUE"""),"P041")</f>
        <v>P041</v>
      </c>
      <c r="B95" s="15" t="str">
        <f>IFERROR(__xludf.DUMMYFUNCTION("""COMPUTED_VALUE"""),"¿Cada cuánto se realiza controles pediátricos/ Clínicos?")</f>
        <v>¿Cada cuánto se realiza controles pediátricos/ Clínicos?</v>
      </c>
      <c r="C95" s="15" t="str">
        <f>IFERROR(__xludf.DUMMYFUNCTION("VLOOKUP($B95,IMPORTRANGE(""https://docs.google.com/spreadsheets/d/1FYVlxGM-gYXe-QaL0HOSFmUpogUrsx0e6DntOW4RH1o/edit#gid=2017480677"",""Preguntas!E2:J""),2,false)"),"Cada un año o menos; Cada uno o dos años; Cada tres años o mas")</f>
        <v>Cada un año o menos; Cada uno o dos años; Cada tres años o mas</v>
      </c>
      <c r="D95" s="15" t="str">
        <f>IFERROR(__xludf.DUMMYFUNCTION("VLOOKUP($B95,IMPORTRANGE(""https://docs.google.com/spreadsheets/d/1FYVlxGM-gYXe-QaL0HOSFmUpogUrsx0e6DntOW4RH1o/edit#gid=2017480677"",""Preguntas!E2:J""),4,false)"),"Salud-Física")</f>
        <v>Salud-Física</v>
      </c>
    </row>
    <row r="96">
      <c r="A96" s="14" t="str">
        <f>IFERROR(__xludf.DUMMYFUNCTION("""COMPUTED_VALUE"""),"P042")</f>
        <v>P042</v>
      </c>
      <c r="B96" s="14" t="str">
        <f>IFERROR(__xludf.DUMMYFUNCTION("""COMPUTED_VALUE"""),"¿En los últimos 12 meses se ha efectuado alguno de los siguientes controles de Salud? [Control Médico]")</f>
        <v>¿En los últimos 12 meses se ha efectuado alguno de los siguientes controles de Salud? [Control Médico]</v>
      </c>
      <c r="C96" s="14" t="str">
        <f>IFERROR(__xludf.DUMMYFUNCTION("VLOOKUP($B96,IMPORTRANGE(""https://docs.google.com/spreadsheets/d/1FYVlxGM-gYXe-QaL0HOSFmUpogUrsx0e6DntOW4RH1o/edit#gid=2017480677"",""Preguntas!E2:J""),2,false)"),"Si; No")</f>
        <v>Si; No</v>
      </c>
      <c r="D96" s="14" t="str">
        <f>IFERROR(__xludf.DUMMYFUNCTION("VLOOKUP($B96,IMPORTRANGE(""https://docs.google.com/spreadsheets/d/1FYVlxGM-gYXe-QaL0HOSFmUpogUrsx0e6DntOW4RH1o/edit#gid=2017480677"",""Preguntas!E2:J""),4,false)"),"Salud-Física")</f>
        <v>Salud-Física</v>
      </c>
    </row>
    <row r="97">
      <c r="A97" s="15" t="str">
        <f>IFERROR(__xludf.DUMMYFUNCTION("""COMPUTED_VALUE"""),"P043")</f>
        <v>P043</v>
      </c>
      <c r="B97" s="15" t="str">
        <f>IFERROR(__xludf.DUMMYFUNCTION("""COMPUTED_VALUE"""),"¿En los últimos 12 meses se ha efectuado alguno de los siguientes controles de Salud? [Control Odontológico]")</f>
        <v>¿En los últimos 12 meses se ha efectuado alguno de los siguientes controles de Salud? [Control Odontológico]</v>
      </c>
      <c r="C97" s="15" t="str">
        <f>IFERROR(__xludf.DUMMYFUNCTION("VLOOKUP($B97,IMPORTRANGE(""https://docs.google.com/spreadsheets/d/1FYVlxGM-gYXe-QaL0HOSFmUpogUrsx0e6DntOW4RH1o/edit#gid=2017480677"",""Preguntas!E2:J""),2,false)"),"Si; No")</f>
        <v>Si; No</v>
      </c>
      <c r="D97" s="15" t="str">
        <f>IFERROR(__xludf.DUMMYFUNCTION("VLOOKUP($B97,IMPORTRANGE(""https://docs.google.com/spreadsheets/d/1FYVlxGM-gYXe-QaL0HOSFmUpogUrsx0e6DntOW4RH1o/edit#gid=2017480677"",""Preguntas!E2:J""),4,false)"),"Salud-Física")</f>
        <v>Salud-Física</v>
      </c>
    </row>
    <row r="98">
      <c r="A98" s="14" t="str">
        <f>IFERROR(__xludf.DUMMYFUNCTION("""COMPUTED_VALUE"""),"P044")</f>
        <v>P044</v>
      </c>
      <c r="B98" s="14" t="str">
        <f>IFERROR(__xludf.DUMMYFUNCTION("""COMPUTED_VALUE"""),"¿En los últimos 12 meses se ha efectuado alguno de los siguientes controles de Salud? [Control Oftalmológico]")</f>
        <v>¿En los últimos 12 meses se ha efectuado alguno de los siguientes controles de Salud? [Control Oftalmológico]</v>
      </c>
      <c r="C98" s="14" t="str">
        <f>IFERROR(__xludf.DUMMYFUNCTION("VLOOKUP($B98,IMPORTRANGE(""https://docs.google.com/spreadsheets/d/1FYVlxGM-gYXe-QaL0HOSFmUpogUrsx0e6DntOW4RH1o/edit#gid=2017480677"",""Preguntas!E2:J""),2,false)"),"Si; No")</f>
        <v>Si; No</v>
      </c>
      <c r="D98" s="14" t="str">
        <f>IFERROR(__xludf.DUMMYFUNCTION("VLOOKUP($B98,IMPORTRANGE(""https://docs.google.com/spreadsheets/d/1FYVlxGM-gYXe-QaL0HOSFmUpogUrsx0e6DntOW4RH1o/edit#gid=2017480677"",""Preguntas!E2:J""),4,false)"),"Salud-Física")</f>
        <v>Salud-Física</v>
      </c>
    </row>
    <row r="99">
      <c r="A99" s="15" t="str">
        <f>IFERROR(__xludf.DUMMYFUNCTION("""COMPUTED_VALUE"""),"P045")</f>
        <v>P045</v>
      </c>
      <c r="B99" s="15" t="str">
        <f>IFERROR(__xludf.DUMMYFUNCTION("""COMPUTED_VALUE"""),"¿En los últimos 12 meses se ha efectuado alguno de los siguientes controles de Salud? [Control Ginecológico]")</f>
        <v>¿En los últimos 12 meses se ha efectuado alguno de los siguientes controles de Salud? [Control Ginecológico]</v>
      </c>
      <c r="C99" s="15" t="str">
        <f>IFERROR(__xludf.DUMMYFUNCTION("VLOOKUP($B99,IMPORTRANGE(""https://docs.google.com/spreadsheets/d/1FYVlxGM-gYXe-QaL0HOSFmUpogUrsx0e6DntOW4RH1o/edit#gid=2017480677"",""Preguntas!E2:J""),2,false)"),"Si; No")</f>
        <v>Si; No</v>
      </c>
      <c r="D99" s="15" t="str">
        <f>IFERROR(__xludf.DUMMYFUNCTION("VLOOKUP($B99,IMPORTRANGE(""https://docs.google.com/spreadsheets/d/1FYVlxGM-gYXe-QaL0HOSFmUpogUrsx0e6DntOW4RH1o/edit#gid=2017480677"",""Preguntas!E2:J""),4,false)"),"Salud-Física")</f>
        <v>Salud-Física</v>
      </c>
    </row>
    <row r="100">
      <c r="A100" s="14" t="str">
        <f>IFERROR(__xludf.DUMMYFUNCTION("""COMPUTED_VALUE"""),"P046")</f>
        <v>P046</v>
      </c>
      <c r="B100" s="14" t="str">
        <f>IFERROR(__xludf.DUMMYFUNCTION("""COMPUTED_VALUE"""),"¿Tiene alguna enfermedad recurrente o algún diagnóstico de enfermedad crónica?")</f>
        <v>¿Tiene alguna enfermedad recurrente o algún diagnóstico de enfermedad crónica?</v>
      </c>
      <c r="C100" s="14" t="str">
        <f>IFERROR(__xludf.DUMMYFUNCTION("VLOOKUP($B100,IMPORTRANGE(""https://docs.google.com/spreadsheets/d/1FYVlxGM-gYXe-QaL0HOSFmUpogUrsx0e6DntOW4RH1o/edit#gid=2017480677"",""Preguntas!E2:J""),2,false)"),"Si; No")</f>
        <v>Si; No</v>
      </c>
      <c r="D100" s="14" t="str">
        <f>IFERROR(__xludf.DUMMYFUNCTION("VLOOKUP($B100,IMPORTRANGE(""https://docs.google.com/spreadsheets/d/1FYVlxGM-gYXe-QaL0HOSFmUpogUrsx0e6DntOW4RH1o/edit#gid=2017480677"",""Preguntas!E2:J""),4,false)"),"Salud-Física")</f>
        <v>Salud-Física</v>
      </c>
    </row>
    <row r="101">
      <c r="A101" s="15" t="str">
        <f>IFERROR(__xludf.DUMMYFUNCTION("""COMPUTED_VALUE"""),"P049")</f>
        <v>P049</v>
      </c>
      <c r="B101" s="15" t="str">
        <f>IFERROR(__xludf.DUMMYFUNCTION("""COMPUTED_VALUE"""),"Si tiene alguna enfermedad recurrente, ¿Se controla o recibe tratamiento?")</f>
        <v>Si tiene alguna enfermedad recurrente, ¿Se controla o recibe tratamiento?</v>
      </c>
      <c r="C101" s="15" t="str">
        <f>IFERROR(__xludf.DUMMYFUNCTION("VLOOKUP($B101,IMPORTRANGE(""https://docs.google.com/spreadsheets/d/1FYVlxGM-gYXe-QaL0HOSFmUpogUrsx0e6DntOW4RH1o/edit#gid=2017480677"",""Preguntas!E2:J""),2,false)"),"Si; No")</f>
        <v>Si; No</v>
      </c>
      <c r="D101" s="15" t="str">
        <f>IFERROR(__xludf.DUMMYFUNCTION("VLOOKUP($B101,IMPORTRANGE(""https://docs.google.com/spreadsheets/d/1FYVlxGM-gYXe-QaL0HOSFmUpogUrsx0e6DntOW4RH1o/edit#gid=2017480677"",""Preguntas!E2:J""),4,false)"),"Salud-Física")</f>
        <v>Salud-Física</v>
      </c>
    </row>
    <row r="102">
      <c r="A102" s="14" t="str">
        <f>IFERROR(__xludf.DUMMYFUNCTION("""COMPUTED_VALUE"""),"P050")</f>
        <v>P050</v>
      </c>
      <c r="B102" s="14" t="str">
        <f>IFERROR(__xludf.DUMMYFUNCTION("""COMPUTED_VALUE"""),"¿Toma algún medicamento?")</f>
        <v>¿Toma algún medicamento?</v>
      </c>
      <c r="C102" s="14" t="str">
        <f>IFERROR(__xludf.DUMMYFUNCTION("VLOOKUP($B102,IMPORTRANGE(""https://docs.google.com/spreadsheets/d/1FYVlxGM-gYXe-QaL0HOSFmUpogUrsx0e6DntOW4RH1o/edit#gid=2017480677"",""Preguntas!E2:J""),2,false)"),"Si; No")</f>
        <v>Si; No</v>
      </c>
      <c r="D102" s="14" t="str">
        <f>IFERROR(__xludf.DUMMYFUNCTION("VLOOKUP($B102,IMPORTRANGE(""https://docs.google.com/spreadsheets/d/1FYVlxGM-gYXe-QaL0HOSFmUpogUrsx0e6DntOW4RH1o/edit#gid=2017480677"",""Preguntas!E2:J""),4,false)"),"Salud-Física")</f>
        <v>Salud-Física</v>
      </c>
    </row>
    <row r="103">
      <c r="A103" s="15" t="str">
        <f>IFERROR(__xludf.DUMMYFUNCTION("""COMPUTED_VALUE"""),"P051")</f>
        <v>P051</v>
      </c>
      <c r="B103" s="15" t="str">
        <f>IFERROR(__xludf.DUMMYFUNCTION("""COMPUTED_VALUE"""),"¿Padece una enfermedad sin tratamiento?")</f>
        <v>¿Padece una enfermedad sin tratamiento?</v>
      </c>
      <c r="C103" s="15" t="str">
        <f>IFERROR(__xludf.DUMMYFUNCTION("VLOOKUP($B103,IMPORTRANGE(""https://docs.google.com/spreadsheets/d/1FYVlxGM-gYXe-QaL0HOSFmUpogUrsx0e6DntOW4RH1o/edit#gid=2017480677"",""Preguntas!E2:J""),2,false)"),"Si; No")</f>
        <v>Si; No</v>
      </c>
      <c r="D103" s="15" t="str">
        <f>IFERROR(__xludf.DUMMYFUNCTION("VLOOKUP($B103,IMPORTRANGE(""https://docs.google.com/spreadsheets/d/1FYVlxGM-gYXe-QaL0HOSFmUpogUrsx0e6DntOW4RH1o/edit#gid=2017480677"",""Preguntas!E2:J""),4,false)"),"Salud-Física")</f>
        <v>Salud-Física</v>
      </c>
    </row>
    <row r="104">
      <c r="A104" s="14" t="str">
        <f>IFERROR(__xludf.DUMMYFUNCTION("""COMPUTED_VALUE"""),"P052")</f>
        <v>P052</v>
      </c>
      <c r="B104" s="14" t="str">
        <f>IFERROR(__xludf.DUMMYFUNCTION("""COMPUTED_VALUE"""),"¿Tiene alguna discapacidad?")</f>
        <v>¿Tiene alguna discapacidad?</v>
      </c>
      <c r="C104" s="14" t="str">
        <f>IFERROR(__xludf.DUMMYFUNCTION("VLOOKUP($B104,IMPORTRANGE(""https://docs.google.com/spreadsheets/d/1FYVlxGM-gYXe-QaL0HOSFmUpogUrsx0e6DntOW4RH1o/edit#gid=2017480677"",""Preguntas!E2:J""),2,false)"),"Si; No")</f>
        <v>Si; No</v>
      </c>
      <c r="D104" s="14" t="str">
        <f>IFERROR(__xludf.DUMMYFUNCTION("VLOOKUP($B104,IMPORTRANGE(""https://docs.google.com/spreadsheets/d/1FYVlxGM-gYXe-QaL0HOSFmUpogUrsx0e6DntOW4RH1o/edit#gid=2017480677"",""Preguntas!E2:J""),4,false)"),"Salud-Física")</f>
        <v>Salud-Física</v>
      </c>
    </row>
    <row r="105">
      <c r="A105" s="15" t="str">
        <f>IFERROR(__xludf.DUMMYFUNCTION("""COMPUTED_VALUE"""),"P053")</f>
        <v>P053</v>
      </c>
      <c r="B105" s="15" t="str">
        <f>IFERROR(__xludf.DUMMYFUNCTION("""COMPUTED_VALUE"""),"¿Tiene certificado de discapacidad?")</f>
        <v>¿Tiene certificado de discapacidad?</v>
      </c>
      <c r="C105" s="15" t="str">
        <f>IFERROR(__xludf.DUMMYFUNCTION("VLOOKUP($B105,IMPORTRANGE(""https://docs.google.com/spreadsheets/d/1FYVlxGM-gYXe-QaL0HOSFmUpogUrsx0e6DntOW4RH1o/edit#gid=2017480677"",""Preguntas!E2:J""),2,false)"),"Si; No")</f>
        <v>Si; No</v>
      </c>
      <c r="D105" s="15" t="str">
        <f>IFERROR(__xludf.DUMMYFUNCTION("VLOOKUP($B105,IMPORTRANGE(""https://docs.google.com/spreadsheets/d/1FYVlxGM-gYXe-QaL0HOSFmUpogUrsx0e6DntOW4RH1o/edit#gid=2017480677"",""Preguntas!E2:J""),4,false)"),"Salud-Física")</f>
        <v>Salud-Física</v>
      </c>
    </row>
    <row r="106">
      <c r="A106" s="14" t="str">
        <f>IFERROR(__xludf.DUMMYFUNCTION("""COMPUTED_VALUE"""),"P055")</f>
        <v>P055</v>
      </c>
      <c r="B106" s="14" t="str">
        <f>IFERROR(__xludf.DUMMYFUNCTION("""COMPUTED_VALUE"""),"¿Recibe tratamiento terapeutico?")</f>
        <v>¿Recibe tratamiento terapeutico?</v>
      </c>
      <c r="C106" s="14" t="str">
        <f>IFERROR(__xludf.DUMMYFUNCTION("VLOOKUP($B106,IMPORTRANGE(""https://docs.google.com/spreadsheets/d/1FYVlxGM-gYXe-QaL0HOSFmUpogUrsx0e6DntOW4RH1o/edit#gid=2017480677"",""Preguntas!E2:J""),2,false)"),"Si; No")</f>
        <v>Si; No</v>
      </c>
      <c r="D106" s="14" t="str">
        <f>IFERROR(__xludf.DUMMYFUNCTION("VLOOKUP($B106,IMPORTRANGE(""https://docs.google.com/spreadsheets/d/1FYVlxGM-gYXe-QaL0HOSFmUpogUrsx0e6DntOW4RH1o/edit#gid=2017480677"",""Preguntas!E2:J""),4,false)"),"Salud-Mental")</f>
        <v>Salud-Mental</v>
      </c>
    </row>
    <row r="107">
      <c r="A107" s="15" t="str">
        <f>IFERROR(__xludf.DUMMYFUNCTION("""COMPUTED_VALUE"""),"P057")</f>
        <v>P057</v>
      </c>
      <c r="B107" s="15" t="str">
        <f>IFERROR(__xludf.DUMMYFUNCTION("""COMPUTED_VALUE"""),"¿Sufre alguna de las siguientes complicaciónes o dificultades: [Auditiva]")</f>
        <v>¿Sufre alguna de las siguientes complicaciónes o dificultades: [Auditiva]</v>
      </c>
      <c r="C107" s="15" t="str">
        <f>IFERROR(__xludf.DUMMYFUNCTION("VLOOKUP($B107,IMPORTRANGE(""https://docs.google.com/spreadsheets/d/1FYVlxGM-gYXe-QaL0HOSFmUpogUrsx0e6DntOW4RH1o/edit#gid=2017480677"",""Preguntas!E2:J""),2,false)"),"Si; No")</f>
        <v>Si; No</v>
      </c>
      <c r="D107" s="15" t="str">
        <f>IFERROR(__xludf.DUMMYFUNCTION("VLOOKUP($B107,IMPORTRANGE(""https://docs.google.com/spreadsheets/d/1FYVlxGM-gYXe-QaL0HOSFmUpogUrsx0e6DntOW4RH1o/edit#gid=2017480677"",""Preguntas!E2:J""),4,false)"),"Salud-Física")</f>
        <v>Salud-Física</v>
      </c>
    </row>
    <row r="108">
      <c r="A108" s="14" t="str">
        <f>IFERROR(__xludf.DUMMYFUNCTION("""COMPUTED_VALUE"""),"P058")</f>
        <v>P058</v>
      </c>
      <c r="B108" s="14" t="str">
        <f>IFERROR(__xludf.DUMMYFUNCTION("""COMPUTED_VALUE"""),"¿Sufre alguna de las siguientes complicaciónes o dificultades: [Visual]")</f>
        <v>¿Sufre alguna de las siguientes complicaciónes o dificultades: [Visual]</v>
      </c>
      <c r="C108" s="14" t="str">
        <f>IFERROR(__xludf.DUMMYFUNCTION("VLOOKUP($B108,IMPORTRANGE(""https://docs.google.com/spreadsheets/d/1FYVlxGM-gYXe-QaL0HOSFmUpogUrsx0e6DntOW4RH1o/edit#gid=2017480677"",""Preguntas!E2:J""),2,false)"),"Si; No")</f>
        <v>Si; No</v>
      </c>
      <c r="D108" s="14" t="str">
        <f>IFERROR(__xludf.DUMMYFUNCTION("VLOOKUP($B108,IMPORTRANGE(""https://docs.google.com/spreadsheets/d/1FYVlxGM-gYXe-QaL0HOSFmUpogUrsx0e6DntOW4RH1o/edit#gid=2017480677"",""Preguntas!E2:J""),4,false)"),"Salud-Física")</f>
        <v>Salud-Física</v>
      </c>
    </row>
    <row r="109">
      <c r="A109" s="15" t="str">
        <f>IFERROR(__xludf.DUMMYFUNCTION("""COMPUTED_VALUE"""),"P059")</f>
        <v>P059</v>
      </c>
      <c r="B109" s="15" t="str">
        <f>IFERROR(__xludf.DUMMYFUNCTION("""COMPUTED_VALUE"""),"¿Sufre alguna de las siguientes complicaciónes o dificultades: [Fonoaudiológica]")</f>
        <v>¿Sufre alguna de las siguientes complicaciónes o dificultades: [Fonoaudiológica]</v>
      </c>
      <c r="C109" s="15" t="str">
        <f>IFERROR(__xludf.DUMMYFUNCTION("VLOOKUP($B109,IMPORTRANGE(""https://docs.google.com/spreadsheets/d/1FYVlxGM-gYXe-QaL0HOSFmUpogUrsx0e6DntOW4RH1o/edit#gid=2017480677"",""Preguntas!E2:J""),2,false)"),"Si; No")</f>
        <v>Si; No</v>
      </c>
      <c r="D109" s="15" t="str">
        <f>IFERROR(__xludf.DUMMYFUNCTION("VLOOKUP($B109,IMPORTRANGE(""https://docs.google.com/spreadsheets/d/1FYVlxGM-gYXe-QaL0HOSFmUpogUrsx0e6DntOW4RH1o/edit#gid=2017480677"",""Preguntas!E2:J""),4,false)"),"Salud-Física")</f>
        <v>Salud-Física</v>
      </c>
    </row>
    <row r="110">
      <c r="A110" s="14" t="str">
        <f>IFERROR(__xludf.DUMMYFUNCTION("""COMPUTED_VALUE"""),"P060")</f>
        <v>P060</v>
      </c>
      <c r="B110" s="14" t="str">
        <f>IFERROR(__xludf.DUMMYFUNCTION("""COMPUTED_VALUE"""),"¿Sufre alguna de las siguientes complicaciónes o dificultades: [Respiratoria]")</f>
        <v>¿Sufre alguna de las siguientes complicaciónes o dificultades: [Respiratoria]</v>
      </c>
      <c r="C110" s="14" t="str">
        <f>IFERROR(__xludf.DUMMYFUNCTION("VLOOKUP($B110,IMPORTRANGE(""https://docs.google.com/spreadsheets/d/1FYVlxGM-gYXe-QaL0HOSFmUpogUrsx0e6DntOW4RH1o/edit#gid=2017480677"",""Preguntas!E2:J""),2,false)"),"Si; No")</f>
        <v>Si; No</v>
      </c>
      <c r="D110" s="14" t="str">
        <f>IFERROR(__xludf.DUMMYFUNCTION("VLOOKUP($B110,IMPORTRANGE(""https://docs.google.com/spreadsheets/d/1FYVlxGM-gYXe-QaL0HOSFmUpogUrsx0e6DntOW4RH1o/edit#gid=2017480677"",""Preguntas!E2:J""),4,false)"),"Salud-Física")</f>
        <v>Salud-Física</v>
      </c>
    </row>
    <row r="111">
      <c r="A111" s="15" t="str">
        <f>IFERROR(__xludf.DUMMYFUNCTION("""COMPUTED_VALUE"""),"P061")</f>
        <v>P061</v>
      </c>
      <c r="B111" s="15" t="str">
        <f>IFERROR(__xludf.DUMMYFUNCTION("""COMPUTED_VALUE"""),"¿Sufre alguna de las siguientes complicaciónes o dificultades: [Traumatológica]")</f>
        <v>¿Sufre alguna de las siguientes complicaciónes o dificultades: [Traumatológica]</v>
      </c>
      <c r="C111" s="15" t="str">
        <f>IFERROR(__xludf.DUMMYFUNCTION("VLOOKUP($B111,IMPORTRANGE(""https://docs.google.com/spreadsheets/d/1FYVlxGM-gYXe-QaL0HOSFmUpogUrsx0e6DntOW4RH1o/edit#gid=2017480677"",""Preguntas!E2:J""),2,false)"),"Si; No")</f>
        <v>Si; No</v>
      </c>
      <c r="D111" s="15" t="str">
        <f>IFERROR(__xludf.DUMMYFUNCTION("VLOOKUP($B111,IMPORTRANGE(""https://docs.google.com/spreadsheets/d/1FYVlxGM-gYXe-QaL0HOSFmUpogUrsx0e6DntOW4RH1o/edit#gid=2017480677"",""Preguntas!E2:J""),4,false)"),"Salud-Física")</f>
        <v>Salud-Física</v>
      </c>
    </row>
    <row r="112">
      <c r="A112" s="14" t="str">
        <f>IFERROR(__xludf.DUMMYFUNCTION("""COMPUTED_VALUE"""),"P062")</f>
        <v>P062</v>
      </c>
      <c r="B112" s="14" t="str">
        <f>IFERROR(__xludf.DUMMYFUNCTION("""COMPUTED_VALUE"""),"¿Sufre alguna de las siguientes complicaciónes o dificultades: [Digestiva]")</f>
        <v>¿Sufre alguna de las siguientes complicaciónes o dificultades: [Digestiva]</v>
      </c>
      <c r="C112" s="14" t="str">
        <f>IFERROR(__xludf.DUMMYFUNCTION("VLOOKUP($B112,IMPORTRANGE(""https://docs.google.com/spreadsheets/d/1FYVlxGM-gYXe-QaL0HOSFmUpogUrsx0e6DntOW4RH1o/edit#gid=2017480677"",""Preguntas!E2:J""),2,false)"),"Si; No")</f>
        <v>Si; No</v>
      </c>
      <c r="D112" s="14" t="str">
        <f>IFERROR(__xludf.DUMMYFUNCTION("VLOOKUP($B112,IMPORTRANGE(""https://docs.google.com/spreadsheets/d/1FYVlxGM-gYXe-QaL0HOSFmUpogUrsx0e6DntOW4RH1o/edit#gid=2017480677"",""Preguntas!E2:J""),4,false)"),"Salud-Física")</f>
        <v>Salud-Física</v>
      </c>
    </row>
    <row r="113">
      <c r="A113" s="15" t="str">
        <f>IFERROR(__xludf.DUMMYFUNCTION("""COMPUTED_VALUE"""),"P063")</f>
        <v>P063</v>
      </c>
      <c r="B113" s="15" t="str">
        <f>IFERROR(__xludf.DUMMYFUNCTION("""COMPUTED_VALUE"""),"¿Sufre alguna de las siguientes complicaciónes o dificultades: [Emocional]")</f>
        <v>¿Sufre alguna de las siguientes complicaciónes o dificultades: [Emocional]</v>
      </c>
      <c r="C113" s="15" t="str">
        <f>IFERROR(__xludf.DUMMYFUNCTION("VLOOKUP($B113,IMPORTRANGE(""https://docs.google.com/spreadsheets/d/1FYVlxGM-gYXe-QaL0HOSFmUpogUrsx0e6DntOW4RH1o/edit#gid=2017480677"",""Preguntas!E2:J""),2,false)"),"Si; No")</f>
        <v>Si; No</v>
      </c>
      <c r="D113" s="15" t="str">
        <f>IFERROR(__xludf.DUMMYFUNCTION("VLOOKUP($B113,IMPORTRANGE(""https://docs.google.com/spreadsheets/d/1FYVlxGM-gYXe-QaL0HOSFmUpogUrsx0e6DntOW4RH1o/edit#gid=2017480677"",""Preguntas!E2:J""),4,false)"),"Salud-Física")</f>
        <v>Salud-Física</v>
      </c>
    </row>
    <row r="114">
      <c r="A114" s="14" t="str">
        <f>IFERROR(__xludf.DUMMYFUNCTION("""COMPUTED_VALUE"""),"P064")</f>
        <v>P064</v>
      </c>
      <c r="B114" s="14" t="str">
        <f>IFERROR(__xludf.DUMMYFUNCTION("""COMPUTED_VALUE"""),"¿Sufre alguna de las siguientes complicaciónes o dificultades: [Psíquica]")</f>
        <v>¿Sufre alguna de las siguientes complicaciónes o dificultades: [Psíquica]</v>
      </c>
      <c r="C114" s="14" t="str">
        <f>IFERROR(__xludf.DUMMYFUNCTION("VLOOKUP($B114,IMPORTRANGE(""https://docs.google.com/spreadsheets/d/1FYVlxGM-gYXe-QaL0HOSFmUpogUrsx0e6DntOW4RH1o/edit#gid=2017480677"",""Preguntas!E2:J""),2,false)"),"Si; No")</f>
        <v>Si; No</v>
      </c>
      <c r="D114" s="14" t="str">
        <f>IFERROR(__xludf.DUMMYFUNCTION("VLOOKUP($B114,IMPORTRANGE(""https://docs.google.com/spreadsheets/d/1FYVlxGM-gYXe-QaL0HOSFmUpogUrsx0e6DntOW4RH1o/edit#gid=2017480677"",""Preguntas!E2:J""),4,false)"),"Salud-Mental")</f>
        <v>Salud-Mental</v>
      </c>
    </row>
    <row r="115">
      <c r="A115" s="15" t="str">
        <f>IFERROR(__xludf.DUMMYFUNCTION("""COMPUTED_VALUE"""),"P065")</f>
        <v>P065</v>
      </c>
      <c r="B115" s="15" t="str">
        <f>IFERROR(__xludf.DUMMYFUNCTION("""COMPUTED_VALUE"""),"¿Sufre alguna de las siguientes complicaciónes o dificultades: [Psicológica]")</f>
        <v>¿Sufre alguna de las siguientes complicaciónes o dificultades: [Psicológica]</v>
      </c>
      <c r="C115" s="15" t="str">
        <f>IFERROR(__xludf.DUMMYFUNCTION("VLOOKUP($B115,IMPORTRANGE(""https://docs.google.com/spreadsheets/d/1FYVlxGM-gYXe-QaL0HOSFmUpogUrsx0e6DntOW4RH1o/edit#gid=2017480677"",""Preguntas!E2:J""),2,false)"),"Si; No")</f>
        <v>Si; No</v>
      </c>
      <c r="D115" s="15" t="str">
        <f>IFERROR(__xludf.DUMMYFUNCTION("VLOOKUP($B115,IMPORTRANGE(""https://docs.google.com/spreadsheets/d/1FYVlxGM-gYXe-QaL0HOSFmUpogUrsx0e6DntOW4RH1o/edit#gid=2017480677"",""Preguntas!E2:J""),4,false)"),"Salud-Mental")</f>
        <v>Salud-Mental</v>
      </c>
    </row>
    <row r="116">
      <c r="A116" s="14" t="str">
        <f>IFERROR(__xludf.DUMMYFUNCTION("""COMPUTED_VALUE"""),"P066")</f>
        <v>P066</v>
      </c>
      <c r="B116" s="14" t="str">
        <f>IFERROR(__xludf.DUMMYFUNCTION("""COMPUTED_VALUE"""),"¿Sufre alguna de las siguientes complicaciónes o dificultades: [Otra]")</f>
        <v>¿Sufre alguna de las siguientes complicaciónes o dificultades: [Otra]</v>
      </c>
      <c r="C116" s="14" t="str">
        <f>IFERROR(__xludf.DUMMYFUNCTION("VLOOKUP($B116,IMPORTRANGE(""https://docs.google.com/spreadsheets/d/1FYVlxGM-gYXe-QaL0HOSFmUpogUrsx0e6DntOW4RH1o/edit#gid=2017480677"",""Preguntas!E2:J""),2,false)"),"Si; No")</f>
        <v>Si; No</v>
      </c>
      <c r="D116" s="14" t="str">
        <f>IFERROR(__xludf.DUMMYFUNCTION("VLOOKUP($B116,IMPORTRANGE(""https://docs.google.com/spreadsheets/d/1FYVlxGM-gYXe-QaL0HOSFmUpogUrsx0e6DntOW4RH1o/edit#gid=2017480677"",""Preguntas!E2:J""),4,false)"),"Salud-Física")</f>
        <v>Salud-Física</v>
      </c>
    </row>
    <row r="117">
      <c r="A117" s="15" t="str">
        <f>IFERROR(__xludf.DUMMYFUNCTION("""COMPUTED_VALUE"""),"P067")</f>
        <v>P067</v>
      </c>
      <c r="B117" s="15" t="str">
        <f>IFERROR(__xludf.DUMMYFUNCTION("""COMPUTED_VALUE"""),"¿Tiene el calendario de vacunación al día?")</f>
        <v>¿Tiene el calendario de vacunación al día?</v>
      </c>
      <c r="C117" s="15" t="str">
        <f>IFERROR(__xludf.DUMMYFUNCTION("VLOOKUP($B117,IMPORTRANGE(""https://docs.google.com/spreadsheets/d/1FYVlxGM-gYXe-QaL0HOSFmUpogUrsx0e6DntOW4RH1o/edit#gid=2017480677"",""Preguntas!E2:J""),2,false)"),"Si; No")</f>
        <v>Si; No</v>
      </c>
      <c r="D117" s="15" t="str">
        <f>IFERROR(__xludf.DUMMYFUNCTION("VLOOKUP($B117,IMPORTRANGE(""https://docs.google.com/spreadsheets/d/1FYVlxGM-gYXe-QaL0HOSFmUpogUrsx0e6DntOW4RH1o/edit#gid=2017480677"",""Preguntas!E2:J""),4,false)"),"Salud-Física")</f>
        <v>Salud-Física</v>
      </c>
    </row>
    <row r="118">
      <c r="A118" s="14" t="str">
        <f>IFERROR(__xludf.DUMMYFUNCTION("""COMPUTED_VALUE"""),"P068")</f>
        <v>P068</v>
      </c>
      <c r="B118" s="14" t="str">
        <f>IFERROR(__xludf.DUMMYFUNCTION("""COMPUTED_VALUE"""),"¿Recibió en los últimos 5 años la vacuna antitetánica?")</f>
        <v>¿Recibió en los últimos 5 años la vacuna antitetánica?</v>
      </c>
      <c r="C118" s="14" t="str">
        <f>IFERROR(__xludf.DUMMYFUNCTION("VLOOKUP($B118,IMPORTRANGE(""https://docs.google.com/spreadsheets/d/1FYVlxGM-gYXe-QaL0HOSFmUpogUrsx0e6DntOW4RH1o/edit#gid=2017480677"",""Preguntas!E2:J""),2,false)"),"Si; No")</f>
        <v>Si; No</v>
      </c>
      <c r="D118" s="14" t="str">
        <f>IFERROR(__xludf.DUMMYFUNCTION("VLOOKUP($B118,IMPORTRANGE(""https://docs.google.com/spreadsheets/d/1FYVlxGM-gYXe-QaL0HOSFmUpogUrsx0e6DntOW4RH1o/edit#gid=2017480677"",""Preguntas!E2:J""),4,false)"),"Salud-Física")</f>
        <v>Salud-Física</v>
      </c>
    </row>
    <row r="119">
      <c r="A119" s="15" t="str">
        <f>IFERROR(__xludf.DUMMYFUNCTION("""COMPUTED_VALUE"""),"P069")</f>
        <v>P069</v>
      </c>
      <c r="B119" s="15" t="str">
        <f>IFERROR(__xludf.DUMMYFUNCTION("""COMPUTED_VALUE"""),"¿Cuantas comidas por día recibe? (Desayuno, Almuerzo, Merienda, Cena)")</f>
        <v>¿Cuantas comidas por día recibe? (Desayuno, Almuerzo, Merienda, Cena)</v>
      </c>
      <c r="C119" s="15" t="str">
        <f>IFERROR(__xludf.DUMMYFUNCTION("VLOOKUP($B119,IMPORTRANGE(""https://docs.google.com/spreadsheets/d/1FYVlxGM-gYXe-QaL0HOSFmUpogUrsx0e6DntOW4RH1o/edit#gid=2017480677"",""Preguntas!E2:J""),2,false)"),"1 o menos; 2; 3; 4 o mas")</f>
        <v>1 o menos; 2; 3; 4 o mas</v>
      </c>
      <c r="D119" s="15" t="str">
        <f>IFERROR(__xludf.DUMMYFUNCTION("VLOOKUP($B119,IMPORTRANGE(""https://docs.google.com/spreadsheets/d/1FYVlxGM-gYXe-QaL0HOSFmUpogUrsx0e6DntOW4RH1o/edit#gid=2017480677"",""Preguntas!E2:J""),4,false)"),"Salud-Nutrición")</f>
        <v>Salud-Nutrición</v>
      </c>
    </row>
    <row r="120">
      <c r="A120" s="14" t="str">
        <f>IFERROR(__xludf.DUMMYFUNCTION("""COMPUTED_VALUE"""),"P306")</f>
        <v>P306</v>
      </c>
      <c r="B120" s="14" t="str">
        <f>IFERROR(__xludf.DUMMYFUNCTION("""COMPUTED_VALUE"""),"¿Cuántas personas viven en el hogar?")</f>
        <v>¿Cuántas personas viven en el hogar?</v>
      </c>
      <c r="C120" s="14" t="str">
        <f>IFERROR(__xludf.DUMMYFUNCTION("VLOOKUP($B120,IMPORTRANGE(""https://docs.google.com/spreadsheets/d/1FYVlxGM-gYXe-QaL0HOSFmUpogUrsx0e6DntOW4RH1o/edit#gid=2017480677"",""Preguntas!E2:J""),2,false)"),"1; 2; 3; 4; 5; 6; 7; 8; 9; 10; 11; 12; 13; 14; 15; 15 o más")</f>
        <v>1; 2; 3; 4; 5; 6; 7; 8; 9; 10; 11; 12; 13; 14; 15; 15 o más</v>
      </c>
      <c r="D120" s="14" t="str">
        <f>IFERROR(__xludf.DUMMYFUNCTION("VLOOKUP($B120,IMPORTRANGE(""https://docs.google.com/spreadsheets/d/1FYVlxGM-gYXe-QaL0HOSFmUpogUrsx0e6DntOW4RH1o/edit#gid=2017480677"",""Preguntas!E2:J""),4,false)"),"Familia-Vivienda")</f>
        <v>Familia-Vivienda</v>
      </c>
    </row>
    <row r="121">
      <c r="A121" s="15" t="str">
        <f>IFERROR(__xludf.DUMMYFUNCTION("""COMPUTED_VALUE"""),"P307")</f>
        <v>P307</v>
      </c>
      <c r="B121" s="15" t="str">
        <f>IFERROR(__xludf.DUMMYFUNCTION("""COMPUTED_VALUE"""),"¿Cuántos de ellos son hermanos?")</f>
        <v>¿Cuántos de ellos son hermanos?</v>
      </c>
      <c r="C121" s="15" t="str">
        <f>IFERROR(__xludf.DUMMYFUNCTION("VLOOKUP($B121,IMPORTRANGE(""https://docs.google.com/spreadsheets/d/1FYVlxGM-gYXe-QaL0HOSFmUpogUrsx0e6DntOW4RH1o/edit#gid=2017480677"",""Preguntas!E2:J""),2,false)"),"1; 2; 3; 4; 5; 6; 7; 8; 9; 10; 11; 12; 13; 14; 15; Mas de 15")</f>
        <v>1; 2; 3; 4; 5; 6; 7; 8; 9; 10; 11; 12; 13; 14; 15; Mas de 15</v>
      </c>
      <c r="D121" s="15" t="str">
        <f>IFERROR(__xludf.DUMMYFUNCTION("VLOOKUP($B121,IMPORTRANGE(""https://docs.google.com/spreadsheets/d/1FYVlxGM-gYXe-QaL0HOSFmUpogUrsx0e6DntOW4RH1o/edit#gid=2017480677"",""Preguntas!E2:J""),4,false)"),"Familia-Contexto Familiar")</f>
        <v>Familia-Contexto Familiar</v>
      </c>
    </row>
    <row r="122">
      <c r="A122" s="14" t="str">
        <f>IFERROR(__xludf.DUMMYFUNCTION("""COMPUTED_VALUE"""),"P308")</f>
        <v>P308</v>
      </c>
      <c r="B122" s="14" t="str">
        <f>IFERROR(__xludf.DUMMYFUNCTION("""COMPUTED_VALUE"""),"¿Cuántos de ellos son menores de 18 años?")</f>
        <v>¿Cuántos de ellos son menores de 18 años?</v>
      </c>
      <c r="C122" s="14" t="str">
        <f>IFERROR(__xludf.DUMMYFUNCTION("VLOOKUP($B122,IMPORTRANGE(""https://docs.google.com/spreadsheets/d/1FYVlxGM-gYXe-QaL0HOSFmUpogUrsx0e6DntOW4RH1o/edit#gid=2017480677"",""Preguntas!E2:J""),2,false)"),"1; 2; 3; 4; 5; 6; 7; 8; 9; 10; 11; 12; 13; 14; 15; Mas de 15")</f>
        <v>1; 2; 3; 4; 5; 6; 7; 8; 9; 10; 11; 12; 13; 14; 15; Mas de 15</v>
      </c>
      <c r="D122" s="14" t="str">
        <f>IFERROR(__xludf.DUMMYFUNCTION("VLOOKUP($B122,IMPORTRANGE(""https://docs.google.com/spreadsheets/d/1FYVlxGM-gYXe-QaL0HOSFmUpogUrsx0e6DntOW4RH1o/edit#gid=2017480677"",""Preguntas!E2:J""),4,false)"),"Familia-Contexto Familiar")</f>
        <v>Familia-Contexto Familiar</v>
      </c>
    </row>
    <row r="123">
      <c r="A123" s="15" t="str">
        <f>IFERROR(__xludf.DUMMYFUNCTION("""COMPUTED_VALUE"""),"P309")</f>
        <v>P309</v>
      </c>
      <c r="B123" s="15" t="str">
        <f>IFERROR(__xludf.DUMMYFUNCTION("""COMPUTED_VALUE"""),"¿Hay algún niño en el hogar que...  [no tenga DNI y necesite tramitarlo?]")</f>
        <v>¿Hay algún niño en el hogar que...  [no tenga DNI y necesite tramitarlo?]</v>
      </c>
      <c r="C123" s="15" t="str">
        <f>IFERROR(__xludf.DUMMYFUNCTION("VLOOKUP($B123,IMPORTRANGE(""https://docs.google.com/spreadsheets/d/1FYVlxGM-gYXe-QaL0HOSFmUpogUrsx0e6DntOW4RH1o/edit#gid=2017480677"",""Preguntas!E2:J""),2,false)"),"Si; No")</f>
        <v>Si; No</v>
      </c>
      <c r="D123" s="15" t="str">
        <f>IFERROR(__xludf.DUMMYFUNCTION("VLOOKUP($B123,IMPORTRANGE(""https://docs.google.com/spreadsheets/d/1FYVlxGM-gYXe-QaL0HOSFmUpogUrsx0e6DntOW4RH1o/edit#gid=2017480677"",""Preguntas!E2:J""),4,false)"),"Familia-Contexto Familiar")</f>
        <v>Familia-Contexto Familiar</v>
      </c>
    </row>
    <row r="124">
      <c r="A124" s="14" t="str">
        <f>IFERROR(__xludf.DUMMYFUNCTION("""COMPUTED_VALUE"""),"P310")</f>
        <v>P310</v>
      </c>
      <c r="B124" s="14" t="str">
        <f>IFERROR(__xludf.DUMMYFUNCTION("""COMPUTED_VALUE"""),"¿Hay algún niño en el hogar que...  [padezca problemas de salud?]")</f>
        <v>¿Hay algún niño en el hogar que...  [padezca problemas de salud?]</v>
      </c>
      <c r="C124" s="14" t="str">
        <f>IFERROR(__xludf.DUMMYFUNCTION("VLOOKUP($B124,IMPORTRANGE(""https://docs.google.com/spreadsheets/d/1FYVlxGM-gYXe-QaL0HOSFmUpogUrsx0e6DntOW4RH1o/edit#gid=2017480677"",""Preguntas!E2:J""),2,false)"),"Si; No")</f>
        <v>Si; No</v>
      </c>
      <c r="D124" s="14" t="str">
        <f>IFERROR(__xludf.DUMMYFUNCTION("VLOOKUP($B124,IMPORTRANGE(""https://docs.google.com/spreadsheets/d/1FYVlxGM-gYXe-QaL0HOSFmUpogUrsx0e6DntOW4RH1o/edit#gid=2017480677"",""Preguntas!E2:J""),4,false)"),"Familia-Contexto Familiar")</f>
        <v>Familia-Contexto Familiar</v>
      </c>
    </row>
    <row r="125">
      <c r="A125" s="15" t="str">
        <f>IFERROR(__xludf.DUMMYFUNCTION("""COMPUTED_VALUE"""),"P311")</f>
        <v>P311</v>
      </c>
      <c r="B125" s="15" t="str">
        <f>IFERROR(__xludf.DUMMYFUNCTION("""COMPUTED_VALUE"""),"¿Hay algún niño en el hogar que...  [no esté inscripto en alguna Escuela?]")</f>
        <v>¿Hay algún niño en el hogar que...  [no esté inscripto en alguna Escuela?]</v>
      </c>
      <c r="C125" s="15" t="str">
        <f>IFERROR(__xludf.DUMMYFUNCTION("VLOOKUP($B125,IMPORTRANGE(""https://docs.google.com/spreadsheets/d/1FYVlxGM-gYXe-QaL0HOSFmUpogUrsx0e6DntOW4RH1o/edit#gid=2017480677"",""Preguntas!E2:J""),2,false)"),"Si; No")</f>
        <v>Si; No</v>
      </c>
      <c r="D125" s="15" t="str">
        <f>IFERROR(__xludf.DUMMYFUNCTION("VLOOKUP($B125,IMPORTRANGE(""https://docs.google.com/spreadsheets/d/1FYVlxGM-gYXe-QaL0HOSFmUpogUrsx0e6DntOW4RH1o/edit#gid=2017480677"",""Preguntas!E2:J""),4,false)"),"Familia-Contexto Familiar")</f>
        <v>Familia-Contexto Familiar</v>
      </c>
    </row>
    <row r="126">
      <c r="A126" s="14" t="str">
        <f>IFERROR(__xludf.DUMMYFUNCTION("""COMPUTED_VALUE"""),"P312")</f>
        <v>P312</v>
      </c>
      <c r="B126" s="14" t="str">
        <f>IFERROR(__xludf.DUMMYFUNCTION("""COMPUTED_VALUE"""),"¿Hay algún niño en el hogar que...  [Protegido por alguna medida judicial?]")</f>
        <v>¿Hay algún niño en el hogar que...  [Protegido por alguna medida judicial?]</v>
      </c>
      <c r="C126" s="14" t="str">
        <f>IFERROR(__xludf.DUMMYFUNCTION("VLOOKUP($B126,IMPORTRANGE(""https://docs.google.com/spreadsheets/d/1FYVlxGM-gYXe-QaL0HOSFmUpogUrsx0e6DntOW4RH1o/edit#gid=2017480677"",""Preguntas!E2:J""),2,false)"),"Si; No")</f>
        <v>Si; No</v>
      </c>
      <c r="D126" s="14" t="str">
        <f>IFERROR(__xludf.DUMMYFUNCTION("VLOOKUP($B126,IMPORTRANGE(""https://docs.google.com/spreadsheets/d/1FYVlxGM-gYXe-QaL0HOSFmUpogUrsx0e6DntOW4RH1o/edit#gid=2017480677"",""Preguntas!E2:J""),4,false)"),"Familia-Contexto Familiar")</f>
        <v>Familia-Contexto Familiar</v>
      </c>
    </row>
    <row r="127">
      <c r="A127" s="15" t="str">
        <f>IFERROR(__xludf.DUMMYFUNCTION("""COMPUTED_VALUE"""),"P313")</f>
        <v>P313</v>
      </c>
      <c r="B127" s="15" t="str">
        <f>IFERROR(__xludf.DUMMYFUNCTION("""COMPUTED_VALUE"""),"¿Hay algún niño en el hogar que...  [Alguna niña en el hogar embarazada?]")</f>
        <v>¿Hay algún niño en el hogar que...  [Alguna niña en el hogar embarazada?]</v>
      </c>
      <c r="C127" s="15" t="str">
        <f>IFERROR(__xludf.DUMMYFUNCTION("VLOOKUP($B127,IMPORTRANGE(""https://docs.google.com/spreadsheets/d/1FYVlxGM-gYXe-QaL0HOSFmUpogUrsx0e6DntOW4RH1o/edit#gid=2017480677"",""Preguntas!E2:J""),2,false)"),"Si; No")</f>
        <v>Si; No</v>
      </c>
      <c r="D127" s="15" t="str">
        <f>IFERROR(__xludf.DUMMYFUNCTION("VLOOKUP($B127,IMPORTRANGE(""https://docs.google.com/spreadsheets/d/1FYVlxGM-gYXe-QaL0HOSFmUpogUrsx0e6DntOW4RH1o/edit#gid=2017480677"",""Preguntas!E2:J""),4,false)"),"Familia-Contexto Familiar")</f>
        <v>Familia-Contexto Familiar</v>
      </c>
    </row>
    <row r="128">
      <c r="A128" s="14" t="str">
        <f>IFERROR(__xludf.DUMMYFUNCTION("""COMPUTED_VALUE"""),"P314")</f>
        <v>P314</v>
      </c>
      <c r="B128" s="14" t="str">
        <f>IFERROR(__xludf.DUMMYFUNCTION("""COMPUTED_VALUE"""),"La madre o cuidador principal... [Padece enfermedad en tratamiento? ]")</f>
        <v>La madre o cuidador principal... [Padece enfermedad en tratamiento? ]</v>
      </c>
      <c r="C128" s="14" t="str">
        <f>IFERROR(__xludf.DUMMYFUNCTION("VLOOKUP($B128,IMPORTRANGE(""https://docs.google.com/spreadsheets/d/1FYVlxGM-gYXe-QaL0HOSFmUpogUrsx0e6DntOW4RH1o/edit#gid=2017480677"",""Preguntas!E2:J""),2,false)"),"Si; No")</f>
        <v>Si; No</v>
      </c>
      <c r="D128" s="14" t="str">
        <f>IFERROR(__xludf.DUMMYFUNCTION("VLOOKUP($B128,IMPORTRANGE(""https://docs.google.com/spreadsheets/d/1FYVlxGM-gYXe-QaL0HOSFmUpogUrsx0e6DntOW4RH1o/edit#gid=2017480677"",""Preguntas!E2:J""),4,false)"),"Familia-Madre o Padre")</f>
        <v>Familia-Madre o Padre</v>
      </c>
    </row>
    <row r="129">
      <c r="A129" s="15" t="str">
        <f>IFERROR(__xludf.DUMMYFUNCTION("""COMPUTED_VALUE"""),"P315")</f>
        <v>P315</v>
      </c>
      <c r="B129" s="15" t="str">
        <f>IFERROR(__xludf.DUMMYFUNCTION("""COMPUTED_VALUE"""),"La madre o cuidador principal... [Padece enfermedad sin tratamiento?]")</f>
        <v>La madre o cuidador principal... [Padece enfermedad sin tratamiento?]</v>
      </c>
      <c r="C129" s="15" t="str">
        <f>IFERROR(__xludf.DUMMYFUNCTION("VLOOKUP($B129,IMPORTRANGE(""https://docs.google.com/spreadsheets/d/1FYVlxGM-gYXe-QaL0HOSFmUpogUrsx0e6DntOW4RH1o/edit#gid=2017480677"",""Preguntas!E2:J""),2,false)"),"Si; No")</f>
        <v>Si; No</v>
      </c>
      <c r="D129" s="15" t="str">
        <f>IFERROR(__xludf.DUMMYFUNCTION("VLOOKUP($B129,IMPORTRANGE(""https://docs.google.com/spreadsheets/d/1FYVlxGM-gYXe-QaL0HOSFmUpogUrsx0e6DntOW4RH1o/edit#gid=2017480677"",""Preguntas!E2:J""),4,false)"),"Familia-Madre o Padre")</f>
        <v>Familia-Madre o Padre</v>
      </c>
    </row>
    <row r="130">
      <c r="A130" s="14" t="str">
        <f>IFERROR(__xludf.DUMMYFUNCTION("""COMPUTED_VALUE"""),"P316")</f>
        <v>P316</v>
      </c>
      <c r="B130" s="14" t="str">
        <f>IFERROR(__xludf.DUMMYFUNCTION("""COMPUTED_VALUE"""),"La madre o cuidador principal... [Padece enfermedad infecto- contagiosa EN tratamiento?]")</f>
        <v>La madre o cuidador principal... [Padece enfermedad infecto- contagiosa EN tratamiento?]</v>
      </c>
      <c r="C130" s="14" t="str">
        <f>IFERROR(__xludf.DUMMYFUNCTION("VLOOKUP($B130,IMPORTRANGE(""https://docs.google.com/spreadsheets/d/1FYVlxGM-gYXe-QaL0HOSFmUpogUrsx0e6DntOW4RH1o/edit#gid=2017480677"",""Preguntas!E2:J""),2,false)"),"Si; No")</f>
        <v>Si; No</v>
      </c>
      <c r="D130" s="14" t="str">
        <f>IFERROR(__xludf.DUMMYFUNCTION("VLOOKUP($B130,IMPORTRANGE(""https://docs.google.com/spreadsheets/d/1FYVlxGM-gYXe-QaL0HOSFmUpogUrsx0e6DntOW4RH1o/edit#gid=2017480677"",""Preguntas!E2:J""),4,false)"),"Familia-Madre o Padre")</f>
        <v>Familia-Madre o Padre</v>
      </c>
    </row>
    <row r="131">
      <c r="A131" s="15" t="str">
        <f>IFERROR(__xludf.DUMMYFUNCTION("""COMPUTED_VALUE"""),"P317")</f>
        <v>P317</v>
      </c>
      <c r="B131" s="15" t="str">
        <f>IFERROR(__xludf.DUMMYFUNCTION("""COMPUTED_VALUE"""),"La madre o cuidador principal... [Padece enfermedad infecto- contagiosa SIN tratamiento?]")</f>
        <v>La madre o cuidador principal... [Padece enfermedad infecto- contagiosa SIN tratamiento?]</v>
      </c>
      <c r="C131" s="15" t="str">
        <f>IFERROR(__xludf.DUMMYFUNCTION("VLOOKUP($B131,IMPORTRANGE(""https://docs.google.com/spreadsheets/d/1FYVlxGM-gYXe-QaL0HOSFmUpogUrsx0e6DntOW4RH1o/edit#gid=2017480677"",""Preguntas!E2:J""),2,false)"),"Si; No")</f>
        <v>Si; No</v>
      </c>
      <c r="D131" s="15" t="str">
        <f>IFERROR(__xludf.DUMMYFUNCTION("VLOOKUP($B131,IMPORTRANGE(""https://docs.google.com/spreadsheets/d/1FYVlxGM-gYXe-QaL0HOSFmUpogUrsx0e6DntOW4RH1o/edit#gid=2017480677"",""Preguntas!E2:J""),4,false)"),"Familia-Madre o Padre")</f>
        <v>Familia-Madre o Padre</v>
      </c>
    </row>
    <row r="132">
      <c r="A132" s="14" t="str">
        <f>IFERROR(__xludf.DUMMYFUNCTION("""COMPUTED_VALUE"""),"P318")</f>
        <v>P318</v>
      </c>
      <c r="B132" s="14" t="str">
        <f>IFERROR(__xludf.DUMMYFUNCTION("""COMPUTED_VALUE"""),"La madre o cuidador principal... [Padece problemas de salud Mental EN tratamiento?]")</f>
        <v>La madre o cuidador principal... [Padece problemas de salud Mental EN tratamiento?]</v>
      </c>
      <c r="C132" s="14" t="str">
        <f>IFERROR(__xludf.DUMMYFUNCTION("VLOOKUP($B132,IMPORTRANGE(""https://docs.google.com/spreadsheets/d/1FYVlxGM-gYXe-QaL0HOSFmUpogUrsx0e6DntOW4RH1o/edit#gid=2017480677"",""Preguntas!E2:J""),2,false)"),"Si; No")</f>
        <v>Si; No</v>
      </c>
      <c r="D132" s="14" t="str">
        <f>IFERROR(__xludf.DUMMYFUNCTION("VLOOKUP($B132,IMPORTRANGE(""https://docs.google.com/spreadsheets/d/1FYVlxGM-gYXe-QaL0HOSFmUpogUrsx0e6DntOW4RH1o/edit#gid=2017480677"",""Preguntas!E2:J""),4,false)"),"Familia-Madre o Padre")</f>
        <v>Familia-Madre o Padre</v>
      </c>
    </row>
    <row r="133">
      <c r="A133" s="15" t="str">
        <f>IFERROR(__xludf.DUMMYFUNCTION("""COMPUTED_VALUE"""),"P319")</f>
        <v>P319</v>
      </c>
      <c r="B133" s="15" t="str">
        <f>IFERROR(__xludf.DUMMYFUNCTION("""COMPUTED_VALUE"""),"La madre o cuidador principal... [Padece problemas de Salud mental SIN tratamiento?]")</f>
        <v>La madre o cuidador principal... [Padece problemas de Salud mental SIN tratamiento?]</v>
      </c>
      <c r="C133" s="15" t="str">
        <f>IFERROR(__xludf.DUMMYFUNCTION("VLOOKUP($B133,IMPORTRANGE(""https://docs.google.com/spreadsheets/d/1FYVlxGM-gYXe-QaL0HOSFmUpogUrsx0e6DntOW4RH1o/edit#gid=2017480677"",""Preguntas!E2:J""),2,false)"),"Si; No")</f>
        <v>Si; No</v>
      </c>
      <c r="D133" s="15" t="str">
        <f>IFERROR(__xludf.DUMMYFUNCTION("VLOOKUP($B133,IMPORTRANGE(""https://docs.google.com/spreadsheets/d/1FYVlxGM-gYXe-QaL0HOSFmUpogUrsx0e6DntOW4RH1o/edit#gid=2017480677"",""Preguntas!E2:J""),4,false)"),"Familia-Madre o Padre")</f>
        <v>Familia-Madre o Padre</v>
      </c>
    </row>
    <row r="134">
      <c r="A134" s="14" t="str">
        <f>IFERROR(__xludf.DUMMYFUNCTION("""COMPUTED_VALUE"""),"P320")</f>
        <v>P320</v>
      </c>
      <c r="B134" s="14" t="str">
        <f>IFERROR(__xludf.DUMMYFUNCTION("""COMPUTED_VALUE"""),"La madre o cuidador principal... [Capacidades reducidas o afectadas]")</f>
        <v>La madre o cuidador principal... [Capacidades reducidas o afectadas]</v>
      </c>
      <c r="C134" s="14" t="str">
        <f>IFERROR(__xludf.DUMMYFUNCTION("VLOOKUP($B134,IMPORTRANGE(""https://docs.google.com/spreadsheets/d/1FYVlxGM-gYXe-QaL0HOSFmUpogUrsx0e6DntOW4RH1o/edit#gid=2017480677"",""Preguntas!E2:J""),2,false)"),"Si; No")</f>
        <v>Si; No</v>
      </c>
      <c r="D134" s="14" t="str">
        <f>IFERROR(__xludf.DUMMYFUNCTION("VLOOKUP($B134,IMPORTRANGE(""https://docs.google.com/spreadsheets/d/1FYVlxGM-gYXe-QaL0HOSFmUpogUrsx0e6DntOW4RH1o/edit#gid=2017480677"",""Preguntas!E2:J""),4,false)"),"Familia-Madre o Padre")</f>
        <v>Familia-Madre o Padre</v>
      </c>
    </row>
    <row r="135">
      <c r="A135" s="15" t="str">
        <f>IFERROR(__xludf.DUMMYFUNCTION("""COMPUTED_VALUE"""),"P321")</f>
        <v>P321</v>
      </c>
      <c r="B135" s="15" t="str">
        <f>IFERROR(__xludf.DUMMYFUNCTION("""COMPUTED_VALUE"""),"La madre o cuidador principal... [¿Tiene Certificado de discapacidad?]")</f>
        <v>La madre o cuidador principal... [¿Tiene Certificado de discapacidad?]</v>
      </c>
      <c r="C135" s="15" t="str">
        <f>IFERROR(__xludf.DUMMYFUNCTION("VLOOKUP($B135,IMPORTRANGE(""https://docs.google.com/spreadsheets/d/1FYVlxGM-gYXe-QaL0HOSFmUpogUrsx0e6DntOW4RH1o/edit#gid=2017480677"",""Preguntas!E2:J""),2,false)"),"Si; No")</f>
        <v>Si; No</v>
      </c>
      <c r="D135" s="15" t="str">
        <f>IFERROR(__xludf.DUMMYFUNCTION("VLOOKUP($B135,IMPORTRANGE(""https://docs.google.com/spreadsheets/d/1FYVlxGM-gYXe-QaL0HOSFmUpogUrsx0e6DntOW4RH1o/edit#gid=2017480677"",""Preguntas!E2:J""),4,false)"),"Familia-Madre o Padre")</f>
        <v>Familia-Madre o Padre</v>
      </c>
    </row>
    <row r="136">
      <c r="A136" s="14" t="str">
        <f>IFERROR(__xludf.DUMMYFUNCTION("""COMPUTED_VALUE"""),"P322")</f>
        <v>P322</v>
      </c>
      <c r="B136" s="14" t="str">
        <f>IFERROR(__xludf.DUMMYFUNCTION("""COMPUTED_VALUE"""),"La madre o cuidador principal... [Padece consumo (o sospecha de) consumo problemático)]")</f>
        <v>La madre o cuidador principal... [Padece consumo (o sospecha de) consumo problemático)]</v>
      </c>
      <c r="C136" s="14" t="str">
        <f>IFERROR(__xludf.DUMMYFUNCTION("VLOOKUP($B136,IMPORTRANGE(""https://docs.google.com/spreadsheets/d/1FYVlxGM-gYXe-QaL0HOSFmUpogUrsx0e6DntOW4RH1o/edit#gid=2017480677"",""Preguntas!E2:J""),2,false)"),"Si; No")</f>
        <v>Si; No</v>
      </c>
      <c r="D136" s="14" t="str">
        <f>IFERROR(__xludf.DUMMYFUNCTION("VLOOKUP($B136,IMPORTRANGE(""https://docs.google.com/spreadsheets/d/1FYVlxGM-gYXe-QaL0HOSFmUpogUrsx0e6DntOW4RH1o/edit#gid=2017480677"",""Preguntas!E2:J""),4,false)"),"Familia-Madre o Padre")</f>
        <v>Familia-Madre o Padre</v>
      </c>
    </row>
    <row r="137">
      <c r="A137" s="15" t="str">
        <f>IFERROR(__xludf.DUMMYFUNCTION("""COMPUTED_VALUE"""),"P323")</f>
        <v>P323</v>
      </c>
      <c r="B137" s="15" t="str">
        <f>IFERROR(__xludf.DUMMYFUNCTION("""COMPUTED_VALUE"""),"¿Hay algun familiar conviviente... [privado de su libertad?]")</f>
        <v>¿Hay algun familiar conviviente... [privado de su libertad?]</v>
      </c>
      <c r="C137" s="15" t="str">
        <f>IFERROR(__xludf.DUMMYFUNCTION("VLOOKUP($B137,IMPORTRANGE(""https://docs.google.com/spreadsheets/d/1FYVlxGM-gYXe-QaL0HOSFmUpogUrsx0e6DntOW4RH1o/edit#gid=2017480677"",""Preguntas!E2:J""),2,false)"),"Si; No")</f>
        <v>Si; No</v>
      </c>
      <c r="D137" s="15" t="str">
        <f>IFERROR(__xludf.DUMMYFUNCTION("VLOOKUP($B137,IMPORTRANGE(""https://docs.google.com/spreadsheets/d/1FYVlxGM-gYXe-QaL0HOSFmUpogUrsx0e6DntOW4RH1o/edit#gid=2017480677"",""Preguntas!E2:J""),4,false)"),"Familia-Salud Familiar")</f>
        <v>Familia-Salud Familiar</v>
      </c>
    </row>
    <row r="138">
      <c r="A138" s="14" t="str">
        <f>IFERROR(__xludf.DUMMYFUNCTION("""COMPUTED_VALUE"""),"P324")</f>
        <v>P324</v>
      </c>
      <c r="B138" s="14" t="str">
        <f>IFERROR(__xludf.DUMMYFUNCTION("""COMPUTED_VALUE"""),"¿Hay algun familiar conviviente... [padeciendo enfermedades contagiosas?]")</f>
        <v>¿Hay algun familiar conviviente... [padeciendo enfermedades contagiosas?]</v>
      </c>
      <c r="C138" s="14" t="str">
        <f>IFERROR(__xludf.DUMMYFUNCTION("VLOOKUP($B138,IMPORTRANGE(""https://docs.google.com/spreadsheets/d/1FYVlxGM-gYXe-QaL0HOSFmUpogUrsx0e6DntOW4RH1o/edit#gid=2017480677"",""Preguntas!E2:J""),2,false)"),"Si; No")</f>
        <v>Si; No</v>
      </c>
      <c r="D138" s="14" t="str">
        <f>IFERROR(__xludf.DUMMYFUNCTION("VLOOKUP($B138,IMPORTRANGE(""https://docs.google.com/spreadsheets/d/1FYVlxGM-gYXe-QaL0HOSFmUpogUrsx0e6DntOW4RH1o/edit#gid=2017480677"",""Preguntas!E2:J""),4,false)"),"Familia-Salud Familiar")</f>
        <v>Familia-Salud Familiar</v>
      </c>
    </row>
    <row r="139">
      <c r="A139" s="15" t="str">
        <f>IFERROR(__xludf.DUMMYFUNCTION("""COMPUTED_VALUE"""),"P325")</f>
        <v>P325</v>
      </c>
      <c r="B139" s="15" t="str">
        <f>IFERROR(__xludf.DUMMYFUNCTION("""COMPUTED_VALUE"""),"¿Hay algun familiar conviviente... [con problemas de consumo de sustancias?]")</f>
        <v>¿Hay algun familiar conviviente... [con problemas de consumo de sustancias?]</v>
      </c>
      <c r="C139" s="15" t="str">
        <f>IFERROR(__xludf.DUMMYFUNCTION("VLOOKUP($B139,IMPORTRANGE(""https://docs.google.com/spreadsheets/d/1FYVlxGM-gYXe-QaL0HOSFmUpogUrsx0e6DntOW4RH1o/edit#gid=2017480677"",""Preguntas!E2:J""),2,false)"),"Si; No")</f>
        <v>Si; No</v>
      </c>
      <c r="D139" s="15" t="str">
        <f>IFERROR(__xludf.DUMMYFUNCTION("VLOOKUP($B139,IMPORTRANGE(""https://docs.google.com/spreadsheets/d/1FYVlxGM-gYXe-QaL0HOSFmUpogUrsx0e6DntOW4RH1o/edit#gid=2017480677"",""Preguntas!E2:J""),4,false)"),"Familia-Salud Familiar")</f>
        <v>Familia-Salud Familiar</v>
      </c>
    </row>
    <row r="140">
      <c r="A140" s="14" t="str">
        <f>IFERROR(__xludf.DUMMYFUNCTION("""COMPUTED_VALUE"""),"P326")</f>
        <v>P326</v>
      </c>
      <c r="B140" s="14" t="str">
        <f>IFERROR(__xludf.DUMMYFUNCTION("""COMPUTED_VALUE"""),"¿Hay algun familiar conviviente... [con problemas de salud mental?]")</f>
        <v>¿Hay algun familiar conviviente... [con problemas de salud mental?]</v>
      </c>
      <c r="C140" s="14" t="str">
        <f>IFERROR(__xludf.DUMMYFUNCTION("VLOOKUP($B140,IMPORTRANGE(""https://docs.google.com/spreadsheets/d/1FYVlxGM-gYXe-QaL0HOSFmUpogUrsx0e6DntOW4RH1o/edit#gid=2017480677"",""Preguntas!E2:J""),2,false)"),"Si; No")</f>
        <v>Si; No</v>
      </c>
      <c r="D140" s="14" t="str">
        <f>IFERROR(__xludf.DUMMYFUNCTION("VLOOKUP($B140,IMPORTRANGE(""https://docs.google.com/spreadsheets/d/1FYVlxGM-gYXe-QaL0HOSFmUpogUrsx0e6DntOW4RH1o/edit#gid=2017480677"",""Preguntas!E2:J""),4,false)"),"Familia-Salud Familiar")</f>
        <v>Familia-Salud Familiar</v>
      </c>
    </row>
    <row r="141">
      <c r="A141" s="15" t="str">
        <f>IFERROR(__xludf.DUMMYFUNCTION("""COMPUTED_VALUE"""),"P327")</f>
        <v>P327</v>
      </c>
      <c r="B141" s="15" t="str">
        <f>IFERROR(__xludf.DUMMYFUNCTION("""COMPUTED_VALUE"""),"¿Hay algun familiar conviviente... [con problemas de discapacidad?]")</f>
        <v>¿Hay algun familiar conviviente... [con problemas de discapacidad?]</v>
      </c>
      <c r="C141" s="15" t="str">
        <f>IFERROR(__xludf.DUMMYFUNCTION("VLOOKUP($B141,IMPORTRANGE(""https://docs.google.com/spreadsheets/d/1FYVlxGM-gYXe-QaL0HOSFmUpogUrsx0e6DntOW4RH1o/edit#gid=2017480677"",""Preguntas!E2:J""),2,false)"),"Si; No")</f>
        <v>Si; No</v>
      </c>
      <c r="D141" s="15" t="str">
        <f>IFERROR(__xludf.DUMMYFUNCTION("VLOOKUP($B141,IMPORTRANGE(""https://docs.google.com/spreadsheets/d/1FYVlxGM-gYXe-QaL0HOSFmUpogUrsx0e6DntOW4RH1o/edit#gid=2017480677"",""Preguntas!E2:J""),4,false)"),"Familia-Salud Familiar")</f>
        <v>Familia-Salud Familiar</v>
      </c>
    </row>
    <row r="142">
      <c r="A142" s="14" t="str">
        <f>IFERROR(__xludf.DUMMYFUNCTION("""COMPUTED_VALUE"""),"P328")</f>
        <v>P328</v>
      </c>
      <c r="B142" s="14" t="str">
        <f>IFERROR(__xludf.DUMMYFUNCTION("""COMPUTED_VALUE"""),"¿Hubo en el último tiempo alguna situación de duelo, traumática en el entorno familiar?")</f>
        <v>¿Hubo en el último tiempo alguna situación de duelo, traumática en el entorno familiar?</v>
      </c>
      <c r="C142" s="14" t="str">
        <f>IFERROR(__xludf.DUMMYFUNCTION("VLOOKUP($B142,IMPORTRANGE(""https://docs.google.com/spreadsheets/d/1FYVlxGM-gYXe-QaL0HOSFmUpogUrsx0e6DntOW4RH1o/edit#gid=2017480677"",""Preguntas!E2:J""),2,false)"),"Si; No")</f>
        <v>Si; No</v>
      </c>
      <c r="D142" s="14" t="str">
        <f>IFERROR(__xludf.DUMMYFUNCTION("VLOOKUP($B142,IMPORTRANGE(""https://docs.google.com/spreadsheets/d/1FYVlxGM-gYXe-QaL0HOSFmUpogUrsx0e6DntOW4RH1o/edit#gid=2017480677"",""Preguntas!E2:J""),4,false)"),"Familia-Salud Familiar")</f>
        <v>Familia-Salud Familiar</v>
      </c>
    </row>
    <row r="143">
      <c r="A143" s="15" t="str">
        <f>IFERROR(__xludf.DUMMYFUNCTION("""COMPUTED_VALUE"""),"P329")</f>
        <v>P329</v>
      </c>
      <c r="B143" s="15" t="str">
        <f>IFERROR(__xludf.DUMMYFUNCTION("""COMPUTED_VALUE"""),"¿Vivieron alguna situación reciente de violencia en el entorno familiar?")</f>
        <v>¿Vivieron alguna situación reciente de violencia en el entorno familiar?</v>
      </c>
      <c r="C143" s="15" t="str">
        <f>IFERROR(__xludf.DUMMYFUNCTION("VLOOKUP($B143,IMPORTRANGE(""https://docs.google.com/spreadsheets/d/1FYVlxGM-gYXe-QaL0HOSFmUpogUrsx0e6DntOW4RH1o/edit#gid=2017480677"",""Preguntas!E2:J""),2,false)"),"Si; No")</f>
        <v>Si; No</v>
      </c>
      <c r="D143" s="15" t="str">
        <f>IFERROR(__xludf.DUMMYFUNCTION("VLOOKUP($B143,IMPORTRANGE(""https://docs.google.com/spreadsheets/d/1FYVlxGM-gYXe-QaL0HOSFmUpogUrsx0e6DntOW4RH1o/edit#gid=2017480677"",""Preguntas!E2:J""),4,false)"),"Familia-Contexto Familiar")</f>
        <v>Familia-Contexto Familiar</v>
      </c>
    </row>
    <row r="144">
      <c r="A144" s="14" t="str">
        <f>IFERROR(__xludf.DUMMYFUNCTION("""COMPUTED_VALUE"""),"P330")</f>
        <v>P330</v>
      </c>
      <c r="B144" s="14" t="str">
        <f>IFERROR(__xludf.DUMMYFUNCTION("""COMPUTED_VALUE"""),"¿Los acompañan desde algún Programa Municipal o Red Institucional?")</f>
        <v>¿Los acompañan desde algún Programa Municipal o Red Institucional?</v>
      </c>
      <c r="C144" s="14" t="str">
        <f>IFERROR(__xludf.DUMMYFUNCTION("VLOOKUP($B144,IMPORTRANGE(""https://docs.google.com/spreadsheets/d/1FYVlxGM-gYXe-QaL0HOSFmUpogUrsx0e6DntOW4RH1o/edit#gid=2017480677"",""Preguntas!E2:J""),2,false)"),"Si; No")</f>
        <v>Si; No</v>
      </c>
      <c r="D144" s="14" t="str">
        <f>IFERROR(__xludf.DUMMYFUNCTION("VLOOKUP($B144,IMPORTRANGE(""https://docs.google.com/spreadsheets/d/1FYVlxGM-gYXe-QaL0HOSFmUpogUrsx0e6DntOW4RH1o/edit#gid=2017480677"",""Preguntas!E2:J""),4,false)"),"Familia-Redes y Ayudas")</f>
        <v>Familia-Redes y Ayudas</v>
      </c>
    </row>
    <row r="145">
      <c r="A145" s="15" t="str">
        <f>IFERROR(__xludf.DUMMYFUNCTION("""COMPUTED_VALUE"""),"P331")</f>
        <v>P331</v>
      </c>
      <c r="B145" s="15" t="str">
        <f>IFERROR(__xludf.DUMMYFUNCTION("""COMPUTED_VALUE"""),"Los adultos a cargo... [¿Obtienen alguna ayuda social?]")</f>
        <v>Los adultos a cargo... [¿Obtienen alguna ayuda social?]</v>
      </c>
      <c r="C145" s="15" t="str">
        <f>IFERROR(__xludf.DUMMYFUNCTION("VLOOKUP($B145,IMPORTRANGE(""https://docs.google.com/spreadsheets/d/1FYVlxGM-gYXe-QaL0HOSFmUpogUrsx0e6DntOW4RH1o/edit#gid=2017480677"",""Preguntas!E2:J""),2,false)"),"Si; No")</f>
        <v>Si; No</v>
      </c>
      <c r="D145" s="15" t="str">
        <f>IFERROR(__xludf.DUMMYFUNCTION("VLOOKUP($B145,IMPORTRANGE(""https://docs.google.com/spreadsheets/d/1FYVlxGM-gYXe-QaL0HOSFmUpogUrsx0e6DntOW4RH1o/edit#gid=2017480677"",""Preguntas!E2:J""),4,false)"),"Familia-Redes y Ayudas")</f>
        <v>Familia-Redes y Ayudas</v>
      </c>
    </row>
    <row r="146">
      <c r="A146" s="14" t="str">
        <f>IFERROR(__xludf.DUMMYFUNCTION("""COMPUTED_VALUE"""),"P332")</f>
        <v>P332</v>
      </c>
      <c r="B146" s="14" t="str">
        <f>IFERROR(__xludf.DUMMYFUNCTION("""COMPUTED_VALUE"""),"Los adultos a cargo... [¿Saben como tramitar la ayuda social?]")</f>
        <v>Los adultos a cargo... [¿Saben como tramitar la ayuda social?]</v>
      </c>
      <c r="C146" s="14" t="str">
        <f>IFERROR(__xludf.DUMMYFUNCTION("VLOOKUP($B146,IMPORTRANGE(""https://docs.google.com/spreadsheets/d/1FYVlxGM-gYXe-QaL0HOSFmUpogUrsx0e6DntOW4RH1o/edit#gid=2017480677"",""Preguntas!E2:J""),2,false)"),"Si; No")</f>
        <v>Si; No</v>
      </c>
      <c r="D146" s="14" t="str">
        <f>IFERROR(__xludf.DUMMYFUNCTION("VLOOKUP($B146,IMPORTRANGE(""https://docs.google.com/spreadsheets/d/1FYVlxGM-gYXe-QaL0HOSFmUpogUrsx0e6DntOW4RH1o/edit#gid=2017480677"",""Preguntas!E2:J""),4,false)"),"Familia-Capacidades")</f>
        <v>Familia-Capacidades</v>
      </c>
    </row>
    <row r="147">
      <c r="A147" s="15" t="str">
        <f>IFERROR(__xludf.DUMMYFUNCTION("""COMPUTED_VALUE"""),"P333")</f>
        <v>P333</v>
      </c>
      <c r="B147" s="15" t="str">
        <f>IFERROR(__xludf.DUMMYFUNCTION("""COMPUTED_VALUE"""),"Los adultos a cargo... [¿Tienen teléfono?]")</f>
        <v>Los adultos a cargo... [¿Tienen teléfono?]</v>
      </c>
      <c r="C147" s="15" t="str">
        <f>IFERROR(__xludf.DUMMYFUNCTION("VLOOKUP($B147,IMPORTRANGE(""https://docs.google.com/spreadsheets/d/1FYVlxGM-gYXe-QaL0HOSFmUpogUrsx0e6DntOW4RH1o/edit#gid=2017480677"",""Preguntas!E2:J""),2,false)"),"Si; No")</f>
        <v>Si; No</v>
      </c>
      <c r="D147" s="15" t="str">
        <f>IFERROR(__xludf.DUMMYFUNCTION("VLOOKUP($B147,IMPORTRANGE(""https://docs.google.com/spreadsheets/d/1FYVlxGM-gYXe-QaL0HOSFmUpogUrsx0e6DntOW4RH1o/edit#gid=2017480677"",""Preguntas!E2:J""),4,false)"),"Familia-Capacidades")</f>
        <v>Familia-Capacidades</v>
      </c>
    </row>
    <row r="148">
      <c r="A148" s="14" t="str">
        <f>IFERROR(__xludf.DUMMYFUNCTION("""COMPUTED_VALUE"""),"P334")</f>
        <v>P334</v>
      </c>
      <c r="B148" s="14" t="str">
        <f>IFERROR(__xludf.DUMMYFUNCTION("""COMPUTED_VALUE"""),"Los adultos a cargo... [¿Saben utilizar el teléfono?]")</f>
        <v>Los adultos a cargo... [¿Saben utilizar el teléfono?]</v>
      </c>
      <c r="C148" s="14" t="str">
        <f>IFERROR(__xludf.DUMMYFUNCTION("VLOOKUP($B148,IMPORTRANGE(""https://docs.google.com/spreadsheets/d/1FYVlxGM-gYXe-QaL0HOSFmUpogUrsx0e6DntOW4RH1o/edit#gid=2017480677"",""Preguntas!E2:J""),2,false)"),"Si; No")</f>
        <v>Si; No</v>
      </c>
      <c r="D148" s="14" t="str">
        <f>IFERROR(__xludf.DUMMYFUNCTION("VLOOKUP($B148,IMPORTRANGE(""https://docs.google.com/spreadsheets/d/1FYVlxGM-gYXe-QaL0HOSFmUpogUrsx0e6DntOW4RH1o/edit#gid=2017480677"",""Preguntas!E2:J""),4,false)"),"Familia-Capacidades")</f>
        <v>Familia-Capacidades</v>
      </c>
    </row>
    <row r="149">
      <c r="A149" s="15" t="str">
        <f>IFERROR(__xludf.DUMMYFUNCTION("""COMPUTED_VALUE"""),"P335")</f>
        <v>P335</v>
      </c>
      <c r="B149" s="15" t="str">
        <f>IFERROR(__xludf.DUMMYFUNCTION("""COMPUTED_VALUE"""),"Los adultos a cargo... [¿Saben utilizar el email, internet, y otras herramientas de comunicación?]")</f>
        <v>Los adultos a cargo... [¿Saben utilizar el email, internet, y otras herramientas de comunicación?]</v>
      </c>
      <c r="C149" s="15" t="str">
        <f>IFERROR(__xludf.DUMMYFUNCTION("VLOOKUP($B149,IMPORTRANGE(""https://docs.google.com/spreadsheets/d/1FYVlxGM-gYXe-QaL0HOSFmUpogUrsx0e6DntOW4RH1o/edit#gid=2017480677"",""Preguntas!E2:J""),2,false)"),"Si; No")</f>
        <v>Si; No</v>
      </c>
      <c r="D149" s="15" t="str">
        <f>IFERROR(__xludf.DUMMYFUNCTION("VLOOKUP($B149,IMPORTRANGE(""https://docs.google.com/spreadsheets/d/1FYVlxGM-gYXe-QaL0HOSFmUpogUrsx0e6DntOW4RH1o/edit#gid=2017480677"",""Preguntas!E2:J""),4,false)"),"Familia-Capacidades")</f>
        <v>Familia-Capacidades</v>
      </c>
    </row>
    <row r="150">
      <c r="A150" s="14" t="str">
        <f>IFERROR(__xludf.DUMMYFUNCTION("""COMPUTED_VALUE"""),"P336")</f>
        <v>P336</v>
      </c>
      <c r="B150" s="14" t="str">
        <f>IFERROR(__xludf.DUMMYFUNCTION("""COMPUTED_VALUE"""),"Los adultos a cargo... [¿Lee?]")</f>
        <v>Los adultos a cargo... [¿Lee?]</v>
      </c>
      <c r="C150" s="14" t="str">
        <f>IFERROR(__xludf.DUMMYFUNCTION("VLOOKUP($B150,IMPORTRANGE(""https://docs.google.com/spreadsheets/d/1FYVlxGM-gYXe-QaL0HOSFmUpogUrsx0e6DntOW4RH1o/edit#gid=2017480677"",""Preguntas!E2:J""),2,false)"),"Si; No")</f>
        <v>Si; No</v>
      </c>
      <c r="D150" s="14" t="str">
        <f>IFERROR(__xludf.DUMMYFUNCTION("VLOOKUP($B150,IMPORTRANGE(""https://docs.google.com/spreadsheets/d/1FYVlxGM-gYXe-QaL0HOSFmUpogUrsx0e6DntOW4RH1o/edit#gid=2017480677"",""Preguntas!E2:J""),4,false)"),"Familia-Capacidades")</f>
        <v>Familia-Capacidades</v>
      </c>
    </row>
    <row r="151">
      <c r="A151" s="15" t="str">
        <f>IFERROR(__xludf.DUMMYFUNCTION("""COMPUTED_VALUE"""),"P337")</f>
        <v>P337</v>
      </c>
      <c r="B151" s="15" t="str">
        <f>IFERROR(__xludf.DUMMYFUNCTION("""COMPUTED_VALUE"""),"Los adultos a cargo... [¿Escribe?]")</f>
        <v>Los adultos a cargo... [¿Escribe?]</v>
      </c>
      <c r="C151" s="15" t="str">
        <f>IFERROR(__xludf.DUMMYFUNCTION("VLOOKUP($B151,IMPORTRANGE(""https://docs.google.com/spreadsheets/d/1FYVlxGM-gYXe-QaL0HOSFmUpogUrsx0e6DntOW4RH1o/edit#gid=2017480677"",""Preguntas!E2:J""),2,false)"),"Si; No")</f>
        <v>Si; No</v>
      </c>
      <c r="D151" s="15" t="str">
        <f>IFERROR(__xludf.DUMMYFUNCTION("VLOOKUP($B151,IMPORTRANGE(""https://docs.google.com/spreadsheets/d/1FYVlxGM-gYXe-QaL0HOSFmUpogUrsx0e6DntOW4RH1o/edit#gid=2017480677"",""Preguntas!E2:J""),4,false)"),"Familia-Capacidades")</f>
        <v>Familia-Capacidades</v>
      </c>
    </row>
    <row r="152">
      <c r="A152" s="14" t="str">
        <f>IFERROR(__xludf.DUMMYFUNCTION("""COMPUTED_VALUE"""),"P338")</f>
        <v>P338</v>
      </c>
      <c r="B152" s="14" t="str">
        <f>IFERROR(__xludf.DUMMYFUNCTION("""COMPUTED_VALUE"""),"Tipo de vivienda")</f>
        <v>Tipo de vivienda</v>
      </c>
      <c r="C152" s="14" t="str">
        <f>IFERROR(__xludf.DUMMYFUNCTION("VLOOKUP($B152,IMPORTRANGE(""https://docs.google.com/spreadsheets/d/1FYVlxGM-gYXe-QaL0HOSFmUpogUrsx0e6DntOW4RH1o/edit#gid=2017480677"",""Preguntas!E2:J""),2,false)"),"Casa; Departamento; Pieza de alquiler; Pieza en hotel/ Pensión; Local no construido para habitación;")</f>
        <v>Casa; Departamento; Pieza de alquiler; Pieza en hotel/ Pensión; Local no construido para habitación;</v>
      </c>
      <c r="D152" s="14" t="str">
        <f>IFERROR(__xludf.DUMMYFUNCTION("VLOOKUP($B152,IMPORTRANGE(""https://docs.google.com/spreadsheets/d/1FYVlxGM-gYXe-QaL0HOSFmUpogUrsx0e6DntOW4RH1o/edit#gid=2017480677"",""Preguntas!E2:J""),4,false)"),"Familia-Vivienda")</f>
        <v>Familia-Vivienda</v>
      </c>
    </row>
    <row r="153">
      <c r="A153" s="15" t="str">
        <f>IFERROR(__xludf.DUMMYFUNCTION("""COMPUTED_VALUE"""),"P339")</f>
        <v>P339</v>
      </c>
      <c r="B153" s="15" t="str">
        <f>IFERROR(__xludf.DUMMYFUNCTION("""COMPUTED_VALUE"""),"Estructura de la vivienda")</f>
        <v>Estructura de la vivienda</v>
      </c>
      <c r="C153" s="15" t="str">
        <f>IFERROR(__xludf.DUMMYFUNCTION("VLOOKUP($B153,IMPORTRANGE(""https://docs.google.com/spreadsheets/d/1FYVlxGM-gYXe-QaL0HOSFmUpogUrsx0e6DntOW4RH1o/edit#gid=2017480677"",""Preguntas!E2:J""),2,false)"),"Vivienda de material; Vivienda mixta (chapa y madera); Casilla (de madera y otros materiales no pensados para la construcción: ej nylon, cartón, etc); Otro")</f>
        <v>Vivienda de material; Vivienda mixta (chapa y madera); Casilla (de madera y otros materiales no pensados para la construcción: ej nylon, cartón, etc); Otro</v>
      </c>
      <c r="D153" s="15" t="str">
        <f>IFERROR(__xludf.DUMMYFUNCTION("VLOOKUP($B153,IMPORTRANGE(""https://docs.google.com/spreadsheets/d/1FYVlxGM-gYXe-QaL0HOSFmUpogUrsx0e6DntOW4RH1o/edit#gid=2017480677"",""Preguntas!E2:J""),4,false)"),"Familia-Vivienda")</f>
        <v>Familia-Vivienda</v>
      </c>
    </row>
    <row r="154">
      <c r="A154" s="14" t="str">
        <f>IFERROR(__xludf.DUMMYFUNCTION("""COMPUTED_VALUE"""),"P340")</f>
        <v>P340</v>
      </c>
      <c r="B154" s="14" t="str">
        <f>IFERROR(__xludf.DUMMYFUNCTION("""COMPUTED_VALUE"""),"Estatus de la Vivienda")</f>
        <v>Estatus de la Vivienda</v>
      </c>
      <c r="C154" s="14" t="str">
        <f>IFERROR(__xludf.DUMMYFUNCTION("VLOOKUP($B154,IMPORTRANGE(""https://docs.google.com/spreadsheets/d/1FYVlxGM-gYXe-QaL0HOSFmUpogUrsx0e6DntOW4RH1o/edit#gid=2017480677"",""Preguntas!E2:J""),2,false)"),"Otro; Vivienda Propia; Vivienda Alquilada; Vivienda Cedida")</f>
        <v>Otro; Vivienda Propia; Vivienda Alquilada; Vivienda Cedida</v>
      </c>
      <c r="D154" s="14" t="str">
        <f>IFERROR(__xludf.DUMMYFUNCTION("VLOOKUP($B154,IMPORTRANGE(""https://docs.google.com/spreadsheets/d/1FYVlxGM-gYXe-QaL0HOSFmUpogUrsx0e6DntOW4RH1o/edit#gid=2017480677"",""Preguntas!E2:J""),4,false)"),"Familia-Vivienda")</f>
        <v>Familia-Vivienda</v>
      </c>
    </row>
    <row r="155">
      <c r="A155" s="15" t="str">
        <f>IFERROR(__xludf.DUMMYFUNCTION("""COMPUTED_VALUE"""),"P341")</f>
        <v>P341</v>
      </c>
      <c r="B155" s="15" t="str">
        <f>IFERROR(__xludf.DUMMYFUNCTION("""COMPUTED_VALUE"""),"Situación de los propietarios")</f>
        <v>Situación de los propietarios</v>
      </c>
      <c r="C155" s="15" t="str">
        <f>IFERROR(__xludf.DUMMYFUNCTION("VLOOKUP($B155,IMPORTRANGE(""https://docs.google.com/spreadsheets/d/1FYVlxGM-gYXe-QaL0HOSFmUpogUrsx0e6DntOW4RH1o/edit#gid=2017480677"",""Preguntas!E2:J""),2,false)"),"Propietario de la vivienda y el terreno; Propietario de la vivienda solamente; Inquilino; Ocupante por pago de impuestos / expensas; Ocupante en relación de dependencia; Ocupante gratuito (con permiso); Ocupante de hecho (sin permiso); Está en sucesión; O"&amp;"tro")</f>
        <v>Propietario de la vivienda y el terreno; Propietario de la vivienda solamente; Inquilino; Ocupante por pago de impuestos / expensas; Ocupante en relación de dependencia; Ocupante gratuito (con permiso); Ocupante de hecho (sin permiso); Está en sucesión; Otro</v>
      </c>
      <c r="D155" s="15" t="str">
        <f>IFERROR(__xludf.DUMMYFUNCTION("VLOOKUP($B155,IMPORTRANGE(""https://docs.google.com/spreadsheets/d/1FYVlxGM-gYXe-QaL0HOSFmUpogUrsx0e6DntOW4RH1o/edit#gid=2017480677"",""Preguntas!E2:J""),4,false)"),"Familia-Vivienda")</f>
        <v>Familia-Vivienda</v>
      </c>
    </row>
    <row r="156">
      <c r="A156" s="14" t="str">
        <f>IFERROR(__xludf.DUMMYFUNCTION("""COMPUTED_VALUE"""),"P342")</f>
        <v>P342</v>
      </c>
      <c r="B156" s="14" t="str">
        <f>IFERROR(__xludf.DUMMYFUNCTION("""COMPUTED_VALUE"""),"¿Cuántas habitaciones tiene el hogar? (sin contar baño/s, cocina, pasillo/s, lavadero)")</f>
        <v>¿Cuántas habitaciones tiene el hogar? (sin contar baño/s, cocina, pasillo/s, lavadero)</v>
      </c>
      <c r="C156" s="14" t="str">
        <f>IFERROR(__xludf.DUMMYFUNCTION("VLOOKUP($B156,IMPORTRANGE(""https://docs.google.com/spreadsheets/d/1FYVlxGM-gYXe-QaL0HOSFmUpogUrsx0e6DntOW4RH1o/edit#gid=2017480677"",""Preguntas!E2:J""),2,false)"),"1; 2; 3; 4; 5; 6; 7; 8; 9; 10 o más")</f>
        <v>1; 2; 3; 4; 5; 6; 7; 8; 9; 10 o más</v>
      </c>
      <c r="D156" s="14" t="str">
        <f>IFERROR(__xludf.DUMMYFUNCTION("VLOOKUP($B156,IMPORTRANGE(""https://docs.google.com/spreadsheets/d/1FYVlxGM-gYXe-QaL0HOSFmUpogUrsx0e6DntOW4RH1o/edit#gid=2017480677"",""Preguntas!E2:J""),4,false)"),"Familia-Vivienda")</f>
        <v>Familia-Vivienda</v>
      </c>
    </row>
    <row r="157">
      <c r="A157" s="15" t="str">
        <f>IFERROR(__xludf.DUMMYFUNCTION("""COMPUTED_VALUE"""),"P343")</f>
        <v>P343</v>
      </c>
      <c r="B157" s="15" t="str">
        <f>IFERROR(__xludf.DUMMYFUNCTION("""COMPUTED_VALUE"""),"¿Cuántas camas/ colchones tienen?")</f>
        <v>¿Cuántas camas/ colchones tienen?</v>
      </c>
      <c r="C157" s="15" t="str">
        <f>IFERROR(__xludf.DUMMYFUNCTION("VLOOKUP($B157,IMPORTRANGE(""https://docs.google.com/spreadsheets/d/1FYVlxGM-gYXe-QaL0HOSFmUpogUrsx0e6DntOW4RH1o/edit#gid=2017480677"",""Preguntas!E2:J""),2,false)"),"1; 2; 3; 4; 5; 6; 7; 8; 9; 10 o más")</f>
        <v>1; 2; 3; 4; 5; 6; 7; 8; 9; 10 o más</v>
      </c>
      <c r="D157" s="15" t="str">
        <f>IFERROR(__xludf.DUMMYFUNCTION("VLOOKUP($B157,IMPORTRANGE(""https://docs.google.com/spreadsheets/d/1FYVlxGM-gYXe-QaL0HOSFmUpogUrsx0e6DntOW4RH1o/edit#gid=2017480677"",""Preguntas!E2:J""),4,false)"),"Familia-Vivienda")</f>
        <v>Familia-Vivienda</v>
      </c>
    </row>
    <row r="158">
      <c r="A158" s="14" t="str">
        <f>IFERROR(__xludf.DUMMYFUNCTION("""COMPUTED_VALUE"""),"P344")</f>
        <v>P344</v>
      </c>
      <c r="B158" s="14" t="str">
        <f>IFERROR(__xludf.DUMMYFUNCTION("""COMPUTED_VALUE"""),"Los pisos interiores son principalmente de...")</f>
        <v>Los pisos interiores son principalmente de...</v>
      </c>
      <c r="C158" s="14" t="str">
        <f>IFERROR(__xludf.DUMMYFUNCTION("VLOOKUP($B158,IMPORTRANGE(""https://docs.google.com/spreadsheets/d/1FYVlxGM-gYXe-QaL0HOSFmUpogUrsx0e6DntOW4RH1o/edit#gid=2017480677"",""Preguntas!E2:J""),2,false)"),"Mosaico / baldosa / madera / cerámica; Cemento / ladrillo fijo; Ladrillo suelto / tierra")</f>
        <v>Mosaico / baldosa / madera / cerámica; Cemento / ladrillo fijo; Ladrillo suelto / tierra</v>
      </c>
      <c r="D158" s="14" t="str">
        <f>IFERROR(__xludf.DUMMYFUNCTION("VLOOKUP($B158,IMPORTRANGE(""https://docs.google.com/spreadsheets/d/1FYVlxGM-gYXe-QaL0HOSFmUpogUrsx0e6DntOW4RH1o/edit#gid=2017480677"",""Preguntas!E2:J""),4,false)"),"Familia-Vivienda")</f>
        <v>Familia-Vivienda</v>
      </c>
    </row>
    <row r="159">
      <c r="A159" s="15" t="str">
        <f>IFERROR(__xludf.DUMMYFUNCTION("""COMPUTED_VALUE"""),"P345")</f>
        <v>P345</v>
      </c>
      <c r="B159" s="15" t="str">
        <f>IFERROR(__xludf.DUMMYFUNCTION("""COMPUTED_VALUE"""),"Acerca del hogar [Posee Cocina]")</f>
        <v>Acerca del hogar [Posee Cocina]</v>
      </c>
      <c r="C159" s="15" t="str">
        <f>IFERROR(__xludf.DUMMYFUNCTION("VLOOKUP($B159,IMPORTRANGE(""https://docs.google.com/spreadsheets/d/1FYVlxGM-gYXe-QaL0HOSFmUpogUrsx0e6DntOW4RH1o/edit#gid=2017480677"",""Preguntas!E2:J""),2,false)"),"Si; No")</f>
        <v>Si; No</v>
      </c>
      <c r="D159" s="15" t="str">
        <f>IFERROR(__xludf.DUMMYFUNCTION("VLOOKUP($B159,IMPORTRANGE(""https://docs.google.com/spreadsheets/d/1FYVlxGM-gYXe-QaL0HOSFmUpogUrsx0e6DntOW4RH1o/edit#gid=2017480677"",""Preguntas!E2:J""),4,false)"),"Familia-Vivienda")</f>
        <v>Familia-Vivienda</v>
      </c>
    </row>
    <row r="160">
      <c r="A160" s="14" t="str">
        <f>IFERROR(__xludf.DUMMYFUNCTION("""COMPUTED_VALUE"""),"P346")</f>
        <v>P346</v>
      </c>
      <c r="B160" s="14" t="str">
        <f>IFERROR(__xludf.DUMMYFUNCTION("""COMPUTED_VALUE"""),"Acerca del hogar [Posee Heladera]")</f>
        <v>Acerca del hogar [Posee Heladera]</v>
      </c>
      <c r="C160" s="14" t="str">
        <f>IFERROR(__xludf.DUMMYFUNCTION("VLOOKUP($B160,IMPORTRANGE(""https://docs.google.com/spreadsheets/d/1FYVlxGM-gYXe-QaL0HOSFmUpogUrsx0e6DntOW4RH1o/edit#gid=2017480677"",""Preguntas!E2:J""),2,false)"),"Si; No")</f>
        <v>Si; No</v>
      </c>
      <c r="D160" s="14" t="str">
        <f>IFERROR(__xludf.DUMMYFUNCTION("VLOOKUP($B160,IMPORTRANGE(""https://docs.google.com/spreadsheets/d/1FYVlxGM-gYXe-QaL0HOSFmUpogUrsx0e6DntOW4RH1o/edit#gid=2017480677"",""Preguntas!E2:J""),4,false)"),"Familia-Vivienda")</f>
        <v>Familia-Vivienda</v>
      </c>
    </row>
    <row r="161">
      <c r="A161" s="15" t="str">
        <f>IFERROR(__xludf.DUMMYFUNCTION("""COMPUTED_VALUE"""),"P347")</f>
        <v>P347</v>
      </c>
      <c r="B161" s="15" t="str">
        <f>IFERROR(__xludf.DUMMYFUNCTION("""COMPUTED_VALUE"""),"Acerca del hogar [Posee una mesa en donde comen]")</f>
        <v>Acerca del hogar [Posee una mesa en donde comen]</v>
      </c>
      <c r="C161" s="15" t="str">
        <f>IFERROR(__xludf.DUMMYFUNCTION("VLOOKUP($B161,IMPORTRANGE(""https://docs.google.com/spreadsheets/d/1FYVlxGM-gYXe-QaL0HOSFmUpogUrsx0e6DntOW4RH1o/edit#gid=2017480677"",""Preguntas!E2:J""),2,false)"),"Si; No")</f>
        <v>Si; No</v>
      </c>
      <c r="D161" s="15" t="str">
        <f>IFERROR(__xludf.DUMMYFUNCTION("VLOOKUP($B161,IMPORTRANGE(""https://docs.google.com/spreadsheets/d/1FYVlxGM-gYXe-QaL0HOSFmUpogUrsx0e6DntOW4RH1o/edit#gid=2017480677"",""Preguntas!E2:J""),4,false)"),"Familia-Vivienda")</f>
        <v>Familia-Vivienda</v>
      </c>
    </row>
    <row r="162">
      <c r="A162" s="14" t="str">
        <f>IFERROR(__xludf.DUMMYFUNCTION("""COMPUTED_VALUE"""),"P348")</f>
        <v>P348</v>
      </c>
      <c r="B162" s="14" t="str">
        <f>IFERROR(__xludf.DUMMYFUNCTION("""COMPUTED_VALUE"""),"Acerca del hogar [Posee un espacio para que los niños realizen tareas]")</f>
        <v>Acerca del hogar [Posee un espacio para que los niños realizen tareas]</v>
      </c>
      <c r="C162" s="14" t="str">
        <f>IFERROR(__xludf.DUMMYFUNCTION("VLOOKUP($B162,IMPORTRANGE(""https://docs.google.com/spreadsheets/d/1FYVlxGM-gYXe-QaL0HOSFmUpogUrsx0e6DntOW4RH1o/edit#gid=2017480677"",""Preguntas!E2:J""),2,false)"),"Si; No")</f>
        <v>Si; No</v>
      </c>
      <c r="D162" s="14" t="str">
        <f>IFERROR(__xludf.DUMMYFUNCTION("VLOOKUP($B162,IMPORTRANGE(""https://docs.google.com/spreadsheets/d/1FYVlxGM-gYXe-QaL0HOSFmUpogUrsx0e6DntOW4RH1o/edit#gid=2017480677"",""Preguntas!E2:J""),4,false)"),"Familia-Vivienda")</f>
        <v>Familia-Vivienda</v>
      </c>
    </row>
    <row r="163">
      <c r="A163" s="15" t="str">
        <f>IFERROR(__xludf.DUMMYFUNCTION("""COMPUTED_VALUE"""),"P349")</f>
        <v>P349</v>
      </c>
      <c r="B163" s="15" t="str">
        <f>IFERROR(__xludf.DUMMYFUNCTION("""COMPUTED_VALUE"""),"Acerca del hogar [Posee un baño dentro de la vivienda, con descarga de agua]")</f>
        <v>Acerca del hogar [Posee un baño dentro de la vivienda, con descarga de agua]</v>
      </c>
      <c r="C163" s="15" t="str">
        <f>IFERROR(__xludf.DUMMYFUNCTION("VLOOKUP($B163,IMPORTRANGE(""https://docs.google.com/spreadsheets/d/1FYVlxGM-gYXe-QaL0HOSFmUpogUrsx0e6DntOW4RH1o/edit#gid=2017480677"",""Preguntas!E2:J""),2,false)"),"Si; No")</f>
        <v>Si; No</v>
      </c>
      <c r="D163" s="15" t="str">
        <f>IFERROR(__xludf.DUMMYFUNCTION("VLOOKUP($B163,IMPORTRANGE(""https://docs.google.com/spreadsheets/d/1FYVlxGM-gYXe-QaL0HOSFmUpogUrsx0e6DntOW4RH1o/edit#gid=2017480677"",""Preguntas!E2:J""),4,false)"),"Familia-Vivienda")</f>
        <v>Familia-Vivienda</v>
      </c>
    </row>
    <row r="164">
      <c r="A164" s="14" t="str">
        <f>IFERROR(__xludf.DUMMYFUNCTION("""COMPUTED_VALUE"""),"P350")</f>
        <v>P350</v>
      </c>
      <c r="B164" s="14" t="str">
        <f>IFERROR(__xludf.DUMMYFUNCTION("""COMPUTED_VALUE"""),"Acerca del hogar [Posee fuente de agua (corriente o de pozo)]")</f>
        <v>Acerca del hogar [Posee fuente de agua (corriente o de pozo)]</v>
      </c>
      <c r="C164" s="14" t="str">
        <f>IFERROR(__xludf.DUMMYFUNCTION("VLOOKUP($B164,IMPORTRANGE(""https://docs.google.com/spreadsheets/d/1FYVlxGM-gYXe-QaL0HOSFmUpogUrsx0e6DntOW4RH1o/edit#gid=2017480677"",""Preguntas!E2:J""),2,false)"),"Si; No")</f>
        <v>Si; No</v>
      </c>
      <c r="D164" s="14" t="str">
        <f>IFERROR(__xludf.DUMMYFUNCTION("VLOOKUP($B164,IMPORTRANGE(""https://docs.google.com/spreadsheets/d/1FYVlxGM-gYXe-QaL0HOSFmUpogUrsx0e6DntOW4RH1o/edit#gid=2017480677"",""Preguntas!E2:J""),4,false)"),"Familia-Vivienda")</f>
        <v>Familia-Vivienda</v>
      </c>
    </row>
    <row r="165">
      <c r="A165" s="15" t="str">
        <f>IFERROR(__xludf.DUMMYFUNCTION("""COMPUTED_VALUE"""),"P351")</f>
        <v>P351</v>
      </c>
      <c r="B165" s="15" t="str">
        <f>IFERROR(__xludf.DUMMYFUNCTION("""COMPUTED_VALUE"""),"Acerca del hogar [Posee ducha]")</f>
        <v>Acerca del hogar [Posee ducha]</v>
      </c>
      <c r="C165" s="15" t="str">
        <f>IFERROR(__xludf.DUMMYFUNCTION("VLOOKUP($B165,IMPORTRANGE(""https://docs.google.com/spreadsheets/d/1FYVlxGM-gYXe-QaL0HOSFmUpogUrsx0e6DntOW4RH1o/edit#gid=2017480677"",""Preguntas!E2:J""),2,false)"),"Si; No")</f>
        <v>Si; No</v>
      </c>
      <c r="D165" s="15" t="str">
        <f>IFERROR(__xludf.DUMMYFUNCTION("VLOOKUP($B165,IMPORTRANGE(""https://docs.google.com/spreadsheets/d/1FYVlxGM-gYXe-QaL0HOSFmUpogUrsx0e6DntOW4RH1o/edit#gid=2017480677"",""Preguntas!E2:J""),4,false)"),"Familia-Vivienda")</f>
        <v>Familia-Vivienda</v>
      </c>
    </row>
    <row r="166">
      <c r="A166" s="14" t="str">
        <f>IFERROR(__xludf.DUMMYFUNCTION("""COMPUTED_VALUE"""),"P352")</f>
        <v>P352</v>
      </c>
      <c r="B166" s="14" t="str">
        <f>IFERROR(__xludf.DUMMYFUNCTION("""COMPUTED_VALUE"""),"Acerca del hogar [Posee agua caliente]")</f>
        <v>Acerca del hogar [Posee agua caliente]</v>
      </c>
      <c r="C166" s="14" t="str">
        <f>IFERROR(__xludf.DUMMYFUNCTION("VLOOKUP($B166,IMPORTRANGE(""https://docs.google.com/spreadsheets/d/1FYVlxGM-gYXe-QaL0HOSFmUpogUrsx0e6DntOW4RH1o/edit#gid=2017480677"",""Preguntas!E2:J""),2,false)"),"Si; No")</f>
        <v>Si; No</v>
      </c>
      <c r="D166" s="14" t="str">
        <f>IFERROR(__xludf.DUMMYFUNCTION("VLOOKUP($B166,IMPORTRANGE(""https://docs.google.com/spreadsheets/d/1FYVlxGM-gYXe-QaL0HOSFmUpogUrsx0e6DntOW4RH1o/edit#gid=2017480677"",""Preguntas!E2:J""),4,false)"),"Familia-Vivienda")</f>
        <v>Familia-Vivienda</v>
      </c>
    </row>
    <row r="167">
      <c r="A167" s="15" t="str">
        <f>IFERROR(__xludf.DUMMYFUNCTION("""COMPUTED_VALUE"""),"P353")</f>
        <v>P353</v>
      </c>
      <c r="B167" s="15" t="str">
        <f>IFERROR(__xludf.DUMMYFUNCTION("""COMPUTED_VALUE"""),"Acerca del hogar [Se inunda]")</f>
        <v>Acerca del hogar [Se inunda]</v>
      </c>
      <c r="C167" s="15" t="str">
        <f>IFERROR(__xludf.DUMMYFUNCTION("VLOOKUP($B167,IMPORTRANGE(""https://docs.google.com/spreadsheets/d/1FYVlxGM-gYXe-QaL0HOSFmUpogUrsx0e6DntOW4RH1o/edit#gid=2017480677"",""Preguntas!E2:J""),2,false)"),"Si; No")</f>
        <v>Si; No</v>
      </c>
      <c r="D167" s="15" t="str">
        <f>IFERROR(__xludf.DUMMYFUNCTION("VLOOKUP($B167,IMPORTRANGE(""https://docs.google.com/spreadsheets/d/1FYVlxGM-gYXe-QaL0HOSFmUpogUrsx0e6DntOW4RH1o/edit#gid=2017480677"",""Preguntas!E2:J""),4,false)"),"Familia-Vivienda")</f>
        <v>Familia-Vivienda</v>
      </c>
    </row>
    <row r="168">
      <c r="A168" s="14" t="str">
        <f>IFERROR(__xludf.DUMMYFUNCTION("""COMPUTED_VALUE"""),"P354")</f>
        <v>P354</v>
      </c>
      <c r="B168" s="14" t="str">
        <f>IFERROR(__xludf.DUMMYFUNCTION("""COMPUTED_VALUE"""),"Acerca del hogar [Tiene riesgo de desmoronamiento]")</f>
        <v>Acerca del hogar [Tiene riesgo de desmoronamiento]</v>
      </c>
      <c r="C168" s="14" t="str">
        <f>IFERROR(__xludf.DUMMYFUNCTION("VLOOKUP($B168,IMPORTRANGE(""https://docs.google.com/spreadsheets/d/1FYVlxGM-gYXe-QaL0HOSFmUpogUrsx0e6DntOW4RH1o/edit#gid=2017480677"",""Preguntas!E2:J""),2,false)"),"Si; No")</f>
        <v>Si; No</v>
      </c>
      <c r="D168" s="14" t="str">
        <f>IFERROR(__xludf.DUMMYFUNCTION("VLOOKUP($B168,IMPORTRANGE(""https://docs.google.com/spreadsheets/d/1FYVlxGM-gYXe-QaL0HOSFmUpogUrsx0e6DntOW4RH1o/edit#gid=2017480677"",""Preguntas!E2:J""),4,false)"),"Familia-Vivienda")</f>
        <v>Familia-Vivienda</v>
      </c>
    </row>
    <row r="169">
      <c r="A169" s="15" t="str">
        <f>IFERROR(__xludf.DUMMYFUNCTION("""COMPUTED_VALUE"""),"P355")</f>
        <v>P355</v>
      </c>
      <c r="B169" s="15" t="str">
        <f>IFERROR(__xludf.DUMMYFUNCTION("""COMPUTED_VALUE"""),"Acerca del hogar [Acceso a luz]")</f>
        <v>Acerca del hogar [Acceso a luz]</v>
      </c>
      <c r="C169" s="15" t="str">
        <f>IFERROR(__xludf.DUMMYFUNCTION("VLOOKUP($B169,IMPORTRANGE(""https://docs.google.com/spreadsheets/d/1FYVlxGM-gYXe-QaL0HOSFmUpogUrsx0e6DntOW4RH1o/edit#gid=2017480677"",""Preguntas!E2:J""),2,false)"),"Si; No")</f>
        <v>Si; No</v>
      </c>
      <c r="D169" s="15" t="str">
        <f>IFERROR(__xludf.DUMMYFUNCTION("VLOOKUP($B169,IMPORTRANGE(""https://docs.google.com/spreadsheets/d/1FYVlxGM-gYXe-QaL0HOSFmUpogUrsx0e6DntOW4RH1o/edit#gid=2017480677"",""Preguntas!E2:J""),4,false)"),"Familia-Vivienda")</f>
        <v>Familia-Vivienda</v>
      </c>
    </row>
    <row r="170">
      <c r="A170" s="14" t="str">
        <f>IFERROR(__xludf.DUMMYFUNCTION("""COMPUTED_VALUE"""),"P356")</f>
        <v>P356</v>
      </c>
      <c r="B170" s="14" t="str">
        <f>IFERROR(__xludf.DUMMYFUNCTION("""COMPUTED_VALUE"""),"Acerca del hogar [Acceso a gas]")</f>
        <v>Acerca del hogar [Acceso a gas]</v>
      </c>
      <c r="C170" s="14" t="str">
        <f>IFERROR(__xludf.DUMMYFUNCTION("VLOOKUP($B170,IMPORTRANGE(""https://docs.google.com/spreadsheets/d/1FYVlxGM-gYXe-QaL0HOSFmUpogUrsx0e6DntOW4RH1o/edit#gid=2017480677"",""Preguntas!E2:J""),2,false)"),"Si; No")</f>
        <v>Si; No</v>
      </c>
      <c r="D170" s="14" t="str">
        <f>IFERROR(__xludf.DUMMYFUNCTION("VLOOKUP($B170,IMPORTRANGE(""https://docs.google.com/spreadsheets/d/1FYVlxGM-gYXe-QaL0HOSFmUpogUrsx0e6DntOW4RH1o/edit#gid=2017480677"",""Preguntas!E2:J""),4,false)"),"Familia-Vivienda")</f>
        <v>Familia-Vivienda</v>
      </c>
    </row>
    <row r="171">
      <c r="A171" s="15" t="str">
        <f>IFERROR(__xludf.DUMMYFUNCTION("""COMPUTED_VALUE"""),"P357")</f>
        <v>P357</v>
      </c>
      <c r="B171" s="15" t="str">
        <f>IFERROR(__xludf.DUMMYFUNCTION("""COMPUTED_VALUE"""),"Acerca del hogar [Acceso a cloacas]")</f>
        <v>Acerca del hogar [Acceso a cloacas]</v>
      </c>
      <c r="C171" s="15" t="str">
        <f>IFERROR(__xludf.DUMMYFUNCTION("VLOOKUP($B171,IMPORTRANGE(""https://docs.google.com/spreadsheets/d/1FYVlxGM-gYXe-QaL0HOSFmUpogUrsx0e6DntOW4RH1o/edit#gid=2017480677"",""Preguntas!E2:J""),2,false)"),"Si; No")</f>
        <v>Si; No</v>
      </c>
      <c r="D171" s="15" t="str">
        <f>IFERROR(__xludf.DUMMYFUNCTION("VLOOKUP($B171,IMPORTRANGE(""https://docs.google.com/spreadsheets/d/1FYVlxGM-gYXe-QaL0HOSFmUpogUrsx0e6DntOW4RH1o/edit#gid=2017480677"",""Preguntas!E2:J""),4,false)"),"Familia-Vivienda")</f>
        <v>Familia-Vivienda</v>
      </c>
    </row>
    <row r="172">
      <c r="A172" s="14" t="str">
        <f>IFERROR(__xludf.DUMMYFUNCTION("""COMPUTED_VALUE"""),"P358")</f>
        <v>P358</v>
      </c>
      <c r="B172" s="14" t="str">
        <f>IFERROR(__xludf.DUMMYFUNCTION("""COMPUTED_VALUE"""),"¿Cuantos hogares hay en la vivienda?")</f>
        <v>¿Cuantos hogares hay en la vivienda?</v>
      </c>
      <c r="C172" s="14" t="str">
        <f>IFERROR(__xludf.DUMMYFUNCTION("VLOOKUP($B172,IMPORTRANGE(""https://docs.google.com/spreadsheets/d/1FYVlxGM-gYXe-QaL0HOSFmUpogUrsx0e6DntOW4RH1o/edit#gid=2017480677"",""Preguntas!E2:J""),2,false)"),"1; 2; 3; 4; 5; 6; 7; 8; 9; 10 o más")</f>
        <v>1; 2; 3; 4; 5; 6; 7; 8; 9; 10 o más</v>
      </c>
      <c r="D172" s="14" t="str">
        <f>IFERROR(__xludf.DUMMYFUNCTION("VLOOKUP($B172,IMPORTRANGE(""https://docs.google.com/spreadsheets/d/1FYVlxGM-gYXe-QaL0HOSFmUpogUrsx0e6DntOW4RH1o/edit#gid=2017480677"",""Preguntas!E2:J""),4,false)"),"Familia-Vivienda")</f>
        <v>Familia-Vivienda</v>
      </c>
    </row>
    <row r="173">
      <c r="A173" s="15" t="str">
        <f>IFERROR(__xludf.DUMMYFUNCTION("""COMPUTED_VALUE"""),"P359")</f>
        <v>P359</v>
      </c>
      <c r="B173" s="15" t="str">
        <f>IFERROR(__xludf.DUMMYFUNCTION("""COMPUTED_VALUE"""),"Donde vive, ¿Tiene dificultades para acceder a: [Centro Asistencial]")</f>
        <v>Donde vive, ¿Tiene dificultades para acceder a: [Centro Asistencial]</v>
      </c>
      <c r="C173" s="15" t="str">
        <f>IFERROR(__xludf.DUMMYFUNCTION("VLOOKUP($B173,IMPORTRANGE(""https://docs.google.com/spreadsheets/d/1FYVlxGM-gYXe-QaL0HOSFmUpogUrsx0e6DntOW4RH1o/edit#gid=2017480677"",""Preguntas!E2:J""),2,false)"),"Si; No")</f>
        <v>Si; No</v>
      </c>
      <c r="D173" s="15" t="str">
        <f>IFERROR(__xludf.DUMMYFUNCTION("VLOOKUP($B173,IMPORTRANGE(""https://docs.google.com/spreadsheets/d/1FYVlxGM-gYXe-QaL0HOSFmUpogUrsx0e6DntOW4RH1o/edit#gid=2017480677"",""Preguntas!E2:J""),4,false)"),"Familia-Vivienda")</f>
        <v>Familia-Vivienda</v>
      </c>
    </row>
    <row r="174">
      <c r="A174" s="14" t="str">
        <f>IFERROR(__xludf.DUMMYFUNCTION("""COMPUTED_VALUE"""),"P360")</f>
        <v>P360</v>
      </c>
      <c r="B174" s="14" t="str">
        <f>IFERROR(__xludf.DUMMYFUNCTION("""COMPUTED_VALUE"""),"Donde vive, ¿Tiene dificultades para acceder a: [Escuela]")</f>
        <v>Donde vive, ¿Tiene dificultades para acceder a: [Escuela]</v>
      </c>
      <c r="C174" s="14" t="str">
        <f>IFERROR(__xludf.DUMMYFUNCTION("VLOOKUP($B174,IMPORTRANGE(""https://docs.google.com/spreadsheets/d/1FYVlxGM-gYXe-QaL0HOSFmUpogUrsx0e6DntOW4RH1o/edit#gid=2017480677"",""Preguntas!E2:J""),2,false)"),"Si; No")</f>
        <v>Si; No</v>
      </c>
      <c r="D174" s="14" t="str">
        <f>IFERROR(__xludf.DUMMYFUNCTION("VLOOKUP($B174,IMPORTRANGE(""https://docs.google.com/spreadsheets/d/1FYVlxGM-gYXe-QaL0HOSFmUpogUrsx0e6DntOW4RH1o/edit#gid=2017480677"",""Preguntas!E2:J""),4,false)"),"Familia-Vivienda")</f>
        <v>Familia-Vivienda</v>
      </c>
    </row>
    <row r="175">
      <c r="A175" s="15" t="str">
        <f>IFERROR(__xludf.DUMMYFUNCTION("""COMPUTED_VALUE"""),"P361")</f>
        <v>P361</v>
      </c>
      <c r="B175" s="15" t="str">
        <f>IFERROR(__xludf.DUMMYFUNCTION("""COMPUTED_VALUE"""),"Donde vive, ¿Tiene dificultades para acceder a: [Parada de colectivo]")</f>
        <v>Donde vive, ¿Tiene dificultades para acceder a: [Parada de colectivo]</v>
      </c>
      <c r="C175" s="15" t="str">
        <f>IFERROR(__xludf.DUMMYFUNCTION("VLOOKUP($B175,IMPORTRANGE(""https://docs.google.com/spreadsheets/d/1FYVlxGM-gYXe-QaL0HOSFmUpogUrsx0e6DntOW4RH1o/edit#gid=2017480677"",""Preguntas!E2:J""),2,false)"),"Si; No")</f>
        <v>Si; No</v>
      </c>
      <c r="D175" s="15" t="str">
        <f>IFERROR(__xludf.DUMMYFUNCTION("VLOOKUP($B175,IMPORTRANGE(""https://docs.google.com/spreadsheets/d/1FYVlxGM-gYXe-QaL0HOSFmUpogUrsx0e6DntOW4RH1o/edit#gid=2017480677"",""Preguntas!E2:J""),4,false)"),"Familia-Vivienda")</f>
        <v>Familia-Vivienda</v>
      </c>
    </row>
    <row r="176">
      <c r="A176" s="14" t="str">
        <f>IFERROR(__xludf.DUMMYFUNCTION("""COMPUTED_VALUE"""),"P362")</f>
        <v>P362</v>
      </c>
      <c r="B176" s="14" t="str">
        <f>IFERROR(__xludf.DUMMYFUNCTION("""COMPUTED_VALUE"""),"Donde vive, ¿Tiene dificultades para acceder a: [Estación de tren]")</f>
        <v>Donde vive, ¿Tiene dificultades para acceder a: [Estación de tren]</v>
      </c>
      <c r="C176" s="14" t="str">
        <f>IFERROR(__xludf.DUMMYFUNCTION("VLOOKUP($B176,IMPORTRANGE(""https://docs.google.com/spreadsheets/d/1FYVlxGM-gYXe-QaL0HOSFmUpogUrsx0e6DntOW4RH1o/edit#gid=2017480677"",""Preguntas!E2:J""),2,false)"),"Si; No")</f>
        <v>Si; No</v>
      </c>
      <c r="D176" s="14" t="str">
        <f>IFERROR(__xludf.DUMMYFUNCTION("VLOOKUP($B176,IMPORTRANGE(""https://docs.google.com/spreadsheets/d/1FYVlxGM-gYXe-QaL0HOSFmUpogUrsx0e6DntOW4RH1o/edit#gid=2017480677"",""Preguntas!E2:J""),4,false)"),"Familia-Vivienda")</f>
        <v>Familia-Vivienda</v>
      </c>
    </row>
    <row r="177">
      <c r="A177" s="15" t="str">
        <f>IFERROR(__xludf.DUMMYFUNCTION("""COMPUTED_VALUE"""),"P363")</f>
        <v>P363</v>
      </c>
      <c r="B177" s="15" t="str">
        <f>IFERROR(__xludf.DUMMYFUNCTION("""COMPUTED_VALUE"""),"Donde vive, ¿Tiene dificultades para acceder a: [Centro Comercial]")</f>
        <v>Donde vive, ¿Tiene dificultades para acceder a: [Centro Comercial]</v>
      </c>
      <c r="C177" s="15" t="str">
        <f>IFERROR(__xludf.DUMMYFUNCTION("VLOOKUP($B177,IMPORTRANGE(""https://docs.google.com/spreadsheets/d/1FYVlxGM-gYXe-QaL0HOSFmUpogUrsx0e6DntOW4RH1o/edit#gid=2017480677"",""Preguntas!E2:J""),2,false)"),"Si; No")</f>
        <v>Si; No</v>
      </c>
      <c r="D177" s="15" t="str">
        <f>IFERROR(__xludf.DUMMYFUNCTION("VLOOKUP($B177,IMPORTRANGE(""https://docs.google.com/spreadsheets/d/1FYVlxGM-gYXe-QaL0HOSFmUpogUrsx0e6DntOW4RH1o/edit#gid=2017480677"",""Preguntas!E2:J""),4,false)"),"Familia-Vivienda")</f>
        <v>Familia-Vivienda</v>
      </c>
    </row>
    <row r="178">
      <c r="A178" s="14" t="str">
        <f>IFERROR(__xludf.DUMMYFUNCTION("""COMPUTED_VALUE"""),"P365")</f>
        <v>P365</v>
      </c>
      <c r="B178" s="14" t="str">
        <f>IFERROR(__xludf.DUMMYFUNCTION("""COMPUTED_VALUE"""),"¿Tiene trámites o pedidos pendientes en el municipio?")</f>
        <v>¿Tiene trámites o pedidos pendientes en el municipio?</v>
      </c>
      <c r="C178" s="14" t="str">
        <f>IFERROR(__xludf.DUMMYFUNCTION("VLOOKUP($B178,IMPORTRANGE(""https://docs.google.com/spreadsheets/d/1FYVlxGM-gYXe-QaL0HOSFmUpogUrsx0e6DntOW4RH1o/edit#gid=2017480677"",""Preguntas!E2:J""),2,false)"),"Si; No")</f>
        <v>Si; No</v>
      </c>
      <c r="D178" s="14" t="str">
        <f>IFERROR(__xludf.DUMMYFUNCTION("VLOOKUP($B178,IMPORTRANGE(""https://docs.google.com/spreadsheets/d/1FYVlxGM-gYXe-QaL0HOSFmUpogUrsx0e6DntOW4RH1o/edit#gid=2017480677"",""Preguntas!E2:J""),4,false)"),"Familia-Redes y Ayudas")</f>
        <v>Familia-Redes y Ayudas</v>
      </c>
    </row>
    <row r="179">
      <c r="A179" s="15" t="str">
        <f>IFERROR(__xludf.DUMMYFUNCTION("""COMPUTED_VALUE"""),"P367")</f>
        <v>P367</v>
      </c>
      <c r="B179" s="15" t="str">
        <f>IFERROR(__xludf.DUMMYFUNCTION("""COMPUTED_VALUE"""),"¿La Madre, el padre o Cuidador Principal trabaja?")</f>
        <v>¿La Madre, el padre o Cuidador Principal trabaja?</v>
      </c>
      <c r="C179" s="15" t="str">
        <f>IFERROR(__xludf.DUMMYFUNCTION("VLOOKUP($B179,IMPORTRANGE(""https://docs.google.com/spreadsheets/d/1FYVlxGM-gYXe-QaL0HOSFmUpogUrsx0e6DntOW4RH1o/edit#gid=2017480677"",""Preguntas!E2:J""),2,false)"),"Si; No")</f>
        <v>Si; No</v>
      </c>
      <c r="D179" s="15" t="str">
        <f>IFERROR(__xludf.DUMMYFUNCTION("VLOOKUP($B179,IMPORTRANGE(""https://docs.google.com/spreadsheets/d/1FYVlxGM-gYXe-QaL0HOSFmUpogUrsx0e6DntOW4RH1o/edit#gid=2017480677"",""Preguntas!E2:J""),4,false)"),"Familia-Economía")</f>
        <v>Familia-Economía</v>
      </c>
    </row>
    <row r="180">
      <c r="A180" s="14" t="str">
        <f>IFERROR(__xludf.DUMMYFUNCTION("""COMPUTED_VALUE"""),"P369")</f>
        <v>P369</v>
      </c>
      <c r="B180" s="14" t="str">
        <f>IFERROR(__xludf.DUMMYFUNCTION("""COMPUTED_VALUE"""),"Modo de contratación:")</f>
        <v>Modo de contratación:</v>
      </c>
      <c r="C180" s="14" t="str">
        <f>IFERROR(__xludf.DUMMYFUNCTION("VLOOKUP($B180,IMPORTRANGE(""https://docs.google.com/spreadsheets/d/1FYVlxGM-gYXe-QaL0HOSFmUpogUrsx0e6DntOW4RH1o/edit#gid=2017480677"",""Preguntas!E2:J""),2,false)"),"Relación de dependencia; Monotributista / Contratado; Informal con cobro mensual; Jornal; Changarín")</f>
        <v>Relación de dependencia; Monotributista / Contratado; Informal con cobro mensual; Jornal; Changarín</v>
      </c>
      <c r="D180" s="14" t="str">
        <f>IFERROR(__xludf.DUMMYFUNCTION("VLOOKUP($B180,IMPORTRANGE(""https://docs.google.com/spreadsheets/d/1FYVlxGM-gYXe-QaL0HOSFmUpogUrsx0e6DntOW4RH1o/edit#gid=2017480677"",""Preguntas!E2:J""),4,false)"),"Familia-Economía")</f>
        <v>Familia-Economía</v>
      </c>
    </row>
    <row r="181">
      <c r="A181" s="15" t="str">
        <f>IFERROR(__xludf.DUMMYFUNCTION("""COMPUTED_VALUE"""),"P370")</f>
        <v>P370</v>
      </c>
      <c r="B181" s="15" t="str">
        <f>IFERROR(__xludf.DUMMYFUNCTION("""COMPUTED_VALUE"""),"¿Recibe Plan Social?")</f>
        <v>¿Recibe Plan Social?</v>
      </c>
      <c r="C181" s="15" t="str">
        <f>IFERROR(__xludf.DUMMYFUNCTION("VLOOKUP($B181,IMPORTRANGE(""https://docs.google.com/spreadsheets/d/1FYVlxGM-gYXe-QaL0HOSFmUpogUrsx0e6DntOW4RH1o/edit#gid=2017480677"",""Preguntas!E2:J""),2,false)"),"Si; No")</f>
        <v>Si; No</v>
      </c>
      <c r="D181" s="15" t="str">
        <f>IFERROR(__xludf.DUMMYFUNCTION("VLOOKUP($B181,IMPORTRANGE(""https://docs.google.com/spreadsheets/d/1FYVlxGM-gYXe-QaL0HOSFmUpogUrsx0e6DntOW4RH1o/edit#gid=2017480677"",""Preguntas!E2:J""),4,false)"),"Familia-Redes y Ayudas")</f>
        <v>Familia-Redes y Ayudas</v>
      </c>
    </row>
    <row r="182">
      <c r="A182" s="14" t="str">
        <f>IFERROR(__xludf.DUMMYFUNCTION("""COMPUTED_VALUE"""),"P371")</f>
        <v>P371</v>
      </c>
      <c r="B182" s="14" t="str">
        <f>IFERROR(__xludf.DUMMYFUNCTION("""COMPUTED_VALUE"""),"Recibe caja de alimentos de la Escuela:")</f>
        <v>Recibe caja de alimentos de la Escuela:</v>
      </c>
      <c r="C182" s="14" t="str">
        <f>IFERROR(__xludf.DUMMYFUNCTION("VLOOKUP($B182,IMPORTRANGE(""https://docs.google.com/spreadsheets/d/1FYVlxGM-gYXe-QaL0HOSFmUpogUrsx0e6DntOW4RH1o/edit#gid=2017480677"",""Preguntas!E2:J""),2,false)"),"Si; No")</f>
        <v>Si; No</v>
      </c>
      <c r="D182" s="14" t="str">
        <f>IFERROR(__xludf.DUMMYFUNCTION("VLOOKUP($B182,IMPORTRANGE(""https://docs.google.com/spreadsheets/d/1FYVlxGM-gYXe-QaL0HOSFmUpogUrsx0e6DntOW4RH1o/edit#gid=2017480677"",""Preguntas!E2:J""),4,false)"),"Familia-Redes y Ayudas")</f>
        <v>Familia-Redes y Ayudas</v>
      </c>
    </row>
    <row r="183">
      <c r="A183" s="15" t="str">
        <f>IFERROR(__xludf.DUMMYFUNCTION("""COMPUTED_VALUE"""),"P372")</f>
        <v>P372</v>
      </c>
      <c r="B183" s="15" t="str">
        <f>IFERROR(__xludf.DUMMYFUNCTION("""COMPUTED_VALUE"""),"Si Recibe Plan Social, ¿se sostienen únicamente con Planes Sociales?")</f>
        <v>Si Recibe Plan Social, ¿se sostienen únicamente con Planes Sociales?</v>
      </c>
      <c r="C183" s="15" t="str">
        <f>IFERROR(__xludf.DUMMYFUNCTION("VLOOKUP($B183,IMPORTRANGE(""https://docs.google.com/spreadsheets/d/1FYVlxGM-gYXe-QaL0HOSFmUpogUrsx0e6DntOW4RH1o/edit#gid=2017480677"",""Preguntas!E2:J""),2,false)"),"Si; No")</f>
        <v>Si; No</v>
      </c>
      <c r="D183" s="15" t="str">
        <f>IFERROR(__xludf.DUMMYFUNCTION("VLOOKUP($B183,IMPORTRANGE(""https://docs.google.com/spreadsheets/d/1FYVlxGM-gYXe-QaL0HOSFmUpogUrsx0e6DntOW4RH1o/edit#gid=2017480677"",""Preguntas!E2:J""),4,false)"),"Familia-Redes y Ayudas")</f>
        <v>Familia-Redes y Ayudas</v>
      </c>
    </row>
    <row r="184">
      <c r="A184" s="14" t="str">
        <f>IFERROR(__xludf.DUMMYFUNCTION("""COMPUTED_VALUE"""),"P373")</f>
        <v>P373</v>
      </c>
      <c r="B184" s="14" t="str">
        <f>IFERROR(__xludf.DUMMYFUNCTION("""COMPUTED_VALUE"""),"¿Hay otros miembros de la familia que trabajan o reciben ingresos por Plan y aportan al grupo conviviente?")</f>
        <v>¿Hay otros miembros de la familia que trabajan o reciben ingresos por Plan y aportan al grupo conviviente?</v>
      </c>
      <c r="C184" s="14" t="str">
        <f>IFERROR(__xludf.DUMMYFUNCTION("VLOOKUP($B184,IMPORTRANGE(""https://docs.google.com/spreadsheets/d/1FYVlxGM-gYXe-QaL0HOSFmUpogUrsx0e6DntOW4RH1o/edit#gid=2017480677"",""Preguntas!E2:J""),2,false)"),"Si; No")</f>
        <v>Si; No</v>
      </c>
      <c r="D184" s="14" t="str">
        <f>IFERROR(__xludf.DUMMYFUNCTION("VLOOKUP($B184,IMPORTRANGE(""https://docs.google.com/spreadsheets/d/1FYVlxGM-gYXe-QaL0HOSFmUpogUrsx0e6DntOW4RH1o/edit#gid=2017480677"",""Preguntas!E2:J""),4,false)"),"Familia-Economía")</f>
        <v>Familia-Economía</v>
      </c>
    </row>
    <row r="185">
      <c r="A185" s="15" t="str">
        <f>IFERROR(__xludf.DUMMYFUNCTION("""COMPUTED_VALUE"""),"P374")</f>
        <v>P374</v>
      </c>
      <c r="B185" s="15" t="str">
        <f>IFERROR(__xludf.DUMMYFUNCTION("""COMPUTED_VALUE"""),"Si hay otros miembros que aportan al grupo conviviente, ¿Cuantos son?")</f>
        <v>Si hay otros miembros que aportan al grupo conviviente, ¿Cuantos son?</v>
      </c>
      <c r="C185" s="15" t="str">
        <f>IFERROR(__xludf.DUMMYFUNCTION("VLOOKUP($B185,IMPORTRANGE(""https://docs.google.com/spreadsheets/d/1FYVlxGM-gYXe-QaL0HOSFmUpogUrsx0e6DntOW4RH1o/edit#gid=2017480677"",""Preguntas!E2:J""),2,false)"),"0; 1; 2; 3; 4; 5; 6; 7; 8; 9; 10 o mas")</f>
        <v>0; 1; 2; 3; 4; 5; 6; 7; 8; 9; 10 o mas</v>
      </c>
      <c r="D185" s="15" t="str">
        <f>IFERROR(__xludf.DUMMYFUNCTION("VLOOKUP($B185,IMPORTRANGE(""https://docs.google.com/spreadsheets/d/1FYVlxGM-gYXe-QaL0HOSFmUpogUrsx0e6DntOW4RH1o/edit#gid=2017480677"",""Preguntas!E2:J""),4,false)"),"Familia-Economía")</f>
        <v>Familia-Economía</v>
      </c>
    </row>
    <row r="186">
      <c r="A186" s="14" t="str">
        <f>IFERROR(__xludf.DUMMYFUNCTION("""COMPUTED_VALUE"""),"P375")</f>
        <v>P375</v>
      </c>
      <c r="B186" s="14" t="str">
        <f>IFERROR(__xludf.DUMMYFUNCTION("""COMPUTED_VALUE"""),"Calificación de Ingresos (Ref. 2 ADULTOS Y 3 NIÑOS CBA=$34.671 Y CBT=$80.089.-)")</f>
        <v>Calificación de Ingresos (Ref. 2 ADULTOS Y 3 NIÑOS CBA=$34.671 Y CBT=$80.089.-)</v>
      </c>
      <c r="C186" s="14" t="str">
        <f>IFERROR(__xludf.DUMMYFUNCTION("VLOOKUP($B186,IMPORTRANGE(""https://docs.google.com/spreadsheets/d/1FYVlxGM-gYXe-QaL0HOSFmUpogUrsx0e6DntOW4RH1o/edit#gid=2017480677"",""Preguntas!E2:J""),2,false)"),"¿Mas de $80.089 por familia?. (Por encima de la Canasta básica total); ¿Menos de $80.089 por familia?( Por debajo de la canasta básica total CBT (pobreza)); ¿Menos de $24.671 por familia? (Debajo de la canasta básica alimentaria CBA (Indigencia)")</f>
        <v>¿Mas de $80.089 por familia?. (Por encima de la Canasta básica total); ¿Menos de $80.089 por familia?( Por debajo de la canasta básica total CBT (pobreza)); ¿Menos de $24.671 por familia? (Debajo de la canasta básica alimentaria CBA (Indigencia)</v>
      </c>
      <c r="D186" s="14" t="str">
        <f>IFERROR(__xludf.DUMMYFUNCTION("VLOOKUP($B186,IMPORTRANGE(""https://docs.google.com/spreadsheets/d/1FYVlxGM-gYXe-QaL0HOSFmUpogUrsx0e6DntOW4RH1o/edit#gid=2017480677"",""Preguntas!E2:J""),4,false)"),"Familia-Economía")</f>
        <v>Familia-Economía</v>
      </c>
    </row>
    <row r="187">
      <c r="A187" s="15" t="str">
        <f>IFERROR(__xludf.DUMMYFUNCTION("""COMPUTED_VALUE"""),"P376")</f>
        <v>P376</v>
      </c>
      <c r="B187" s="15" t="str">
        <f>IFERROR(__xludf.DUMMYFUNCTION("""COMPUTED_VALUE"""),"Máximo nivel educativo alcanzado por la Madre (o cuidadora)")</f>
        <v>Máximo nivel educativo alcanzado por la Madre (o cuidadora)</v>
      </c>
      <c r="C187" s="15" t="str">
        <f>IFERROR(__xludf.DUMMYFUNCTION("VLOOKUP($B187,IMPORTRANGE(""https://docs.google.com/spreadsheets/d/1FYVlxGM-gYXe-QaL0HOSFmUpogUrsx0e6DntOW4RH1o/edit#gid=2017480677"",""Preguntas!E2:J""),2,false)"),"Ninguno; Primario Incompleto; Primario en curso; Primario Completo; Secundario Incompleto; Secundario en curso; Secundario Completo; Terciario; Universitario; No corresponde")</f>
        <v>Ninguno; Primario Incompleto; Primario en curso; Primario Completo; Secundario Incompleto; Secundario en curso; Secundario Completo; Terciario; Universitario; No corresponde</v>
      </c>
      <c r="D187" s="15" t="str">
        <f>IFERROR(__xludf.DUMMYFUNCTION("VLOOKUP($B187,IMPORTRANGE(""https://docs.google.com/spreadsheets/d/1FYVlxGM-gYXe-QaL0HOSFmUpogUrsx0e6DntOW4RH1o/edit#gid=2017480677"",""Preguntas!E2:J""),4,false)"),"Familia-Capacidades")</f>
        <v>Familia-Capacidades</v>
      </c>
    </row>
    <row r="188">
      <c r="A188" s="14" t="str">
        <f>IFERROR(__xludf.DUMMYFUNCTION("""COMPUTED_VALUE"""),"P377")</f>
        <v>P377</v>
      </c>
      <c r="B188" s="14" t="str">
        <f>IFERROR(__xludf.DUMMYFUNCTION("""COMPUTED_VALUE"""),"Máximo nivel educativo alcanzado por el Padre (o apoyo en la crianza)")</f>
        <v>Máximo nivel educativo alcanzado por el Padre (o apoyo en la crianza)</v>
      </c>
      <c r="C188" s="14" t="str">
        <f>IFERROR(__xludf.DUMMYFUNCTION("VLOOKUP($B188,IMPORTRANGE(""https://docs.google.com/spreadsheets/d/1FYVlxGM-gYXe-QaL0HOSFmUpogUrsx0e6DntOW4RH1o/edit#gid=2017480677"",""Preguntas!E2:J""),2,false)"),"Ninguno; Primario Incompleto; Primario en curso; Primario Completo; Secundario Incompleto; Secundario en curso; Secundario Completo; Terciario; Universitario; No corresponde")</f>
        <v>Ninguno; Primario Incompleto; Primario en curso; Primario Completo; Secundario Incompleto; Secundario en curso; Secundario Completo; Terciario; Universitario; No corresponde</v>
      </c>
      <c r="D188" s="14" t="str">
        <f>IFERROR(__xludf.DUMMYFUNCTION("VLOOKUP($B188,IMPORTRANGE(""https://docs.google.com/spreadsheets/d/1FYVlxGM-gYXe-QaL0HOSFmUpogUrsx0e6DntOW4RH1o/edit#gid=2017480677"",""Preguntas!E2:J""),4,false)"),"Familia-Capacidades")</f>
        <v>Familia-Capacidades</v>
      </c>
    </row>
  </sheetData>
  <autoFilter ref="$A$1:$D$18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s>
  <sheetData>
    <row r="1">
      <c r="A1" s="16" t="s">
        <v>248</v>
      </c>
      <c r="B1" s="16" t="s">
        <v>7</v>
      </c>
      <c r="D1" s="16" t="s">
        <v>746</v>
      </c>
    </row>
    <row r="2">
      <c r="A2" s="16" t="s">
        <v>250</v>
      </c>
      <c r="B2" s="16" t="s">
        <v>8</v>
      </c>
      <c r="D2" s="16" t="s">
        <v>746</v>
      </c>
    </row>
    <row r="3">
      <c r="A3" s="16" t="s">
        <v>252</v>
      </c>
      <c r="B3" s="16" t="s">
        <v>9</v>
      </c>
      <c r="D3" s="16" t="s">
        <v>746</v>
      </c>
    </row>
    <row r="4">
      <c r="A4" s="16" t="s">
        <v>257</v>
      </c>
      <c r="B4" s="16" t="s">
        <v>14</v>
      </c>
      <c r="C4" s="16" t="s">
        <v>747</v>
      </c>
      <c r="D4" s="16" t="s">
        <v>746</v>
      </c>
    </row>
    <row r="5">
      <c r="A5" s="16" t="s">
        <v>261</v>
      </c>
      <c r="B5" s="16" t="s">
        <v>18</v>
      </c>
      <c r="C5" s="16" t="s">
        <v>748</v>
      </c>
      <c r="D5" s="16" t="s">
        <v>746</v>
      </c>
    </row>
    <row r="6">
      <c r="A6" s="16" t="s">
        <v>262</v>
      </c>
      <c r="B6" s="16" t="s">
        <v>19</v>
      </c>
      <c r="C6" s="16" t="s">
        <v>749</v>
      </c>
      <c r="D6" s="16" t="s">
        <v>746</v>
      </c>
    </row>
    <row r="7">
      <c r="A7" s="16" t="s">
        <v>263</v>
      </c>
      <c r="B7" s="16" t="s">
        <v>20</v>
      </c>
      <c r="C7" s="16" t="s">
        <v>750</v>
      </c>
      <c r="D7" s="16" t="s">
        <v>746</v>
      </c>
    </row>
    <row r="8">
      <c r="A8" s="16" t="s">
        <v>264</v>
      </c>
      <c r="B8" s="16" t="s">
        <v>21</v>
      </c>
      <c r="C8" s="16" t="s">
        <v>751</v>
      </c>
      <c r="D8" s="16" t="s">
        <v>752</v>
      </c>
    </row>
    <row r="9">
      <c r="A9" s="16" t="s">
        <v>269</v>
      </c>
      <c r="B9" s="16" t="s">
        <v>26</v>
      </c>
      <c r="C9" s="16" t="s">
        <v>753</v>
      </c>
      <c r="D9" s="16" t="s">
        <v>754</v>
      </c>
    </row>
    <row r="10">
      <c r="A10" s="16" t="s">
        <v>271</v>
      </c>
      <c r="B10" s="16" t="s">
        <v>28</v>
      </c>
      <c r="C10" s="16" t="s">
        <v>755</v>
      </c>
      <c r="D10" s="16" t="s">
        <v>754</v>
      </c>
    </row>
    <row r="11">
      <c r="A11" s="16" t="s">
        <v>272</v>
      </c>
      <c r="B11" s="16" t="s">
        <v>29</v>
      </c>
      <c r="C11" s="16" t="s">
        <v>756</v>
      </c>
      <c r="D11" s="16" t="s">
        <v>754</v>
      </c>
    </row>
    <row r="12">
      <c r="A12" s="16" t="s">
        <v>273</v>
      </c>
      <c r="B12" s="16" t="s">
        <v>30</v>
      </c>
      <c r="C12" s="16" t="s">
        <v>757</v>
      </c>
      <c r="D12" s="16" t="s">
        <v>754</v>
      </c>
    </row>
    <row r="13">
      <c r="A13" s="16" t="s">
        <v>274</v>
      </c>
      <c r="B13" s="16" t="s">
        <v>31</v>
      </c>
      <c r="C13" s="16" t="s">
        <v>758</v>
      </c>
      <c r="D13" s="16" t="s">
        <v>754</v>
      </c>
    </row>
    <row r="14">
      <c r="A14" s="16" t="s">
        <v>276</v>
      </c>
      <c r="B14" s="16" t="s">
        <v>33</v>
      </c>
      <c r="C14" s="16" t="s">
        <v>753</v>
      </c>
      <c r="D14" s="16" t="s">
        <v>759</v>
      </c>
    </row>
    <row r="15">
      <c r="A15" s="16" t="s">
        <v>278</v>
      </c>
      <c r="B15" s="16" t="s">
        <v>35</v>
      </c>
      <c r="C15" s="16" t="s">
        <v>760</v>
      </c>
      <c r="D15" s="16" t="s">
        <v>759</v>
      </c>
    </row>
    <row r="16">
      <c r="A16" s="16" t="s">
        <v>279</v>
      </c>
      <c r="B16" s="16" t="s">
        <v>36</v>
      </c>
      <c r="C16" s="16" t="s">
        <v>761</v>
      </c>
      <c r="D16" s="16" t="s">
        <v>759</v>
      </c>
    </row>
    <row r="17">
      <c r="A17" s="16" t="s">
        <v>280</v>
      </c>
      <c r="B17" s="16" t="s">
        <v>37</v>
      </c>
      <c r="C17" s="16" t="s">
        <v>761</v>
      </c>
      <c r="D17" s="16" t="s">
        <v>759</v>
      </c>
    </row>
    <row r="18">
      <c r="A18" s="16" t="s">
        <v>281</v>
      </c>
      <c r="B18" s="16" t="s">
        <v>38</v>
      </c>
      <c r="C18" s="16" t="s">
        <v>762</v>
      </c>
      <c r="D18" s="16" t="s">
        <v>759</v>
      </c>
    </row>
    <row r="19">
      <c r="A19" s="16" t="s">
        <v>282</v>
      </c>
      <c r="B19" s="16" t="s">
        <v>39</v>
      </c>
      <c r="C19" s="16" t="s">
        <v>753</v>
      </c>
      <c r="D19" s="16" t="s">
        <v>759</v>
      </c>
    </row>
    <row r="20">
      <c r="A20" s="16" t="s">
        <v>283</v>
      </c>
      <c r="B20" s="16" t="s">
        <v>40</v>
      </c>
      <c r="C20" s="16" t="s">
        <v>753</v>
      </c>
      <c r="D20" s="16" t="s">
        <v>759</v>
      </c>
    </row>
    <row r="21">
      <c r="A21" s="16" t="s">
        <v>284</v>
      </c>
      <c r="B21" s="16" t="s">
        <v>41</v>
      </c>
      <c r="C21" s="3" t="s">
        <v>763</v>
      </c>
      <c r="D21" s="16" t="s">
        <v>759</v>
      </c>
    </row>
    <row r="22">
      <c r="A22" s="16" t="s">
        <v>285</v>
      </c>
      <c r="B22" s="16" t="s">
        <v>42</v>
      </c>
      <c r="C22" s="16" t="s">
        <v>761</v>
      </c>
      <c r="D22" s="16" t="s">
        <v>764</v>
      </c>
    </row>
    <row r="23">
      <c r="A23" s="16" t="s">
        <v>286</v>
      </c>
      <c r="B23" s="16" t="s">
        <v>43</v>
      </c>
      <c r="C23" s="16" t="s">
        <v>753</v>
      </c>
      <c r="D23" s="16" t="s">
        <v>764</v>
      </c>
    </row>
    <row r="24">
      <c r="A24" s="16" t="s">
        <v>287</v>
      </c>
      <c r="B24" s="16" t="s">
        <v>44</v>
      </c>
      <c r="C24" s="16" t="s">
        <v>765</v>
      </c>
      <c r="D24" s="16" t="s">
        <v>764</v>
      </c>
    </row>
    <row r="25">
      <c r="A25" s="16" t="s">
        <v>288</v>
      </c>
      <c r="B25" s="16" t="s">
        <v>45</v>
      </c>
      <c r="C25" s="16" t="s">
        <v>753</v>
      </c>
      <c r="D25" s="16" t="s">
        <v>766</v>
      </c>
    </row>
    <row r="26">
      <c r="A26" s="16" t="s">
        <v>289</v>
      </c>
      <c r="B26" s="16" t="s">
        <v>46</v>
      </c>
      <c r="C26" s="16" t="s">
        <v>761</v>
      </c>
      <c r="D26" s="16" t="s">
        <v>766</v>
      </c>
    </row>
    <row r="27">
      <c r="A27" s="16" t="s">
        <v>290</v>
      </c>
      <c r="B27" s="16" t="s">
        <v>47</v>
      </c>
      <c r="C27" s="16" t="s">
        <v>761</v>
      </c>
      <c r="D27" s="16" t="s">
        <v>766</v>
      </c>
    </row>
    <row r="28">
      <c r="A28" s="16" t="s">
        <v>291</v>
      </c>
      <c r="B28" s="16" t="s">
        <v>48</v>
      </c>
      <c r="C28" s="16" t="s">
        <v>753</v>
      </c>
      <c r="D28" s="16" t="s">
        <v>766</v>
      </c>
    </row>
    <row r="29">
      <c r="A29" s="16" t="s">
        <v>292</v>
      </c>
      <c r="B29" s="16" t="s">
        <v>49</v>
      </c>
      <c r="C29" s="16" t="s">
        <v>761</v>
      </c>
      <c r="D29" s="16" t="s">
        <v>766</v>
      </c>
    </row>
    <row r="30">
      <c r="A30" s="16" t="s">
        <v>293</v>
      </c>
      <c r="B30" s="16" t="s">
        <v>50</v>
      </c>
      <c r="C30" s="16" t="s">
        <v>753</v>
      </c>
      <c r="D30" s="16" t="s">
        <v>766</v>
      </c>
    </row>
    <row r="31">
      <c r="A31" s="16" t="s">
        <v>294</v>
      </c>
      <c r="B31" s="16" t="s">
        <v>51</v>
      </c>
      <c r="C31" s="16" t="s">
        <v>761</v>
      </c>
      <c r="D31" s="16" t="s">
        <v>766</v>
      </c>
    </row>
    <row r="32">
      <c r="A32" s="16" t="s">
        <v>295</v>
      </c>
      <c r="B32" s="16" t="s">
        <v>52</v>
      </c>
      <c r="C32" s="16" t="s">
        <v>753</v>
      </c>
      <c r="D32" s="16" t="s">
        <v>766</v>
      </c>
    </row>
    <row r="33">
      <c r="A33" s="16" t="s">
        <v>296</v>
      </c>
      <c r="B33" s="16" t="s">
        <v>53</v>
      </c>
      <c r="C33" s="16" t="s">
        <v>761</v>
      </c>
      <c r="D33" s="16" t="s">
        <v>766</v>
      </c>
    </row>
    <row r="34">
      <c r="A34" s="16" t="s">
        <v>297</v>
      </c>
      <c r="B34" s="16" t="s">
        <v>54</v>
      </c>
      <c r="C34" s="16" t="s">
        <v>753</v>
      </c>
      <c r="D34" s="16" t="s">
        <v>766</v>
      </c>
    </row>
    <row r="35">
      <c r="A35" s="16" t="s">
        <v>298</v>
      </c>
      <c r="B35" s="16" t="s">
        <v>55</v>
      </c>
      <c r="C35" s="16" t="s">
        <v>753</v>
      </c>
      <c r="D35" s="16" t="s">
        <v>766</v>
      </c>
    </row>
    <row r="36">
      <c r="A36" s="16" t="s">
        <v>299</v>
      </c>
      <c r="B36" s="16" t="s">
        <v>56</v>
      </c>
      <c r="C36" s="16" t="s">
        <v>753</v>
      </c>
      <c r="D36" s="16" t="s">
        <v>767</v>
      </c>
    </row>
    <row r="37">
      <c r="A37" s="16" t="s">
        <v>300</v>
      </c>
      <c r="B37" s="16" t="s">
        <v>57</v>
      </c>
      <c r="C37" s="16" t="s">
        <v>753</v>
      </c>
      <c r="D37" s="16" t="s">
        <v>767</v>
      </c>
    </row>
    <row r="38">
      <c r="A38" s="16" t="s">
        <v>301</v>
      </c>
      <c r="B38" s="16" t="s">
        <v>58</v>
      </c>
      <c r="C38" s="16" t="s">
        <v>761</v>
      </c>
      <c r="D38" s="16" t="s">
        <v>767</v>
      </c>
    </row>
    <row r="39">
      <c r="A39" s="16" t="s">
        <v>302</v>
      </c>
      <c r="B39" s="16" t="s">
        <v>59</v>
      </c>
      <c r="C39" s="16" t="s">
        <v>768</v>
      </c>
      <c r="D39" s="16" t="s">
        <v>767</v>
      </c>
    </row>
    <row r="40">
      <c r="A40" s="16" t="s">
        <v>303</v>
      </c>
      <c r="B40" s="16" t="s">
        <v>60</v>
      </c>
      <c r="C40" s="16" t="s">
        <v>753</v>
      </c>
      <c r="D40" s="16" t="s">
        <v>767</v>
      </c>
    </row>
    <row r="41">
      <c r="A41" s="16" t="s">
        <v>304</v>
      </c>
      <c r="B41" s="16" t="s">
        <v>61</v>
      </c>
      <c r="C41" s="16" t="s">
        <v>761</v>
      </c>
      <c r="D41" s="16" t="s">
        <v>767</v>
      </c>
    </row>
    <row r="42">
      <c r="A42" s="16" t="s">
        <v>305</v>
      </c>
      <c r="B42" s="16" t="s">
        <v>62</v>
      </c>
      <c r="C42" s="16" t="s">
        <v>769</v>
      </c>
      <c r="D42" s="16" t="s">
        <v>770</v>
      </c>
    </row>
    <row r="43">
      <c r="A43" s="16" t="s">
        <v>306</v>
      </c>
      <c r="B43" s="16" t="s">
        <v>63</v>
      </c>
      <c r="C43" s="16" t="s">
        <v>753</v>
      </c>
      <c r="D43" s="16" t="s">
        <v>767</v>
      </c>
    </row>
    <row r="44">
      <c r="A44" s="16" t="s">
        <v>307</v>
      </c>
      <c r="B44" s="16" t="s">
        <v>64</v>
      </c>
      <c r="C44" s="16" t="s">
        <v>753</v>
      </c>
      <c r="D44" s="16" t="s">
        <v>770</v>
      </c>
    </row>
    <row r="45">
      <c r="A45" s="16" t="s">
        <v>308</v>
      </c>
      <c r="B45" s="16" t="s">
        <v>65</v>
      </c>
      <c r="C45" s="16" t="s">
        <v>771</v>
      </c>
      <c r="D45" s="16" t="s">
        <v>770</v>
      </c>
    </row>
    <row r="46">
      <c r="A46" s="16" t="s">
        <v>309</v>
      </c>
      <c r="B46" s="16" t="s">
        <v>66</v>
      </c>
      <c r="C46" s="16" t="s">
        <v>753</v>
      </c>
      <c r="D46" s="16" t="s">
        <v>772</v>
      </c>
    </row>
    <row r="47">
      <c r="A47" s="16" t="s">
        <v>311</v>
      </c>
      <c r="B47" s="16" t="s">
        <v>68</v>
      </c>
      <c r="C47" s="16" t="s">
        <v>773</v>
      </c>
      <c r="D47" s="16" t="s">
        <v>772</v>
      </c>
    </row>
    <row r="48">
      <c r="A48" s="16" t="s">
        <v>312</v>
      </c>
      <c r="B48" s="16" t="s">
        <v>69</v>
      </c>
      <c r="C48" s="16" t="s">
        <v>774</v>
      </c>
      <c r="D48" s="16" t="s">
        <v>772</v>
      </c>
    </row>
    <row r="49">
      <c r="A49" s="16" t="s">
        <v>313</v>
      </c>
      <c r="B49" s="16" t="s">
        <v>70</v>
      </c>
      <c r="C49" s="16" t="s">
        <v>753</v>
      </c>
      <c r="D49" s="16" t="s">
        <v>772</v>
      </c>
    </row>
    <row r="50">
      <c r="A50" s="16" t="s">
        <v>314</v>
      </c>
      <c r="B50" s="16" t="s">
        <v>71</v>
      </c>
      <c r="C50" s="16" t="s">
        <v>753</v>
      </c>
      <c r="D50" s="16" t="s">
        <v>775</v>
      </c>
    </row>
    <row r="51">
      <c r="A51" s="16" t="s">
        <v>316</v>
      </c>
      <c r="B51" s="16" t="s">
        <v>73</v>
      </c>
      <c r="C51" s="16" t="s">
        <v>753</v>
      </c>
      <c r="D51" s="16" t="s">
        <v>775</v>
      </c>
    </row>
    <row r="52">
      <c r="A52" s="16" t="s">
        <v>317</v>
      </c>
      <c r="B52" s="16" t="s">
        <v>74</v>
      </c>
      <c r="C52" s="16" t="s">
        <v>776</v>
      </c>
      <c r="D52" s="16" t="s">
        <v>775</v>
      </c>
    </row>
    <row r="53">
      <c r="A53" s="16" t="s">
        <v>318</v>
      </c>
      <c r="B53" s="16" t="s">
        <v>75</v>
      </c>
      <c r="C53" s="16" t="s">
        <v>753</v>
      </c>
      <c r="D53" s="16" t="s">
        <v>777</v>
      </c>
    </row>
    <row r="54">
      <c r="A54" s="16" t="s">
        <v>319</v>
      </c>
      <c r="B54" s="16" t="s">
        <v>76</v>
      </c>
      <c r="C54" s="16" t="s">
        <v>778</v>
      </c>
      <c r="D54" s="16" t="s">
        <v>777</v>
      </c>
    </row>
    <row r="55">
      <c r="A55" s="16" t="s">
        <v>320</v>
      </c>
      <c r="B55" s="16" t="s">
        <v>77</v>
      </c>
      <c r="C55" s="16" t="s">
        <v>753</v>
      </c>
      <c r="D55" s="16" t="s">
        <v>777</v>
      </c>
    </row>
    <row r="56">
      <c r="A56" s="16" t="s">
        <v>321</v>
      </c>
      <c r="B56" s="16" t="s">
        <v>78</v>
      </c>
      <c r="C56" s="16" t="s">
        <v>779</v>
      </c>
      <c r="D56" s="16" t="s">
        <v>780</v>
      </c>
    </row>
    <row r="57">
      <c r="A57" s="16" t="s">
        <v>322</v>
      </c>
      <c r="B57" s="16" t="s">
        <v>79</v>
      </c>
      <c r="C57" s="16" t="s">
        <v>781</v>
      </c>
      <c r="D57" s="16" t="s">
        <v>780</v>
      </c>
    </row>
    <row r="58">
      <c r="A58" s="16" t="s">
        <v>323</v>
      </c>
      <c r="B58" s="16" t="s">
        <v>80</v>
      </c>
      <c r="C58" s="16" t="s">
        <v>753</v>
      </c>
      <c r="D58" s="16" t="s">
        <v>782</v>
      </c>
    </row>
    <row r="59">
      <c r="A59" s="16" t="s">
        <v>324</v>
      </c>
      <c r="B59" s="16" t="s">
        <v>81</v>
      </c>
      <c r="C59" s="16" t="s">
        <v>761</v>
      </c>
      <c r="D59" s="16" t="s">
        <v>782</v>
      </c>
    </row>
    <row r="60">
      <c r="A60" s="16" t="s">
        <v>325</v>
      </c>
      <c r="B60" s="16" t="s">
        <v>82</v>
      </c>
      <c r="C60" s="16" t="s">
        <v>761</v>
      </c>
      <c r="D60" s="16" t="s">
        <v>782</v>
      </c>
    </row>
    <row r="61">
      <c r="A61" s="16" t="s">
        <v>326</v>
      </c>
      <c r="B61" s="16" t="s">
        <v>83</v>
      </c>
      <c r="C61" s="16" t="s">
        <v>761</v>
      </c>
      <c r="D61" s="16" t="s">
        <v>782</v>
      </c>
    </row>
    <row r="62">
      <c r="A62" s="16" t="s">
        <v>327</v>
      </c>
      <c r="B62" s="16" t="s">
        <v>84</v>
      </c>
      <c r="C62" s="16" t="s">
        <v>761</v>
      </c>
      <c r="D62" s="16" t="s">
        <v>782</v>
      </c>
    </row>
    <row r="63">
      <c r="A63" s="16" t="s">
        <v>328</v>
      </c>
      <c r="B63" s="16" t="s">
        <v>85</v>
      </c>
      <c r="C63" s="16" t="s">
        <v>761</v>
      </c>
      <c r="D63" s="16" t="s">
        <v>782</v>
      </c>
    </row>
    <row r="64">
      <c r="A64" s="16" t="s">
        <v>329</v>
      </c>
      <c r="B64" s="16" t="s">
        <v>86</v>
      </c>
      <c r="C64" s="16" t="s">
        <v>753</v>
      </c>
      <c r="D64" s="16" t="s">
        <v>782</v>
      </c>
    </row>
    <row r="65">
      <c r="A65" s="16" t="s">
        <v>330</v>
      </c>
      <c r="B65" s="16" t="s">
        <v>87</v>
      </c>
      <c r="C65" s="16" t="s">
        <v>753</v>
      </c>
      <c r="D65" s="16" t="s">
        <v>782</v>
      </c>
    </row>
    <row r="66">
      <c r="A66" s="16" t="s">
        <v>331</v>
      </c>
      <c r="B66" s="16" t="s">
        <v>88</v>
      </c>
      <c r="C66" s="16" t="s">
        <v>753</v>
      </c>
      <c r="D66" s="16" t="s">
        <v>783</v>
      </c>
    </row>
    <row r="67">
      <c r="A67" s="16" t="s">
        <v>332</v>
      </c>
      <c r="B67" s="16" t="s">
        <v>89</v>
      </c>
      <c r="C67" s="16" t="s">
        <v>753</v>
      </c>
      <c r="D67" s="16" t="s">
        <v>783</v>
      </c>
    </row>
    <row r="68">
      <c r="A68" s="16" t="s">
        <v>333</v>
      </c>
      <c r="B68" s="16" t="s">
        <v>90</v>
      </c>
      <c r="C68" s="16" t="s">
        <v>753</v>
      </c>
      <c r="D68" s="16" t="s">
        <v>777</v>
      </c>
    </row>
    <row r="69">
      <c r="A69" s="16" t="s">
        <v>334</v>
      </c>
      <c r="B69" s="16" t="s">
        <v>91</v>
      </c>
      <c r="C69" s="16" t="s">
        <v>753</v>
      </c>
      <c r="D69" s="16" t="s">
        <v>777</v>
      </c>
    </row>
    <row r="70">
      <c r="A70" s="16" t="s">
        <v>335</v>
      </c>
      <c r="B70" s="16" t="s">
        <v>92</v>
      </c>
      <c r="C70" s="16" t="s">
        <v>753</v>
      </c>
      <c r="D70" s="16" t="s">
        <v>777</v>
      </c>
    </row>
    <row r="71">
      <c r="A71" s="16" t="s">
        <v>336</v>
      </c>
      <c r="B71" s="16" t="s">
        <v>93</v>
      </c>
      <c r="C71" s="16" t="s">
        <v>753</v>
      </c>
      <c r="D71" s="16" t="s">
        <v>777</v>
      </c>
    </row>
    <row r="72">
      <c r="A72" s="16" t="s">
        <v>337</v>
      </c>
      <c r="B72" s="16" t="s">
        <v>94</v>
      </c>
      <c r="C72" s="16" t="s">
        <v>753</v>
      </c>
      <c r="D72" s="16" t="s">
        <v>777</v>
      </c>
    </row>
    <row r="73">
      <c r="A73" s="16" t="s">
        <v>338</v>
      </c>
      <c r="B73" s="16" t="s">
        <v>95</v>
      </c>
      <c r="C73" s="16" t="s">
        <v>753</v>
      </c>
      <c r="D73" s="16" t="s">
        <v>777</v>
      </c>
    </row>
    <row r="74">
      <c r="A74" s="16" t="s">
        <v>339</v>
      </c>
      <c r="B74" s="16" t="s">
        <v>96</v>
      </c>
      <c r="C74" s="16" t="s">
        <v>753</v>
      </c>
      <c r="D74" s="16" t="s">
        <v>777</v>
      </c>
    </row>
    <row r="75">
      <c r="A75" s="16" t="s">
        <v>340</v>
      </c>
      <c r="B75" s="16" t="s">
        <v>97</v>
      </c>
      <c r="C75" s="16" t="s">
        <v>753</v>
      </c>
      <c r="D75" s="16" t="s">
        <v>780</v>
      </c>
    </row>
    <row r="76">
      <c r="A76" s="16" t="s">
        <v>341</v>
      </c>
      <c r="B76" s="16" t="s">
        <v>98</v>
      </c>
      <c r="C76" s="16" t="s">
        <v>753</v>
      </c>
      <c r="D76" s="16" t="s">
        <v>780</v>
      </c>
    </row>
    <row r="77">
      <c r="A77" s="16" t="s">
        <v>342</v>
      </c>
      <c r="B77" s="16" t="s">
        <v>99</v>
      </c>
      <c r="C77" s="16" t="s">
        <v>753</v>
      </c>
      <c r="D77" s="16" t="s">
        <v>777</v>
      </c>
    </row>
    <row r="78">
      <c r="A78" s="16" t="s">
        <v>343</v>
      </c>
      <c r="B78" s="16" t="s">
        <v>100</v>
      </c>
      <c r="C78" s="16" t="s">
        <v>753</v>
      </c>
      <c r="D78" s="16" t="s">
        <v>784</v>
      </c>
    </row>
    <row r="79">
      <c r="A79" s="16" t="s">
        <v>344</v>
      </c>
      <c r="B79" s="16" t="s">
        <v>101</v>
      </c>
      <c r="C79" s="16" t="s">
        <v>753</v>
      </c>
      <c r="D79" s="16" t="s">
        <v>784</v>
      </c>
    </row>
    <row r="80">
      <c r="A80" s="16" t="s">
        <v>345</v>
      </c>
      <c r="B80" s="16" t="s">
        <v>102</v>
      </c>
      <c r="C80" s="16" t="s">
        <v>753</v>
      </c>
      <c r="D80" s="16" t="s">
        <v>784</v>
      </c>
    </row>
    <row r="81">
      <c r="A81" s="16" t="s">
        <v>346</v>
      </c>
      <c r="B81" s="16" t="s">
        <v>103</v>
      </c>
      <c r="C81" s="16" t="s">
        <v>753</v>
      </c>
      <c r="D81" s="16" t="s">
        <v>784</v>
      </c>
    </row>
    <row r="82">
      <c r="A82" s="16" t="s">
        <v>347</v>
      </c>
      <c r="B82" s="16" t="s">
        <v>104</v>
      </c>
      <c r="C82" s="16" t="s">
        <v>753</v>
      </c>
      <c r="D82" s="16" t="s">
        <v>784</v>
      </c>
    </row>
    <row r="83">
      <c r="A83" s="16" t="s">
        <v>348</v>
      </c>
      <c r="B83" s="16" t="s">
        <v>105</v>
      </c>
      <c r="C83" s="16" t="s">
        <v>753</v>
      </c>
      <c r="D83" s="16" t="s">
        <v>784</v>
      </c>
    </row>
    <row r="84">
      <c r="A84" s="16" t="s">
        <v>360</v>
      </c>
      <c r="B84" s="16" t="s">
        <v>221</v>
      </c>
      <c r="C84" s="16" t="s">
        <v>785</v>
      </c>
      <c r="D84" s="16" t="s">
        <v>746</v>
      </c>
    </row>
    <row r="85">
      <c r="A85" s="16" t="s">
        <v>362</v>
      </c>
      <c r="B85" s="16" t="s">
        <v>14</v>
      </c>
      <c r="C85" s="16" t="s">
        <v>747</v>
      </c>
      <c r="D85" s="16" t="s">
        <v>746</v>
      </c>
    </row>
    <row r="86">
      <c r="A86" s="16" t="s">
        <v>367</v>
      </c>
      <c r="B86" s="16" t="s">
        <v>134</v>
      </c>
      <c r="C86" s="16" t="s">
        <v>753</v>
      </c>
      <c r="D86" s="16" t="s">
        <v>752</v>
      </c>
    </row>
    <row r="87">
      <c r="A87" s="16" t="s">
        <v>384</v>
      </c>
      <c r="B87" s="16" t="s">
        <v>108</v>
      </c>
      <c r="C87" s="16" t="s">
        <v>753</v>
      </c>
      <c r="D87" s="16" t="s">
        <v>754</v>
      </c>
    </row>
    <row r="88">
      <c r="A88" s="16" t="s">
        <v>388</v>
      </c>
      <c r="B88" s="16" t="s">
        <v>30</v>
      </c>
      <c r="C88" s="16" t="s">
        <v>757</v>
      </c>
      <c r="D88" s="16" t="s">
        <v>754</v>
      </c>
    </row>
    <row r="89">
      <c r="A89" s="16" t="s">
        <v>389</v>
      </c>
      <c r="B89" s="16" t="s">
        <v>29</v>
      </c>
      <c r="C89" s="16" t="s">
        <v>756</v>
      </c>
      <c r="D89" s="16" t="s">
        <v>754</v>
      </c>
    </row>
    <row r="90">
      <c r="A90" s="16" t="s">
        <v>390</v>
      </c>
      <c r="B90" s="16" t="s">
        <v>31</v>
      </c>
      <c r="C90" s="16" t="s">
        <v>758</v>
      </c>
      <c r="D90" s="16" t="s">
        <v>754</v>
      </c>
    </row>
    <row r="91">
      <c r="A91" s="16" t="s">
        <v>391</v>
      </c>
      <c r="B91" s="16" t="s">
        <v>224</v>
      </c>
      <c r="C91" s="16" t="s">
        <v>756</v>
      </c>
      <c r="D91" s="16" t="s">
        <v>754</v>
      </c>
    </row>
    <row r="92">
      <c r="A92" s="16" t="s">
        <v>393</v>
      </c>
      <c r="B92" s="16" t="s">
        <v>191</v>
      </c>
      <c r="C92" s="16" t="s">
        <v>786</v>
      </c>
      <c r="D92" s="16" t="s">
        <v>787</v>
      </c>
    </row>
    <row r="93">
      <c r="A93" s="16" t="s">
        <v>396</v>
      </c>
      <c r="B93" s="16" t="s">
        <v>181</v>
      </c>
      <c r="C93" s="16" t="s">
        <v>788</v>
      </c>
      <c r="D93" s="16" t="s">
        <v>787</v>
      </c>
    </row>
    <row r="94">
      <c r="A94" s="16" t="s">
        <v>397</v>
      </c>
      <c r="B94" s="16" t="s">
        <v>109</v>
      </c>
      <c r="C94" s="16" t="s">
        <v>789</v>
      </c>
      <c r="D94" s="16" t="s">
        <v>790</v>
      </c>
    </row>
    <row r="95">
      <c r="A95" s="16" t="s">
        <v>398</v>
      </c>
      <c r="B95" s="16" t="s">
        <v>121</v>
      </c>
      <c r="C95" s="16" t="s">
        <v>753</v>
      </c>
      <c r="D95" s="16" t="s">
        <v>790</v>
      </c>
    </row>
    <row r="96">
      <c r="A96" s="16" t="s">
        <v>399</v>
      </c>
      <c r="B96" s="16" t="s">
        <v>122</v>
      </c>
      <c r="C96" s="16" t="s">
        <v>753</v>
      </c>
      <c r="D96" s="16" t="s">
        <v>790</v>
      </c>
    </row>
    <row r="97">
      <c r="A97" s="16" t="s">
        <v>400</v>
      </c>
      <c r="B97" s="16" t="s">
        <v>123</v>
      </c>
      <c r="C97" s="16" t="s">
        <v>753</v>
      </c>
      <c r="D97" s="16" t="s">
        <v>790</v>
      </c>
    </row>
    <row r="98">
      <c r="A98" s="16" t="s">
        <v>401</v>
      </c>
      <c r="B98" s="16" t="s">
        <v>120</v>
      </c>
      <c r="C98" s="16" t="s">
        <v>753</v>
      </c>
      <c r="D98" s="16" t="s">
        <v>790</v>
      </c>
    </row>
    <row r="99">
      <c r="A99" s="16" t="s">
        <v>402</v>
      </c>
      <c r="B99" s="16" t="s">
        <v>403</v>
      </c>
      <c r="C99" s="16" t="s">
        <v>753</v>
      </c>
      <c r="D99" s="16" t="s">
        <v>790</v>
      </c>
    </row>
    <row r="100">
      <c r="A100" s="16" t="s">
        <v>406</v>
      </c>
      <c r="B100" s="16" t="s">
        <v>230</v>
      </c>
      <c r="C100" s="16" t="s">
        <v>753</v>
      </c>
      <c r="D100" s="16" t="s">
        <v>790</v>
      </c>
    </row>
    <row r="101">
      <c r="A101" s="16" t="s">
        <v>407</v>
      </c>
      <c r="B101" s="16" t="s">
        <v>162</v>
      </c>
      <c r="C101" s="16" t="s">
        <v>753</v>
      </c>
      <c r="D101" s="16" t="s">
        <v>790</v>
      </c>
    </row>
    <row r="102">
      <c r="A102" s="16" t="s">
        <v>408</v>
      </c>
      <c r="B102" s="16" t="s">
        <v>139</v>
      </c>
      <c r="C102" s="16" t="s">
        <v>753</v>
      </c>
      <c r="D102" s="16" t="s">
        <v>790</v>
      </c>
    </row>
    <row r="103">
      <c r="A103" s="16" t="s">
        <v>409</v>
      </c>
      <c r="B103" s="16" t="s">
        <v>157</v>
      </c>
      <c r="C103" s="16" t="s">
        <v>753</v>
      </c>
      <c r="D103" s="16" t="s">
        <v>790</v>
      </c>
    </row>
    <row r="104">
      <c r="A104" s="16" t="s">
        <v>410</v>
      </c>
      <c r="B104" s="16" t="s">
        <v>158</v>
      </c>
      <c r="C104" s="16" t="s">
        <v>753</v>
      </c>
      <c r="D104" s="16" t="s">
        <v>790</v>
      </c>
    </row>
    <row r="105">
      <c r="A105" s="16" t="s">
        <v>412</v>
      </c>
      <c r="B105" s="16" t="s">
        <v>141</v>
      </c>
      <c r="C105" s="16" t="s">
        <v>753</v>
      </c>
      <c r="D105" s="16" t="s">
        <v>782</v>
      </c>
    </row>
    <row r="106">
      <c r="A106" s="16" t="s">
        <v>414</v>
      </c>
      <c r="B106" s="16" t="s">
        <v>144</v>
      </c>
      <c r="C106" s="16" t="s">
        <v>753</v>
      </c>
      <c r="D106" s="16" t="s">
        <v>790</v>
      </c>
    </row>
    <row r="107">
      <c r="A107" s="16" t="s">
        <v>415</v>
      </c>
      <c r="B107" s="16" t="s">
        <v>154</v>
      </c>
      <c r="C107" s="16" t="s">
        <v>753</v>
      </c>
      <c r="D107" s="16" t="s">
        <v>790</v>
      </c>
    </row>
    <row r="108">
      <c r="A108" s="16" t="s">
        <v>416</v>
      </c>
      <c r="B108" s="16" t="s">
        <v>147</v>
      </c>
      <c r="C108" s="16" t="s">
        <v>753</v>
      </c>
      <c r="D108" s="16" t="s">
        <v>790</v>
      </c>
    </row>
    <row r="109">
      <c r="A109" s="16" t="s">
        <v>417</v>
      </c>
      <c r="B109" s="16" t="s">
        <v>152</v>
      </c>
      <c r="C109" s="16" t="s">
        <v>753</v>
      </c>
      <c r="D109" s="16" t="s">
        <v>790</v>
      </c>
    </row>
    <row r="110">
      <c r="A110" s="16" t="s">
        <v>418</v>
      </c>
      <c r="B110" s="16" t="s">
        <v>153</v>
      </c>
      <c r="C110" s="16" t="s">
        <v>753</v>
      </c>
      <c r="D110" s="16" t="s">
        <v>790</v>
      </c>
    </row>
    <row r="111">
      <c r="A111" s="16" t="s">
        <v>419</v>
      </c>
      <c r="B111" s="16" t="s">
        <v>145</v>
      </c>
      <c r="C111" s="16" t="s">
        <v>753</v>
      </c>
      <c r="D111" s="16" t="s">
        <v>790</v>
      </c>
    </row>
    <row r="112">
      <c r="A112" s="16" t="s">
        <v>420</v>
      </c>
      <c r="B112" s="16" t="s">
        <v>146</v>
      </c>
      <c r="C112" s="16" t="s">
        <v>753</v>
      </c>
      <c r="D112" s="16" t="s">
        <v>790</v>
      </c>
    </row>
    <row r="113">
      <c r="A113" s="16" t="s">
        <v>421</v>
      </c>
      <c r="B113" s="16" t="s">
        <v>150</v>
      </c>
      <c r="C113" s="16" t="s">
        <v>753</v>
      </c>
      <c r="D113" s="16" t="s">
        <v>782</v>
      </c>
    </row>
    <row r="114">
      <c r="A114" s="16" t="s">
        <v>422</v>
      </c>
      <c r="B114" s="16" t="s">
        <v>149</v>
      </c>
      <c r="C114" s="16" t="s">
        <v>753</v>
      </c>
      <c r="D114" s="16" t="s">
        <v>782</v>
      </c>
    </row>
    <row r="115">
      <c r="A115" s="16" t="s">
        <v>423</v>
      </c>
      <c r="B115" s="16" t="s">
        <v>148</v>
      </c>
      <c r="C115" s="16" t="s">
        <v>753</v>
      </c>
      <c r="D115" s="16" t="s">
        <v>790</v>
      </c>
    </row>
    <row r="116">
      <c r="A116" s="16" t="s">
        <v>424</v>
      </c>
      <c r="B116" s="16" t="s">
        <v>159</v>
      </c>
      <c r="C116" s="16" t="s">
        <v>753</v>
      </c>
      <c r="D116" s="16" t="s">
        <v>790</v>
      </c>
    </row>
    <row r="117">
      <c r="A117" s="16" t="s">
        <v>425</v>
      </c>
      <c r="B117" s="16" t="s">
        <v>142</v>
      </c>
      <c r="C117" s="16" t="s">
        <v>753</v>
      </c>
      <c r="D117" s="16" t="s">
        <v>790</v>
      </c>
    </row>
    <row r="118">
      <c r="A118" s="16" t="s">
        <v>426</v>
      </c>
      <c r="B118" s="16" t="s">
        <v>112</v>
      </c>
      <c r="C118" s="16" t="s">
        <v>791</v>
      </c>
      <c r="D118" s="16" t="s">
        <v>792</v>
      </c>
    </row>
    <row r="119">
      <c r="A119" s="16" t="s">
        <v>670</v>
      </c>
      <c r="B119" s="16" t="s">
        <v>114</v>
      </c>
      <c r="C119" s="16" t="s">
        <v>793</v>
      </c>
      <c r="D119" s="16" t="s">
        <v>794</v>
      </c>
    </row>
    <row r="120">
      <c r="A120" s="16" t="s">
        <v>671</v>
      </c>
      <c r="B120" s="16" t="s">
        <v>115</v>
      </c>
      <c r="C120" s="16" t="s">
        <v>795</v>
      </c>
      <c r="D120" s="16" t="s">
        <v>796</v>
      </c>
    </row>
    <row r="121">
      <c r="A121" s="16" t="s">
        <v>672</v>
      </c>
      <c r="B121" s="16" t="s">
        <v>117</v>
      </c>
      <c r="C121" s="16" t="s">
        <v>795</v>
      </c>
      <c r="D121" s="16" t="s">
        <v>796</v>
      </c>
    </row>
    <row r="122">
      <c r="A122" s="16" t="s">
        <v>673</v>
      </c>
      <c r="B122" s="16" t="s">
        <v>131</v>
      </c>
      <c r="C122" s="16" t="s">
        <v>753</v>
      </c>
      <c r="D122" s="16" t="s">
        <v>796</v>
      </c>
    </row>
    <row r="123">
      <c r="A123" s="16" t="s">
        <v>674</v>
      </c>
      <c r="B123" s="16" t="s">
        <v>132</v>
      </c>
      <c r="C123" s="16" t="s">
        <v>753</v>
      </c>
      <c r="D123" s="16" t="s">
        <v>796</v>
      </c>
    </row>
    <row r="124">
      <c r="A124" s="16" t="s">
        <v>675</v>
      </c>
      <c r="B124" s="16" t="s">
        <v>130</v>
      </c>
      <c r="C124" s="16" t="s">
        <v>753</v>
      </c>
      <c r="D124" s="16" t="s">
        <v>796</v>
      </c>
    </row>
    <row r="125">
      <c r="A125" s="16" t="s">
        <v>676</v>
      </c>
      <c r="B125" s="16" t="s">
        <v>133</v>
      </c>
      <c r="C125" s="16" t="s">
        <v>753</v>
      </c>
      <c r="D125" s="16" t="s">
        <v>796</v>
      </c>
    </row>
    <row r="126">
      <c r="A126" s="16" t="s">
        <v>677</v>
      </c>
      <c r="B126" s="16" t="s">
        <v>129</v>
      </c>
      <c r="C126" s="16" t="s">
        <v>753</v>
      </c>
      <c r="D126" s="16" t="s">
        <v>796</v>
      </c>
    </row>
    <row r="127">
      <c r="A127" s="16" t="s">
        <v>678</v>
      </c>
      <c r="B127" s="16" t="s">
        <v>199</v>
      </c>
      <c r="C127" s="16" t="s">
        <v>753</v>
      </c>
      <c r="D127" s="16" t="s">
        <v>797</v>
      </c>
    </row>
    <row r="128">
      <c r="A128" s="16" t="s">
        <v>679</v>
      </c>
      <c r="B128" s="16" t="s">
        <v>202</v>
      </c>
      <c r="C128" s="16" t="s">
        <v>753</v>
      </c>
      <c r="D128" s="16" t="s">
        <v>797</v>
      </c>
    </row>
    <row r="129">
      <c r="A129" s="16" t="s">
        <v>680</v>
      </c>
      <c r="B129" s="16" t="s">
        <v>200</v>
      </c>
      <c r="C129" s="16" t="s">
        <v>753</v>
      </c>
      <c r="D129" s="16" t="s">
        <v>797</v>
      </c>
    </row>
    <row r="130">
      <c r="A130" s="16" t="s">
        <v>681</v>
      </c>
      <c r="B130" s="16" t="s">
        <v>201</v>
      </c>
      <c r="C130" s="16" t="s">
        <v>753</v>
      </c>
      <c r="D130" s="16" t="s">
        <v>797</v>
      </c>
    </row>
    <row r="131">
      <c r="A131" s="16" t="s">
        <v>682</v>
      </c>
      <c r="B131" s="16" t="s">
        <v>203</v>
      </c>
      <c r="C131" s="16" t="s">
        <v>753</v>
      </c>
      <c r="D131" s="16" t="s">
        <v>797</v>
      </c>
    </row>
    <row r="132">
      <c r="A132" s="16" t="s">
        <v>683</v>
      </c>
      <c r="B132" s="16" t="s">
        <v>204</v>
      </c>
      <c r="C132" s="16" t="s">
        <v>753</v>
      </c>
      <c r="D132" s="16" t="s">
        <v>797</v>
      </c>
    </row>
    <row r="133">
      <c r="A133" s="16" t="s">
        <v>684</v>
      </c>
      <c r="B133" s="16" t="s">
        <v>197</v>
      </c>
      <c r="C133" s="16" t="s">
        <v>753</v>
      </c>
      <c r="D133" s="16" t="s">
        <v>797</v>
      </c>
    </row>
    <row r="134">
      <c r="A134" s="16" t="s">
        <v>685</v>
      </c>
      <c r="B134" s="16" t="s">
        <v>196</v>
      </c>
      <c r="C134" s="16" t="s">
        <v>753</v>
      </c>
      <c r="D134" s="16" t="s">
        <v>797</v>
      </c>
    </row>
    <row r="135">
      <c r="A135" s="16" t="s">
        <v>686</v>
      </c>
      <c r="B135" s="16" t="s">
        <v>198</v>
      </c>
      <c r="C135" s="16" t="s">
        <v>753</v>
      </c>
      <c r="D135" s="16" t="s">
        <v>797</v>
      </c>
    </row>
    <row r="136">
      <c r="A136" s="16" t="s">
        <v>687</v>
      </c>
      <c r="B136" s="16" t="s">
        <v>128</v>
      </c>
      <c r="C136" s="16" t="s">
        <v>753</v>
      </c>
      <c r="D136" s="16" t="s">
        <v>798</v>
      </c>
    </row>
    <row r="137">
      <c r="A137" s="16" t="s">
        <v>688</v>
      </c>
      <c r="B137" s="16" t="s">
        <v>127</v>
      </c>
      <c r="C137" s="16" t="s">
        <v>753</v>
      </c>
      <c r="D137" s="16" t="s">
        <v>798</v>
      </c>
    </row>
    <row r="138">
      <c r="A138" s="16" t="s">
        <v>689</v>
      </c>
      <c r="B138" s="16" t="s">
        <v>124</v>
      </c>
      <c r="C138" s="16" t="s">
        <v>753</v>
      </c>
      <c r="D138" s="16" t="s">
        <v>798</v>
      </c>
    </row>
    <row r="139">
      <c r="A139" s="16" t="s">
        <v>690</v>
      </c>
      <c r="B139" s="16" t="s">
        <v>126</v>
      </c>
      <c r="C139" s="16" t="s">
        <v>753</v>
      </c>
      <c r="D139" s="16" t="s">
        <v>798</v>
      </c>
    </row>
    <row r="140">
      <c r="A140" s="16" t="s">
        <v>691</v>
      </c>
      <c r="B140" s="16" t="s">
        <v>125</v>
      </c>
      <c r="C140" s="16" t="s">
        <v>753</v>
      </c>
      <c r="D140" s="16" t="s">
        <v>798</v>
      </c>
    </row>
    <row r="141">
      <c r="A141" s="16" t="s">
        <v>692</v>
      </c>
      <c r="B141" s="16" t="s">
        <v>136</v>
      </c>
      <c r="C141" s="16" t="s">
        <v>753</v>
      </c>
      <c r="D141" s="16" t="s">
        <v>798</v>
      </c>
    </row>
    <row r="142">
      <c r="A142" s="16" t="s">
        <v>693</v>
      </c>
      <c r="B142" s="16" t="s">
        <v>163</v>
      </c>
      <c r="C142" s="16" t="s">
        <v>753</v>
      </c>
      <c r="D142" s="16" t="s">
        <v>796</v>
      </c>
    </row>
    <row r="143">
      <c r="A143" s="16" t="s">
        <v>694</v>
      </c>
      <c r="B143" s="16" t="s">
        <v>138</v>
      </c>
      <c r="C143" s="16" t="s">
        <v>753</v>
      </c>
      <c r="D143" s="16" t="s">
        <v>799</v>
      </c>
    </row>
    <row r="144">
      <c r="A144" s="16" t="s">
        <v>695</v>
      </c>
      <c r="B144" s="16" t="s">
        <v>207</v>
      </c>
      <c r="C144" s="16" t="s">
        <v>753</v>
      </c>
      <c r="D144" s="17" t="s">
        <v>799</v>
      </c>
    </row>
    <row r="145">
      <c r="A145" s="16" t="s">
        <v>696</v>
      </c>
      <c r="B145" s="16" t="s">
        <v>208</v>
      </c>
      <c r="C145" s="16" t="s">
        <v>753</v>
      </c>
      <c r="D145" s="16" t="s">
        <v>800</v>
      </c>
    </row>
    <row r="146">
      <c r="A146" s="16" t="s">
        <v>697</v>
      </c>
      <c r="B146" s="16" t="s">
        <v>211</v>
      </c>
      <c r="C146" s="16" t="s">
        <v>753</v>
      </c>
      <c r="D146" s="16" t="s">
        <v>800</v>
      </c>
    </row>
    <row r="147">
      <c r="A147" s="16" t="s">
        <v>698</v>
      </c>
      <c r="B147" s="16" t="s">
        <v>210</v>
      </c>
      <c r="C147" s="16" t="s">
        <v>753</v>
      </c>
      <c r="D147" s="16" t="s">
        <v>800</v>
      </c>
    </row>
    <row r="148">
      <c r="A148" s="16" t="s">
        <v>699</v>
      </c>
      <c r="B148" s="16" t="s">
        <v>209</v>
      </c>
      <c r="C148" s="16" t="s">
        <v>753</v>
      </c>
      <c r="D148" s="16" t="s">
        <v>800</v>
      </c>
    </row>
    <row r="149">
      <c r="A149" s="16" t="s">
        <v>700</v>
      </c>
      <c r="B149" s="16" t="s">
        <v>206</v>
      </c>
      <c r="C149" s="16" t="s">
        <v>753</v>
      </c>
      <c r="D149" s="16" t="s">
        <v>800</v>
      </c>
    </row>
    <row r="150">
      <c r="A150" s="16" t="s">
        <v>701</v>
      </c>
      <c r="B150" s="16" t="s">
        <v>205</v>
      </c>
      <c r="C150" s="16" t="s">
        <v>753</v>
      </c>
      <c r="D150" s="16" t="s">
        <v>800</v>
      </c>
    </row>
    <row r="151">
      <c r="A151" s="16" t="s">
        <v>702</v>
      </c>
      <c r="B151" s="16" t="s">
        <v>235</v>
      </c>
      <c r="C151" s="16" t="s">
        <v>801</v>
      </c>
      <c r="D151" s="16" t="s">
        <v>794</v>
      </c>
    </row>
    <row r="152">
      <c r="A152" s="16" t="s">
        <v>703</v>
      </c>
      <c r="B152" s="16" t="s">
        <v>194</v>
      </c>
      <c r="C152" s="16" t="s">
        <v>802</v>
      </c>
      <c r="D152" s="16" t="s">
        <v>794</v>
      </c>
    </row>
    <row r="153">
      <c r="A153" s="16" t="s">
        <v>704</v>
      </c>
      <c r="B153" s="16" t="s">
        <v>193</v>
      </c>
      <c r="C153" s="16" t="s">
        <v>803</v>
      </c>
      <c r="D153" s="16" t="s">
        <v>794</v>
      </c>
    </row>
    <row r="154">
      <c r="A154" s="16" t="s">
        <v>705</v>
      </c>
      <c r="B154" s="16" t="s">
        <v>232</v>
      </c>
      <c r="C154" s="16" t="s">
        <v>804</v>
      </c>
      <c r="D154" s="16" t="s">
        <v>794</v>
      </c>
    </row>
    <row r="155">
      <c r="A155" s="16" t="s">
        <v>706</v>
      </c>
      <c r="B155" s="16" t="s">
        <v>113</v>
      </c>
      <c r="C155" s="16" t="s">
        <v>805</v>
      </c>
      <c r="D155" s="16" t="s">
        <v>794</v>
      </c>
    </row>
    <row r="156">
      <c r="A156" s="16" t="s">
        <v>707</v>
      </c>
      <c r="B156" s="16" t="s">
        <v>111</v>
      </c>
      <c r="C156" s="16" t="s">
        <v>805</v>
      </c>
      <c r="D156" s="16" t="s">
        <v>794</v>
      </c>
    </row>
    <row r="157">
      <c r="A157" s="16" t="s">
        <v>708</v>
      </c>
      <c r="B157" s="16" t="s">
        <v>212</v>
      </c>
      <c r="C157" s="16" t="s">
        <v>806</v>
      </c>
      <c r="D157" s="16" t="s">
        <v>794</v>
      </c>
    </row>
    <row r="158">
      <c r="A158" s="16" t="s">
        <v>709</v>
      </c>
      <c r="B158" s="16" t="s">
        <v>168</v>
      </c>
      <c r="C158" s="16" t="s">
        <v>753</v>
      </c>
      <c r="D158" s="16" t="s">
        <v>794</v>
      </c>
    </row>
    <row r="159">
      <c r="A159" s="16" t="s">
        <v>710</v>
      </c>
      <c r="B159" s="16" t="s">
        <v>171</v>
      </c>
      <c r="C159" s="16" t="s">
        <v>753</v>
      </c>
      <c r="D159" s="16" t="s">
        <v>794</v>
      </c>
    </row>
    <row r="160">
      <c r="A160" s="16" t="s">
        <v>711</v>
      </c>
      <c r="B160" s="16" t="s">
        <v>174</v>
      </c>
      <c r="C160" s="16" t="s">
        <v>753</v>
      </c>
      <c r="D160" s="16" t="s">
        <v>794</v>
      </c>
    </row>
    <row r="161">
      <c r="A161" s="16" t="s">
        <v>712</v>
      </c>
      <c r="B161" s="16" t="s">
        <v>173</v>
      </c>
      <c r="C161" s="16" t="s">
        <v>753</v>
      </c>
      <c r="D161" s="16" t="s">
        <v>794</v>
      </c>
    </row>
    <row r="162">
      <c r="A162" s="16" t="s">
        <v>713</v>
      </c>
      <c r="B162" s="16" t="s">
        <v>172</v>
      </c>
      <c r="C162" s="16" t="s">
        <v>753</v>
      </c>
      <c r="D162" s="16" t="s">
        <v>794</v>
      </c>
    </row>
    <row r="163">
      <c r="A163" s="16" t="s">
        <v>714</v>
      </c>
      <c r="B163" s="16" t="s">
        <v>170</v>
      </c>
      <c r="C163" s="16" t="s">
        <v>753</v>
      </c>
      <c r="D163" s="16" t="s">
        <v>794</v>
      </c>
    </row>
    <row r="164">
      <c r="A164" s="16" t="s">
        <v>715</v>
      </c>
      <c r="B164" s="16" t="s">
        <v>169</v>
      </c>
      <c r="C164" s="16" t="s">
        <v>753</v>
      </c>
      <c r="D164" s="16" t="s">
        <v>794</v>
      </c>
    </row>
    <row r="165">
      <c r="A165" s="16" t="s">
        <v>716</v>
      </c>
      <c r="B165" s="16" t="s">
        <v>167</v>
      </c>
      <c r="C165" s="16" t="s">
        <v>753</v>
      </c>
      <c r="D165" s="16" t="s">
        <v>794</v>
      </c>
    </row>
    <row r="166">
      <c r="A166" s="16" t="s">
        <v>717</v>
      </c>
      <c r="B166" s="16" t="s">
        <v>175</v>
      </c>
      <c r="C166" s="16" t="s">
        <v>753</v>
      </c>
      <c r="D166" s="16" t="s">
        <v>794</v>
      </c>
    </row>
    <row r="167">
      <c r="A167" s="16" t="s">
        <v>718</v>
      </c>
      <c r="B167" s="16" t="s">
        <v>176</v>
      </c>
      <c r="C167" s="16" t="s">
        <v>753</v>
      </c>
      <c r="D167" s="16" t="s">
        <v>794</v>
      </c>
    </row>
    <row r="168">
      <c r="A168" s="16" t="s">
        <v>719</v>
      </c>
      <c r="B168" s="16" t="s">
        <v>166</v>
      </c>
      <c r="C168" s="16" t="s">
        <v>753</v>
      </c>
      <c r="D168" s="16" t="s">
        <v>794</v>
      </c>
    </row>
    <row r="169">
      <c r="A169" s="16" t="s">
        <v>720</v>
      </c>
      <c r="B169" s="16" t="s">
        <v>165</v>
      </c>
      <c r="C169" s="16" t="s">
        <v>753</v>
      </c>
      <c r="D169" s="16" t="s">
        <v>794</v>
      </c>
    </row>
    <row r="170">
      <c r="A170" s="16" t="s">
        <v>721</v>
      </c>
      <c r="B170" s="16" t="s">
        <v>164</v>
      </c>
      <c r="C170" s="16" t="s">
        <v>753</v>
      </c>
      <c r="D170" s="16" t="s">
        <v>794</v>
      </c>
    </row>
    <row r="171">
      <c r="A171" s="16" t="s">
        <v>722</v>
      </c>
      <c r="B171" s="16" t="s">
        <v>119</v>
      </c>
      <c r="C171" s="16" t="s">
        <v>805</v>
      </c>
      <c r="D171" s="16" t="s">
        <v>794</v>
      </c>
    </row>
    <row r="172">
      <c r="A172" s="16" t="s">
        <v>723</v>
      </c>
      <c r="B172" s="16" t="s">
        <v>186</v>
      </c>
      <c r="C172" s="16" t="s">
        <v>753</v>
      </c>
      <c r="D172" s="16" t="s">
        <v>794</v>
      </c>
    </row>
    <row r="173">
      <c r="A173" s="16" t="s">
        <v>724</v>
      </c>
      <c r="B173" s="16" t="s">
        <v>188</v>
      </c>
      <c r="C173" s="16" t="s">
        <v>753</v>
      </c>
      <c r="D173" s="16" t="s">
        <v>794</v>
      </c>
    </row>
    <row r="174">
      <c r="A174" s="16" t="s">
        <v>725</v>
      </c>
      <c r="B174" s="16" t="s">
        <v>190</v>
      </c>
      <c r="C174" s="16" t="s">
        <v>753</v>
      </c>
      <c r="D174" s="16" t="s">
        <v>794</v>
      </c>
    </row>
    <row r="175">
      <c r="A175" s="16" t="s">
        <v>726</v>
      </c>
      <c r="B175" s="16" t="s">
        <v>189</v>
      </c>
      <c r="C175" s="16" t="s">
        <v>753</v>
      </c>
      <c r="D175" s="16" t="s">
        <v>794</v>
      </c>
    </row>
    <row r="176">
      <c r="A176" s="16" t="s">
        <v>727</v>
      </c>
      <c r="B176" s="16" t="s">
        <v>187</v>
      </c>
      <c r="C176" s="16" t="s">
        <v>753</v>
      </c>
      <c r="D176" s="16" t="s">
        <v>794</v>
      </c>
    </row>
    <row r="177">
      <c r="A177" s="16" t="s">
        <v>729</v>
      </c>
      <c r="B177" s="16" t="s">
        <v>161</v>
      </c>
      <c r="C177" s="16" t="s">
        <v>753</v>
      </c>
      <c r="D177" s="17" t="s">
        <v>799</v>
      </c>
    </row>
    <row r="178">
      <c r="A178" s="16" t="s">
        <v>731</v>
      </c>
      <c r="B178" s="16" t="s">
        <v>137</v>
      </c>
      <c r="C178" s="16" t="s">
        <v>753</v>
      </c>
      <c r="D178" s="16" t="s">
        <v>807</v>
      </c>
    </row>
    <row r="179">
      <c r="A179" s="16" t="s">
        <v>733</v>
      </c>
      <c r="B179" s="16" t="s">
        <v>215</v>
      </c>
      <c r="C179" s="16" t="s">
        <v>808</v>
      </c>
      <c r="D179" s="16" t="s">
        <v>807</v>
      </c>
    </row>
    <row r="180">
      <c r="A180" s="16" t="s">
        <v>734</v>
      </c>
      <c r="B180" s="16" t="s">
        <v>140</v>
      </c>
      <c r="C180" s="16" t="s">
        <v>753</v>
      </c>
      <c r="D180" s="17" t="s">
        <v>799</v>
      </c>
    </row>
    <row r="181">
      <c r="A181" s="16" t="s">
        <v>735</v>
      </c>
      <c r="B181" s="16" t="s">
        <v>220</v>
      </c>
      <c r="C181" s="16" t="s">
        <v>753</v>
      </c>
      <c r="D181" s="17" t="s">
        <v>799</v>
      </c>
    </row>
    <row r="182">
      <c r="A182" s="16" t="s">
        <v>736</v>
      </c>
      <c r="B182" s="16" t="s">
        <v>225</v>
      </c>
      <c r="C182" s="16" t="s">
        <v>753</v>
      </c>
      <c r="D182" s="17" t="s">
        <v>799</v>
      </c>
    </row>
    <row r="183">
      <c r="A183" s="16" t="s">
        <v>737</v>
      </c>
      <c r="B183" s="16" t="s">
        <v>135</v>
      </c>
      <c r="C183" s="16" t="s">
        <v>753</v>
      </c>
      <c r="D183" s="16" t="s">
        <v>807</v>
      </c>
    </row>
    <row r="184">
      <c r="A184" s="16" t="s">
        <v>738</v>
      </c>
      <c r="B184" s="16" t="s">
        <v>223</v>
      </c>
      <c r="C184" s="16" t="s">
        <v>809</v>
      </c>
      <c r="D184" s="16" t="s">
        <v>807</v>
      </c>
    </row>
    <row r="185">
      <c r="A185" s="16" t="s">
        <v>739</v>
      </c>
      <c r="B185" s="16" t="s">
        <v>180</v>
      </c>
      <c r="C185" s="16" t="s">
        <v>810</v>
      </c>
      <c r="D185" s="16" t="s">
        <v>807</v>
      </c>
    </row>
    <row r="186">
      <c r="A186" s="16" t="s">
        <v>740</v>
      </c>
      <c r="B186" s="16" t="s">
        <v>214</v>
      </c>
      <c r="C186" s="16" t="s">
        <v>811</v>
      </c>
      <c r="D186" s="16" t="s">
        <v>800</v>
      </c>
    </row>
    <row r="187">
      <c r="A187" s="16" t="s">
        <v>741</v>
      </c>
      <c r="B187" s="16" t="s">
        <v>213</v>
      </c>
      <c r="C187" s="16" t="s">
        <v>811</v>
      </c>
      <c r="D187" s="16" t="s">
        <v>800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tr">
        <f>IFERROR(__xludf.DUMMYFUNCTION("unique(DATOS!D1:D187)"),"Datos Básicos-General")</f>
        <v>Datos Básicos-General</v>
      </c>
    </row>
    <row r="2">
      <c r="A2" s="16" t="str">
        <f>IFERROR(__xludf.DUMMYFUNCTION("""COMPUTED_VALUE"""),"Familia-Estructura Familiar")</f>
        <v>Familia-Estructura Familiar</v>
      </c>
    </row>
    <row r="3">
      <c r="A3" s="16" t="str">
        <f>IFERROR(__xludf.DUMMYFUNCTION("""COMPUTED_VALUE"""),"Educación-General")</f>
        <v>Educación-General</v>
      </c>
    </row>
    <row r="4">
      <c r="A4" s="16" t="str">
        <f>IFERROR(__xludf.DUMMYFUNCTION("""COMPUTED_VALUE"""),"Educación-Rendimiento")</f>
        <v>Educación-Rendimiento</v>
      </c>
    </row>
    <row r="5">
      <c r="A5" s="16" t="str">
        <f>IFERROR(__xludf.DUMMYFUNCTION("""COMPUTED_VALUE"""),"Educación-Maltrato Escolar")</f>
        <v>Educación-Maltrato Escolar</v>
      </c>
    </row>
    <row r="6">
      <c r="A6" s="16" t="str">
        <f>IFERROR(__xludf.DUMMYFUNCTION("""COMPUTED_VALUE"""),"Educación-Educación Tecnológica")</f>
        <v>Educación-Educación Tecnológica</v>
      </c>
    </row>
    <row r="7">
      <c r="A7" s="16" t="str">
        <f>IFERROR(__xludf.DUMMYFUNCTION("""COMPUTED_VALUE"""),"Crianza-Cuidados")</f>
        <v>Crianza-Cuidados</v>
      </c>
    </row>
    <row r="8">
      <c r="A8" s="16" t="str">
        <f>IFERROR(__xludf.DUMMYFUNCTION("""COMPUTED_VALUE"""),"Crianza-Salud")</f>
        <v>Crianza-Salud</v>
      </c>
    </row>
    <row r="9">
      <c r="A9" s="16" t="str">
        <f>IFERROR(__xludf.DUMMYFUNCTION("""COMPUTED_VALUE"""),"Trabajo Infantil-General")</f>
        <v>Trabajo Infantil-General</v>
      </c>
    </row>
    <row r="10">
      <c r="A10" s="16" t="str">
        <f>IFERROR(__xludf.DUMMYFUNCTION("""COMPUTED_VALUE"""),"Tiempo Libre-General")</f>
        <v>Tiempo Libre-General</v>
      </c>
    </row>
    <row r="11">
      <c r="A11" s="16" t="str">
        <f>IFERROR(__xludf.DUMMYFUNCTION("""COMPUTED_VALUE"""),"Ámbitos protectores-Pares")</f>
        <v>Ámbitos protectores-Pares</v>
      </c>
    </row>
    <row r="12">
      <c r="A12" s="16" t="str">
        <f>IFERROR(__xludf.DUMMYFUNCTION("""COMPUTED_VALUE"""),"Ámbitos protectores-Comunidad")</f>
        <v>Ámbitos protectores-Comunidad</v>
      </c>
    </row>
    <row r="13">
      <c r="A13" s="16" t="str">
        <f>IFERROR(__xludf.DUMMYFUNCTION("""COMPUTED_VALUE"""),"Salud-Mental")</f>
        <v>Salud-Mental</v>
      </c>
    </row>
    <row r="14">
      <c r="A14" s="16" t="str">
        <f>IFERROR(__xludf.DUMMYFUNCTION("""COMPUTED_VALUE"""),"Salud-Sexual")</f>
        <v>Salud-Sexual</v>
      </c>
    </row>
    <row r="15">
      <c r="A15" s="16" t="str">
        <f>IFERROR(__xludf.DUMMYFUNCTION("""COMPUTED_VALUE"""),"Sospechas-General")</f>
        <v>Sospechas-General</v>
      </c>
    </row>
    <row r="16">
      <c r="A16" s="16" t="str">
        <f>IFERROR(__xludf.DUMMYFUNCTION("""COMPUTED_VALUE"""),"Salud-General")</f>
        <v>Salud-General</v>
      </c>
    </row>
    <row r="17">
      <c r="A17" s="16" t="str">
        <f>IFERROR(__xludf.DUMMYFUNCTION("""COMPUTED_VALUE"""),"Salud-Física")</f>
        <v>Salud-Física</v>
      </c>
    </row>
    <row r="18">
      <c r="A18" s="16" t="str">
        <f>IFERROR(__xludf.DUMMYFUNCTION("""COMPUTED_VALUE"""),"Salud-Nutrición")</f>
        <v>Salud-Nutrición</v>
      </c>
    </row>
    <row r="19">
      <c r="A19" s="16" t="str">
        <f>IFERROR(__xludf.DUMMYFUNCTION("""COMPUTED_VALUE"""),"Familia-Vivienda")</f>
        <v>Familia-Vivienda</v>
      </c>
    </row>
    <row r="20">
      <c r="A20" s="16" t="str">
        <f>IFERROR(__xludf.DUMMYFUNCTION("""COMPUTED_VALUE"""),"Familia-Contexto Familiar")</f>
        <v>Familia-Contexto Familiar</v>
      </c>
    </row>
    <row r="21">
      <c r="A21" s="16" t="str">
        <f>IFERROR(__xludf.DUMMYFUNCTION("""COMPUTED_VALUE"""),"Familia-Madre o Padre")</f>
        <v>Familia-Madre o Padre</v>
      </c>
    </row>
    <row r="22">
      <c r="A22" s="16" t="str">
        <f>IFERROR(__xludf.DUMMYFUNCTION("""COMPUTED_VALUE"""),"Familia-Salud Familiar")</f>
        <v>Familia-Salud Familiar</v>
      </c>
    </row>
    <row r="23">
      <c r="A23" s="16" t="str">
        <f>IFERROR(__xludf.DUMMYFUNCTION("""COMPUTED_VALUE"""),"Familia-Redes y Ayudas")</f>
        <v>Familia-Redes y Ayudas</v>
      </c>
    </row>
    <row r="24">
      <c r="A24" s="16" t="str">
        <f>IFERROR(__xludf.DUMMYFUNCTION("""COMPUTED_VALUE"""),"Familia-Capacidades")</f>
        <v>Familia-Capacidades</v>
      </c>
    </row>
    <row r="25">
      <c r="A25" s="16" t="str">
        <f>IFERROR(__xludf.DUMMYFUNCTION("""COMPUTED_VALUE"""),"Familia-Economía")</f>
        <v>Familia-Economía</v>
      </c>
    </row>
    <row r="30">
      <c r="A30" s="16" t="str">
        <f>join("', '",A1:A26)</f>
        <v>Datos Básicos-General', 'Familia-Estructura Familiar', 'Educación-General', 'Educación-Rendimiento', 'Educación-Maltrato Escolar', 'Educación-Educación Tecnológica', 'Crianza-Cuidados', 'Crianza-Salud', 'Trabajo Infantil-General', 'Tiempo Libre-General', 'Ámbitos protectores-Pares', 'Ámbitos protectores-Comunidad', 'Salud-Mental', 'Salud-Sexual', 'Sospechas-General', 'Salud-General', 'Salud-Física', 'Salud-Nutrición', 'Familia-Vivienda', 'Familia-Contexto Familiar', 'Familia-Madre o Padre', 'Familia-Salud Familiar', 'Familia-Redes y Ayudas', 'Familia-Capacidades', 'Familia-Economía', '</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tr">
        <f>IFERROR(__xludf.DUMMYFUNCTION("IMPORTRANGE(""https://docs.google.com/spreadsheets/d/1FYVlxGM-gYXe-QaL0HOSFmUpogUrsx0e6DntOW4RH1o/edit#gid=2017480677"",""Preguntas!E2:E"")"),"¿Formás parte de algún grupo, club, comunidad, circulo social, deportivo, religioso, cultural o de ayuda social?")</f>
        <v>¿Formás parte de algún grupo, club, comunidad, circulo social, deportivo, religioso, cultural o de ayuda social?</v>
      </c>
    </row>
    <row r="2">
      <c r="A2" s="16" t="str">
        <f>IFERROR(__xludf.DUMMYFUNCTION("""COMPUTED_VALUE"""),"Si la respuesta es SI, ¿De que tipo?")</f>
        <v>Si la respuesta es SI, ¿De que tipo?</v>
      </c>
    </row>
    <row r="3">
      <c r="A3" s="16" t="str">
        <f>IFERROR(__xludf.DUMMYFUNCTION("""COMPUTED_VALUE"""),"¿Tenes amigos?")</f>
        <v>¿Tenes amigos?</v>
      </c>
    </row>
    <row r="4">
      <c r="A4" s="16" t="str">
        <f>IFERROR(__xludf.DUMMYFUNCTION("""COMPUTED_VALUE"""),"¿En cual de los siguientes ámbitos te sentís MAS seguro? ")</f>
        <v>¿En cual de los siguientes ámbitos te sentís MAS seguro? </v>
      </c>
    </row>
    <row r="5">
      <c r="A5" s="16" t="str">
        <f>IFERROR(__xludf.DUMMYFUNCTION("""COMPUTED_VALUE"""),"¿En cual de los siguientes ámbitos te sentís MENOS seguro?")</f>
        <v>¿En cual de los siguientes ámbitos te sentís MENOS seguro?</v>
      </c>
    </row>
    <row r="6">
      <c r="A6" s="16" t="str">
        <f>IFERROR(__xludf.DUMMYFUNCTION("""COMPUTED_VALUE"""),"¿Tenes amigos que consumen regularmente alcohol?")</f>
        <v>¿Tenes amigos que consumen regularmente alcohol?</v>
      </c>
    </row>
    <row r="7">
      <c r="A7" s="16" t="str">
        <f>IFERROR(__xludf.DUMMYFUNCTION("""COMPUTED_VALUE"""),"¿Tenes amigos que consumen regularmente drogas?")</f>
        <v>¿Tenes amigos que consumen regularmente drogas?</v>
      </c>
    </row>
    <row r="8">
      <c r="A8" s="16" t="str">
        <f>IFERROR(__xludf.DUMMYFUNCTION("""COMPUTED_VALUE"""),"¿Consumiste alguna vez alcohol?")</f>
        <v>¿Consumiste alguna vez alcohol?</v>
      </c>
    </row>
    <row r="9">
      <c r="A9" s="16" t="str">
        <f>IFERROR(__xludf.DUMMYFUNCTION("""COMPUTED_VALUE"""),"Si contesto si la anterior: ¿Consumis regularmente alcohol?")</f>
        <v>Si contesto si la anterior: ¿Consumis regularmente alcohol?</v>
      </c>
    </row>
    <row r="10">
      <c r="A10" s="16" t="str">
        <f>IFERROR(__xludf.DUMMYFUNCTION("""COMPUTED_VALUE"""),"¿Consumiste alguna vez drogas?")</f>
        <v>¿Consumiste alguna vez drogas?</v>
      </c>
    </row>
    <row r="11">
      <c r="A11" s="16" t="str">
        <f>IFERROR(__xludf.DUMMYFUNCTION("""COMPUTED_VALUE"""),"Si contesto si la anterior:  ¿Consumis regularmente drogas?")</f>
        <v>Si contesto si la anterior:  ¿Consumis regularmente drogas?</v>
      </c>
    </row>
    <row r="12">
      <c r="A12" s="16" t="str">
        <f>IFERROR(__xludf.DUMMYFUNCTION("""COMPUTED_VALUE"""),"¿Participaste de alguna pelea en el último tiempo?")</f>
        <v>¿Participaste de alguna pelea en el último tiempo?</v>
      </c>
    </row>
    <row r="13">
      <c r="A13" s="16" t="str">
        <f>IFERROR(__xludf.DUMMYFUNCTION("""COMPUTED_VALUE"""),"¿Fuiste amenazado por alguien el último tiempo?")</f>
        <v>¿Fuiste amenazado por alguien el último tiempo?</v>
      </c>
    </row>
    <row r="14">
      <c r="A14" s="16" t="str">
        <f>IFERROR(__xludf.DUMMYFUNCTION("""COMPUTED_VALUE"""),"¿Fuiste asaltado el último tiempo?")</f>
        <v>¿Fuiste asaltado el último tiempo?</v>
      </c>
    </row>
    <row r="15">
      <c r="A15" s="16" t="str">
        <f>IFERROR(__xludf.DUMMYFUNCTION("""COMPUTED_VALUE"""),"¿Viajaste en un vehículo conducido por un menor el último tiempo?")</f>
        <v>¿Viajaste en un vehículo conducido por un menor el último tiempo?</v>
      </c>
    </row>
    <row r="16">
      <c r="A16" s="16" t="str">
        <f>IFERROR(__xludf.DUMMYFUNCTION("""COMPUTED_VALUE"""),"Cuando salís de la Escuela, tus padres, ¿saben dónde estas?")</f>
        <v>Cuando salís de la Escuela, tus padres, ¿saben dónde estas?</v>
      </c>
    </row>
    <row r="17">
      <c r="A17" s="16" t="str">
        <f>IFERROR(__xludf.DUMMYFUNCTION("""COMPUTED_VALUE"""),"¿Se puso en conocimiento a los adultos que se le realizará  una encuesta sobre diferentes dimensiones del desarrollo al niño y se hizo firmar autrización?")</f>
        <v>¿Se puso en conocimiento a los adultos que se le realizará  una encuesta sobre diferentes dimensiones del desarrollo al niño y se hizo firmar autrización?</v>
      </c>
    </row>
    <row r="18">
      <c r="A18" s="16" t="str">
        <f>IFERROR(__xludf.DUMMYFUNCTION("""COMPUTED_VALUE"""),"Observaciones")</f>
        <v>Observaciones</v>
      </c>
    </row>
    <row r="19">
      <c r="A19" s="16" t="str">
        <f>IFERROR(__xludf.DUMMYFUNCTION("""COMPUTED_VALUE"""),"Aqui finaliza la Entrevista al Adulto ¿Que desea hacer?")</f>
        <v>Aqui finaliza la Entrevista al Adulto ¿Que desea hacer?</v>
      </c>
    </row>
    <row r="20">
      <c r="A20" s="16" t="str">
        <f>IFERROR(__xludf.DUMMYFUNCTION("""COMPUTED_VALUE"""),"¿Hay algún adulto que te cuida durante la mayor parte del día?")</f>
        <v>¿Hay algún adulto que te cuida durante la mayor parte del día?</v>
      </c>
    </row>
    <row r="21">
      <c r="A21" s="16" t="str">
        <f>IFERROR(__xludf.DUMMYFUNCTION("""COMPUTED_VALUE"""),"Cuando estas fuera de tu hogar, ¿tus padres saben donde estas?")</f>
        <v>Cuando estas fuera de tu hogar, ¿tus padres saben donde estas?</v>
      </c>
    </row>
    <row r="22">
      <c r="A22" s="16" t="str">
        <f>IFERROR(__xludf.DUMMYFUNCTION("""COMPUTED_VALUE"""),"En una semana normal, ¿Cada cuanto se sientan a comer juntos vos y alguno de tus padres?")</f>
        <v>En una semana normal, ¿Cada cuanto se sientan a comer juntos vos y alguno de tus padres?</v>
      </c>
    </row>
    <row r="23">
      <c r="A23" s="16" t="str">
        <f>IFERROR(__xludf.DUMMYFUNCTION("""COMPUTED_VALUE"""),"En tu hogar, ¿tenes cama propia o compartis  con alguien?")</f>
        <v>En tu hogar, ¿tenes cama propia o compartis  con alguien?</v>
      </c>
    </row>
    <row r="24">
      <c r="A24" s="16" t="str">
        <f>IFERROR(__xludf.DUMMYFUNCTION("""COMPUTED_VALUE"""),"¿Compartís tiempo con tus padres? (o cuidadores) actividades, juegos, charlas, etc...")</f>
        <v>¿Compartís tiempo con tus padres? (o cuidadores) actividades, juegos, charlas, etc...</v>
      </c>
    </row>
    <row r="25">
      <c r="A25" s="16" t="str">
        <f>IFERROR(__xludf.DUMMYFUNCTION("""COMPUTED_VALUE"""),"Del 1 al 5 ¿Cuan escuchado te sentís por los adultos cuando necesitas hablar de algo importante?")</f>
        <v>Del 1 al 5 ¿Cuan escuchado te sentís por los adultos cuando necesitas hablar de algo importante?</v>
      </c>
    </row>
    <row r="26">
      <c r="A26" s="16" t="str">
        <f>IFERROR(__xludf.DUMMYFUNCTION("""COMPUTED_VALUE"""),"En un día normal, ¿Que comidas soles comer?")</f>
        <v>En un día normal, ¿Que comidas soles comer?</v>
      </c>
    </row>
    <row r="27">
      <c r="A27" s="16" t="str">
        <f>IFERROR(__xludf.DUMMYFUNCTION("""COMPUTED_VALUE"""),"Cuando estas enfermo, ¿solés ir al doctor?")</f>
        <v>Cuando estas enfermo, ¿solés ir al doctor?</v>
      </c>
    </row>
    <row r="28">
      <c r="A28" s="16" t="str">
        <f>IFERROR(__xludf.DUMMYFUNCTION("""COMPUTED_VALUE"""),"¿Cuando fuiste al médico por última vez?")</f>
        <v>¿Cuando fuiste al médico por última vez?</v>
      </c>
    </row>
    <row r="29">
      <c r="A29" s="16" t="str">
        <f>IFERROR(__xludf.DUMMYFUNCTION("""COMPUTED_VALUE"""),"Marca temporal")</f>
        <v>Marca temporal</v>
      </c>
    </row>
    <row r="30">
      <c r="A30" s="16" t="str">
        <f>IFERROR(__xludf.DUMMYFUNCTION("""COMPUTED_VALUE"""),"Nombre y Apellido Entrevistador")</f>
        <v>Nombre y Apellido Entrevistador</v>
      </c>
    </row>
    <row r="31">
      <c r="A31" s="16" t="str">
        <f>IFERROR(__xludf.DUMMYFUNCTION("""COMPUTED_VALUE"""),"Sección")</f>
        <v>Sección</v>
      </c>
    </row>
    <row r="32">
      <c r="A32" s="16" t="str">
        <f>IFERROR(__xludf.DUMMYFUNCTION("""COMPUTED_VALUE"""),"¿Cuantos hijos tiene inscripto en algún programa de 0.18?")</f>
        <v>¿Cuantos hijos tiene inscripto en algún programa de 0.18?</v>
      </c>
    </row>
    <row r="33">
      <c r="A33" s="16" t="str">
        <f>IFERROR(__xludf.DUMMYFUNCTION("""COMPUTED_VALUE"""),"Apellido:")</f>
        <v>Apellido:</v>
      </c>
    </row>
    <row r="34">
      <c r="A34" s="16" t="str">
        <f>IFERROR(__xludf.DUMMYFUNCTION("""COMPUTED_VALUE"""),"Nombre:")</f>
        <v>Nombre:</v>
      </c>
    </row>
    <row r="35">
      <c r="A35" s="16" t="str">
        <f>IFERROR(__xludf.DUMMYFUNCTION("""COMPUTED_VALUE"""),"DNI (Sin puntos ni espacios):")</f>
        <v>DNI (Sin puntos ni espacios):</v>
      </c>
    </row>
    <row r="36">
      <c r="A36" s="16" t="str">
        <f>IFERROR(__xludf.DUMMYFUNCTION("""COMPUTED_VALUE"""),"CUIT Madre o Cuidador Principal")</f>
        <v>CUIT Madre o Cuidador Principal</v>
      </c>
    </row>
    <row r="37">
      <c r="A37" s="16" t="str">
        <f>IFERROR(__xludf.DUMMYFUNCTION("""COMPUTED_VALUE"""),"Sexo")</f>
        <v>Sexo</v>
      </c>
    </row>
    <row r="38">
      <c r="A38" s="16" t="str">
        <f>IFERROR(__xludf.DUMMYFUNCTION("""COMPUTED_VALUE"""),"Relación con el niño")</f>
        <v>Relación con el niño</v>
      </c>
    </row>
    <row r="39">
      <c r="A39" s="16" t="str">
        <f>IFERROR(__xludf.DUMMYFUNCTION("""COMPUTED_VALUE"""),"Fecha de Nacimiento:")</f>
        <v>Fecha de Nacimiento:</v>
      </c>
    </row>
    <row r="40">
      <c r="A40" s="16" t="str">
        <f>IFERROR(__xludf.DUMMYFUNCTION("""COMPUTED_VALUE"""),"Nacionalidad")</f>
        <v>Nacionalidad</v>
      </c>
    </row>
    <row r="41">
      <c r="A41" s="16" t="str">
        <f>IFERROR(__xludf.DUMMYFUNCTION("""COMPUTED_VALUE"""),"Teléfono (sin puntos ni espacios):")</f>
        <v>Teléfono (sin puntos ni espacios):</v>
      </c>
    </row>
    <row r="42">
      <c r="A42" s="16" t="str">
        <f>IFERROR(__xludf.DUMMYFUNCTION("""COMPUTED_VALUE"""),"Domicilio:")</f>
        <v>Domicilio:</v>
      </c>
    </row>
    <row r="43">
      <c r="A43" s="16" t="str">
        <f>IFERROR(__xludf.DUMMYFUNCTION("""COMPUTED_VALUE"""),"Barrio:")</f>
        <v>Barrio:</v>
      </c>
    </row>
    <row r="44">
      <c r="A44" s="16" t="str">
        <f>IFERROR(__xludf.DUMMYFUNCTION("""COMPUTED_VALUE"""),"Apellido:")</f>
        <v>Apellido:</v>
      </c>
    </row>
    <row r="45">
      <c r="A45" s="16" t="str">
        <f>IFERROR(__xludf.DUMMYFUNCTION("""COMPUTED_VALUE"""),"Nombre")</f>
        <v>Nombre</v>
      </c>
    </row>
    <row r="46">
      <c r="A46" s="16" t="str">
        <f>IFERROR(__xludf.DUMMYFUNCTION("""COMPUTED_VALUE"""),"DNI (Sin puntos ni espacios):")</f>
        <v>DNI (Sin puntos ni espacios):</v>
      </c>
    </row>
    <row r="47">
      <c r="A47" s="16" t="str">
        <f>IFERROR(__xludf.DUMMYFUNCTION("""COMPUTED_VALUE"""),"Teléfono (sin puntos ni espacios):")</f>
        <v>Teléfono (sin puntos ni espacios):</v>
      </c>
    </row>
    <row r="48">
      <c r="A48" s="16" t="str">
        <f>IFERROR(__xludf.DUMMYFUNCTION("""COMPUTED_VALUE"""),"Sexo")</f>
        <v>Sexo</v>
      </c>
    </row>
    <row r="49">
      <c r="A49" s="16" t="str">
        <f>IFERROR(__xludf.DUMMYFUNCTION("""COMPUTED_VALUE"""),"Relación con el niño")</f>
        <v>Relación con el niño</v>
      </c>
    </row>
    <row r="50">
      <c r="A50" s="16" t="str">
        <f>IFERROR(__xludf.DUMMYFUNCTION("""COMPUTED_VALUE"""),"Fecha de Nacimiento")</f>
        <v>Fecha de Nacimiento</v>
      </c>
    </row>
    <row r="51">
      <c r="A51" s="16" t="str">
        <f>IFERROR(__xludf.DUMMYFUNCTION("""COMPUTED_VALUE"""),"Apellido del niño ")</f>
        <v>Apellido del niño </v>
      </c>
    </row>
    <row r="52">
      <c r="A52" s="16" t="str">
        <f>IFERROR(__xludf.DUMMYFUNCTION("""COMPUTED_VALUE"""),"Nombre del niño")</f>
        <v>Nombre del niño</v>
      </c>
    </row>
    <row r="53">
      <c r="A53" s="16" t="str">
        <f>IFERROR(__xludf.DUMMYFUNCTION("""COMPUTED_VALUE"""),"DNI del niño (sin puntos ni espacios)")</f>
        <v>DNI del niño (sin puntos ni espacios)</v>
      </c>
    </row>
    <row r="54">
      <c r="A54" s="16" t="str">
        <f>IFERROR(__xludf.DUMMYFUNCTION("""COMPUTED_VALUE"""),"Sexo")</f>
        <v>Sexo</v>
      </c>
    </row>
    <row r="55">
      <c r="A55" s="16" t="str">
        <f>IFERROR(__xludf.DUMMYFUNCTION("""COMPUTED_VALUE"""),"DNI Madre, Padre  o Cuidador Principal")</f>
        <v>DNI Madre, Padre  o Cuidador Principal</v>
      </c>
    </row>
    <row r="56">
      <c r="A56" s="16" t="str">
        <f>IFERROR(__xludf.DUMMYFUNCTION("""COMPUTED_VALUE"""),"Apellido")</f>
        <v>Apellido</v>
      </c>
    </row>
    <row r="57">
      <c r="A57" s="16" t="str">
        <f>IFERROR(__xludf.DUMMYFUNCTION("""COMPUTED_VALUE"""),"Nombre")</f>
        <v>Nombre</v>
      </c>
    </row>
    <row r="58">
      <c r="A58" s="16" t="str">
        <f>IFERROR(__xludf.DUMMYFUNCTION("""COMPUTED_VALUE"""),"Apodo")</f>
        <v>Apodo</v>
      </c>
    </row>
    <row r="59">
      <c r="A59" s="16" t="str">
        <f>IFERROR(__xludf.DUMMYFUNCTION("""COMPUTED_VALUE"""),"Sexo")</f>
        <v>Sexo</v>
      </c>
    </row>
    <row r="60">
      <c r="A60" s="16" t="str">
        <f>IFERROR(__xludf.DUMMYFUNCTION("""COMPUTED_VALUE"""),"DNI")</f>
        <v>DNI</v>
      </c>
    </row>
    <row r="61">
      <c r="A61" s="16" t="str">
        <f>IFERROR(__xludf.DUMMYFUNCTION("""COMPUTED_VALUE"""),"Nº DNI (sin puntos ni espacios)")</f>
        <v>Nº DNI (sin puntos ni espacios)</v>
      </c>
    </row>
    <row r="62">
      <c r="A62" s="16" t="str">
        <f>IFERROR(__xludf.DUMMYFUNCTION("""COMPUTED_VALUE"""),"Edad")</f>
        <v>Edad</v>
      </c>
    </row>
    <row r="63">
      <c r="A63" s="16" t="str">
        <f>IFERROR(__xludf.DUMMYFUNCTION("""COMPUTED_VALUE"""),"Domicilio:")</f>
        <v>Domicilio:</v>
      </c>
    </row>
    <row r="64">
      <c r="A64" s="16" t="str">
        <f>IFERROR(__xludf.DUMMYFUNCTION("""COMPUTED_VALUE"""),"Barrio:")</f>
        <v>Barrio:</v>
      </c>
    </row>
    <row r="65">
      <c r="A65" s="16" t="str">
        <f>IFERROR(__xludf.DUMMYFUNCTION("""COMPUTED_VALUE"""),"Fecha de Nacimiento")</f>
        <v>Fecha de Nacimiento</v>
      </c>
    </row>
    <row r="66">
      <c r="A66" s="16" t="str">
        <f>IFERROR(__xludf.DUMMYFUNCTION("""COMPUTED_VALUE"""),"Lugar de Nacimiento")</f>
        <v>Lugar de Nacimiento</v>
      </c>
    </row>
    <row r="67">
      <c r="A67" s="16" t="str">
        <f>IFERROR(__xludf.DUMMYFUNCTION("""COMPUTED_VALUE"""),"Nacionalidad")</f>
        <v>Nacionalidad</v>
      </c>
    </row>
    <row r="68">
      <c r="A68" s="16" t="str">
        <f>IFERROR(__xludf.DUMMYFUNCTION("""COMPUTED_VALUE"""),"Relación con el Jefe/a de Hogar")</f>
        <v>Relación con el Jefe/a de Hogar</v>
      </c>
    </row>
    <row r="69">
      <c r="A69" s="16" t="str">
        <f>IFERROR(__xludf.DUMMYFUNCTION("""COMPUTED_VALUE"""),"Actividades a las que asiste")</f>
        <v>Actividades a las que asiste</v>
      </c>
    </row>
    <row r="70">
      <c r="A70" s="16" t="str">
        <f>IFERROR(__xludf.DUMMYFUNCTION("""COMPUTED_VALUE"""),"Sede en la que desarrolla las actividades")</f>
        <v>Sede en la que desarrolla las actividades</v>
      </c>
    </row>
    <row r="71">
      <c r="A71" s="16" t="str">
        <f>IFERROR(__xludf.DUMMYFUNCTION("""COMPUTED_VALUE"""),"Si está inscripto a actividades deportivas, especificar cuales")</f>
        <v>Si está inscripto a actividades deportivas, especificar cuales</v>
      </c>
    </row>
    <row r="72">
      <c r="A72" s="16" t="str">
        <f>IFERROR(__xludf.DUMMYFUNCTION("""COMPUTED_VALUE"""),"Si está inscripto en actividades culturales, especificar a cuales")</f>
        <v>Si está inscripto en actividades culturales, especificar a cuales</v>
      </c>
    </row>
    <row r="73">
      <c r="A73" s="16" t="str">
        <f>IFERROR(__xludf.DUMMYFUNCTION("""COMPUTED_VALUE"""),"Si esta inscripto a actividades educativas, especificar a cuales")</f>
        <v>Si esta inscripto a actividades educativas, especificar a cuales</v>
      </c>
    </row>
    <row r="74">
      <c r="A74" s="16" t="str">
        <f>IFERROR(__xludf.DUMMYFUNCTION("""COMPUTED_VALUE"""),"Nombre de la Madre")</f>
        <v>Nombre de la Madre</v>
      </c>
    </row>
    <row r="75">
      <c r="A75" s="16" t="str">
        <f>IFERROR(__xludf.DUMMYFUNCTION("""COMPUTED_VALUE"""),"Apellido de la Madre")</f>
        <v>Apellido de la Madre</v>
      </c>
    </row>
    <row r="76">
      <c r="A76" s="16" t="str">
        <f>IFERROR(__xludf.DUMMYFUNCTION("""COMPUTED_VALUE"""),"Nombre del Padre")</f>
        <v>Nombre del Padre</v>
      </c>
    </row>
    <row r="77">
      <c r="A77" s="16" t="str">
        <f>IFERROR(__xludf.DUMMYFUNCTION("""COMPUTED_VALUE"""),"Apellido del Padre")</f>
        <v>Apellido del Padre</v>
      </c>
    </row>
    <row r="78">
      <c r="A78" s="16" t="str">
        <f>IFERROR(__xludf.DUMMYFUNCTION("""COMPUTED_VALUE"""),"¿Tenés computadora en tu casa?")</f>
        <v>¿Tenés computadora en tu casa?</v>
      </c>
    </row>
    <row r="79">
      <c r="A79" s="16" t="str">
        <f>IFERROR(__xludf.DUMMYFUNCTION("""COMPUTED_VALUE"""),"Si tiene computadora ¿Con que frecuencia la usas?")</f>
        <v>Si tiene computadora ¿Con que frecuencia la usas?</v>
      </c>
    </row>
    <row r="80">
      <c r="A80" s="16" t="str">
        <f>IFERROR(__xludf.DUMMYFUNCTION("""COMPUTED_VALUE"""),"¿Cuánto consideras que sabes usar la computadora?")</f>
        <v>¿Cuánto consideras que sabes usar la computadora?</v>
      </c>
    </row>
    <row r="81">
      <c r="A81" s="16" t="str">
        <f>IFERROR(__xludf.DUMMYFUNCTION("""COMPUTED_VALUE"""),"¿Tenés celular?")</f>
        <v>¿Tenés celular?</v>
      </c>
    </row>
    <row r="82">
      <c r="A82" s="16" t="str">
        <f>IFERROR(__xludf.DUMMYFUNCTION("""COMPUTED_VALUE"""),"Si tiene celular ¿Con que frecuencia lo usas?")</f>
        <v>Si tiene celular ¿Con que frecuencia lo usas?</v>
      </c>
    </row>
    <row r="83">
      <c r="A83" s="16" t="str">
        <f>IFERROR(__xludf.DUMMYFUNCTION("""COMPUTED_VALUE"""),"¿Tenés conexión a internet o wifi en tu casa?")</f>
        <v>¿Tenés conexión a internet o wifi en tu casa?</v>
      </c>
    </row>
    <row r="84">
      <c r="A84" s="16" t="str">
        <f>IFERROR(__xludf.DUMMYFUNCTION("""COMPUTED_VALUE"""),"Si tiene Internet ¿Con que frecuencia lo usas?")</f>
        <v>Si tiene Internet ¿Con que frecuencia lo usas?</v>
      </c>
    </row>
    <row r="85">
      <c r="A85" s="16" t="str">
        <f>IFERROR(__xludf.DUMMYFUNCTION("""COMPUTED_VALUE"""),"¿Tenés y usas correo electrónico?")</f>
        <v>¿Tenés y usas correo electrónico?</v>
      </c>
    </row>
    <row r="86">
      <c r="A86" s="16" t="str">
        <f>IFERROR(__xludf.DUMMYFUNCTION("""COMPUTED_VALUE"""),"¿Cuánto consideras que sabes usar internet?")</f>
        <v>¿Cuánto consideras que sabes usar internet?</v>
      </c>
    </row>
    <row r="87">
      <c r="A87" s="16" t="str">
        <f>IFERROR(__xludf.DUMMYFUNCTION("""COMPUTED_VALUE"""),"¿Te gusta el mundo de la informática?")</f>
        <v>¿Te gusta el mundo de la informática?</v>
      </c>
    </row>
    <row r="88">
      <c r="A88" s="16" t="str">
        <f>IFERROR(__xludf.DUMMYFUNCTION("""COMPUTED_VALUE"""),"¿Te gustaría aprender a utilizar mejor la computadora y el internet, a programar, a manejar ciertos programas, etc?")</f>
        <v>¿Te gustaría aprender a utilizar mejor la computadora y el internet, a programar, a manejar ciertos programas, etc?</v>
      </c>
    </row>
    <row r="89">
      <c r="A89" s="16" t="str">
        <f>IFERROR(__xludf.DUMMYFUNCTION("""COMPUTED_VALUE"""),"¿Asistís a la Escuela actualmente? (o ya terminaste la Escuela?)")</f>
        <v>¿Asistís a la Escuela actualmente? (o ya terminaste la Escuela?)</v>
      </c>
    </row>
    <row r="90">
      <c r="A90" s="16" t="str">
        <f>IFERROR(__xludf.DUMMYFUNCTION("""COMPUTED_VALUE"""),"Nombre de la Escuela")</f>
        <v>Nombre de la Escuela</v>
      </c>
    </row>
    <row r="91">
      <c r="A91" s="16" t="str">
        <f>IFERROR(__xludf.DUMMYFUNCTION("""COMPUTED_VALUE"""),"Gestión")</f>
        <v>Gestión</v>
      </c>
    </row>
    <row r="92">
      <c r="A92" s="16" t="str">
        <f>IFERROR(__xludf.DUMMYFUNCTION("""COMPUTED_VALUE"""),"Grado")</f>
        <v>Grado</v>
      </c>
    </row>
    <row r="93">
      <c r="A93" s="16" t="str">
        <f>IFERROR(__xludf.DUMMYFUNCTION("""COMPUTED_VALUE"""),"Ciclo")</f>
        <v>Ciclo</v>
      </c>
    </row>
    <row r="94">
      <c r="A94" s="16" t="str">
        <f>IFERROR(__xludf.DUMMYFUNCTION("""COMPUTED_VALUE"""),"Turno")</f>
        <v>Turno</v>
      </c>
    </row>
    <row r="95">
      <c r="A95" s="16" t="str">
        <f>IFERROR(__xludf.DUMMYFUNCTION("""COMPUTED_VALUE"""),"Del 1 al 5, ¿Cuan seguro o cómodo te sentís en la Escuela?")</f>
        <v>Del 1 al 5, ¿Cuan seguro o cómodo te sentís en la Escuela?</v>
      </c>
    </row>
    <row r="96">
      <c r="A96" s="16" t="str">
        <f>IFERROR(__xludf.DUMMYFUNCTION("""COMPUTED_VALUE"""),"En el último año ¿Alguien te burló en la  Escuela?")</f>
        <v>En el último año ¿Alguien te burló en la  Escuela?</v>
      </c>
    </row>
    <row r="97">
      <c r="A97" s="16" t="str">
        <f>IFERROR(__xludf.DUMMYFUNCTION("""COMPUTED_VALUE"""),"Si la respuesta es SI, ¿Cuan seguido sucede?")</f>
        <v>Si la respuesta es SI, ¿Cuan seguido sucede?</v>
      </c>
    </row>
    <row r="98">
      <c r="A98" s="16" t="str">
        <f>IFERROR(__xludf.DUMMYFUNCTION("""COMPUTED_VALUE"""),"Si NO asiste a la escuela. ¿Cual es el motivo?")</f>
        <v>Si NO asiste a la escuela. ¿Cual es el motivo?</v>
      </c>
    </row>
    <row r="99">
      <c r="A99" s="16" t="str">
        <f>IFERROR(__xludf.DUMMYFUNCTION("""COMPUTED_VALUE"""),"¿Repetiste alguna vez?")</f>
        <v>¿Repetiste alguna vez?</v>
      </c>
    </row>
    <row r="100">
      <c r="A100" s="16" t="str">
        <f>IFERROR(__xludf.DUMMYFUNCTION("""COMPUTED_VALUE"""),"Si repetiste, ¿Cual fué el motivo?")</f>
        <v>Si repetiste, ¿Cual fué el motivo?</v>
      </c>
    </row>
    <row r="101">
      <c r="A101" s="16" t="str">
        <f>IFERROR(__xludf.DUMMYFUNCTION("""COMPUTED_VALUE"""),"¿Cuando fué la última vez que repetiste?")</f>
        <v>¿Cuando fué la última vez que repetiste?</v>
      </c>
    </row>
    <row r="102">
      <c r="A102" s="16" t="str">
        <f>IFERROR(__xludf.DUMMYFUNCTION("""COMPUTED_VALUE"""),"Del 1 al 5 ¿Cómo te consideras como alumno? (Por ejemplo, entrega de tareas a tiempo, notas, compromiso, dificultad, que piensan los profesores de vos, etc)")</f>
        <v>Del 1 al 5 ¿Cómo te consideras como alumno? (Por ejemplo, entrega de tareas a tiempo, notas, compromiso, dificultad, que piensan los profesores de vos, etc)</v>
      </c>
    </row>
    <row r="103">
      <c r="A103" s="16" t="str">
        <f>IFERROR(__xludf.DUMMYFUNCTION("""COMPUTED_VALUE"""),"Del 1 al 5 ¿Cuánto sentís que te cuesta la Escuela?")</f>
        <v>Del 1 al 5 ¿Cuánto sentís que te cuesta la Escuela?</v>
      </c>
    </row>
    <row r="104">
      <c r="A104" s="16" t="str">
        <f>IFERROR(__xludf.DUMMYFUNCTION("""COMPUTED_VALUE"""),"¿Cuantas horas por semana estudias o le dedicas a las tareas, luego de la Escuela?")</f>
        <v>¿Cuantas horas por semana estudias o le dedicas a las tareas, luego de la Escuela?</v>
      </c>
    </row>
    <row r="105">
      <c r="A105" s="16" t="str">
        <f>IFERROR(__xludf.DUMMYFUNCTION("""COMPUTED_VALUE"""),"¿Tenes en tu hogar un lugar cómodo  y apropiado donde podes hacer las tareas y estudiar?")</f>
        <v>¿Tenes en tu hogar un lugar cómodo  y apropiado donde podes hacer las tareas y estudiar?</v>
      </c>
    </row>
    <row r="106">
      <c r="A106" s="16" t="str">
        <f>IFERROR(__xludf.DUMMYFUNCTION("""COMPUTED_VALUE"""),"¿Sentis que alguien en tu hogar se preocupa por saber como te va en la Escuela?")</f>
        <v>¿Sentis que alguien en tu hogar se preocupa por saber como te va en la Escuela?</v>
      </c>
    </row>
    <row r="107">
      <c r="A107" s="16" t="str">
        <f>IFERROR(__xludf.DUMMYFUNCTION("""COMPUTED_VALUE"""),"¿Cuántas veces faltaste a la Escuela el último mes?")</f>
        <v>¿Cuántas veces faltaste a la Escuela el último mes?</v>
      </c>
    </row>
    <row r="108">
      <c r="A108" s="16" t="str">
        <f>IFERROR(__xludf.DUMMYFUNCTION("""COMPUTED_VALUE"""),"¿Asiste el niño a la Escuela actualmente? (o ya finalizó la Escuela?)")</f>
        <v>¿Asiste el niño a la Escuela actualmente? (o ya finalizó la Escuela?)</v>
      </c>
    </row>
    <row r="109">
      <c r="A109" s="16" t="str">
        <f>IFERROR(__xludf.DUMMYFUNCTION("""COMPUTED_VALUE"""),"Nombre de la Escuela")</f>
        <v>Nombre de la Escuela</v>
      </c>
    </row>
    <row r="110">
      <c r="A110" s="16" t="str">
        <f>IFERROR(__xludf.DUMMYFUNCTION("""COMPUTED_VALUE"""),"Otra Escuela")</f>
        <v>Otra Escuela</v>
      </c>
    </row>
    <row r="111">
      <c r="A111" s="16" t="str">
        <f>IFERROR(__xludf.DUMMYFUNCTION("""COMPUTED_VALUE"""),"Gestión")</f>
        <v>Gestión</v>
      </c>
    </row>
    <row r="112">
      <c r="A112" s="16" t="str">
        <f>IFERROR(__xludf.DUMMYFUNCTION("""COMPUTED_VALUE"""),"Ciclo")</f>
        <v>Ciclo</v>
      </c>
    </row>
    <row r="113">
      <c r="A113" s="16" t="str">
        <f>IFERROR(__xludf.DUMMYFUNCTION("""COMPUTED_VALUE"""),"Grado")</f>
        <v>Grado</v>
      </c>
    </row>
    <row r="114">
      <c r="A114" s="16" t="str">
        <f>IFERROR(__xludf.DUMMYFUNCTION("""COMPUTED_VALUE"""),"Turno")</f>
        <v>Turno</v>
      </c>
    </row>
    <row r="115">
      <c r="A115" s="16" t="str">
        <f>IFERROR(__xludf.DUMMYFUNCTION("""COMPUTED_VALUE"""),"Si NO asiste a la escuela. ¿Cual es el último grado/ año alcanzado?")</f>
        <v>Si NO asiste a la escuela. ¿Cual es el último grado/ año alcanzado?</v>
      </c>
    </row>
    <row r="116">
      <c r="A116" s="16" t="str">
        <f>IFERROR(__xludf.DUMMYFUNCTION("""COMPUTED_VALUE"""),"Si NO asiste a la escuela. ¿Cual es el motivo?")</f>
        <v>Si NO asiste a la escuela. ¿Cual es el motivo?</v>
      </c>
    </row>
    <row r="117">
      <c r="A117" s="16" t="str">
        <f>IFERROR(__xludf.DUMMYFUNCTION("""COMPUTED_VALUE"""),"Los adultos a cargo... [¿Saben como tramitar la ayuda social?]")</f>
        <v>Los adultos a cargo... [¿Saben como tramitar la ayuda social?]</v>
      </c>
    </row>
    <row r="118">
      <c r="A118" s="16" t="str">
        <f>IFERROR(__xludf.DUMMYFUNCTION("""COMPUTED_VALUE"""),"Los adultos a cargo... [¿Tienen teléfono?]")</f>
        <v>Los adultos a cargo... [¿Tienen teléfono?]</v>
      </c>
    </row>
    <row r="119">
      <c r="A119" s="16" t="str">
        <f>IFERROR(__xludf.DUMMYFUNCTION("""COMPUTED_VALUE"""),"Los adultos a cargo... [¿Saben utilizar el teléfono?]")</f>
        <v>Los adultos a cargo... [¿Saben utilizar el teléfono?]</v>
      </c>
    </row>
    <row r="120">
      <c r="A120" s="16" t="str">
        <f>IFERROR(__xludf.DUMMYFUNCTION("""COMPUTED_VALUE"""),"Los adultos a cargo... [¿Saben utilizar el email, internet, y otras herramientas de comunicación?]")</f>
        <v>Los adultos a cargo... [¿Saben utilizar el email, internet, y otras herramientas de comunicación?]</v>
      </c>
    </row>
    <row r="121">
      <c r="A121" s="16" t="str">
        <f>IFERROR(__xludf.DUMMYFUNCTION("""COMPUTED_VALUE"""),"Los adultos a cargo... [¿Lee?]")</f>
        <v>Los adultos a cargo... [¿Lee?]</v>
      </c>
    </row>
    <row r="122">
      <c r="A122" s="16" t="str">
        <f>IFERROR(__xludf.DUMMYFUNCTION("""COMPUTED_VALUE"""),"Los adultos a cargo... [¿Escribe?]")</f>
        <v>Los adultos a cargo... [¿Escribe?]</v>
      </c>
    </row>
    <row r="123">
      <c r="A123" s="16" t="str">
        <f>IFERROR(__xludf.DUMMYFUNCTION("""COMPUTED_VALUE"""),"Máximo nivel educativo alcanzado por la Madre (o cuidadora)")</f>
        <v>Máximo nivel educativo alcanzado por la Madre (o cuidadora)</v>
      </c>
    </row>
    <row r="124">
      <c r="A124" s="16" t="str">
        <f>IFERROR(__xludf.DUMMYFUNCTION("""COMPUTED_VALUE"""),"Máximo nivel educativo alcanzado por el Padre (o apoyo en la crianza)")</f>
        <v>Máximo nivel educativo alcanzado por el Padre (o apoyo en la crianza)</v>
      </c>
    </row>
    <row r="125">
      <c r="A125" s="16" t="str">
        <f>IFERROR(__xludf.DUMMYFUNCTION("""COMPUTED_VALUE"""),"¿Cuántos de ellos son hermanos?")</f>
        <v>¿Cuántos de ellos son hermanos?</v>
      </c>
    </row>
    <row r="126">
      <c r="A126" s="16" t="str">
        <f>IFERROR(__xludf.DUMMYFUNCTION("""COMPUTED_VALUE"""),"¿Cuántos de ellos son menores de 18 años?")</f>
        <v>¿Cuántos de ellos son menores de 18 años?</v>
      </c>
    </row>
    <row r="127">
      <c r="A127" s="16" t="str">
        <f>IFERROR(__xludf.DUMMYFUNCTION("""COMPUTED_VALUE"""),"¿Hay algún niño en el hogar que...  [no tenga DNI y necesite tramitarlo?]")</f>
        <v>¿Hay algún niño en el hogar que...  [no tenga DNI y necesite tramitarlo?]</v>
      </c>
    </row>
    <row r="128">
      <c r="A128" s="16" t="str">
        <f>IFERROR(__xludf.DUMMYFUNCTION("""COMPUTED_VALUE"""),"¿Hay algún niño en el hogar que...  [padezca problemas de salud?]")</f>
        <v>¿Hay algún niño en el hogar que...  [padezca problemas de salud?]</v>
      </c>
    </row>
    <row r="129">
      <c r="A129" s="16" t="str">
        <f>IFERROR(__xludf.DUMMYFUNCTION("""COMPUTED_VALUE"""),"¿Hay algún niño en el hogar que...  [no esté inscripto en alguna Escuela?]")</f>
        <v>¿Hay algún niño en el hogar que...  [no esté inscripto en alguna Escuela?]</v>
      </c>
    </row>
    <row r="130">
      <c r="A130" s="16" t="str">
        <f>IFERROR(__xludf.DUMMYFUNCTION("""COMPUTED_VALUE"""),"¿Hay algún niño en el hogar que...  [Protegido por alguna medida judicial?]")</f>
        <v>¿Hay algún niño en el hogar que...  [Protegido por alguna medida judicial?]</v>
      </c>
    </row>
    <row r="131">
      <c r="A131" s="16" t="str">
        <f>IFERROR(__xludf.DUMMYFUNCTION("""COMPUTED_VALUE"""),"¿Hay algún niño en el hogar que...  [Alguna niña en el hogar embarazada?]")</f>
        <v>¿Hay algún niño en el hogar que...  [Alguna niña en el hogar embarazada?]</v>
      </c>
    </row>
    <row r="132">
      <c r="A132" s="16" t="str">
        <f>IFERROR(__xludf.DUMMYFUNCTION("""COMPUTED_VALUE"""),"¿Vivieron alguna situación reciente de violencia en el entorno familiar?")</f>
        <v>¿Vivieron alguna situación reciente de violencia en el entorno familiar?</v>
      </c>
    </row>
    <row r="133">
      <c r="A133" s="16" t="str">
        <f>IFERROR(__xludf.DUMMYFUNCTION("""COMPUTED_VALUE"""),"¿La Madre, el padre o Cuidador Principal trabaja?")</f>
        <v>¿La Madre, el padre o Cuidador Principal trabaja?</v>
      </c>
    </row>
    <row r="134">
      <c r="A134" s="16" t="str">
        <f>IFERROR(__xludf.DUMMYFUNCTION("""COMPUTED_VALUE"""),"Ocupación:")</f>
        <v>Ocupación:</v>
      </c>
    </row>
    <row r="135">
      <c r="A135" s="16" t="str">
        <f>IFERROR(__xludf.DUMMYFUNCTION("""COMPUTED_VALUE"""),"Modo de contratación:")</f>
        <v>Modo de contratación:</v>
      </c>
    </row>
    <row r="136">
      <c r="A136" s="16" t="str">
        <f>IFERROR(__xludf.DUMMYFUNCTION("""COMPUTED_VALUE"""),"¿Hay otros miembros de la familia que trabajan o reciben ingresos por Plan y aportan al grupo conviviente?")</f>
        <v>¿Hay otros miembros de la familia que trabajan o reciben ingresos por Plan y aportan al grupo conviviente?</v>
      </c>
    </row>
    <row r="137">
      <c r="A137" s="16" t="str">
        <f>IFERROR(__xludf.DUMMYFUNCTION("""COMPUTED_VALUE"""),"Si hay otros miembros que aportan al grupo conviviente, ¿Cuantos son?")</f>
        <v>Si hay otros miembros que aportan al grupo conviviente, ¿Cuantos son?</v>
      </c>
    </row>
    <row r="138">
      <c r="A138" s="16" t="str">
        <f>IFERROR(__xludf.DUMMYFUNCTION("""COMPUTED_VALUE"""),"Calificación de Ingresos (Ref. 2 ADULTOS Y 3 NIÑOS CBA=$34.671 Y CBT=$80.089.-)")</f>
        <v>Calificación de Ingresos (Ref. 2 ADULTOS Y 3 NIÑOS CBA=$34.671 Y CBT=$80.089.-)</v>
      </c>
    </row>
    <row r="139">
      <c r="A139" s="16" t="str">
        <f>IFERROR(__xludf.DUMMYFUNCTION("""COMPUTED_VALUE"""),"Estado Civil")</f>
        <v>Estado Civil</v>
      </c>
    </row>
    <row r="140">
      <c r="A140" s="16" t="str">
        <f>IFERROR(__xludf.DUMMYFUNCTION("""COMPUTED_VALUE"""),"¿Hay otro adulto responsable? ( Padre o apoyo en la crianza)")</f>
        <v>¿Hay otro adulto responsable? ( Padre o apoyo en la crianza)</v>
      </c>
    </row>
    <row r="141">
      <c r="A141" s="16" t="str">
        <f>IFERROR(__xludf.DUMMYFUNCTION("""COMPUTED_VALUE"""),"¿Con quien vivís en tu hogar? ")</f>
        <v>¿Con quien vivís en tu hogar? </v>
      </c>
    </row>
    <row r="142">
      <c r="A142" s="16" t="str">
        <f>IFERROR(__xludf.DUMMYFUNCTION("""COMPUTED_VALUE"""),"¿Tiene otro hijo inscripto en el Centro 0.18?")</f>
        <v>¿Tiene otro hijo inscripto en el Centro 0.18?</v>
      </c>
    </row>
    <row r="143">
      <c r="A143" s="16" t="str">
        <f>IFERROR(__xludf.DUMMYFUNCTION("""COMPUTED_VALUE"""),"La madre o cuidador principal... [Padece enfermedad en tratamiento? ]")</f>
        <v>La madre o cuidador principal... [Padece enfermedad en tratamiento? ]</v>
      </c>
    </row>
    <row r="144">
      <c r="A144" s="16" t="str">
        <f>IFERROR(__xludf.DUMMYFUNCTION("""COMPUTED_VALUE"""),"La madre o cuidador principal... [Padece enfermedad sin tratamiento?]")</f>
        <v>La madre o cuidador principal... [Padece enfermedad sin tratamiento?]</v>
      </c>
    </row>
    <row r="145">
      <c r="A145" s="16" t="str">
        <f>IFERROR(__xludf.DUMMYFUNCTION("""COMPUTED_VALUE"""),"La madre o cuidador principal... [Padece enfermedad infecto- contagiosa EN tratamiento?]")</f>
        <v>La madre o cuidador principal... [Padece enfermedad infecto- contagiosa EN tratamiento?]</v>
      </c>
    </row>
    <row r="146">
      <c r="A146" s="16" t="str">
        <f>IFERROR(__xludf.DUMMYFUNCTION("""COMPUTED_VALUE"""),"La madre o cuidador principal... [Padece enfermedad infecto- contagiosa SIN tratamiento?]")</f>
        <v>La madre o cuidador principal... [Padece enfermedad infecto- contagiosa SIN tratamiento?]</v>
      </c>
    </row>
    <row r="147">
      <c r="A147" s="16" t="str">
        <f>IFERROR(__xludf.DUMMYFUNCTION("""COMPUTED_VALUE"""),"La madre o cuidador principal... [Padece problemas de salud Mental EN tratamiento?]")</f>
        <v>La madre o cuidador principal... [Padece problemas de salud Mental EN tratamiento?]</v>
      </c>
    </row>
    <row r="148">
      <c r="A148" s="16" t="str">
        <f>IFERROR(__xludf.DUMMYFUNCTION("""COMPUTED_VALUE"""),"La madre o cuidador principal... [Padece problemas de Salud mental SIN tratamiento?]")</f>
        <v>La madre o cuidador principal... [Padece problemas de Salud mental SIN tratamiento?]</v>
      </c>
    </row>
    <row r="149">
      <c r="A149" s="16" t="str">
        <f>IFERROR(__xludf.DUMMYFUNCTION("""COMPUTED_VALUE"""),"La madre o cuidador principal... [Capacidades reducidas o afectadas]")</f>
        <v>La madre o cuidador principal... [Capacidades reducidas o afectadas]</v>
      </c>
    </row>
    <row r="150">
      <c r="A150" s="16" t="str">
        <f>IFERROR(__xludf.DUMMYFUNCTION("""COMPUTED_VALUE"""),"La madre o cuidador principal... [¿Tiene Certificado de discapacidad?]")</f>
        <v>La madre o cuidador principal... [¿Tiene Certificado de discapacidad?]</v>
      </c>
    </row>
    <row r="151">
      <c r="A151" s="16" t="str">
        <f>IFERROR(__xludf.DUMMYFUNCTION("""COMPUTED_VALUE"""),"La madre o cuidador principal... [Padece consumo (o sospecha de) consumo problemático)]")</f>
        <v>La madre o cuidador principal... [Padece consumo (o sospecha de) consumo problemático)]</v>
      </c>
    </row>
    <row r="152">
      <c r="A152" s="16" t="str">
        <f>IFERROR(__xludf.DUMMYFUNCTION("""COMPUTED_VALUE"""),"¿Los acompañan desde algún Programa Municipal o Red Institucional?")</f>
        <v>¿Los acompañan desde algún Programa Municipal o Red Institucional?</v>
      </c>
    </row>
    <row r="153">
      <c r="A153" s="16" t="str">
        <f>IFERROR(__xludf.DUMMYFUNCTION("""COMPUTED_VALUE"""),"Los adultos a cargo... [¿Obtienen alguna ayuda social?]")</f>
        <v>Los adultos a cargo... [¿Obtienen alguna ayuda social?]</v>
      </c>
    </row>
    <row r="154">
      <c r="A154" s="16" t="str">
        <f>IFERROR(__xludf.DUMMYFUNCTION("""COMPUTED_VALUE"""),"¿Tiene trámites o pedidos pendientes en el municipio?")</f>
        <v>¿Tiene trámites o pedidos pendientes en el municipio?</v>
      </c>
    </row>
    <row r="155">
      <c r="A155" s="16" t="str">
        <f>IFERROR(__xludf.DUMMYFUNCTION("""COMPUTED_VALUE"""),"Si tiene trámites o pedidos pendientes con el municipio; Especificar: Area, pedido, fecha de pedido, contacto")</f>
        <v>Si tiene trámites o pedidos pendientes con el municipio; Especificar: Area, pedido, fecha de pedido, contacto</v>
      </c>
    </row>
    <row r="156">
      <c r="A156" s="16" t="str">
        <f>IFERROR(__xludf.DUMMYFUNCTION("""COMPUTED_VALUE"""),"¿Recibe Plan Social?")</f>
        <v>¿Recibe Plan Social?</v>
      </c>
    </row>
    <row r="157">
      <c r="A157" s="16" t="str">
        <f>IFERROR(__xludf.DUMMYFUNCTION("""COMPUTED_VALUE"""),"Recibe caja de alimentos de la Escuela:")</f>
        <v>Recibe caja de alimentos de la Escuela:</v>
      </c>
    </row>
    <row r="158">
      <c r="A158" s="16" t="str">
        <f>IFERROR(__xludf.DUMMYFUNCTION("""COMPUTED_VALUE"""),"Si Recibe Plan Social, ¿se sostienen únicamente con Planes Sociales?")</f>
        <v>Si Recibe Plan Social, ¿se sostienen únicamente con Planes Sociales?</v>
      </c>
    </row>
    <row r="159">
      <c r="A159" s="16" t="str">
        <f>IFERROR(__xludf.DUMMYFUNCTION("""COMPUTED_VALUE"""),"¿Hay algun familiar conviviente... [privado de su libertad?]")</f>
        <v>¿Hay algun familiar conviviente... [privado de su libertad?]</v>
      </c>
    </row>
    <row r="160">
      <c r="A160" s="16" t="str">
        <f>IFERROR(__xludf.DUMMYFUNCTION("""COMPUTED_VALUE"""),"¿Hay algun familiar conviviente... [padeciendo enfermedades contagiosas?]")</f>
        <v>¿Hay algun familiar conviviente... [padeciendo enfermedades contagiosas?]</v>
      </c>
    </row>
    <row r="161">
      <c r="A161" s="16" t="str">
        <f>IFERROR(__xludf.DUMMYFUNCTION("""COMPUTED_VALUE"""),"¿Hay algun familiar conviviente... [con problemas de consumo de sustancias?]")</f>
        <v>¿Hay algun familiar conviviente... [con problemas de consumo de sustancias?]</v>
      </c>
    </row>
    <row r="162">
      <c r="A162" s="16" t="str">
        <f>IFERROR(__xludf.DUMMYFUNCTION("""COMPUTED_VALUE"""),"¿Hay algun familiar conviviente... [con problemas de salud mental?]")</f>
        <v>¿Hay algun familiar conviviente... [con problemas de salud mental?]</v>
      </c>
    </row>
    <row r="163">
      <c r="A163" s="16" t="str">
        <f>IFERROR(__xludf.DUMMYFUNCTION("""COMPUTED_VALUE"""),"¿Hay algun familiar conviviente... [con problemas de discapacidad?]")</f>
        <v>¿Hay algun familiar conviviente... [con problemas de discapacidad?]</v>
      </c>
    </row>
    <row r="164">
      <c r="A164" s="16" t="str">
        <f>IFERROR(__xludf.DUMMYFUNCTION("""COMPUTED_VALUE"""),"¿Hubo en el último tiempo alguna situación de duelo, traumática en el entorno familiar?")</f>
        <v>¿Hubo en el último tiempo alguna situación de duelo, traumática en el entorno familiar?</v>
      </c>
    </row>
    <row r="165">
      <c r="A165" s="16" t="str">
        <f>IFERROR(__xludf.DUMMYFUNCTION("""COMPUTED_VALUE"""),"¿Cuántas personas viven en el hogar?")</f>
        <v>¿Cuántas personas viven en el hogar?</v>
      </c>
    </row>
    <row r="166">
      <c r="A166" s="16" t="str">
        <f>IFERROR(__xludf.DUMMYFUNCTION("""COMPUTED_VALUE"""),"Tipo de vivienda")</f>
        <v>Tipo de vivienda</v>
      </c>
    </row>
    <row r="167">
      <c r="A167" s="16" t="str">
        <f>IFERROR(__xludf.DUMMYFUNCTION("""COMPUTED_VALUE"""),"Estructura de la vivienda")</f>
        <v>Estructura de la vivienda</v>
      </c>
    </row>
    <row r="168">
      <c r="A168" s="16" t="str">
        <f>IFERROR(__xludf.DUMMYFUNCTION("""COMPUTED_VALUE"""),"Estatus de la Vivienda")</f>
        <v>Estatus de la Vivienda</v>
      </c>
    </row>
    <row r="169">
      <c r="A169" s="16" t="str">
        <f>IFERROR(__xludf.DUMMYFUNCTION("""COMPUTED_VALUE"""),"Situación de los propietarios")</f>
        <v>Situación de los propietarios</v>
      </c>
    </row>
    <row r="170">
      <c r="A170" s="16" t="str">
        <f>IFERROR(__xludf.DUMMYFUNCTION("""COMPUTED_VALUE"""),"¿Cuántas habitaciones tiene el hogar? (sin contar baño/s, cocina, pasillo/s, lavadero)")</f>
        <v>¿Cuántas habitaciones tiene el hogar? (sin contar baño/s, cocina, pasillo/s, lavadero)</v>
      </c>
    </row>
    <row r="171">
      <c r="A171" s="16" t="str">
        <f>IFERROR(__xludf.DUMMYFUNCTION("""COMPUTED_VALUE"""),"¿Cuántas camas/ colchones tienen?")</f>
        <v>¿Cuántas camas/ colchones tienen?</v>
      </c>
    </row>
    <row r="172">
      <c r="A172" s="16" t="str">
        <f>IFERROR(__xludf.DUMMYFUNCTION("""COMPUTED_VALUE"""),"Los pisos interiores son principalmente de...")</f>
        <v>Los pisos interiores son principalmente de...</v>
      </c>
    </row>
    <row r="173">
      <c r="A173" s="16" t="str">
        <f>IFERROR(__xludf.DUMMYFUNCTION("""COMPUTED_VALUE"""),"Acerca del hogar [Posee Cocina]")</f>
        <v>Acerca del hogar [Posee Cocina]</v>
      </c>
    </row>
    <row r="174">
      <c r="A174" s="16" t="str">
        <f>IFERROR(__xludf.DUMMYFUNCTION("""COMPUTED_VALUE"""),"Acerca del hogar [Posee Heladera]")</f>
        <v>Acerca del hogar [Posee Heladera]</v>
      </c>
    </row>
    <row r="175">
      <c r="A175" s="16" t="str">
        <f>IFERROR(__xludf.DUMMYFUNCTION("""COMPUTED_VALUE"""),"Acerca del hogar [Posee una mesa en donde comen]")</f>
        <v>Acerca del hogar [Posee una mesa en donde comen]</v>
      </c>
    </row>
    <row r="176">
      <c r="A176" s="16" t="str">
        <f>IFERROR(__xludf.DUMMYFUNCTION("""COMPUTED_VALUE"""),"Acerca del hogar [Posee un espacio para que los niños realizen tareas]")</f>
        <v>Acerca del hogar [Posee un espacio para que los niños realizen tareas]</v>
      </c>
    </row>
    <row r="177">
      <c r="A177" s="16" t="str">
        <f>IFERROR(__xludf.DUMMYFUNCTION("""COMPUTED_VALUE"""),"Acerca del hogar [Posee un baño dentro de la vivienda, con descarga de agua]")</f>
        <v>Acerca del hogar [Posee un baño dentro de la vivienda, con descarga de agua]</v>
      </c>
    </row>
    <row r="178">
      <c r="A178" s="16" t="str">
        <f>IFERROR(__xludf.DUMMYFUNCTION("""COMPUTED_VALUE"""),"Acerca del hogar [Posee fuente de agua (corriente o de pozo)]")</f>
        <v>Acerca del hogar [Posee fuente de agua (corriente o de pozo)]</v>
      </c>
    </row>
    <row r="179">
      <c r="A179" s="16" t="str">
        <f>IFERROR(__xludf.DUMMYFUNCTION("""COMPUTED_VALUE"""),"Acerca del hogar [Posee ducha]")</f>
        <v>Acerca del hogar [Posee ducha]</v>
      </c>
    </row>
    <row r="180">
      <c r="A180" s="16" t="str">
        <f>IFERROR(__xludf.DUMMYFUNCTION("""COMPUTED_VALUE"""),"Acerca del hogar [Posee agua caliente]")</f>
        <v>Acerca del hogar [Posee agua caliente]</v>
      </c>
    </row>
    <row r="181">
      <c r="A181" s="16" t="str">
        <f>IFERROR(__xludf.DUMMYFUNCTION("""COMPUTED_VALUE"""),"Acerca del hogar [Se inunda]")</f>
        <v>Acerca del hogar [Se inunda]</v>
      </c>
    </row>
    <row r="182">
      <c r="A182" s="16" t="str">
        <f>IFERROR(__xludf.DUMMYFUNCTION("""COMPUTED_VALUE"""),"Acerca del hogar [Tiene riesgo de desmoronamiento]")</f>
        <v>Acerca del hogar [Tiene riesgo de desmoronamiento]</v>
      </c>
    </row>
    <row r="183">
      <c r="A183" s="16" t="str">
        <f>IFERROR(__xludf.DUMMYFUNCTION("""COMPUTED_VALUE"""),"Acerca del hogar [Acceso a luz]")</f>
        <v>Acerca del hogar [Acceso a luz]</v>
      </c>
    </row>
    <row r="184">
      <c r="A184" s="16" t="str">
        <f>IFERROR(__xludf.DUMMYFUNCTION("""COMPUTED_VALUE"""),"Acerca del hogar [Acceso a gas]")</f>
        <v>Acerca del hogar [Acceso a gas]</v>
      </c>
    </row>
    <row r="185">
      <c r="A185" s="16" t="str">
        <f>IFERROR(__xludf.DUMMYFUNCTION("""COMPUTED_VALUE"""),"Acerca del hogar [Acceso a cloacas]")</f>
        <v>Acerca del hogar [Acceso a cloacas]</v>
      </c>
    </row>
    <row r="186">
      <c r="A186" s="16" t="str">
        <f>IFERROR(__xludf.DUMMYFUNCTION("""COMPUTED_VALUE"""),"¿Cuantos hogares hay en la vivienda?")</f>
        <v>¿Cuantos hogares hay en la vivienda?</v>
      </c>
    </row>
    <row r="187">
      <c r="A187" s="16" t="str">
        <f>IFERROR(__xludf.DUMMYFUNCTION("""COMPUTED_VALUE"""),"Donde vive, ¿Tiene dificultades para acceder a: [Centro Asistencial]")</f>
        <v>Donde vive, ¿Tiene dificultades para acceder a: [Centro Asistencial]</v>
      </c>
    </row>
    <row r="188">
      <c r="A188" s="16" t="str">
        <f>IFERROR(__xludf.DUMMYFUNCTION("""COMPUTED_VALUE"""),"Donde vive, ¿Tiene dificultades para acceder a: [Escuela]")</f>
        <v>Donde vive, ¿Tiene dificultades para acceder a: [Escuela]</v>
      </c>
    </row>
    <row r="189">
      <c r="A189" s="16" t="str">
        <f>IFERROR(__xludf.DUMMYFUNCTION("""COMPUTED_VALUE"""),"Donde vive, ¿Tiene dificultades para acceder a: [Parada de colectivo]")</f>
        <v>Donde vive, ¿Tiene dificultades para acceder a: [Parada de colectivo]</v>
      </c>
    </row>
    <row r="190">
      <c r="A190" s="16" t="str">
        <f>IFERROR(__xludf.DUMMYFUNCTION("""COMPUTED_VALUE"""),"Donde vive, ¿Tiene dificultades para acceder a: [Estación de tren]")</f>
        <v>Donde vive, ¿Tiene dificultades para acceder a: [Estación de tren]</v>
      </c>
    </row>
    <row r="191">
      <c r="A191" s="16" t="str">
        <f>IFERROR(__xludf.DUMMYFUNCTION("""COMPUTED_VALUE"""),"Donde vive, ¿Tiene dificultades para acceder a: [Centro Comercial]")</f>
        <v>Donde vive, ¿Tiene dificultades para acceder a: [Centro Comercial]</v>
      </c>
    </row>
    <row r="192">
      <c r="A192" s="16" t="str">
        <f>IFERROR(__xludf.DUMMYFUNCTION("""COMPUTED_VALUE"""),"Describa cuales son las mayores dificultades")</f>
        <v>Describa cuales son las mayores dificultades</v>
      </c>
    </row>
    <row r="193">
      <c r="A193" s="16" t="str">
        <f>IFERROR(__xludf.DUMMYFUNCTION("""COMPUTED_VALUE"""),"¿Cada cuánto se realiza controles pediátricos/ Clínicos?")</f>
        <v>¿Cada cuánto se realiza controles pediátricos/ Clínicos?</v>
      </c>
    </row>
    <row r="194">
      <c r="A194" s="16" t="str">
        <f>IFERROR(__xludf.DUMMYFUNCTION("""COMPUTED_VALUE"""),"¿En los últimos 12 meses se ha efectuado alguno de los siguientes controles de Salud? [Control Médico]")</f>
        <v>¿En los últimos 12 meses se ha efectuado alguno de los siguientes controles de Salud? [Control Médico]</v>
      </c>
    </row>
    <row r="195">
      <c r="A195" s="16" t="str">
        <f>IFERROR(__xludf.DUMMYFUNCTION("""COMPUTED_VALUE"""),"¿En los últimos 12 meses se ha efectuado alguno de los siguientes controles de Salud? [Control Odontológico]")</f>
        <v>¿En los últimos 12 meses se ha efectuado alguno de los siguientes controles de Salud? [Control Odontológico]</v>
      </c>
    </row>
    <row r="196">
      <c r="A196" s="16" t="str">
        <f>IFERROR(__xludf.DUMMYFUNCTION("""COMPUTED_VALUE"""),"¿En los últimos 12 meses se ha efectuado alguno de los siguientes controles de Salud? [Control Oftalmológico]")</f>
        <v>¿En los últimos 12 meses se ha efectuado alguno de los siguientes controles de Salud? [Control Oftalmológico]</v>
      </c>
    </row>
    <row r="197">
      <c r="A197" s="16" t="str">
        <f>IFERROR(__xludf.DUMMYFUNCTION("""COMPUTED_VALUE"""),"¿En los últimos 12 meses se ha efectuado alguno de los siguientes controles de Salud? [Control Ginecológico]")</f>
        <v>¿En los últimos 12 meses se ha efectuado alguno de los siguientes controles de Salud? [Control Ginecológico]</v>
      </c>
    </row>
    <row r="198">
      <c r="A198" s="16" t="str">
        <f>IFERROR(__xludf.DUMMYFUNCTION("""COMPUTED_VALUE"""),"¿Tiene alguna enfermedad recurrente o algún diagnóstico de enfermedad crónica?")</f>
        <v>¿Tiene alguna enfermedad recurrente o algún diagnóstico de enfermedad crónica?</v>
      </c>
      <c r="G198" s="3" t="s">
        <v>403</v>
      </c>
    </row>
    <row r="199">
      <c r="A199" s="16" t="str">
        <f>IFERROR(__xludf.DUMMYFUNCTION("""COMPUTED_VALUE"""),"Si tiene alguna enfermedad recurrente, ¿Cual?")</f>
        <v>Si tiene alguna enfermedad recurrente, ¿Cual?</v>
      </c>
    </row>
    <row r="200">
      <c r="A200" s="16" t="str">
        <f>IFERROR(__xludf.DUMMYFUNCTION("""COMPUTED_VALUE"""),"Si tiene alguna enfermedad recurrente, ¿Donde se trata?")</f>
        <v>Si tiene alguna enfermedad recurrente, ¿Donde se trata?</v>
      </c>
    </row>
    <row r="201">
      <c r="A201" s="16" t="str">
        <f>IFERROR(__xludf.DUMMYFUNCTION("""COMPUTED_VALUE"""),"Si tiene alguna enfermedad recurrente, ¿Se controla o recibe tratamiento?")</f>
        <v>Si tiene alguna enfermedad recurrente, ¿Se controla o recibe tratamiento?</v>
      </c>
    </row>
    <row r="202">
      <c r="A202" s="16" t="str">
        <f>IFERROR(__xludf.DUMMYFUNCTION("""COMPUTED_VALUE"""),"¿Toma algún medicamento?")</f>
        <v>¿Toma algún medicamento?</v>
      </c>
    </row>
    <row r="203">
      <c r="A203" s="16" t="str">
        <f>IFERROR(__xludf.DUMMYFUNCTION("""COMPUTED_VALUE"""),"¿Padece una enfermedad sin tratamiento?")</f>
        <v>¿Padece una enfermedad sin tratamiento?</v>
      </c>
    </row>
    <row r="204">
      <c r="A204" s="16" t="str">
        <f>IFERROR(__xludf.DUMMYFUNCTION("""COMPUTED_VALUE"""),"¿Tiene alguna discapacidad?")</f>
        <v>¿Tiene alguna discapacidad?</v>
      </c>
    </row>
    <row r="205">
      <c r="A205" s="16" t="str">
        <f>IFERROR(__xludf.DUMMYFUNCTION("""COMPUTED_VALUE"""),"¿Tiene certificado de discapacidad?")</f>
        <v>¿Tiene certificado de discapacidad?</v>
      </c>
    </row>
    <row r="206">
      <c r="A206" s="16" t="str">
        <f>IFERROR(__xludf.DUMMYFUNCTION("""COMPUTED_VALUE"""),"Si tiene alguna discapacidad, especificar cual:")</f>
        <v>Si tiene alguna discapacidad, especificar cual:</v>
      </c>
    </row>
    <row r="207">
      <c r="A207" s="16" t="str">
        <f>IFERROR(__xludf.DUMMYFUNCTION("""COMPUTED_VALUE"""),"¿Sufre alguna de las siguientes complicaciónes o dificultades: [Auditiva]")</f>
        <v>¿Sufre alguna de las siguientes complicaciónes o dificultades: [Auditiva]</v>
      </c>
    </row>
    <row r="208">
      <c r="A208" s="16" t="str">
        <f>IFERROR(__xludf.DUMMYFUNCTION("""COMPUTED_VALUE"""),"¿Sufre alguna de las siguientes complicaciónes o dificultades: [Visual]")</f>
        <v>¿Sufre alguna de las siguientes complicaciónes o dificultades: [Visual]</v>
      </c>
    </row>
    <row r="209">
      <c r="A209" s="16" t="str">
        <f>IFERROR(__xludf.DUMMYFUNCTION("""COMPUTED_VALUE"""),"¿Sufre alguna de las siguientes complicaciónes o dificultades: [Fonoaudiológica]")</f>
        <v>¿Sufre alguna de las siguientes complicaciónes o dificultades: [Fonoaudiológica]</v>
      </c>
    </row>
    <row r="210">
      <c r="A210" s="16" t="str">
        <f>IFERROR(__xludf.DUMMYFUNCTION("""COMPUTED_VALUE"""),"¿Sufre alguna de las siguientes complicaciónes o dificultades: [Respiratoria]")</f>
        <v>¿Sufre alguna de las siguientes complicaciónes o dificultades: [Respiratoria]</v>
      </c>
    </row>
    <row r="211">
      <c r="A211" s="16" t="str">
        <f>IFERROR(__xludf.DUMMYFUNCTION("""COMPUTED_VALUE"""),"¿Sufre alguna de las siguientes complicaciónes o dificultades: [Traumatológica]")</f>
        <v>¿Sufre alguna de las siguientes complicaciónes o dificultades: [Traumatológica]</v>
      </c>
    </row>
    <row r="212">
      <c r="A212" s="16" t="str">
        <f>IFERROR(__xludf.DUMMYFUNCTION("""COMPUTED_VALUE"""),"¿Sufre alguna de las siguientes complicaciónes o dificultades: [Digestiva]")</f>
        <v>¿Sufre alguna de las siguientes complicaciónes o dificultades: [Digestiva]</v>
      </c>
    </row>
    <row r="213">
      <c r="A213" s="16" t="str">
        <f>IFERROR(__xludf.DUMMYFUNCTION("""COMPUTED_VALUE"""),"¿Sufre alguna de las siguientes complicaciónes o dificultades: [Emocional]")</f>
        <v>¿Sufre alguna de las siguientes complicaciónes o dificultades: [Emocional]</v>
      </c>
    </row>
    <row r="214">
      <c r="A214" s="16" t="str">
        <f>IFERROR(__xludf.DUMMYFUNCTION("""COMPUTED_VALUE"""),"¿Sufre alguna de las siguientes complicaciónes o dificultades: [Otra]")</f>
        <v>¿Sufre alguna de las siguientes complicaciónes o dificultades: [Otra]</v>
      </c>
    </row>
    <row r="215">
      <c r="A215" s="16" t="str">
        <f>IFERROR(__xludf.DUMMYFUNCTION("""COMPUTED_VALUE"""),"¿Tiene el calendario de vacunación al día?")</f>
        <v>¿Tiene el calendario de vacunación al día?</v>
      </c>
    </row>
    <row r="216">
      <c r="A216" s="16" t="str">
        <f>IFERROR(__xludf.DUMMYFUNCTION("""COMPUTED_VALUE"""),"¿Recibió en los últimos 5 años la vacuna antitetánica?")</f>
        <v>¿Recibió en los últimos 5 años la vacuna antitetánica?</v>
      </c>
    </row>
    <row r="217">
      <c r="A217" s="16" t="str">
        <f>IFERROR(__xludf.DUMMYFUNCTION("""COMPUTED_VALUE"""),"En cuanto a la cobertura de salud. ¿Esta afiliado a alguna de las siguientes?")</f>
        <v>En cuanto a la cobertura de salud. ¿Esta afiliado a alguna de las siguientes?</v>
      </c>
    </row>
    <row r="218">
      <c r="A218" s="16" t="str">
        <f>IFERROR(__xludf.DUMMYFUNCTION("""COMPUTED_VALUE"""),"¿Cual?")</f>
        <v>¿Cual?</v>
      </c>
    </row>
    <row r="219">
      <c r="A219" s="16" t="str">
        <f>IFERROR(__xludf.DUMMYFUNCTION("""COMPUTED_VALUE"""),"Telefono de Urgencia")</f>
        <v>Telefono de Urgencia</v>
      </c>
    </row>
    <row r="220">
      <c r="A220" s="16" t="str">
        <f>IFERROR(__xludf.DUMMYFUNCTION("""COMPUTED_VALUE"""),"Centro de Salud en donde se atiende")</f>
        <v>Centro de Salud en donde se atiende</v>
      </c>
    </row>
    <row r="221">
      <c r="A221" s="16" t="str">
        <f>IFERROR(__xludf.DUMMYFUNCTION("""COMPUTED_VALUE"""),"¿Recibe tratamiento terapeutico?")</f>
        <v>¿Recibe tratamiento terapeutico?</v>
      </c>
    </row>
    <row r="222">
      <c r="A222" s="16" t="str">
        <f>IFERROR(__xludf.DUMMYFUNCTION("""COMPUTED_VALUE"""),"Si recibe tratamiento terapeutico, ¿Dónde?")</f>
        <v>Si recibe tratamiento terapeutico, ¿Dónde?</v>
      </c>
    </row>
    <row r="223">
      <c r="A223" s="16" t="str">
        <f>IFERROR(__xludf.DUMMYFUNCTION("""COMPUTED_VALUE"""),"¿Sufre alguna de las siguientes complicaciónes o dificultades: [Psíquica]")</f>
        <v>¿Sufre alguna de las siguientes complicaciónes o dificultades: [Psíquica]</v>
      </c>
    </row>
    <row r="224">
      <c r="A224" s="16" t="str">
        <f>IFERROR(__xludf.DUMMYFUNCTION("""COMPUTED_VALUE"""),"¿Sufre alguna de las siguientes complicaciónes o dificultades: [Psicológica]")</f>
        <v>¿Sufre alguna de las siguientes complicaciónes o dificultades: [Psicológica]</v>
      </c>
    </row>
    <row r="225">
      <c r="A225" s="16" t="str">
        <f>IFERROR(__xludf.DUMMYFUNCTION("""COMPUTED_VALUE"""),"¿Cuantas comidas por día recibe? (Desayuno, Almuerzo, Merienda, Cena)")</f>
        <v>¿Cuantas comidas por día recibe? (Desayuno, Almuerzo, Merienda, Cena)</v>
      </c>
    </row>
    <row r="226">
      <c r="A226" s="16" t="str">
        <f>IFERROR(__xludf.DUMMYFUNCTION("""COMPUTED_VALUE"""),"La ayuda de un profesional (como puede ser un tutor, consejero, terapeuta) es algo muy común en chicos de tu edad, ¿Vos sentís que necesitas ayuda de alguien para  trabajar tus problemas? ")</f>
        <v>La ayuda de un profesional (como puede ser un tutor, consejero, terapeuta) es algo muy común en chicos de tu edad, ¿Vos sentís que necesitas ayuda de alguien para  trabajar tus problemas? </v>
      </c>
    </row>
    <row r="227">
      <c r="A227" s="16" t="str">
        <f>IFERROR(__xludf.DUMMYFUNCTION("""COMPUTED_VALUE"""),"Del 1 al 5, ¿Cuan Feliz te sentís en tu vida?")</f>
        <v>Del 1 al 5, ¿Cuan Feliz te sentís en tu vida?</v>
      </c>
    </row>
    <row r="228">
      <c r="A228" s="16" t="str">
        <f>IFERROR(__xludf.DUMMYFUNCTION("""COMPUTED_VALUE"""),"Del 1 al 5, ¿Cuan conforme te sentis con vos mismo?")</f>
        <v>Del 1 al 5, ¿Cuan conforme te sentis con vos mismo?</v>
      </c>
    </row>
    <row r="229">
      <c r="A229" s="16" t="str">
        <f>IFERROR(__xludf.DUMMYFUNCTION("""COMPUTED_VALUE"""),"Del 1 al 5, ¿Cuan conforme te sentis con tu cuerpo?")</f>
        <v>Del 1 al 5, ¿Cuan conforme te sentis con tu cuerpo?</v>
      </c>
    </row>
    <row r="230">
      <c r="A230" s="16" t="str">
        <f>IFERROR(__xludf.DUMMYFUNCTION("""COMPUTED_VALUE"""),"Del 1 al 5, ¿ Cuan querido te sentís por los adultos?")</f>
        <v>Del 1 al 5, ¿ Cuan querido te sentís por los adultos?</v>
      </c>
    </row>
    <row r="231">
      <c r="A231" s="16" t="str">
        <f>IFERROR(__xludf.DUMMYFUNCTION("""COMPUTED_VALUE"""),"¿Cuan querido te sentís por tus compañeros y amigos?")</f>
        <v>¿Cuan querido te sentís por tus compañeros y amigos?</v>
      </c>
    </row>
    <row r="232">
      <c r="A232" s="16" t="str">
        <f>IFERROR(__xludf.DUMMYFUNCTION("""COMPUTED_VALUE"""),"¿Experimentaste alguna vez deseos de lastimarte o dejar de vivir?")</f>
        <v>¿Experimentaste alguna vez deseos de lastimarte o dejar de vivir?</v>
      </c>
    </row>
    <row r="233">
      <c r="A233" s="16" t="str">
        <f>IFERROR(__xludf.DUMMYFUNCTION("""COMPUTED_VALUE"""),"¿Intentaste lastimarte a propósito alguna vez?")</f>
        <v>¿Intentaste lastimarte a propósito alguna vez?</v>
      </c>
    </row>
    <row r="234">
      <c r="A234" s="16" t="str">
        <f>IFERROR(__xludf.DUMMYFUNCTION("""COMPUTED_VALUE"""),"¿Tenés hijos?")</f>
        <v>¿Tenés hijos?</v>
      </c>
    </row>
    <row r="235">
      <c r="A235" s="16" t="str">
        <f>IFERROR(__xludf.DUMMYFUNCTION("""COMPUTED_VALUE"""),"¿Estuviste embarazada? (si es mujer) ¿Dejaste embarazada a alguna chica alguna vez? (si es varón)")</f>
        <v>¿Estuviste embarazada? (si es mujer) ¿Dejaste embarazada a alguna chica alguna vez? (si es varón)</v>
      </c>
    </row>
    <row r="236">
      <c r="A236" s="16" t="str">
        <f>IFERROR(__xludf.DUMMYFUNCTION("""COMPUTED_VALUE"""),"Sospecha ASI")</f>
        <v>Sospecha ASI</v>
      </c>
    </row>
    <row r="237">
      <c r="A237" s="16" t="str">
        <f>IFERROR(__xludf.DUMMYFUNCTION("""COMPUTED_VALUE"""),"Sospecha Maltrato")</f>
        <v>Sospecha Maltrato</v>
      </c>
    </row>
    <row r="238">
      <c r="A238" s="16" t="str">
        <f>IFERROR(__xludf.DUMMYFUNCTION("""COMPUTED_VALUE"""),"Sospecha Consumo problemático")</f>
        <v>Sospecha Consumo problemático</v>
      </c>
    </row>
    <row r="239">
      <c r="A239" s="16" t="str">
        <f>IFERROR(__xludf.DUMMYFUNCTION("""COMPUTED_VALUE"""),"Sospecha problemática emocional o psicológica (Requiere tratamiento)")</f>
        <v>Sospecha problemática emocional o psicológica (Requiere tratamiento)</v>
      </c>
    </row>
    <row r="240">
      <c r="A240" s="16" t="str">
        <f>IFERROR(__xludf.DUMMYFUNCTION("""COMPUTED_VALUE"""),"Sospecha de Riesgo para si mismo")</f>
        <v>Sospecha de Riesgo para si mismo</v>
      </c>
    </row>
    <row r="241">
      <c r="A241" s="16" t="str">
        <f>IFERROR(__xludf.DUMMYFUNCTION("""COMPUTED_VALUE"""),"Sospecha enfermedad o condición grave no tratada")</f>
        <v>Sospecha enfermedad o condición grave no tratada</v>
      </c>
    </row>
    <row r="242">
      <c r="A242" s="16" t="str">
        <f>IFERROR(__xludf.DUMMYFUNCTION("""COMPUTED_VALUE"""),"Ademas de la Escuela, ¿Realizas otras actividades fuera del hogar?")</f>
        <v>Ademas de la Escuela, ¿Realizas otras actividades fuera del hogar?</v>
      </c>
    </row>
    <row r="243">
      <c r="A243" s="16" t="str">
        <f>IFERROR(__xludf.DUMMYFUNCTION("""COMPUTED_VALUE"""),"SI la respuesta es SI, ¿Cuales?")</f>
        <v>SI la respuesta es SI, ¿Cuales?</v>
      </c>
    </row>
    <row r="244">
      <c r="A244" s="16" t="str">
        <f>IFERROR(__xludf.DUMMYFUNCTION("""COMPUTED_VALUE"""),"¿Realizás algún tipo de actividad física?")</f>
        <v>¿Realizás algún tipo de actividad física?</v>
      </c>
    </row>
    <row r="245">
      <c r="A245" s="16" t="str">
        <f>IFERROR(__xludf.DUMMYFUNCTION("""COMPUTED_VALUE"""),"¿Cuantas horas a la semana dedicas a la act. Física?")</f>
        <v>¿Cuantas horas a la semana dedicas a la act. Física?</v>
      </c>
    </row>
    <row r="246">
      <c r="A246" s="16" t="str">
        <f>IFERROR(__xludf.DUMMYFUNCTION("""COMPUTED_VALUE"""),"¿Trabajaste el último mes a cambio de plata?")</f>
        <v>¿Trabajaste el último mes a cambio de plata?</v>
      </c>
    </row>
    <row r="247">
      <c r="A247" s="16" t="str">
        <f>IFERROR(__xludf.DUMMYFUNCTION("""COMPUTED_VALUE"""),"Si trabajaste ¿De que trabajaste?")</f>
        <v>Si trabajaste ¿De que trabajaste?</v>
      </c>
    </row>
    <row r="248">
      <c r="A248" s="16" t="str">
        <f>IFERROR(__xludf.DUMMYFUNCTION("""COMPUTED_VALUE"""),"Si trabajaste, ¿Para que usas el dinero ganado? ")</f>
        <v>Si trabajaste, ¿Para que usas el dinero ganado? </v>
      </c>
    </row>
    <row r="249">
      <c r="A249" s="16" t="str">
        <f>IFERROR(__xludf.DUMMYFUNCTION("""COMPUTED_VALUE"""),"Si trabajaste, ¿Cuántas horas a la semana le dedicas al trabajo?")</f>
        <v>Si trabajaste, ¿Cuántas horas a la semana le dedicas al trabajo?</v>
      </c>
    </row>
    <row r="250">
      <c r="A250" s="16" t="str">
        <f>IFERROR(__xludf.DUMMYFUNCTION("""COMPUTED_VALUE"""),"Si trabaja. ¿El trabajo te saca tiempo para ir a la escuela o estudiar?")</f>
        <v>Si trabaja. ¿El trabajo te saca tiempo para ir a la escuela o estudiar?</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f>countif(filtrado!A2:A1000,TRUE)</f>
        <v>187</v>
      </c>
    </row>
    <row r="13">
      <c r="A13" s="3" t="s">
        <v>0</v>
      </c>
      <c r="B13" s="3" t="s">
        <v>1</v>
      </c>
      <c r="C13" s="3" t="s">
        <v>118</v>
      </c>
      <c r="D13" s="3" t="s">
        <v>178</v>
      </c>
      <c r="E13" s="3" t="s">
        <v>217</v>
      </c>
      <c r="F13" s="3" t="s">
        <v>184</v>
      </c>
      <c r="G13" s="3" t="s">
        <v>182</v>
      </c>
      <c r="H13" s="3" t="s">
        <v>6</v>
      </c>
      <c r="I13" s="3" t="s">
        <v>221</v>
      </c>
      <c r="J13" s="3" t="s">
        <v>195</v>
      </c>
      <c r="K13" s="3" t="s">
        <v>14</v>
      </c>
      <c r="L13" s="3" t="s">
        <v>233</v>
      </c>
      <c r="M13" s="3" t="s">
        <v>10</v>
      </c>
      <c r="N13" s="3" t="s">
        <v>11</v>
      </c>
      <c r="O13" s="3" t="s">
        <v>192</v>
      </c>
      <c r="P13" s="3" t="s">
        <v>134</v>
      </c>
      <c r="Q13" s="3" t="s">
        <v>178</v>
      </c>
      <c r="R13" s="3" t="s">
        <v>4</v>
      </c>
      <c r="S13" s="3" t="s">
        <v>184</v>
      </c>
      <c r="T13" s="3" t="s">
        <v>233</v>
      </c>
      <c r="U13" s="3" t="s">
        <v>6</v>
      </c>
      <c r="V13" s="3" t="s">
        <v>221</v>
      </c>
      <c r="W13" s="3" t="s">
        <v>12</v>
      </c>
      <c r="X13" s="3" t="s">
        <v>380</v>
      </c>
      <c r="Y13" s="3" t="s">
        <v>216</v>
      </c>
      <c r="Z13" s="3" t="s">
        <v>185</v>
      </c>
      <c r="AA13" s="3" t="s">
        <v>6</v>
      </c>
      <c r="AB13" s="3" t="s">
        <v>108</v>
      </c>
      <c r="AC13" s="3" t="s">
        <v>27</v>
      </c>
      <c r="AD13" s="3" t="s">
        <v>219</v>
      </c>
      <c r="AE13" s="3" t="s">
        <v>28</v>
      </c>
      <c r="AF13" s="3" t="s">
        <v>30</v>
      </c>
      <c r="AG13" s="3" t="s">
        <v>29</v>
      </c>
      <c r="AH13" s="3" t="s">
        <v>31</v>
      </c>
      <c r="AI13" s="3" t="s">
        <v>224</v>
      </c>
      <c r="AJ13" s="3" t="s">
        <v>32</v>
      </c>
      <c r="AK13" s="3" t="s">
        <v>191</v>
      </c>
      <c r="AL13" s="3" t="s">
        <v>110</v>
      </c>
      <c r="AM13" s="3" t="s">
        <v>234</v>
      </c>
      <c r="AN13" s="3" t="s">
        <v>181</v>
      </c>
      <c r="AO13" s="3" t="s">
        <v>109</v>
      </c>
      <c r="AP13" s="3" t="s">
        <v>121</v>
      </c>
      <c r="AQ13" s="3" t="s">
        <v>122</v>
      </c>
      <c r="AR13" s="3" t="s">
        <v>123</v>
      </c>
      <c r="AS13" s="3" t="s">
        <v>120</v>
      </c>
      <c r="AT13" s="3" t="s">
        <v>403</v>
      </c>
      <c r="AU13" s="3" t="s">
        <v>228</v>
      </c>
      <c r="AV13" s="3" t="s">
        <v>229</v>
      </c>
      <c r="AW13" s="3" t="s">
        <v>230</v>
      </c>
      <c r="AX13" s="3" t="s">
        <v>162</v>
      </c>
      <c r="AY13" s="3" t="s">
        <v>139</v>
      </c>
      <c r="AZ13" s="3" t="s">
        <v>157</v>
      </c>
      <c r="BA13" s="3" t="s">
        <v>158</v>
      </c>
      <c r="BB13" s="3" t="s">
        <v>227</v>
      </c>
      <c r="BC13" s="3" t="s">
        <v>141</v>
      </c>
      <c r="BD13" s="3" t="s">
        <v>226</v>
      </c>
      <c r="BE13" s="3" t="s">
        <v>144</v>
      </c>
      <c r="BF13" s="3" t="s">
        <v>154</v>
      </c>
      <c r="BG13" s="3" t="s">
        <v>147</v>
      </c>
      <c r="BH13" s="3" t="s">
        <v>152</v>
      </c>
      <c r="BI13" s="3" t="s">
        <v>153</v>
      </c>
      <c r="BJ13" s="3" t="s">
        <v>145</v>
      </c>
      <c r="BK13" s="3" t="s">
        <v>146</v>
      </c>
      <c r="BL13" s="3" t="s">
        <v>150</v>
      </c>
      <c r="BM13" s="3" t="s">
        <v>149</v>
      </c>
      <c r="BN13" s="3" t="s">
        <v>148</v>
      </c>
      <c r="BO13" s="3" t="s">
        <v>159</v>
      </c>
      <c r="BP13" s="3" t="s">
        <v>142</v>
      </c>
      <c r="BQ13" s="3" t="s">
        <v>112</v>
      </c>
      <c r="BR13" s="3" t="s">
        <v>160</v>
      </c>
      <c r="BS13" s="3" t="s">
        <v>380</v>
      </c>
      <c r="BT13" s="3" t="s">
        <v>216</v>
      </c>
      <c r="BU13" s="3" t="s">
        <v>432</v>
      </c>
      <c r="BV13" s="3" t="s">
        <v>434</v>
      </c>
      <c r="BW13" s="3" t="s">
        <v>108</v>
      </c>
      <c r="BX13" s="3" t="s">
        <v>27</v>
      </c>
      <c r="BY13" s="3" t="s">
        <v>219</v>
      </c>
      <c r="BZ13" s="3" t="s">
        <v>28</v>
      </c>
      <c r="CA13" s="3" t="s">
        <v>30</v>
      </c>
      <c r="CB13" s="3" t="s">
        <v>29</v>
      </c>
      <c r="CC13" s="3" t="s">
        <v>31</v>
      </c>
      <c r="CD13" s="3" t="s">
        <v>224</v>
      </c>
      <c r="CE13" s="3" t="s">
        <v>32</v>
      </c>
      <c r="CF13" s="3" t="s">
        <v>191</v>
      </c>
      <c r="CG13" s="3" t="s">
        <v>110</v>
      </c>
      <c r="CH13" s="3" t="s">
        <v>234</v>
      </c>
      <c r="CI13" s="3" t="s">
        <v>181</v>
      </c>
      <c r="CJ13" s="3" t="s">
        <v>109</v>
      </c>
      <c r="CK13" s="3" t="s">
        <v>121</v>
      </c>
      <c r="CL13" s="3" t="s">
        <v>122</v>
      </c>
      <c r="CM13" s="3" t="s">
        <v>123</v>
      </c>
      <c r="CN13" s="3" t="s">
        <v>120</v>
      </c>
      <c r="CO13" s="3" t="s">
        <v>403</v>
      </c>
      <c r="CP13" s="3" t="s">
        <v>228</v>
      </c>
      <c r="CQ13" s="3" t="s">
        <v>229</v>
      </c>
      <c r="CR13" s="3" t="s">
        <v>230</v>
      </c>
      <c r="CS13" s="3" t="s">
        <v>162</v>
      </c>
      <c r="CT13" s="3" t="s">
        <v>139</v>
      </c>
      <c r="CU13" s="3" t="s">
        <v>157</v>
      </c>
      <c r="CV13" s="3" t="s">
        <v>158</v>
      </c>
      <c r="CW13" s="3" t="s">
        <v>227</v>
      </c>
      <c r="CX13" s="3" t="s">
        <v>141</v>
      </c>
      <c r="CY13" s="3" t="s">
        <v>226</v>
      </c>
      <c r="CZ13" s="3" t="s">
        <v>144</v>
      </c>
      <c r="DA13" s="3" t="s">
        <v>154</v>
      </c>
      <c r="DB13" s="3" t="s">
        <v>147</v>
      </c>
      <c r="DC13" s="3" t="s">
        <v>152</v>
      </c>
      <c r="DD13" s="3" t="s">
        <v>153</v>
      </c>
      <c r="DE13" s="3" t="s">
        <v>145</v>
      </c>
      <c r="DF13" s="3" t="s">
        <v>146</v>
      </c>
      <c r="DG13" s="3" t="s">
        <v>150</v>
      </c>
      <c r="DH13" s="3" t="s">
        <v>149</v>
      </c>
      <c r="DI13" s="3" t="s">
        <v>148</v>
      </c>
      <c r="DJ13" s="3" t="s">
        <v>159</v>
      </c>
      <c r="DK13" s="3" t="s">
        <v>142</v>
      </c>
      <c r="DL13" s="3" t="s">
        <v>112</v>
      </c>
      <c r="DM13" s="3" t="s">
        <v>160</v>
      </c>
      <c r="DN13" s="3" t="s">
        <v>380</v>
      </c>
      <c r="DO13" s="3" t="s">
        <v>216</v>
      </c>
      <c r="DP13" s="3" t="s">
        <v>432</v>
      </c>
      <c r="DQ13" s="3" t="s">
        <v>434</v>
      </c>
      <c r="DR13" s="3" t="s">
        <v>108</v>
      </c>
      <c r="DS13" s="3" t="s">
        <v>27</v>
      </c>
      <c r="DT13" s="3" t="s">
        <v>219</v>
      </c>
      <c r="DU13" s="3" t="s">
        <v>28</v>
      </c>
      <c r="DV13" s="3" t="s">
        <v>30</v>
      </c>
      <c r="DW13" s="3" t="s">
        <v>29</v>
      </c>
      <c r="DX13" s="3" t="s">
        <v>31</v>
      </c>
      <c r="DY13" s="3" t="s">
        <v>224</v>
      </c>
      <c r="DZ13" s="3" t="s">
        <v>32</v>
      </c>
      <c r="EA13" s="3" t="s">
        <v>191</v>
      </c>
      <c r="EB13" s="3" t="s">
        <v>110</v>
      </c>
      <c r="EC13" s="3" t="s">
        <v>234</v>
      </c>
      <c r="ED13" s="3" t="s">
        <v>181</v>
      </c>
      <c r="EE13" s="3" t="s">
        <v>109</v>
      </c>
      <c r="EF13" s="3" t="s">
        <v>121</v>
      </c>
      <c r="EG13" s="3" t="s">
        <v>122</v>
      </c>
      <c r="EH13" s="3" t="s">
        <v>123</v>
      </c>
      <c r="EI13" s="3" t="s">
        <v>120</v>
      </c>
      <c r="EJ13" s="3" t="s">
        <v>403</v>
      </c>
      <c r="EK13" s="3" t="s">
        <v>228</v>
      </c>
      <c r="EL13" s="3" t="s">
        <v>229</v>
      </c>
      <c r="EM13" s="3" t="s">
        <v>230</v>
      </c>
      <c r="EN13" s="3" t="s">
        <v>162</v>
      </c>
      <c r="EO13" s="3" t="s">
        <v>139</v>
      </c>
      <c r="EP13" s="3" t="s">
        <v>157</v>
      </c>
      <c r="EQ13" s="3" t="s">
        <v>158</v>
      </c>
      <c r="ER13" s="3" t="s">
        <v>227</v>
      </c>
      <c r="ES13" s="3" t="s">
        <v>141</v>
      </c>
      <c r="ET13" s="3" t="s">
        <v>226</v>
      </c>
      <c r="EU13" s="3" t="s">
        <v>144</v>
      </c>
      <c r="EV13" s="3" t="s">
        <v>154</v>
      </c>
      <c r="EW13" s="3" t="s">
        <v>147</v>
      </c>
      <c r="EX13" s="3" t="s">
        <v>152</v>
      </c>
      <c r="EY13" s="3" t="s">
        <v>153</v>
      </c>
      <c r="EZ13" s="3" t="s">
        <v>145</v>
      </c>
      <c r="FA13" s="3" t="s">
        <v>146</v>
      </c>
      <c r="FB13" s="3" t="s">
        <v>150</v>
      </c>
      <c r="FC13" s="3" t="s">
        <v>149</v>
      </c>
      <c r="FD13" s="3" t="s">
        <v>148</v>
      </c>
      <c r="FE13" s="3" t="s">
        <v>159</v>
      </c>
      <c r="FF13" s="3" t="s">
        <v>142</v>
      </c>
      <c r="FG13" s="3" t="s">
        <v>112</v>
      </c>
      <c r="FH13" s="3" t="s">
        <v>160</v>
      </c>
      <c r="FI13" s="3" t="s">
        <v>380</v>
      </c>
      <c r="FJ13" s="3" t="s">
        <v>216</v>
      </c>
      <c r="FK13" s="3" t="s">
        <v>432</v>
      </c>
      <c r="FL13" s="3" t="s">
        <v>434</v>
      </c>
      <c r="FM13" s="3" t="s">
        <v>108</v>
      </c>
      <c r="FN13" s="3" t="s">
        <v>27</v>
      </c>
      <c r="FO13" s="3" t="s">
        <v>219</v>
      </c>
      <c r="FP13" s="3" t="s">
        <v>28</v>
      </c>
      <c r="FQ13" s="3" t="s">
        <v>30</v>
      </c>
      <c r="FR13" s="3" t="s">
        <v>29</v>
      </c>
      <c r="FS13" s="3" t="s">
        <v>31</v>
      </c>
      <c r="FT13" s="3" t="s">
        <v>224</v>
      </c>
      <c r="FU13" s="3" t="s">
        <v>32</v>
      </c>
      <c r="FV13" s="3" t="s">
        <v>191</v>
      </c>
      <c r="FW13" s="3" t="s">
        <v>110</v>
      </c>
      <c r="FX13" s="3" t="s">
        <v>234</v>
      </c>
      <c r="FY13" s="3" t="s">
        <v>181</v>
      </c>
      <c r="FZ13" s="3" t="s">
        <v>109</v>
      </c>
      <c r="GA13" s="3" t="s">
        <v>121</v>
      </c>
      <c r="GB13" s="3" t="s">
        <v>122</v>
      </c>
      <c r="GC13" s="3" t="s">
        <v>123</v>
      </c>
      <c r="GD13" s="3" t="s">
        <v>120</v>
      </c>
      <c r="GE13" s="3" t="s">
        <v>403</v>
      </c>
      <c r="GF13" s="3" t="s">
        <v>228</v>
      </c>
      <c r="GG13" s="3" t="s">
        <v>229</v>
      </c>
      <c r="GH13" s="3" t="s">
        <v>230</v>
      </c>
      <c r="GI13" s="3" t="s">
        <v>162</v>
      </c>
      <c r="GJ13" s="3" t="s">
        <v>139</v>
      </c>
      <c r="GK13" s="3" t="s">
        <v>157</v>
      </c>
      <c r="GL13" s="3" t="s">
        <v>158</v>
      </c>
      <c r="GM13" s="3" t="s">
        <v>227</v>
      </c>
      <c r="GN13" s="3" t="s">
        <v>141</v>
      </c>
      <c r="GO13" s="3" t="s">
        <v>226</v>
      </c>
      <c r="GP13" s="3" t="s">
        <v>144</v>
      </c>
      <c r="GQ13" s="3" t="s">
        <v>154</v>
      </c>
      <c r="GR13" s="3" t="s">
        <v>147</v>
      </c>
      <c r="GS13" s="3" t="s">
        <v>152</v>
      </c>
      <c r="GT13" s="3" t="s">
        <v>153</v>
      </c>
      <c r="GU13" s="3" t="s">
        <v>145</v>
      </c>
      <c r="GV13" s="3" t="s">
        <v>146</v>
      </c>
      <c r="GW13" s="3" t="s">
        <v>150</v>
      </c>
      <c r="GX13" s="3" t="s">
        <v>149</v>
      </c>
      <c r="GY13" s="3" t="s">
        <v>148</v>
      </c>
      <c r="GZ13" s="3" t="s">
        <v>159</v>
      </c>
      <c r="HA13" s="3" t="s">
        <v>142</v>
      </c>
      <c r="HB13" s="3" t="s">
        <v>112</v>
      </c>
      <c r="HC13" s="3" t="s">
        <v>160</v>
      </c>
      <c r="HD13" s="3" t="s">
        <v>380</v>
      </c>
      <c r="HE13" s="3" t="s">
        <v>216</v>
      </c>
      <c r="HF13" s="3" t="s">
        <v>432</v>
      </c>
      <c r="HG13" s="3" t="s">
        <v>434</v>
      </c>
      <c r="HH13" s="3" t="s">
        <v>108</v>
      </c>
      <c r="HI13" s="3" t="s">
        <v>27</v>
      </c>
      <c r="HJ13" s="3" t="s">
        <v>219</v>
      </c>
      <c r="HK13" s="3" t="s">
        <v>28</v>
      </c>
      <c r="HL13" s="3" t="s">
        <v>30</v>
      </c>
      <c r="HM13" s="3" t="s">
        <v>29</v>
      </c>
      <c r="HN13" s="3" t="s">
        <v>31</v>
      </c>
      <c r="HO13" s="3" t="s">
        <v>224</v>
      </c>
      <c r="HP13" s="3" t="s">
        <v>32</v>
      </c>
      <c r="HQ13" s="3" t="s">
        <v>191</v>
      </c>
      <c r="HR13" s="3" t="s">
        <v>110</v>
      </c>
      <c r="HS13" s="3" t="s">
        <v>234</v>
      </c>
      <c r="HT13" s="3" t="s">
        <v>181</v>
      </c>
      <c r="HU13" s="3" t="s">
        <v>109</v>
      </c>
      <c r="HV13" s="3" t="s">
        <v>121</v>
      </c>
      <c r="HW13" s="3" t="s">
        <v>122</v>
      </c>
      <c r="HX13" s="3" t="s">
        <v>123</v>
      </c>
      <c r="HY13" s="3" t="s">
        <v>120</v>
      </c>
      <c r="HZ13" s="3" t="s">
        <v>403</v>
      </c>
      <c r="IA13" s="3" t="s">
        <v>228</v>
      </c>
      <c r="IB13" s="3" t="s">
        <v>229</v>
      </c>
      <c r="IC13" s="3" t="s">
        <v>230</v>
      </c>
      <c r="ID13" s="3" t="s">
        <v>162</v>
      </c>
      <c r="IE13" s="3" t="s">
        <v>139</v>
      </c>
      <c r="IF13" s="3" t="s">
        <v>157</v>
      </c>
      <c r="IG13" s="3" t="s">
        <v>158</v>
      </c>
      <c r="IH13" s="3" t="s">
        <v>227</v>
      </c>
      <c r="II13" s="3" t="s">
        <v>141</v>
      </c>
      <c r="IJ13" s="3" t="s">
        <v>226</v>
      </c>
      <c r="IK13" s="3" t="s">
        <v>144</v>
      </c>
      <c r="IL13" s="3" t="s">
        <v>154</v>
      </c>
      <c r="IM13" s="3" t="s">
        <v>147</v>
      </c>
      <c r="IN13" s="3" t="s">
        <v>152</v>
      </c>
      <c r="IO13" s="3" t="s">
        <v>153</v>
      </c>
      <c r="IP13" s="3" t="s">
        <v>145</v>
      </c>
      <c r="IQ13" s="3" t="s">
        <v>146</v>
      </c>
      <c r="IR13" s="3" t="s">
        <v>150</v>
      </c>
      <c r="IS13" s="3" t="s">
        <v>149</v>
      </c>
      <c r="IT13" s="3" t="s">
        <v>148</v>
      </c>
      <c r="IU13" s="3" t="s">
        <v>159</v>
      </c>
      <c r="IV13" s="3" t="s">
        <v>142</v>
      </c>
      <c r="IW13" s="3" t="s">
        <v>112</v>
      </c>
      <c r="IX13" s="3" t="s">
        <v>160</v>
      </c>
      <c r="IY13" s="3" t="s">
        <v>380</v>
      </c>
      <c r="IZ13" s="3" t="s">
        <v>216</v>
      </c>
      <c r="JA13" s="3" t="s">
        <v>432</v>
      </c>
      <c r="JB13" s="3" t="s">
        <v>434</v>
      </c>
      <c r="JC13" s="3" t="s">
        <v>108</v>
      </c>
      <c r="JD13" s="3" t="s">
        <v>27</v>
      </c>
      <c r="JE13" s="3" t="s">
        <v>219</v>
      </c>
      <c r="JF13" s="3" t="s">
        <v>28</v>
      </c>
      <c r="JG13" s="3" t="s">
        <v>30</v>
      </c>
      <c r="JH13" s="3" t="s">
        <v>29</v>
      </c>
      <c r="JI13" s="3" t="s">
        <v>31</v>
      </c>
      <c r="JJ13" s="3" t="s">
        <v>224</v>
      </c>
      <c r="JK13" s="3" t="s">
        <v>32</v>
      </c>
      <c r="JL13" s="3" t="s">
        <v>191</v>
      </c>
      <c r="JM13" s="3" t="s">
        <v>110</v>
      </c>
      <c r="JN13" s="3" t="s">
        <v>234</v>
      </c>
      <c r="JO13" s="3" t="s">
        <v>181</v>
      </c>
      <c r="JP13" s="3" t="s">
        <v>109</v>
      </c>
      <c r="JQ13" s="3" t="s">
        <v>121</v>
      </c>
      <c r="JR13" s="3" t="s">
        <v>122</v>
      </c>
      <c r="JS13" s="3" t="s">
        <v>123</v>
      </c>
      <c r="JT13" s="3" t="s">
        <v>120</v>
      </c>
      <c r="JU13" s="3" t="s">
        <v>403</v>
      </c>
      <c r="JV13" s="3" t="s">
        <v>228</v>
      </c>
      <c r="JW13" s="3" t="s">
        <v>229</v>
      </c>
      <c r="JX13" s="3" t="s">
        <v>230</v>
      </c>
      <c r="JY13" s="3" t="s">
        <v>162</v>
      </c>
      <c r="JZ13" s="3" t="s">
        <v>139</v>
      </c>
      <c r="KA13" s="3" t="s">
        <v>157</v>
      </c>
      <c r="KB13" s="3" t="s">
        <v>158</v>
      </c>
      <c r="KC13" s="3" t="s">
        <v>227</v>
      </c>
      <c r="KD13" s="3" t="s">
        <v>141</v>
      </c>
      <c r="KE13" s="3" t="s">
        <v>226</v>
      </c>
      <c r="KF13" s="3" t="s">
        <v>144</v>
      </c>
      <c r="KG13" s="3" t="s">
        <v>154</v>
      </c>
      <c r="KH13" s="3" t="s">
        <v>147</v>
      </c>
      <c r="KI13" s="3" t="s">
        <v>152</v>
      </c>
      <c r="KJ13" s="3" t="s">
        <v>153</v>
      </c>
      <c r="KK13" s="3" t="s">
        <v>145</v>
      </c>
      <c r="KL13" s="3" t="s">
        <v>146</v>
      </c>
      <c r="KM13" s="3" t="s">
        <v>150</v>
      </c>
      <c r="KN13" s="3" t="s">
        <v>149</v>
      </c>
      <c r="KO13" s="3" t="s">
        <v>148</v>
      </c>
      <c r="KP13" s="3" t="s">
        <v>159</v>
      </c>
      <c r="KQ13" s="3" t="s">
        <v>142</v>
      </c>
      <c r="KR13" s="3" t="s">
        <v>112</v>
      </c>
      <c r="KS13" s="3" t="s">
        <v>160</v>
      </c>
      <c r="KT13" s="3" t="s">
        <v>114</v>
      </c>
      <c r="KU13" s="3" t="s">
        <v>115</v>
      </c>
      <c r="KV13" s="3" t="s">
        <v>117</v>
      </c>
      <c r="KW13" s="3" t="s">
        <v>131</v>
      </c>
      <c r="KX13" s="3" t="s">
        <v>132</v>
      </c>
      <c r="KY13" s="3" t="s">
        <v>130</v>
      </c>
      <c r="KZ13" s="3" t="s">
        <v>133</v>
      </c>
      <c r="LA13" s="3" t="s">
        <v>129</v>
      </c>
      <c r="LB13" s="3" t="s">
        <v>199</v>
      </c>
      <c r="LC13" s="3" t="s">
        <v>202</v>
      </c>
      <c r="LD13" s="3" t="s">
        <v>200</v>
      </c>
      <c r="LE13" s="3" t="s">
        <v>201</v>
      </c>
      <c r="LF13" s="3" t="s">
        <v>203</v>
      </c>
      <c r="LG13" s="3" t="s">
        <v>204</v>
      </c>
      <c r="LH13" s="3" t="s">
        <v>197</v>
      </c>
      <c r="LI13" s="3" t="s">
        <v>196</v>
      </c>
      <c r="LJ13" s="3" t="s">
        <v>198</v>
      </c>
      <c r="LK13" s="3" t="s">
        <v>128</v>
      </c>
      <c r="LL13" s="3" t="s">
        <v>127</v>
      </c>
      <c r="LM13" s="3" t="s">
        <v>124</v>
      </c>
      <c r="LN13" s="3" t="s">
        <v>126</v>
      </c>
      <c r="LO13" s="3" t="s">
        <v>125</v>
      </c>
      <c r="LP13" s="3" t="s">
        <v>136</v>
      </c>
      <c r="LQ13" s="3" t="s">
        <v>163</v>
      </c>
      <c r="LR13" s="3" t="s">
        <v>138</v>
      </c>
      <c r="LS13" s="3" t="s">
        <v>207</v>
      </c>
      <c r="LT13" s="3" t="s">
        <v>208</v>
      </c>
      <c r="LU13" s="3" t="s">
        <v>211</v>
      </c>
      <c r="LV13" s="3" t="s">
        <v>210</v>
      </c>
      <c r="LW13" s="3" t="s">
        <v>209</v>
      </c>
      <c r="LX13" s="3" t="s">
        <v>206</v>
      </c>
      <c r="LY13" s="3" t="s">
        <v>205</v>
      </c>
      <c r="LZ13" s="3" t="s">
        <v>235</v>
      </c>
      <c r="MA13" s="3" t="s">
        <v>194</v>
      </c>
      <c r="MB13" s="3" t="s">
        <v>193</v>
      </c>
      <c r="MC13" s="3" t="s">
        <v>232</v>
      </c>
      <c r="MD13" s="3" t="s">
        <v>113</v>
      </c>
      <c r="ME13" s="3" t="s">
        <v>111</v>
      </c>
      <c r="MF13" s="3" t="s">
        <v>212</v>
      </c>
      <c r="MG13" s="3" t="s">
        <v>168</v>
      </c>
      <c r="MH13" s="3" t="s">
        <v>171</v>
      </c>
      <c r="MI13" s="3" t="s">
        <v>174</v>
      </c>
      <c r="MJ13" s="3" t="s">
        <v>173</v>
      </c>
      <c r="MK13" s="3" t="s">
        <v>172</v>
      </c>
      <c r="ML13" s="3" t="s">
        <v>170</v>
      </c>
      <c r="MM13" s="3" t="s">
        <v>169</v>
      </c>
      <c r="MN13" s="3" t="s">
        <v>167</v>
      </c>
      <c r="MO13" s="3" t="s">
        <v>175</v>
      </c>
      <c r="MP13" s="3" t="s">
        <v>176</v>
      </c>
      <c r="MQ13" s="3" t="s">
        <v>166</v>
      </c>
      <c r="MR13" s="3" t="s">
        <v>165</v>
      </c>
      <c r="MS13" s="3" t="s">
        <v>164</v>
      </c>
      <c r="MT13" s="3" t="s">
        <v>119</v>
      </c>
      <c r="MU13" s="3" t="s">
        <v>186</v>
      </c>
      <c r="MV13" s="3" t="s">
        <v>188</v>
      </c>
      <c r="MW13" s="3" t="s">
        <v>190</v>
      </c>
      <c r="MX13" s="3" t="s">
        <v>189</v>
      </c>
      <c r="MY13" s="3" t="s">
        <v>187</v>
      </c>
      <c r="MZ13" s="3" t="s">
        <v>183</v>
      </c>
      <c r="NA13" s="3" t="s">
        <v>161</v>
      </c>
      <c r="NB13" s="3" t="s">
        <v>231</v>
      </c>
      <c r="NC13" s="3" t="s">
        <v>137</v>
      </c>
      <c r="ND13" s="3" t="s">
        <v>218</v>
      </c>
      <c r="NE13" s="3" t="s">
        <v>215</v>
      </c>
      <c r="NF13" s="3" t="s">
        <v>140</v>
      </c>
      <c r="NG13" s="3" t="s">
        <v>220</v>
      </c>
      <c r="NH13" s="3" t="s">
        <v>225</v>
      </c>
      <c r="NI13" s="3" t="s">
        <v>135</v>
      </c>
      <c r="NJ13" s="3" t="s">
        <v>223</v>
      </c>
      <c r="NK13" s="3" t="s">
        <v>180</v>
      </c>
      <c r="NL13" s="3" t="s">
        <v>214</v>
      </c>
      <c r="NM13" s="3" t="s">
        <v>213</v>
      </c>
      <c r="NN13" s="3" t="s">
        <v>143</v>
      </c>
      <c r="NO13" s="3" t="s">
        <v>106</v>
      </c>
    </row>
    <row r="20">
      <c r="A20" s="3" t="s">
        <v>812</v>
      </c>
      <c r="B20" s="16" t="str">
        <f>join("; ",A20:A41)</f>
        <v>20 de Julio; 29 de Septiembre; Ana Terese Barthalot; C.I.C "Maria Lobato"; Camila Rolón; Cándido Castello; Rodolfo Podestá; Cura Brochero; Alberto Sabin; Federico Leloir; Suárez París; Raúl Matera; René Favaloro; Marta Antoniazzi; Padre Mora; Pte. Perón; Ramón Castillo; San Miguel Oeste; U.F.O (Manuelita); Hospital Público; Clínica Privada o Sanatorio; No asiste a instituciones de salud</v>
      </c>
    </row>
    <row r="21">
      <c r="A21" s="3" t="s">
        <v>813</v>
      </c>
    </row>
    <row r="22">
      <c r="A22" s="3" t="s">
        <v>814</v>
      </c>
    </row>
    <row r="23">
      <c r="A23" s="3" t="s">
        <v>815</v>
      </c>
    </row>
    <row r="24">
      <c r="A24" s="3" t="s">
        <v>816</v>
      </c>
    </row>
    <row r="25">
      <c r="A25" s="3" t="s">
        <v>817</v>
      </c>
    </row>
    <row r="26">
      <c r="A26" s="3" t="s">
        <v>818</v>
      </c>
    </row>
    <row r="27">
      <c r="A27" s="3" t="s">
        <v>819</v>
      </c>
    </row>
    <row r="28">
      <c r="A28" s="3" t="s">
        <v>820</v>
      </c>
    </row>
    <row r="29">
      <c r="A29" s="3" t="s">
        <v>821</v>
      </c>
    </row>
    <row r="30">
      <c r="A30" s="3" t="s">
        <v>822</v>
      </c>
    </row>
    <row r="31">
      <c r="A31" s="3" t="s">
        <v>823</v>
      </c>
    </row>
    <row r="32">
      <c r="A32" s="3" t="s">
        <v>824</v>
      </c>
    </row>
    <row r="33">
      <c r="A33" s="3" t="s">
        <v>825</v>
      </c>
    </row>
    <row r="34">
      <c r="A34" s="3" t="s">
        <v>826</v>
      </c>
    </row>
    <row r="35">
      <c r="A35" s="3" t="s">
        <v>827</v>
      </c>
    </row>
    <row r="36">
      <c r="A36" s="3" t="s">
        <v>828</v>
      </c>
    </row>
    <row r="37">
      <c r="A37" s="3" t="s">
        <v>829</v>
      </c>
    </row>
    <row r="38">
      <c r="A38" s="3" t="s">
        <v>830</v>
      </c>
    </row>
    <row r="39">
      <c r="A39" s="3" t="s">
        <v>831</v>
      </c>
    </row>
    <row r="40">
      <c r="A40" s="3" t="s">
        <v>832</v>
      </c>
    </row>
    <row r="41">
      <c r="A41" s="3" t="s">
        <v>833</v>
      </c>
    </row>
  </sheetData>
  <drawing r:id="rId1"/>
</worksheet>
</file>