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s_9zph160\Dropbox (Pessoal)\Customers\VeK\Docs\"/>
    </mc:Choice>
  </mc:AlternateContent>
  <bookViews>
    <workbookView xWindow="0" yWindow="0" windowWidth="23040" windowHeight="10572"/>
  </bookViews>
  <sheets>
    <sheet name="Proj GI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F6" i="1"/>
  <c r="J20" i="1"/>
  <c r="G5" i="1"/>
  <c r="H5" i="1" s="1"/>
  <c r="G7" i="1"/>
  <c r="H7" i="1" s="1"/>
  <c r="G8" i="1"/>
  <c r="H8" i="1" s="1"/>
  <c r="G9" i="1"/>
  <c r="H9" i="1" s="1"/>
  <c r="G10" i="1"/>
  <c r="H10" i="1" s="1"/>
  <c r="G11" i="1"/>
  <c r="H11" i="1" s="1"/>
  <c r="G13" i="1"/>
  <c r="G14" i="1"/>
  <c r="H14" i="1" s="1"/>
  <c r="G15" i="1"/>
  <c r="H15" i="1" s="1"/>
  <c r="G16" i="1"/>
  <c r="H16" i="1" s="1"/>
  <c r="G17" i="1"/>
  <c r="G18" i="1"/>
  <c r="H18" i="1" s="1"/>
  <c r="G19" i="1"/>
  <c r="H19" i="1" s="1"/>
  <c r="H13" i="1"/>
  <c r="H17" i="1"/>
  <c r="I5" i="1"/>
  <c r="C6" i="1" l="1"/>
  <c r="G6" i="1" s="1"/>
  <c r="H6" i="1" s="1"/>
  <c r="D6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5" i="1" l="1"/>
  <c r="F12" i="1"/>
  <c r="G12" i="1" s="1"/>
  <c r="H12" i="1" s="1"/>
  <c r="E5" i="1" l="1"/>
  <c r="C20" i="1"/>
  <c r="N5" i="1" l="1"/>
  <c r="M5" i="1"/>
  <c r="G20" i="1"/>
  <c r="F20" i="1" s="1"/>
  <c r="H20" i="1"/>
  <c r="D20" i="1"/>
  <c r="O5" i="1" l="1"/>
  <c r="I6" i="1" s="1"/>
  <c r="L6" i="1" l="1"/>
  <c r="K6" i="1" s="1"/>
  <c r="J6" i="1"/>
  <c r="E6" i="1" l="1"/>
  <c r="N6" i="1" l="1"/>
  <c r="M6" i="1"/>
  <c r="O6" i="1" l="1"/>
  <c r="I7" i="1" s="1"/>
  <c r="L7" i="1" l="1"/>
  <c r="K7" i="1" s="1"/>
  <c r="J7" i="1"/>
  <c r="E7" i="1"/>
  <c r="M7" i="1" l="1"/>
  <c r="O7" i="1" s="1"/>
  <c r="I8" i="1" s="1"/>
  <c r="L8" i="1" s="1"/>
  <c r="N7" i="1"/>
  <c r="K8" i="1" l="1"/>
  <c r="E8" i="1"/>
  <c r="J8" i="1"/>
  <c r="M8" i="1" l="1"/>
  <c r="O8" i="1" s="1"/>
  <c r="I9" i="1" s="1"/>
  <c r="N8" i="1"/>
  <c r="L9" i="1" l="1"/>
  <c r="K9" i="1" s="1"/>
  <c r="E9" i="1"/>
  <c r="J9" i="1"/>
  <c r="M9" i="1" l="1"/>
  <c r="N9" i="1"/>
  <c r="O9" i="1" l="1"/>
  <c r="I10" i="1" s="1"/>
  <c r="L10" i="1" s="1"/>
  <c r="E10" i="1" l="1"/>
  <c r="M10" i="1" s="1"/>
  <c r="K10" i="1"/>
  <c r="J10" i="1"/>
  <c r="N10" i="1" l="1"/>
  <c r="O10" i="1"/>
  <c r="I11" i="1" s="1"/>
  <c r="L11" i="1" l="1"/>
  <c r="K11" i="1" s="1"/>
  <c r="J11" i="1"/>
  <c r="E11" i="1"/>
  <c r="M11" i="1" s="1"/>
  <c r="O11" i="1" l="1"/>
  <c r="N11" i="1"/>
  <c r="I12" i="1" l="1"/>
  <c r="L12" i="1" s="1"/>
  <c r="K12" i="1" l="1"/>
  <c r="J12" i="1"/>
  <c r="E12" i="1"/>
  <c r="M12" i="1" s="1"/>
  <c r="O12" i="1" s="1"/>
  <c r="N12" i="1" l="1"/>
  <c r="I13" i="1"/>
  <c r="L13" i="1" s="1"/>
  <c r="J13" i="1" l="1"/>
  <c r="K13" i="1"/>
  <c r="E13" i="1"/>
  <c r="M13" i="1" s="1"/>
  <c r="N13" i="1" l="1"/>
  <c r="O13" i="1"/>
  <c r="I14" i="1"/>
  <c r="L14" i="1" s="1"/>
  <c r="J14" i="1" l="1"/>
  <c r="K14" i="1"/>
  <c r="E14" i="1"/>
  <c r="N14" i="1" s="1"/>
  <c r="M14" i="1" l="1"/>
  <c r="O14" i="1" l="1"/>
  <c r="I15" i="1" s="1"/>
  <c r="L15" i="1" l="1"/>
  <c r="K15" i="1" s="1"/>
  <c r="E15" i="1"/>
  <c r="N15" i="1" s="1"/>
  <c r="J15" i="1"/>
  <c r="M15" i="1" l="1"/>
  <c r="O15" i="1" s="1"/>
  <c r="I16" i="1" s="1"/>
  <c r="L16" i="1" l="1"/>
  <c r="K16" i="1" s="1"/>
  <c r="E16" i="1"/>
  <c r="M16" i="1" s="1"/>
  <c r="J16" i="1"/>
  <c r="N16" i="1" l="1"/>
  <c r="O16" i="1"/>
  <c r="I17" i="1"/>
  <c r="L17" i="1" l="1"/>
  <c r="K17" i="1" s="1"/>
  <c r="E17" i="1"/>
  <c r="J17" i="1"/>
  <c r="M17" i="1" l="1"/>
  <c r="O17" i="1" s="1"/>
  <c r="N17" i="1"/>
  <c r="I18" i="1" l="1"/>
  <c r="L18" i="1" l="1"/>
  <c r="K18" i="1" s="1"/>
  <c r="J18" i="1"/>
  <c r="E18" i="1"/>
  <c r="M18" i="1" l="1"/>
  <c r="O18" i="1" s="1"/>
  <c r="N18" i="1"/>
  <c r="I19" i="1" l="1"/>
  <c r="L19" i="1" l="1"/>
  <c r="K19" i="1" s="1"/>
  <c r="K20" i="1" s="1"/>
  <c r="E19" i="1"/>
  <c r="J19" i="1"/>
  <c r="I20" i="1"/>
  <c r="E20" i="1" l="1"/>
  <c r="L20" i="1"/>
  <c r="N19" i="1"/>
  <c r="N20" i="1" s="1"/>
  <c r="M19" i="1"/>
  <c r="O19" i="1" l="1"/>
  <c r="O20" i="1" s="1"/>
  <c r="M20" i="1"/>
</calcChain>
</file>

<file path=xl/sharedStrings.xml><?xml version="1.0" encoding="utf-8"?>
<sst xmlns="http://schemas.openxmlformats.org/spreadsheetml/2006/main" count="33" uniqueCount="33">
  <si>
    <t>Estudo de Estratégias de Branches</t>
  </si>
  <si>
    <t>Estudo da Versão Gráfica</t>
  </si>
  <si>
    <t>Estudo da Integração com Eclipse</t>
  </si>
  <si>
    <t>Etapas</t>
  </si>
  <si>
    <t>Estudo da Estrutura do GIT</t>
  </si>
  <si>
    <t>Ordem</t>
  </si>
  <si>
    <t>Total</t>
  </si>
  <si>
    <t>Duração (hh)</t>
  </si>
  <si>
    <t>Duração (dd)</t>
  </si>
  <si>
    <t>Horas de Trabalho por Dia:</t>
  </si>
  <si>
    <t>Restante (hh)</t>
  </si>
  <si>
    <t>Restante (dd)</t>
  </si>
  <si>
    <t>Ministração de Curso de GIT</t>
  </si>
  <si>
    <t>Preparação de Proposta de Branches</t>
  </si>
  <si>
    <t>Estudo dos Comandos do GIT</t>
  </si>
  <si>
    <t>Estudo e Comparação de GIT Hosting</t>
  </si>
  <si>
    <t>Preparação de Apresentação do GIT</t>
  </si>
  <si>
    <t>Configuração do GIT e GIT Hosting nos usuários</t>
  </si>
  <si>
    <t>Definição da Estrutura de Branches para VEK (reunião)</t>
  </si>
  <si>
    <t>Criação e Configuração da Estrutura VEK no GIT Hosting</t>
  </si>
  <si>
    <t>Importação e Testes do Subversion no GIT Hosting</t>
  </si>
  <si>
    <t>Estudo de Backup do Git Remoto</t>
  </si>
  <si>
    <t>Estudo de Backup do Git Local (Cloud)</t>
  </si>
  <si>
    <t>Data de Início</t>
  </si>
  <si>
    <t>Fim Previsto</t>
  </si>
  <si>
    <t>Fim Esperado</t>
  </si>
  <si>
    <t>Início Esperado</t>
  </si>
  <si>
    <t>% Previsto</t>
  </si>
  <si>
    <t>Hoje Esperado</t>
  </si>
  <si>
    <t>% Realizado</t>
  </si>
  <si>
    <t>Atraso (dd)</t>
  </si>
  <si>
    <t>Adiantado (dd)</t>
  </si>
  <si>
    <t>Dias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</si>
</sst>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9" fontId="0" fillId="0" borderId="0" xfId="2" applyFont="1"/>
    <xf numFmtId="164" fontId="0" fillId="0" borderId="0" xfId="0" applyNumberFormat="1"/>
    <xf numFmtId="43" fontId="0" fillId="0" borderId="0" xfId="1" applyFont="1"/>
    <xf numFmtId="20" fontId="2" fillId="2" borderId="1" xfId="3" applyNumberFormat="1"/>
    <xf numFmtId="43" fontId="0" fillId="0" borderId="0" xfId="0" applyNumberFormat="1" applyFont="1"/>
    <xf numFmtId="9" fontId="0" fillId="0" borderId="0" xfId="0" applyNumberFormat="1" applyFont="1"/>
    <xf numFmtId="164" fontId="0" fillId="0" borderId="0" xfId="2" applyNumberFormat="1" applyFont="1"/>
    <xf numFmtId="0" fontId="2" fillId="2" borderId="1" xfId="3" applyAlignment="1">
      <alignment horizontal="left"/>
    </xf>
    <xf numFmtId="14" fontId="2" fillId="2" borderId="1" xfId="3" applyNumberFormat="1"/>
    <xf numFmtId="14" fontId="0" fillId="0" borderId="0" xfId="0" applyNumberFormat="1"/>
    <xf numFmtId="43" fontId="0" fillId="0" borderId="0" xfId="0" applyNumberFormat="1"/>
    <xf numFmtId="43" fontId="1" fillId="0" borderId="0" xfId="1" applyNumberFormat="1" applyFon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24">
    <dxf>
      <numFmt numFmtId="19" formatCode="dd/mm/yyyy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4" formatCode="[h]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4" formatCode="[h]:mm"/>
    </dxf>
    <dxf>
      <numFmt numFmtId="19" formatCode="dd/mm/yyyy"/>
    </dxf>
    <dxf>
      <numFmt numFmtId="35" formatCode="_-* #,##0.00_-;\-* #,##0.00_-;_-* &quot;-&quot;??_-;_-@_-"/>
    </dxf>
    <dxf>
      <numFmt numFmtId="19" formatCode="dd/mm/yyyy"/>
    </dxf>
    <dxf>
      <numFmt numFmtId="19" formatCode="dd/mm/yyyy"/>
    </dxf>
    <dxf>
      <numFmt numFmtId="164" formatCode="[h]:mm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9" formatCode="dd/mm/yyyy"/>
    </dxf>
    <dxf>
      <numFmt numFmtId="35" formatCode="_-* #,##0.00_-;\-* #,##0.00_-;_-* &quot;-&quot;??_-;_-@_-"/>
    </dxf>
    <dxf>
      <numFmt numFmtId="164" formatCode="[h]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O20" totalsRowCount="1">
  <sortState ref="A5:H19">
    <sortCondition ref="A18"/>
  </sortState>
  <tableColumns count="15">
    <tableColumn id="4" name="Ordem" totalsRowLabel="Total"/>
    <tableColumn id="1" name="Etapas"/>
    <tableColumn id="2" name="Duração (hh)" totalsRowFunction="sum" dataDxfId="23" totalsRowDxfId="12"/>
    <tableColumn id="7" name="Duração (dd)" totalsRowFunction="sum" dataDxfId="22" totalsRowDxfId="11" dataCellStyle="Comma">
      <calculatedColumnFormula xml:space="preserve"> Table1[[#This Row],[Duração (hh)]] / $C$1</calculatedColumnFormula>
    </tableColumn>
    <tableColumn id="14" name="% Previsto" totalsRowFunction="average" dataDxfId="20" totalsRowDxfId="10" dataCellStyle="Percent">
      <calculatedColumnFormula xml:space="preserve"> IF( TODAY() &lt; Table1[[#This Row],[Início Esperado]], 0, IF( TODAY() &gt; Table1[[#This Row],[Fim Esperado]], 1, ( TODAY() - Table1[[#This Row],[Início Esperado]] ) / ( Table1[[#This Row],[Fim Esperado]] - Table1[[#This Row],[Início Esperado]] ) ) )</calculatedColumnFormula>
    </tableColumn>
    <tableColumn id="3" name="% Realizado" totalsRowFunction="custom" totalsRowDxfId="9" dataCellStyle="Percent">
      <totalsRowFormula xml:space="preserve">  IFERROR( 1 - Table1[[#Totals], [Restante (hh)]] / Table1[[#Totals], [Duração (hh)]], 0 )</totalsRowFormula>
    </tableColumn>
    <tableColumn id="5" name="Restante (hh)" totalsRowFunction="sum" dataDxfId="17" totalsRowDxfId="8">
      <calculatedColumnFormula xml:space="preserve"> Table1[[#This Row],[Duração (hh)]] * ( 1 - Table1[[#This Row],[% Realizado]] )</calculatedColumnFormula>
    </tableColumn>
    <tableColumn id="8" name="Restante (dd)" totalsRowFunction="sum" dataDxfId="18" totalsRowDxfId="7" dataCellStyle="Comma">
      <calculatedColumnFormula xml:space="preserve"> Table1[[#This Row],[Restante (hh)]] / $C$1</calculatedColumnFormula>
    </tableColumn>
    <tableColumn id="6" name="Início Esperado" totalsRowFunction="min" dataDxfId="21" totalsRowDxfId="6">
      <calculatedColumnFormula xml:space="preserve"> IF( ISNUMBER($O4),$O4,$C$2)</calculatedColumnFormula>
    </tableColumn>
    <tableColumn id="13" name="Hoje Esperado" totalsRowFunction="custom" dataDxfId="15" totalsRowDxfId="5">
      <calculatedColumnFormula xml:space="preserve"> WORKDAY( Table1[[#This Row],[Início Esperado]], Table1[[#This Row],[% Realizado]] * ROUNDUP(Table1[[#This Row],[Duração (dd)]], 0 ) )</calculatedColumnFormula>
      <totalsRowFormula>TODAY()</totalsRowFormula>
    </tableColumn>
    <tableColumn id="18" name="Dias Esperado" totalsRowFunction="sum" dataDxfId="14" totalsRowDxfId="4" dataCellStyle="Comma" totalsRowCellStyle="Comma">
      <calculatedColumnFormula xml:space="preserve"> Table1[[#This Row],[Fim Esperado]] - Table1[[#This Row],[Início Esperado]]</calculatedColumnFormula>
    </tableColumn>
    <tableColumn id="15" name="Fim Esperado" totalsRowFunction="max" dataDxfId="13" totalsRowDxfId="3">
      <calculatedColumnFormula xml:space="preserve"> WORKDAY( Table1[[#This Row],[Início Esperado]], ROUNDUP( Table1[[#This Row],[Duração (dd)]], 0 ) )</calculatedColumnFormula>
    </tableColumn>
    <tableColumn id="16" name="Atraso (dd)" totalsRowFunction="max" totalsRowDxfId="2" dataCellStyle="Comma">
      <calculatedColumnFormula xml:space="preserve"> IF( Table1[[#This Row],[% Realizado]] &lt; Table1[[#This Row],[% Previsto]], TODAY() - Table1[[#This Row],[Hoje Esperado]], 0 )</calculatedColumnFormula>
    </tableColumn>
    <tableColumn id="17" name="Adiantado (dd)" totalsRowFunction="max" dataDxfId="19" totalsRowDxfId="1" dataCellStyle="Comma">
      <calculatedColumnFormula xml:space="preserve"> IF(  Table1[[#This Row],[% Previsto]] &lt; Table1[[#This Row],[% Realizado]], Table1[[#This Row],[Hoje Esperado]] - TODAY(), 0 )</calculatedColumnFormula>
    </tableColumn>
    <tableColumn id="9" name="Fim Previsto" totalsRowFunction="max" dataDxfId="16" totalsRowDxfId="0">
      <calculatedColumnFormula xml:space="preserve"> Table1[[#This Row],[Fim Esperado]] + Table1[[#This Row],[Atraso (dd)]]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tabSelected="1" workbookViewId="0">
      <selection activeCell="K13" sqref="K13"/>
    </sheetView>
  </sheetViews>
  <sheetFormatPr defaultRowHeight="14.4" x14ac:dyDescent="0.3"/>
  <cols>
    <col min="1" max="1" width="6.77734375" bestFit="1" customWidth="1"/>
    <col min="2" max="2" width="47.21875" bestFit="1" customWidth="1"/>
    <col min="3" max="3" width="12" bestFit="1" customWidth="1"/>
    <col min="4" max="4" width="13.44140625" style="3" bestFit="1" customWidth="1"/>
    <col min="5" max="5" width="9.6640625" style="1" bestFit="1" customWidth="1"/>
    <col min="6" max="6" width="10.88671875" style="1" bestFit="1" customWidth="1"/>
    <col min="7" max="7" width="12.33203125" style="1" bestFit="1" customWidth="1"/>
    <col min="8" max="8" width="13.77734375" style="3" bestFit="1" customWidth="1"/>
    <col min="9" max="9" width="13.88671875" style="10" bestFit="1" customWidth="1"/>
    <col min="10" max="10" width="13.21875" style="10" hidden="1" customWidth="1"/>
    <col min="11" max="11" width="14.109375" style="3" bestFit="1" customWidth="1"/>
    <col min="12" max="12" width="12.21875" style="10" bestFit="1" customWidth="1"/>
    <col min="13" max="13" width="11.77734375" bestFit="1" customWidth="1"/>
    <col min="14" max="14" width="15.21875" style="3" bestFit="1" customWidth="1"/>
    <col min="15" max="15" width="11.21875" style="3" bestFit="1" customWidth="1"/>
    <col min="16" max="16" width="10.5546875" bestFit="1" customWidth="1"/>
    <col min="18" max="18" width="5" style="10" bestFit="1" customWidth="1"/>
  </cols>
  <sheetData>
    <row r="1" spans="1:18" x14ac:dyDescent="0.3">
      <c r="A1" s="8" t="s">
        <v>9</v>
      </c>
      <c r="B1" s="8"/>
      <c r="C1" s="4">
        <v>0.20833333333333334</v>
      </c>
      <c r="M1" s="3"/>
      <c r="O1" s="10"/>
      <c r="R1"/>
    </row>
    <row r="2" spans="1:18" x14ac:dyDescent="0.3">
      <c r="A2" s="8" t="s">
        <v>23</v>
      </c>
      <c r="B2" s="8"/>
      <c r="C2" s="9">
        <v>42940</v>
      </c>
      <c r="M2" s="3"/>
      <c r="O2" s="10"/>
      <c r="R2"/>
    </row>
    <row r="3" spans="1:18" x14ac:dyDescent="0.3">
      <c r="M3" s="3"/>
      <c r="O3" s="10"/>
      <c r="R3"/>
    </row>
    <row r="4" spans="1:18" x14ac:dyDescent="0.3">
      <c r="A4" t="s">
        <v>5</v>
      </c>
      <c r="B4" t="s">
        <v>3</v>
      </c>
      <c r="C4" s="2" t="s">
        <v>7</v>
      </c>
      <c r="D4" s="3" t="s">
        <v>8</v>
      </c>
      <c r="E4" s="1" t="s">
        <v>27</v>
      </c>
      <c r="F4" s="1" t="s">
        <v>29</v>
      </c>
      <c r="G4" s="2" t="s">
        <v>10</v>
      </c>
      <c r="H4" s="3" t="s">
        <v>11</v>
      </c>
      <c r="I4" s="10" t="s">
        <v>26</v>
      </c>
      <c r="J4" s="10" t="s">
        <v>28</v>
      </c>
      <c r="K4" s="3" t="s">
        <v>32</v>
      </c>
      <c r="L4" s="10" t="s">
        <v>25</v>
      </c>
      <c r="M4" s="3" t="s">
        <v>30</v>
      </c>
      <c r="N4" s="3" t="s">
        <v>31</v>
      </c>
      <c r="O4" s="10" t="s">
        <v>24</v>
      </c>
      <c r="R4"/>
    </row>
    <row r="5" spans="1:18" x14ac:dyDescent="0.3">
      <c r="A5">
        <v>1</v>
      </c>
      <c r="B5" t="s">
        <v>4</v>
      </c>
      <c r="C5" s="2">
        <v>0.66666666666666663</v>
      </c>
      <c r="D5" s="3">
        <f xml:space="preserve"> Table1[[#This Row],[Duração (hh)]] / $C$1</f>
        <v>3.1999999999999997</v>
      </c>
      <c r="E5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1</v>
      </c>
      <c r="F5" s="1">
        <v>1</v>
      </c>
      <c r="G5" s="2">
        <f xml:space="preserve"> Table1[[#This Row],[Duração (hh)]] * ( 1 - Table1[[#This Row],[% Realizado]] )</f>
        <v>0</v>
      </c>
      <c r="H5" s="3">
        <f xml:space="preserve"> Table1[[#This Row],[Restante (hh)]] / $C$1</f>
        <v>0</v>
      </c>
      <c r="I5" s="10">
        <f xml:space="preserve"> IF( ISNUMBER($O4),$O4,$C$2)</f>
        <v>42940</v>
      </c>
      <c r="J5" s="10">
        <f xml:space="preserve"> WORKDAY( Table1[[#This Row],[Início Esperado]], Table1[[#This Row],[% Realizado]] * ROUNDUP(Table1[[#This Row],[Duração (dd)]], 0 ) )</f>
        <v>42944</v>
      </c>
      <c r="K5" s="3">
        <f xml:space="preserve"> Table1[[#This Row],[Fim Esperado]] - Table1[[#This Row],[Início Esperado]]</f>
        <v>4</v>
      </c>
      <c r="L5" s="10">
        <f xml:space="preserve"> WORKDAY( Table1[[#This Row],[Início Esperado]], ROUNDUP( Table1[[#This Row],[Duração (dd)]], 0 ) )</f>
        <v>42944</v>
      </c>
      <c r="M5" s="3">
        <f ca="1" xml:space="preserve"> IF( Table1[[#This Row],[% Realizado]] &lt; Table1[[#This Row],[% Previsto]], TODAY() - Table1[[#This Row],[Hoje Esperado]], 0 )</f>
        <v>0</v>
      </c>
      <c r="N5" s="3">
        <f ca="1" xml:space="preserve"> IF(  Table1[[#This Row],[% Previsto]] &lt; Table1[[#This Row],[% Realizado]], Table1[[#This Row],[Hoje Esperado]] - TODAY(), 0 )</f>
        <v>0</v>
      </c>
      <c r="O5" s="10">
        <f ca="1" xml:space="preserve"> Table1[[#This Row],[Fim Esperado]] + Table1[[#This Row],[Atraso (dd)]]</f>
        <v>42944</v>
      </c>
      <c r="R5"/>
    </row>
    <row r="6" spans="1:18" x14ac:dyDescent="0.3">
      <c r="A6">
        <v>2</v>
      </c>
      <c r="B6" t="s">
        <v>14</v>
      </c>
      <c r="C6" s="2">
        <f xml:space="preserve"> 13 * 4 / 24</f>
        <v>2.1666666666666665</v>
      </c>
      <c r="D6" s="3">
        <f xml:space="preserve"> Table1[[#This Row],[Duração (hh)]] / $C$1</f>
        <v>10.399999999999999</v>
      </c>
      <c r="E6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0.82352941176470584</v>
      </c>
      <c r="F6" s="1">
        <f xml:space="preserve"> 5.2 / 13</f>
        <v>0.4</v>
      </c>
      <c r="G6" s="2">
        <f xml:space="preserve"> Table1[[#This Row],[Duração (hh)]] * ( 1 - Table1[[#This Row],[% Realizado]] )</f>
        <v>1.2999999999999998</v>
      </c>
      <c r="H6" s="3">
        <f xml:space="preserve"> Table1[[#This Row],[Restante (hh)]] / $C$1</f>
        <v>6.2399999999999984</v>
      </c>
      <c r="I6" s="10">
        <f ca="1" xml:space="preserve"> IF( ISNUMBER($O5),$O5,$C$2)</f>
        <v>42944</v>
      </c>
      <c r="J6" s="10">
        <f ca="1" xml:space="preserve"> WORKDAY( Table1[[#This Row],[Início Esperado]], Table1[[#This Row],[% Realizado]] * ROUNDUP(Table1[[#This Row],[Duração (dd)]], 0 ) )</f>
        <v>42950</v>
      </c>
      <c r="K6" s="3">
        <f ca="1" xml:space="preserve"> Table1[[#This Row],[Fim Esperado]] - Table1[[#This Row],[Início Esperado]]</f>
        <v>17</v>
      </c>
      <c r="L6" s="10">
        <f ca="1" xml:space="preserve"> WORKDAY( Table1[[#This Row],[Início Esperado]], ROUNDUP( Table1[[#This Row],[Duração (dd)]], 0 ) )</f>
        <v>42961</v>
      </c>
      <c r="M6" s="3">
        <f ca="1" xml:space="preserve"> IF( Table1[[#This Row],[% Realizado]] &lt; Table1[[#This Row],[% Previsto]], TODAY() - Table1[[#This Row],[Hoje Esperado]], 0 )</f>
        <v>8</v>
      </c>
      <c r="N6" s="3">
        <f ca="1" xml:space="preserve"> IF(  Table1[[#This Row],[% Previsto]] &lt; Table1[[#This Row],[% Realizado]], Table1[[#This Row],[Hoje Esperado]] - TODAY(), 0 )</f>
        <v>0</v>
      </c>
      <c r="O6" s="10">
        <f ca="1" xml:space="preserve"> Table1[[#This Row],[Fim Esperado]] + Table1[[#This Row],[Atraso (dd)]]</f>
        <v>42969</v>
      </c>
      <c r="R6"/>
    </row>
    <row r="7" spans="1:18" x14ac:dyDescent="0.3">
      <c r="A7">
        <v>3</v>
      </c>
      <c r="B7" t="s">
        <v>1</v>
      </c>
      <c r="C7" s="2">
        <v>8.3333333333333329E-2</v>
      </c>
      <c r="D7" s="3">
        <f xml:space="preserve"> Table1[[#This Row],[Duração (hh)]] / $C$1</f>
        <v>0.39999999999999997</v>
      </c>
      <c r="E7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7" s="1">
        <v>0.25</v>
      </c>
      <c r="G7" s="2">
        <f xml:space="preserve"> Table1[[#This Row],[Duração (hh)]] * ( 1 - Table1[[#This Row],[% Realizado]] )</f>
        <v>6.25E-2</v>
      </c>
      <c r="H7" s="3">
        <f xml:space="preserve"> Table1[[#This Row],[Restante (hh)]] / $C$1</f>
        <v>0.3</v>
      </c>
      <c r="I7" s="10">
        <f ca="1" xml:space="preserve"> IF( ISNUMBER($O6),$O6,$C$2)</f>
        <v>42969</v>
      </c>
      <c r="J7" s="10">
        <f ca="1" xml:space="preserve"> WORKDAY( Table1[[#This Row],[Início Esperado]], Table1[[#This Row],[% Realizado]] * ROUNDUP(Table1[[#This Row],[Duração (dd)]], 0 ) )</f>
        <v>42969</v>
      </c>
      <c r="K7" s="3">
        <f ca="1" xml:space="preserve"> Table1[[#This Row],[Fim Esperado]] - Table1[[#This Row],[Início Esperado]]</f>
        <v>1</v>
      </c>
      <c r="L7" s="10">
        <f ca="1" xml:space="preserve"> WORKDAY( Table1[[#This Row],[Início Esperado]], ROUNDUP( Table1[[#This Row],[Duração (dd)]], 0 ) )</f>
        <v>42970</v>
      </c>
      <c r="M7" s="3">
        <f ca="1" xml:space="preserve"> IF( Table1[[#This Row],[% Realizado]] &lt; Table1[[#This Row],[% Previsto]], TODAY() - Table1[[#This Row],[Hoje Esperado]], 0 )</f>
        <v>0</v>
      </c>
      <c r="N7" s="3">
        <f ca="1" xml:space="preserve"> IF(  Table1[[#This Row],[% Previsto]] &lt; Table1[[#This Row],[% Realizado]], Table1[[#This Row],[Hoje Esperado]] - TODAY(), 0 )</f>
        <v>11</v>
      </c>
      <c r="O7" s="10">
        <f ca="1" xml:space="preserve"> Table1[[#This Row],[Fim Esperado]] + Table1[[#This Row],[Atraso (dd)]]</f>
        <v>42970</v>
      </c>
      <c r="R7"/>
    </row>
    <row r="8" spans="1:18" x14ac:dyDescent="0.3">
      <c r="A8">
        <v>4</v>
      </c>
      <c r="B8" t="s">
        <v>0</v>
      </c>
      <c r="C8" s="2">
        <v>0.33333333333333331</v>
      </c>
      <c r="D8" s="3">
        <f xml:space="preserve"> Table1[[#This Row],[Duração (hh)]] / $C$1</f>
        <v>1.5999999999999999</v>
      </c>
      <c r="E8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8" s="1">
        <v>0.55000000000000004</v>
      </c>
      <c r="G8" s="2">
        <f xml:space="preserve"> Table1[[#This Row],[Duração (hh)]] * ( 1 - Table1[[#This Row],[% Realizado]] )</f>
        <v>0.14999999999999997</v>
      </c>
      <c r="H8" s="3">
        <f xml:space="preserve"> Table1[[#This Row],[Restante (hh)]] / $C$1</f>
        <v>0.71999999999999986</v>
      </c>
      <c r="I8" s="10">
        <f ca="1" xml:space="preserve"> IF( ISNUMBER($O7),$O7,$C$2)</f>
        <v>42970</v>
      </c>
      <c r="J8" s="10">
        <f ca="1" xml:space="preserve"> WORKDAY( Table1[[#This Row],[Início Esperado]], Table1[[#This Row],[% Realizado]] * ROUNDUP(Table1[[#This Row],[Duração (dd)]], 0 ) )</f>
        <v>42971</v>
      </c>
      <c r="K8" s="3">
        <f ca="1" xml:space="preserve"> Table1[[#This Row],[Fim Esperado]] - Table1[[#This Row],[Início Esperado]]</f>
        <v>2</v>
      </c>
      <c r="L8" s="10">
        <f ca="1" xml:space="preserve"> WORKDAY( Table1[[#This Row],[Início Esperado]], ROUNDUP( Table1[[#This Row],[Duração (dd)]], 0 ) )</f>
        <v>42972</v>
      </c>
      <c r="M8" s="3">
        <f ca="1" xml:space="preserve"> IF( Table1[[#This Row],[% Realizado]] &lt; Table1[[#This Row],[% Previsto]], TODAY() - Table1[[#This Row],[Hoje Esperado]], 0 )</f>
        <v>0</v>
      </c>
      <c r="N8" s="3">
        <f ca="1" xml:space="preserve"> IF(  Table1[[#This Row],[% Previsto]] &lt; Table1[[#This Row],[% Realizado]], Table1[[#This Row],[Hoje Esperado]] - TODAY(), 0 )</f>
        <v>13</v>
      </c>
      <c r="O8" s="10">
        <f ca="1" xml:space="preserve"> Table1[[#This Row],[Fim Esperado]] + Table1[[#This Row],[Atraso (dd)]]</f>
        <v>42972</v>
      </c>
      <c r="R8"/>
    </row>
    <row r="9" spans="1:18" x14ac:dyDescent="0.3">
      <c r="A9">
        <v>5</v>
      </c>
      <c r="B9" t="s">
        <v>2</v>
      </c>
      <c r="C9" s="2">
        <v>8.3333333333333329E-2</v>
      </c>
      <c r="D9" s="3">
        <f xml:space="preserve"> Table1[[#This Row],[Duração (hh)]] / $C$1</f>
        <v>0.39999999999999997</v>
      </c>
      <c r="E9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9" s="1">
        <v>0.25</v>
      </c>
      <c r="G9" s="2">
        <f xml:space="preserve"> Table1[[#This Row],[Duração (hh)]] * ( 1 - Table1[[#This Row],[% Realizado]] )</f>
        <v>6.25E-2</v>
      </c>
      <c r="H9" s="3">
        <f xml:space="preserve"> Table1[[#This Row],[Restante (hh)]] / $C$1</f>
        <v>0.3</v>
      </c>
      <c r="I9" s="10">
        <f ca="1" xml:space="preserve"> IF( ISNUMBER($O8),$O8,$C$2)</f>
        <v>42972</v>
      </c>
      <c r="J9" s="10">
        <f ca="1" xml:space="preserve"> WORKDAY( Table1[[#This Row],[Início Esperado]], Table1[[#This Row],[% Realizado]] * ROUNDUP(Table1[[#This Row],[Duração (dd)]], 0 ) )</f>
        <v>42972</v>
      </c>
      <c r="K9" s="3">
        <f ca="1" xml:space="preserve"> Table1[[#This Row],[Fim Esperado]] - Table1[[#This Row],[Início Esperado]]</f>
        <v>3</v>
      </c>
      <c r="L9" s="10">
        <f ca="1" xml:space="preserve"> WORKDAY( Table1[[#This Row],[Início Esperado]], ROUNDUP( Table1[[#This Row],[Duração (dd)]], 0 ) )</f>
        <v>42975</v>
      </c>
      <c r="M9" s="3">
        <f ca="1" xml:space="preserve"> IF( Table1[[#This Row],[% Realizado]] &lt; Table1[[#This Row],[% Previsto]], TODAY() - Table1[[#This Row],[Hoje Esperado]], 0 )</f>
        <v>0</v>
      </c>
      <c r="N9" s="3">
        <f ca="1" xml:space="preserve"> IF(  Table1[[#This Row],[% Previsto]] &lt; Table1[[#This Row],[% Realizado]], Table1[[#This Row],[Hoje Esperado]] - TODAY(), 0 )</f>
        <v>14</v>
      </c>
      <c r="O9" s="10">
        <f ca="1" xml:space="preserve"> Table1[[#This Row],[Fim Esperado]] + Table1[[#This Row],[Atraso (dd)]]</f>
        <v>42975</v>
      </c>
      <c r="R9"/>
    </row>
    <row r="10" spans="1:18" x14ac:dyDescent="0.3">
      <c r="A10">
        <v>6</v>
      </c>
      <c r="B10" t="s">
        <v>15</v>
      </c>
      <c r="C10" s="2">
        <v>0.5</v>
      </c>
      <c r="D10" s="3">
        <f xml:space="preserve"> Table1[[#This Row],[Duração (hh)]] / $C$1</f>
        <v>2.4</v>
      </c>
      <c r="E10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10" s="1">
        <v>0.5</v>
      </c>
      <c r="G10" s="2">
        <f xml:space="preserve"> Table1[[#This Row],[Duração (hh)]] * ( 1 - Table1[[#This Row],[% Realizado]] )</f>
        <v>0.25</v>
      </c>
      <c r="H10" s="3">
        <f xml:space="preserve"> Table1[[#This Row],[Restante (hh)]] / $C$1</f>
        <v>1.2</v>
      </c>
      <c r="I10" s="10">
        <f ca="1" xml:space="preserve"> IF( ISNUMBER($O9),$O9,$C$2)</f>
        <v>42975</v>
      </c>
      <c r="J10" s="10">
        <f ca="1" xml:space="preserve"> WORKDAY( Table1[[#This Row],[Início Esperado]], Table1[[#This Row],[% Realizado]] * ROUNDUP(Table1[[#This Row],[Duração (dd)]], 0 ) )</f>
        <v>42976</v>
      </c>
      <c r="K10" s="3">
        <f ca="1" xml:space="preserve"> Table1[[#This Row],[Fim Esperado]] - Table1[[#This Row],[Início Esperado]]</f>
        <v>3</v>
      </c>
      <c r="L10" s="10">
        <f ca="1" xml:space="preserve"> WORKDAY( Table1[[#This Row],[Início Esperado]], ROUNDUP( Table1[[#This Row],[Duração (dd)]], 0 ) )</f>
        <v>42978</v>
      </c>
      <c r="M10" s="3">
        <f ca="1" xml:space="preserve"> IF( Table1[[#This Row],[% Realizado]] &lt; Table1[[#This Row],[% Previsto]], TODAY() - Table1[[#This Row],[Hoje Esperado]], 0 )</f>
        <v>0</v>
      </c>
      <c r="N10" s="3">
        <f ca="1" xml:space="preserve"> IF(  Table1[[#This Row],[% Previsto]] &lt; Table1[[#This Row],[% Realizado]], Table1[[#This Row],[Hoje Esperado]] - TODAY(), 0 )</f>
        <v>18</v>
      </c>
      <c r="O10" s="10">
        <f ca="1" xml:space="preserve"> Table1[[#This Row],[Fim Esperado]] + Table1[[#This Row],[Atraso (dd)]]</f>
        <v>42978</v>
      </c>
      <c r="R10"/>
    </row>
    <row r="11" spans="1:18" x14ac:dyDescent="0.3">
      <c r="A11">
        <v>7</v>
      </c>
      <c r="B11" t="s">
        <v>13</v>
      </c>
      <c r="C11" s="2">
        <v>0.16666666666666666</v>
      </c>
      <c r="D11" s="3">
        <f xml:space="preserve"> Table1[[#This Row],[Duração (hh)]] / $C$1</f>
        <v>0.79999999999999993</v>
      </c>
      <c r="E11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11" s="1">
        <v>0.55000000000000004</v>
      </c>
      <c r="G11" s="2">
        <f xml:space="preserve"> Table1[[#This Row],[Duração (hh)]] * ( 1 - Table1[[#This Row],[% Realizado]] )</f>
        <v>7.4999999999999983E-2</v>
      </c>
      <c r="H11" s="3">
        <f xml:space="preserve"> Table1[[#This Row],[Restante (hh)]] / $C$1</f>
        <v>0.35999999999999993</v>
      </c>
      <c r="I11" s="10">
        <f ca="1" xml:space="preserve"> IF( ISNUMBER($O10),$O10,$C$2)</f>
        <v>42978</v>
      </c>
      <c r="J11" s="10">
        <f ca="1" xml:space="preserve"> WORKDAY( Table1[[#This Row],[Início Esperado]], Table1[[#This Row],[% Realizado]] * ROUNDUP(Table1[[#This Row],[Duração (dd)]], 0 ) )</f>
        <v>42978</v>
      </c>
      <c r="K11" s="3">
        <f ca="1" xml:space="preserve"> Table1[[#This Row],[Fim Esperado]] - Table1[[#This Row],[Início Esperado]]</f>
        <v>1</v>
      </c>
      <c r="L11" s="10">
        <f ca="1" xml:space="preserve"> WORKDAY( Table1[[#This Row],[Início Esperado]], ROUNDUP( Table1[[#This Row],[Duração (dd)]], 0 ) )</f>
        <v>42979</v>
      </c>
      <c r="M11" s="3">
        <f ca="1" xml:space="preserve"> IF( Table1[[#This Row],[% Realizado]] &lt; Table1[[#This Row],[% Previsto]], TODAY() - Table1[[#This Row],[Hoje Esperado]], 0 )</f>
        <v>0</v>
      </c>
      <c r="N11" s="3">
        <f ca="1" xml:space="preserve"> IF(  Table1[[#This Row],[% Previsto]] &lt; Table1[[#This Row],[% Realizado]], Table1[[#This Row],[Hoje Esperado]] - TODAY(), 0 )</f>
        <v>20</v>
      </c>
      <c r="O11" s="10">
        <f ca="1" xml:space="preserve"> Table1[[#This Row],[Fim Esperado]] + Table1[[#This Row],[Atraso (dd)]]</f>
        <v>42979</v>
      </c>
      <c r="R11"/>
    </row>
    <row r="12" spans="1:18" x14ac:dyDescent="0.3">
      <c r="A12">
        <v>8</v>
      </c>
      <c r="B12" t="s">
        <v>16</v>
      </c>
      <c r="C12" s="2">
        <v>0.33333333333333331</v>
      </c>
      <c r="D12" s="3">
        <f xml:space="preserve"> Table1[[#This Row],[Duração (hh)]] / $C$1</f>
        <v>1.5999999999999999</v>
      </c>
      <c r="E12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12" s="1">
        <f xml:space="preserve"> AVERAGE(F5:F11)</f>
        <v>0.5</v>
      </c>
      <c r="G12" s="2">
        <f xml:space="preserve"> Table1[[#This Row],[Duração (hh)]] * ( 1 - Table1[[#This Row],[% Realizado]] )</f>
        <v>0.16666666666666666</v>
      </c>
      <c r="H12" s="3">
        <f xml:space="preserve"> Table1[[#This Row],[Restante (hh)]] / $C$1</f>
        <v>0.79999999999999993</v>
      </c>
      <c r="I12" s="10">
        <f ca="1" xml:space="preserve"> IF( ISNUMBER($O11),$O11,$C$2)</f>
        <v>42979</v>
      </c>
      <c r="J12" s="10">
        <f ca="1" xml:space="preserve"> WORKDAY( Table1[[#This Row],[Início Esperado]], Table1[[#This Row],[% Realizado]] * ROUNDUP(Table1[[#This Row],[Duração (dd)]], 0 ) )</f>
        <v>42982</v>
      </c>
      <c r="K12" s="3">
        <f ca="1" xml:space="preserve"> Table1[[#This Row],[Fim Esperado]] - Table1[[#This Row],[Início Esperado]]</f>
        <v>4</v>
      </c>
      <c r="L12" s="10">
        <f ca="1" xml:space="preserve"> WORKDAY( Table1[[#This Row],[Início Esperado]], ROUNDUP( Table1[[#This Row],[Duração (dd)]], 0 ) )</f>
        <v>42983</v>
      </c>
      <c r="M12" s="3">
        <f ca="1" xml:space="preserve"> IF( Table1[[#This Row],[% Realizado]] &lt; Table1[[#This Row],[% Previsto]], TODAY() - Table1[[#This Row],[Hoje Esperado]], 0 )</f>
        <v>0</v>
      </c>
      <c r="N12" s="3">
        <f ca="1" xml:space="preserve"> IF(  Table1[[#This Row],[% Previsto]] &lt; Table1[[#This Row],[% Realizado]], Table1[[#This Row],[Hoje Esperado]] - TODAY(), 0 )</f>
        <v>24</v>
      </c>
      <c r="O12" s="10">
        <f ca="1" xml:space="preserve"> Table1[[#This Row],[Fim Esperado]] + Table1[[#This Row],[Atraso (dd)]]</f>
        <v>42983</v>
      </c>
      <c r="R12"/>
    </row>
    <row r="13" spans="1:18" x14ac:dyDescent="0.3">
      <c r="A13">
        <v>9</v>
      </c>
      <c r="B13" t="s">
        <v>12</v>
      </c>
      <c r="C13" s="2">
        <v>0.16666666666666666</v>
      </c>
      <c r="D13" s="3">
        <f xml:space="preserve"> Table1[[#This Row],[Duração (hh)]] / $C$1</f>
        <v>0.79999999999999993</v>
      </c>
      <c r="E13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13" s="1">
        <v>0</v>
      </c>
      <c r="G13" s="7">
        <f xml:space="preserve"> Table1[[#This Row],[Duração (hh)]] * ( 1 - Table1[[#This Row],[% Realizado]] )</f>
        <v>0.16666666666666666</v>
      </c>
      <c r="H13" s="3">
        <f xml:space="preserve"> Table1[[#This Row],[Restante (hh)]] / $C$1</f>
        <v>0.79999999999999993</v>
      </c>
      <c r="I13" s="10">
        <f ca="1" xml:space="preserve"> IF( ISNUMBER($O12),$O12,$C$2)</f>
        <v>42983</v>
      </c>
      <c r="J13" s="10">
        <f ca="1" xml:space="preserve"> WORKDAY( Table1[[#This Row],[Início Esperado]], Table1[[#This Row],[% Realizado]] * ROUNDUP(Table1[[#This Row],[Duração (dd)]], 0 ) )</f>
        <v>42983</v>
      </c>
      <c r="K13" s="3">
        <f ca="1" xml:space="preserve"> Table1[[#This Row],[Fim Esperado]] - Table1[[#This Row],[Início Esperado]]</f>
        <v>1</v>
      </c>
      <c r="L13" s="10">
        <f ca="1" xml:space="preserve"> WORKDAY( Table1[[#This Row],[Início Esperado]], ROUNDUP( Table1[[#This Row],[Duração (dd)]], 0 ) )</f>
        <v>42984</v>
      </c>
      <c r="M13" s="3">
        <f ca="1" xml:space="preserve"> IF( Table1[[#This Row],[% Realizado]] &lt; Table1[[#This Row],[% Previsto]], TODAY() - Table1[[#This Row],[Hoje Esperado]], 0 )</f>
        <v>0</v>
      </c>
      <c r="N13" s="3">
        <f ca="1" xml:space="preserve"> IF(  Table1[[#This Row],[% Previsto]] &lt; Table1[[#This Row],[% Realizado]], Table1[[#This Row],[Hoje Esperado]] - TODAY(), 0 )</f>
        <v>0</v>
      </c>
      <c r="O13" s="10">
        <f ca="1" xml:space="preserve"> Table1[[#This Row],[Fim Esperado]] + Table1[[#This Row],[Atraso (dd)]]</f>
        <v>42984</v>
      </c>
      <c r="R13"/>
    </row>
    <row r="14" spans="1:18" x14ac:dyDescent="0.3">
      <c r="A14">
        <v>10</v>
      </c>
      <c r="B14" t="s">
        <v>18</v>
      </c>
      <c r="C14" s="2">
        <v>8.3333333333333329E-2</v>
      </c>
      <c r="D14" s="3">
        <f xml:space="preserve"> Table1[[#This Row],[Duração (hh)]] / $C$1</f>
        <v>0.39999999999999997</v>
      </c>
      <c r="E14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14" s="1">
        <v>0</v>
      </c>
      <c r="G14" s="7">
        <f xml:space="preserve"> Table1[[#This Row],[Duração (hh)]] * ( 1 - Table1[[#This Row],[% Realizado]] )</f>
        <v>8.3333333333333329E-2</v>
      </c>
      <c r="H14" s="3">
        <f xml:space="preserve"> Table1[[#This Row],[Restante (hh)]] / $C$1</f>
        <v>0.39999999999999997</v>
      </c>
      <c r="I14" s="10">
        <f ca="1" xml:space="preserve"> IF( ISNUMBER($O13),$O13,$C$2)</f>
        <v>42984</v>
      </c>
      <c r="J14" s="10">
        <f ca="1" xml:space="preserve"> WORKDAY( Table1[[#This Row],[Início Esperado]], Table1[[#This Row],[% Realizado]] * ROUNDUP(Table1[[#This Row],[Duração (dd)]], 0 ) )</f>
        <v>42984</v>
      </c>
      <c r="K14" s="3">
        <f ca="1" xml:space="preserve"> Table1[[#This Row],[Fim Esperado]] - Table1[[#This Row],[Início Esperado]]</f>
        <v>1</v>
      </c>
      <c r="L14" s="10">
        <f ca="1" xml:space="preserve"> WORKDAY( Table1[[#This Row],[Início Esperado]], ROUNDUP( Table1[[#This Row],[Duração (dd)]], 0 ) )</f>
        <v>42985</v>
      </c>
      <c r="M14" s="3">
        <f ca="1" xml:space="preserve"> IF( Table1[[#This Row],[% Realizado]] &lt; Table1[[#This Row],[% Previsto]], TODAY() - Table1[[#This Row],[Hoje Esperado]], 0 )</f>
        <v>0</v>
      </c>
      <c r="N14" s="3">
        <f ca="1" xml:space="preserve"> IF(  Table1[[#This Row],[% Previsto]] &lt; Table1[[#This Row],[% Realizado]], Table1[[#This Row],[Hoje Esperado]] - TODAY(), 0 )</f>
        <v>0</v>
      </c>
      <c r="O14" s="10">
        <f ca="1" xml:space="preserve"> Table1[[#This Row],[Fim Esperado]] + Table1[[#This Row],[Atraso (dd)]]</f>
        <v>42985</v>
      </c>
      <c r="R14"/>
    </row>
    <row r="15" spans="1:18" x14ac:dyDescent="0.3">
      <c r="A15">
        <v>11</v>
      </c>
      <c r="B15" t="s">
        <v>19</v>
      </c>
      <c r="C15" s="2">
        <v>8.3333333333333329E-2</v>
      </c>
      <c r="D15" s="3">
        <f xml:space="preserve"> Table1[[#This Row],[Duração (hh)]] / $C$1</f>
        <v>0.39999999999999997</v>
      </c>
      <c r="E15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15" s="1">
        <v>0</v>
      </c>
      <c r="G15" s="7">
        <f xml:space="preserve"> Table1[[#This Row],[Duração (hh)]] * ( 1 - Table1[[#This Row],[% Realizado]] )</f>
        <v>8.3333333333333329E-2</v>
      </c>
      <c r="H15" s="3">
        <f xml:space="preserve"> Table1[[#This Row],[Restante (hh)]] / $C$1</f>
        <v>0.39999999999999997</v>
      </c>
      <c r="I15" s="10">
        <f ca="1" xml:space="preserve"> IF( ISNUMBER($O14),$O14,$C$2)</f>
        <v>42985</v>
      </c>
      <c r="J15" s="10">
        <f ca="1" xml:space="preserve"> WORKDAY( Table1[[#This Row],[Início Esperado]], Table1[[#This Row],[% Realizado]] * ROUNDUP(Table1[[#This Row],[Duração (dd)]], 0 ) )</f>
        <v>42985</v>
      </c>
      <c r="K15" s="3">
        <f ca="1" xml:space="preserve"> Table1[[#This Row],[Fim Esperado]] - Table1[[#This Row],[Início Esperado]]</f>
        <v>1</v>
      </c>
      <c r="L15" s="10">
        <f ca="1" xml:space="preserve"> WORKDAY( Table1[[#This Row],[Início Esperado]], ROUNDUP( Table1[[#This Row],[Duração (dd)]], 0 ) )</f>
        <v>42986</v>
      </c>
      <c r="M15" s="3">
        <f ca="1" xml:space="preserve"> IF( Table1[[#This Row],[% Realizado]] &lt; Table1[[#This Row],[% Previsto]], TODAY() - Table1[[#This Row],[Hoje Esperado]], 0 )</f>
        <v>0</v>
      </c>
      <c r="N15" s="3">
        <f ca="1" xml:space="preserve"> IF(  Table1[[#This Row],[% Previsto]] &lt; Table1[[#This Row],[% Realizado]], Table1[[#This Row],[Hoje Esperado]] - TODAY(), 0 )</f>
        <v>0</v>
      </c>
      <c r="O15" s="10">
        <f ca="1" xml:space="preserve"> Table1[[#This Row],[Fim Esperado]] + Table1[[#This Row],[Atraso (dd)]]</f>
        <v>42986</v>
      </c>
      <c r="R15"/>
    </row>
    <row r="16" spans="1:18" x14ac:dyDescent="0.3">
      <c r="A16">
        <v>12</v>
      </c>
      <c r="B16" t="s">
        <v>17</v>
      </c>
      <c r="C16" s="2">
        <v>8.3333333333333329E-2</v>
      </c>
      <c r="D16" s="3">
        <f xml:space="preserve"> Table1[[#This Row],[Duração (hh)]] / $C$1</f>
        <v>0.39999999999999997</v>
      </c>
      <c r="E16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16" s="1">
        <v>0</v>
      </c>
      <c r="G16" s="7">
        <f xml:space="preserve"> Table1[[#This Row],[Duração (hh)]] * ( 1 - Table1[[#This Row],[% Realizado]] )</f>
        <v>8.3333333333333329E-2</v>
      </c>
      <c r="H16" s="3">
        <f xml:space="preserve"> Table1[[#This Row],[Restante (hh)]] / $C$1</f>
        <v>0.39999999999999997</v>
      </c>
      <c r="I16" s="10">
        <f ca="1" xml:space="preserve"> IF( ISNUMBER($O15),$O15,$C$2)</f>
        <v>42986</v>
      </c>
      <c r="J16" s="10">
        <f ca="1" xml:space="preserve"> WORKDAY( Table1[[#This Row],[Início Esperado]], Table1[[#This Row],[% Realizado]] * ROUNDUP(Table1[[#This Row],[Duração (dd)]], 0 ) )</f>
        <v>42986</v>
      </c>
      <c r="K16" s="3">
        <f ca="1" xml:space="preserve"> Table1[[#This Row],[Fim Esperado]] - Table1[[#This Row],[Início Esperado]]</f>
        <v>3</v>
      </c>
      <c r="L16" s="10">
        <f ca="1" xml:space="preserve"> WORKDAY( Table1[[#This Row],[Início Esperado]], ROUNDUP( Table1[[#This Row],[Duração (dd)]], 0 ) )</f>
        <v>42989</v>
      </c>
      <c r="M16" s="3">
        <f ca="1" xml:space="preserve"> IF( Table1[[#This Row],[% Realizado]] &lt; Table1[[#This Row],[% Previsto]], TODAY() - Table1[[#This Row],[Hoje Esperado]], 0 )</f>
        <v>0</v>
      </c>
      <c r="N16" s="3">
        <f ca="1" xml:space="preserve"> IF(  Table1[[#This Row],[% Previsto]] &lt; Table1[[#This Row],[% Realizado]], Table1[[#This Row],[Hoje Esperado]] - TODAY(), 0 )</f>
        <v>0</v>
      </c>
      <c r="O16" s="10">
        <f ca="1" xml:space="preserve"> Table1[[#This Row],[Fim Esperado]] + Table1[[#This Row],[Atraso (dd)]]</f>
        <v>42989</v>
      </c>
      <c r="R16"/>
    </row>
    <row r="17" spans="1:18" x14ac:dyDescent="0.3">
      <c r="A17">
        <v>13</v>
      </c>
      <c r="B17" t="s">
        <v>20</v>
      </c>
      <c r="C17" s="2">
        <v>0.25</v>
      </c>
      <c r="D17" s="3">
        <f xml:space="preserve"> Table1[[#This Row],[Duração (hh)]] / $C$1</f>
        <v>1.2</v>
      </c>
      <c r="E17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F17" s="1">
        <v>0</v>
      </c>
      <c r="G17" s="7">
        <f xml:space="preserve"> Table1[[#This Row],[Duração (hh)]] * ( 1 - Table1[[#This Row],[% Realizado]] )</f>
        <v>0.25</v>
      </c>
      <c r="H17" s="3">
        <f xml:space="preserve"> Table1[[#This Row],[Restante (hh)]] / $C$1</f>
        <v>1.2</v>
      </c>
      <c r="I17" s="10">
        <f ca="1" xml:space="preserve"> IF( ISNUMBER($O16),$O16,$C$2)</f>
        <v>42989</v>
      </c>
      <c r="J17" s="10">
        <f ca="1" xml:space="preserve"> WORKDAY( Table1[[#This Row],[Início Esperado]], Table1[[#This Row],[% Realizado]] * ROUNDUP(Table1[[#This Row],[Duração (dd)]], 0 ) )</f>
        <v>42989</v>
      </c>
      <c r="K17" s="3">
        <f ca="1" xml:space="preserve"> Table1[[#This Row],[Fim Esperado]] - Table1[[#This Row],[Início Esperado]]</f>
        <v>2</v>
      </c>
      <c r="L17" s="10">
        <f ca="1" xml:space="preserve"> WORKDAY( Table1[[#This Row],[Início Esperado]], ROUNDUP( Table1[[#This Row],[Duração (dd)]], 0 ) )</f>
        <v>42991</v>
      </c>
      <c r="M17" s="3">
        <f ca="1" xml:space="preserve"> IF( Table1[[#This Row],[% Realizado]] &lt; Table1[[#This Row],[% Previsto]], TODAY() - Table1[[#This Row],[Hoje Esperado]], 0 )</f>
        <v>0</v>
      </c>
      <c r="N17" s="3">
        <f ca="1" xml:space="preserve"> IF(  Table1[[#This Row],[% Previsto]] &lt; Table1[[#This Row],[% Realizado]], Table1[[#This Row],[Hoje Esperado]] - TODAY(), 0 )</f>
        <v>0</v>
      </c>
      <c r="O17" s="10">
        <f ca="1" xml:space="preserve"> Table1[[#This Row],[Fim Esperado]] + Table1[[#This Row],[Atraso (dd)]]</f>
        <v>42991</v>
      </c>
      <c r="R17"/>
    </row>
    <row r="18" spans="1:18" x14ac:dyDescent="0.3">
      <c r="A18">
        <v>14</v>
      </c>
      <c r="B18" t="s">
        <v>22</v>
      </c>
      <c r="C18" s="2"/>
      <c r="D18" s="3">
        <f xml:space="preserve"> Table1[[#This Row],[Duração (hh)]] / $C$1</f>
        <v>0</v>
      </c>
      <c r="E18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G18" s="7">
        <f xml:space="preserve"> Table1[[#This Row],[Duração (hh)]] * ( 1 - Table1[[#This Row],[% Realizado]] )</f>
        <v>0</v>
      </c>
      <c r="H18" s="3">
        <f xml:space="preserve"> Table1[[#This Row],[Restante (hh)]] / $C$1</f>
        <v>0</v>
      </c>
      <c r="I18" s="10">
        <f ca="1" xml:space="preserve"> IF( ISNUMBER($O17),$O17,$C$2)</f>
        <v>42991</v>
      </c>
      <c r="J18" s="10">
        <f ca="1" xml:space="preserve"> WORKDAY( Table1[[#This Row],[Início Esperado]], Table1[[#This Row],[% Realizado]] * ROUNDUP(Table1[[#This Row],[Duração (dd)]], 0 ) )</f>
        <v>42991</v>
      </c>
      <c r="K18" s="3">
        <f ca="1" xml:space="preserve"> Table1[[#This Row],[Fim Esperado]] - Table1[[#This Row],[Início Esperado]]</f>
        <v>0</v>
      </c>
      <c r="L18" s="10">
        <f ca="1" xml:space="preserve"> WORKDAY( Table1[[#This Row],[Início Esperado]], ROUNDUP( Table1[[#This Row],[Duração (dd)]], 0 ) )</f>
        <v>42991</v>
      </c>
      <c r="M18" s="3">
        <f ca="1" xml:space="preserve"> IF( Table1[[#This Row],[% Realizado]] &lt; Table1[[#This Row],[% Previsto]], TODAY() - Table1[[#This Row],[Hoje Esperado]], 0 )</f>
        <v>0</v>
      </c>
      <c r="N18" s="3">
        <f ca="1" xml:space="preserve"> IF(  Table1[[#This Row],[% Previsto]] &lt; Table1[[#This Row],[% Realizado]], Table1[[#This Row],[Hoje Esperado]] - TODAY(), 0 )</f>
        <v>0</v>
      </c>
      <c r="O18" s="10">
        <f ca="1" xml:space="preserve"> Table1[[#This Row],[Fim Esperado]] + Table1[[#This Row],[Atraso (dd)]]</f>
        <v>42991</v>
      </c>
      <c r="R18"/>
    </row>
    <row r="19" spans="1:18" x14ac:dyDescent="0.3">
      <c r="A19">
        <v>15</v>
      </c>
      <c r="B19" t="s">
        <v>21</v>
      </c>
      <c r="C19" s="2"/>
      <c r="D19" s="3">
        <f xml:space="preserve"> Table1[[#This Row],[Duração (hh)]] / $C$1</f>
        <v>0</v>
      </c>
      <c r="E19" s="1">
        <f ca="1" xml:space="preserve"> IF( TODAY() &lt; Table1[[#This Row],[Início Esperado]], 0, IF( TODAY() &gt; Table1[[#This Row],[Fim Esperado]], 1, ( TODAY() - Table1[[#This Row],[Início Esperado]] ) / ( Table1[[#This Row],[Fim Esperado]] - Table1[[#This Row],[Início Esperado]] ) ) )</f>
        <v>0</v>
      </c>
      <c r="G19" s="7">
        <f xml:space="preserve"> Table1[[#This Row],[Duração (hh)]] * ( 1 - Table1[[#This Row],[% Realizado]] )</f>
        <v>0</v>
      </c>
      <c r="H19" s="3">
        <f xml:space="preserve"> Table1[[#This Row],[Restante (hh)]] / $C$1</f>
        <v>0</v>
      </c>
      <c r="I19" s="10">
        <f ca="1" xml:space="preserve"> IF( ISNUMBER($O18),$O18,$C$2)</f>
        <v>42991</v>
      </c>
      <c r="J19" s="10">
        <f ca="1" xml:space="preserve"> WORKDAY( Table1[[#This Row],[Início Esperado]], Table1[[#This Row],[% Realizado]] * ROUNDUP(Table1[[#This Row],[Duração (dd)]], 0 ) )</f>
        <v>42991</v>
      </c>
      <c r="K19" s="3">
        <f ca="1" xml:space="preserve"> Table1[[#This Row],[Fim Esperado]] - Table1[[#This Row],[Início Esperado]]</f>
        <v>0</v>
      </c>
      <c r="L19" s="10">
        <f ca="1" xml:space="preserve"> WORKDAY( Table1[[#This Row],[Início Esperado]], ROUNDUP( Table1[[#This Row],[Duração (dd)]], 0 ) )</f>
        <v>42991</v>
      </c>
      <c r="M19" s="3">
        <f ca="1" xml:space="preserve"> IF( Table1[[#This Row],[% Realizado]] &lt; Table1[[#This Row],[% Previsto]], TODAY() - Table1[[#This Row],[Hoje Esperado]], 0 )</f>
        <v>0</v>
      </c>
      <c r="N19" s="3">
        <f ca="1" xml:space="preserve"> IF(  Table1[[#This Row],[% Previsto]] &lt; Table1[[#This Row],[% Realizado]], Table1[[#This Row],[Hoje Esperado]] - TODAY(), 0 )</f>
        <v>0</v>
      </c>
      <c r="O19" s="10">
        <f ca="1" xml:space="preserve"> Table1[[#This Row],[Fim Esperado]] + Table1[[#This Row],[Atraso (dd)]]</f>
        <v>42991</v>
      </c>
      <c r="R19"/>
    </row>
    <row r="20" spans="1:18" x14ac:dyDescent="0.3">
      <c r="A20" t="s">
        <v>6</v>
      </c>
      <c r="C20" s="2">
        <f>SUBTOTAL(109,Table1[Duração (hh)])</f>
        <v>4.9999999999999991</v>
      </c>
      <c r="D20" s="5">
        <f>SUBTOTAL(109,Table1[Duração (dd)])</f>
        <v>23.999999999999996</v>
      </c>
      <c r="E20" s="6">
        <f ca="1">SUBTOTAL(101,Table1[% Previsto])</f>
        <v>0.12156862745098039</v>
      </c>
      <c r="F20" s="6">
        <f xml:space="preserve">  IFERROR( 1 - Table1[[#Totals], [Restante (hh)]] / Table1[[#Totals], [Duração (hh)]], 0 )</f>
        <v>0.45333333333333325</v>
      </c>
      <c r="G20" s="2">
        <f>SUBTOTAL(109,Table1[Restante (hh)])</f>
        <v>2.7333333333333334</v>
      </c>
      <c r="H20" s="5">
        <f>SUBTOTAL(109,Table1[Restante (dd)])</f>
        <v>13.12</v>
      </c>
      <c r="I20" s="10">
        <f ca="1">SUBTOTAL(105,Table1[Início Esperado])</f>
        <v>42940</v>
      </c>
      <c r="J20" s="10">
        <f ca="1">TODAY()</f>
        <v>42958</v>
      </c>
      <c r="K20" s="12">
        <f ca="1">SUBTOTAL(109,Table1[Dias Esperado])</f>
        <v>43</v>
      </c>
      <c r="L20" s="10">
        <f ca="1">SUBTOTAL(104,Table1[Fim Esperado])</f>
        <v>42991</v>
      </c>
      <c r="M20" s="5">
        <f ca="1">SUBTOTAL(104,Table1[Atraso (dd)])</f>
        <v>8</v>
      </c>
      <c r="N20" s="11">
        <f ca="1">SUBTOTAL(104,Table1[Adiantado (dd)])</f>
        <v>24</v>
      </c>
      <c r="O20" s="10">
        <f ca="1">SUBTOTAL(104,Table1[Fim Previsto])</f>
        <v>42991</v>
      </c>
      <c r="R20"/>
    </row>
  </sheetData>
  <mergeCells count="2">
    <mergeCell ref="A1:B1"/>
    <mergeCell ref="A2:B2"/>
  </mergeCells>
  <conditionalFormatting sqref="F5:F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{8F8B0692-CD0B-41F1-B86E-5CEE1613EADA}</x14:id>
        </ext>
      </extLst>
    </cfRule>
  </conditionalFormatting>
  <conditionalFormatting sqref="E5:E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{80438F3F-9F7F-4226-A52C-93F780E94A20}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8B0692-CD0B-41F1-B86E-5CEE1613E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F5:F20</xm:sqref>
        </x14:conditionalFormatting>
        <x14:conditionalFormatting xmlns:xm="http://schemas.microsoft.com/office/excel/2006/main">
          <x14:cfRule type="dataBar" id="{80438F3F-9F7F-4226-A52C-93F780E94A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 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Emilson Moraes</dc:creator>
  <cp:lastModifiedBy>Emilson Moraes</cp:lastModifiedBy>
  <cp:lastPrinted>2017-08-07T15:00:24Z</cp:lastPrinted>
  <dcterms:created xsi:type="dcterms:W3CDTF">2017-08-07T13:41:33Z</dcterms:created>
  <dcterms:modified xsi:type="dcterms:W3CDTF">2017-08-11T23:56:41Z</dcterms:modified>
</cp:coreProperties>
</file>