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uity or FI trade" sheetId="1" r:id="rId1"/>
    <sheet name="ALDO" sheetId="2" r:id="rId2"/>
    <sheet name="FX trade" sheetId="4" r:id="rId3"/>
    <sheet name="RTSS" sheetId="5" r:id="rId4"/>
    <sheet name="D%$&amp;01_DevSheet" sheetId="3" state="very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V24" i="3" l="1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IV23" i="3"/>
  <c r="IU23" i="3"/>
  <c r="IT23" i="3"/>
  <c r="IS23" i="3"/>
  <c r="IR23" i="3"/>
  <c r="IQ23" i="3"/>
  <c r="IP23" i="3"/>
  <c r="IO23" i="3"/>
  <c r="IN23" i="3"/>
  <c r="IM23" i="3"/>
  <c r="IL23" i="3"/>
  <c r="IK23" i="3"/>
  <c r="IJ23" i="3"/>
  <c r="II23" i="3"/>
  <c r="IH23" i="3"/>
  <c r="IG23" i="3"/>
  <c r="IF23" i="3"/>
  <c r="IE23" i="3"/>
  <c r="ID23" i="3"/>
  <c r="IC23" i="3"/>
  <c r="IB23" i="3"/>
  <c r="IA23" i="3"/>
  <c r="HZ23" i="3"/>
  <c r="HY23" i="3"/>
  <c r="HX23" i="3"/>
  <c r="HW23" i="3"/>
  <c r="HV23" i="3"/>
  <c r="HU23" i="3"/>
  <c r="HT23" i="3"/>
  <c r="HS23" i="3"/>
  <c r="HR23" i="3"/>
  <c r="HQ23" i="3"/>
  <c r="HP23" i="3"/>
  <c r="HO23" i="3"/>
  <c r="HN23" i="3"/>
  <c r="HM23" i="3"/>
  <c r="HL23" i="3"/>
  <c r="HK23" i="3"/>
  <c r="HJ23" i="3"/>
  <c r="HI23" i="3"/>
  <c r="HH23" i="3"/>
  <c r="HG23" i="3"/>
  <c r="HF23" i="3"/>
  <c r="HE23" i="3"/>
  <c r="HD23" i="3"/>
  <c r="HC23" i="3"/>
  <c r="HB23" i="3"/>
  <c r="HA23" i="3"/>
  <c r="GZ23" i="3"/>
  <c r="GY23" i="3"/>
  <c r="GX23" i="3"/>
  <c r="GW23" i="3"/>
  <c r="GV23" i="3"/>
  <c r="GU23" i="3"/>
  <c r="GT23" i="3"/>
  <c r="GS23" i="3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IV22" i="3"/>
  <c r="IU22" i="3"/>
  <c r="IT22" i="3"/>
  <c r="IS22" i="3"/>
  <c r="IR22" i="3"/>
  <c r="IQ22" i="3"/>
  <c r="IP22" i="3"/>
  <c r="IO22" i="3"/>
  <c r="IN22" i="3"/>
  <c r="IM22" i="3"/>
  <c r="IL22" i="3"/>
  <c r="IK22" i="3"/>
  <c r="IJ22" i="3"/>
  <c r="II22" i="3"/>
  <c r="IH22" i="3"/>
  <c r="IG22" i="3"/>
  <c r="IF22" i="3"/>
  <c r="IE22" i="3"/>
  <c r="ID22" i="3"/>
  <c r="IC22" i="3"/>
  <c r="IB22" i="3"/>
  <c r="IA22" i="3"/>
  <c r="HZ22" i="3"/>
  <c r="HY22" i="3"/>
  <c r="HX22" i="3"/>
  <c r="HW22" i="3"/>
  <c r="HV22" i="3"/>
  <c r="HU22" i="3"/>
  <c r="HT22" i="3"/>
  <c r="HS22" i="3"/>
  <c r="HR22" i="3"/>
  <c r="HQ22" i="3"/>
  <c r="HP22" i="3"/>
  <c r="HO22" i="3"/>
  <c r="HN22" i="3"/>
  <c r="HM22" i="3"/>
  <c r="HL22" i="3"/>
  <c r="HK22" i="3"/>
  <c r="HJ22" i="3"/>
  <c r="HI22" i="3"/>
  <c r="HH22" i="3"/>
  <c r="HG22" i="3"/>
  <c r="HF22" i="3"/>
  <c r="HE22" i="3"/>
  <c r="HD22" i="3"/>
  <c r="HC22" i="3"/>
  <c r="HB22" i="3"/>
  <c r="HA22" i="3"/>
  <c r="GZ22" i="3"/>
  <c r="GY22" i="3"/>
  <c r="GX22" i="3"/>
  <c r="GW22" i="3"/>
  <c r="GV22" i="3"/>
  <c r="GU22" i="3"/>
  <c r="GT22" i="3"/>
  <c r="GS22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V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IV21" i="3"/>
  <c r="IU21" i="3"/>
  <c r="IT21" i="3"/>
  <c r="IS21" i="3"/>
  <c r="IR21" i="3"/>
  <c r="IQ21" i="3"/>
  <c r="IP21" i="3"/>
  <c r="IO21" i="3"/>
  <c r="IN21" i="3"/>
  <c r="IM21" i="3"/>
  <c r="IL21" i="3"/>
  <c r="IK21" i="3"/>
  <c r="IJ21" i="3"/>
  <c r="II21" i="3"/>
  <c r="IH21" i="3"/>
  <c r="IG21" i="3"/>
  <c r="IF21" i="3"/>
  <c r="IE21" i="3"/>
  <c r="ID21" i="3"/>
  <c r="IC21" i="3"/>
  <c r="IB21" i="3"/>
  <c r="IA21" i="3"/>
  <c r="HZ21" i="3"/>
  <c r="HY21" i="3"/>
  <c r="HX21" i="3"/>
  <c r="HW21" i="3"/>
  <c r="HV21" i="3"/>
  <c r="HU21" i="3"/>
  <c r="HT21" i="3"/>
  <c r="HS21" i="3"/>
  <c r="HR21" i="3"/>
  <c r="HQ21" i="3"/>
  <c r="HP21" i="3"/>
  <c r="HO21" i="3"/>
  <c r="HN21" i="3"/>
  <c r="HM21" i="3"/>
  <c r="HL21" i="3"/>
  <c r="HK21" i="3"/>
  <c r="HJ21" i="3"/>
  <c r="HI21" i="3"/>
  <c r="HH21" i="3"/>
  <c r="HG21" i="3"/>
  <c r="HF21" i="3"/>
  <c r="HE21" i="3"/>
  <c r="HD21" i="3"/>
  <c r="HC21" i="3"/>
  <c r="HB21" i="3"/>
  <c r="HA21" i="3"/>
  <c r="GZ21" i="3"/>
  <c r="GY21" i="3"/>
  <c r="GX21" i="3"/>
  <c r="GW21" i="3"/>
  <c r="GV21" i="3"/>
  <c r="GU21" i="3"/>
  <c r="GT21" i="3"/>
  <c r="GS21" i="3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IV20" i="3"/>
  <c r="IU20" i="3"/>
  <c r="IT20" i="3"/>
  <c r="IS20" i="3"/>
  <c r="IR20" i="3"/>
  <c r="IQ20" i="3"/>
  <c r="IP20" i="3"/>
  <c r="IO20" i="3"/>
  <c r="IN20" i="3"/>
  <c r="IM20" i="3"/>
  <c r="IL20" i="3"/>
  <c r="IK20" i="3"/>
  <c r="IJ20" i="3"/>
  <c r="II20" i="3"/>
  <c r="IH20" i="3"/>
  <c r="IG20" i="3"/>
  <c r="IF20" i="3"/>
  <c r="IE20" i="3"/>
  <c r="ID20" i="3"/>
  <c r="IC20" i="3"/>
  <c r="IB20" i="3"/>
  <c r="IA20" i="3"/>
  <c r="HZ20" i="3"/>
  <c r="HY20" i="3"/>
  <c r="HX20" i="3"/>
  <c r="HW20" i="3"/>
  <c r="HV20" i="3"/>
  <c r="HU20" i="3"/>
  <c r="HT20" i="3"/>
  <c r="HS20" i="3"/>
  <c r="HR20" i="3"/>
  <c r="HQ20" i="3"/>
  <c r="HP20" i="3"/>
  <c r="HO20" i="3"/>
  <c r="HN20" i="3"/>
  <c r="HM20" i="3"/>
  <c r="HL20" i="3"/>
  <c r="HK20" i="3"/>
  <c r="HJ20" i="3"/>
  <c r="HI20" i="3"/>
  <c r="HH20" i="3"/>
  <c r="HG20" i="3"/>
  <c r="HF20" i="3"/>
  <c r="HE20" i="3"/>
  <c r="HD20" i="3"/>
  <c r="HC20" i="3"/>
  <c r="HB20" i="3"/>
  <c r="HA20" i="3"/>
  <c r="GZ20" i="3"/>
  <c r="GY20" i="3"/>
  <c r="GX20" i="3"/>
  <c r="GW20" i="3"/>
  <c r="GV20" i="3"/>
  <c r="GU20" i="3"/>
  <c r="GT20" i="3"/>
  <c r="GS20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IV19" i="3"/>
  <c r="IU19" i="3"/>
  <c r="IT19" i="3"/>
  <c r="IS19" i="3"/>
  <c r="IR19" i="3"/>
  <c r="IQ19" i="3"/>
  <c r="IP19" i="3"/>
  <c r="IO19" i="3"/>
  <c r="IN19" i="3"/>
  <c r="IM19" i="3"/>
  <c r="IL19" i="3"/>
  <c r="IK19" i="3"/>
  <c r="IJ19" i="3"/>
  <c r="II19" i="3"/>
  <c r="IH19" i="3"/>
  <c r="IG19" i="3"/>
  <c r="IF19" i="3"/>
  <c r="IE19" i="3"/>
  <c r="ID19" i="3"/>
  <c r="IC19" i="3"/>
  <c r="IB19" i="3"/>
  <c r="IA19" i="3"/>
  <c r="HZ19" i="3"/>
  <c r="HY19" i="3"/>
  <c r="HX19" i="3"/>
  <c r="HW19" i="3"/>
  <c r="HV19" i="3"/>
  <c r="HU19" i="3"/>
  <c r="HT19" i="3"/>
  <c r="HS19" i="3"/>
  <c r="HR19" i="3"/>
  <c r="HQ19" i="3"/>
  <c r="HP19" i="3"/>
  <c r="HO19" i="3"/>
  <c r="HN19" i="3"/>
  <c r="HM19" i="3"/>
  <c r="HL19" i="3"/>
  <c r="HK19" i="3"/>
  <c r="HJ19" i="3"/>
  <c r="HI19" i="3"/>
  <c r="HH19" i="3"/>
  <c r="HG19" i="3"/>
  <c r="HF19" i="3"/>
  <c r="HE19" i="3"/>
  <c r="HD19" i="3"/>
  <c r="HC19" i="3"/>
  <c r="HB19" i="3"/>
  <c r="HA19" i="3"/>
  <c r="GZ19" i="3"/>
  <c r="GY19" i="3"/>
  <c r="GX19" i="3"/>
  <c r="GW19" i="3"/>
  <c r="GV19" i="3"/>
  <c r="GU19" i="3"/>
  <c r="GT19" i="3"/>
  <c r="GS19" i="3"/>
  <c r="GR19" i="3"/>
  <c r="GQ19" i="3"/>
  <c r="GP19" i="3"/>
  <c r="GO19" i="3"/>
  <c r="GN19" i="3"/>
  <c r="GM19" i="3"/>
  <c r="GL19" i="3"/>
  <c r="GK19" i="3"/>
  <c r="GJ19" i="3"/>
  <c r="GI19" i="3"/>
  <c r="GH19" i="3"/>
  <c r="GG19" i="3"/>
  <c r="GF19" i="3"/>
  <c r="GE19" i="3"/>
  <c r="GD19" i="3"/>
  <c r="GC19" i="3"/>
  <c r="GB19" i="3"/>
  <c r="GA19" i="3"/>
  <c r="FZ19" i="3"/>
  <c r="FY19" i="3"/>
  <c r="FX19" i="3"/>
  <c r="FW19" i="3"/>
  <c r="FV19" i="3"/>
  <c r="FU19" i="3"/>
  <c r="FT19" i="3"/>
  <c r="FS19" i="3"/>
  <c r="FR19" i="3"/>
  <c r="FQ19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IV18" i="3"/>
  <c r="IU18" i="3"/>
  <c r="IT18" i="3"/>
  <c r="IS18" i="3"/>
  <c r="IR18" i="3"/>
  <c r="IQ18" i="3"/>
  <c r="IP18" i="3"/>
  <c r="IO18" i="3"/>
  <c r="IN18" i="3"/>
  <c r="IM18" i="3"/>
  <c r="IL18" i="3"/>
  <c r="IK18" i="3"/>
  <c r="IJ18" i="3"/>
  <c r="II18" i="3"/>
  <c r="IH18" i="3"/>
  <c r="IG18" i="3"/>
  <c r="IF18" i="3"/>
  <c r="IE18" i="3"/>
  <c r="ID18" i="3"/>
  <c r="IC18" i="3"/>
  <c r="IB18" i="3"/>
  <c r="IA18" i="3"/>
  <c r="HZ18" i="3"/>
  <c r="HY18" i="3"/>
  <c r="HX18" i="3"/>
  <c r="HW18" i="3"/>
  <c r="HV18" i="3"/>
  <c r="HU18" i="3"/>
  <c r="HT18" i="3"/>
  <c r="HS18" i="3"/>
  <c r="HR18" i="3"/>
  <c r="HQ18" i="3"/>
  <c r="HP18" i="3"/>
  <c r="HO18" i="3"/>
  <c r="HN18" i="3"/>
  <c r="HM18" i="3"/>
  <c r="HL18" i="3"/>
  <c r="HK18" i="3"/>
  <c r="HJ18" i="3"/>
  <c r="HI18" i="3"/>
  <c r="HH18" i="3"/>
  <c r="HG18" i="3"/>
  <c r="HF18" i="3"/>
  <c r="HE18" i="3"/>
  <c r="HD18" i="3"/>
  <c r="HC18" i="3"/>
  <c r="HB18" i="3"/>
  <c r="HA18" i="3"/>
  <c r="GZ18" i="3"/>
  <c r="GY18" i="3"/>
  <c r="GX18" i="3"/>
  <c r="GW18" i="3"/>
  <c r="GV18" i="3"/>
  <c r="GU18" i="3"/>
  <c r="GT18" i="3"/>
  <c r="GS18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FX18" i="3"/>
  <c r="FW18" i="3"/>
  <c r="FV18" i="3"/>
  <c r="FU18" i="3"/>
  <c r="FT18" i="3"/>
  <c r="FS18" i="3"/>
  <c r="FR18" i="3"/>
  <c r="FQ18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IV17" i="3"/>
  <c r="IU17" i="3"/>
  <c r="IT17" i="3"/>
  <c r="IS17" i="3"/>
  <c r="IR17" i="3"/>
  <c r="IQ17" i="3"/>
  <c r="IP17" i="3"/>
  <c r="IO17" i="3"/>
  <c r="IN17" i="3"/>
  <c r="IM17" i="3"/>
  <c r="IL17" i="3"/>
  <c r="IK17" i="3"/>
  <c r="IJ17" i="3"/>
  <c r="II17" i="3"/>
  <c r="IH17" i="3"/>
  <c r="IG17" i="3"/>
  <c r="IF17" i="3"/>
  <c r="IE17" i="3"/>
  <c r="ID17" i="3"/>
  <c r="IC17" i="3"/>
  <c r="IB17" i="3"/>
  <c r="IA17" i="3"/>
  <c r="HZ17" i="3"/>
  <c r="HY17" i="3"/>
  <c r="HX17" i="3"/>
  <c r="HW17" i="3"/>
  <c r="HV17" i="3"/>
  <c r="HU17" i="3"/>
  <c r="HT17" i="3"/>
  <c r="HS17" i="3"/>
  <c r="HR17" i="3"/>
  <c r="HQ17" i="3"/>
  <c r="HP17" i="3"/>
  <c r="HO17" i="3"/>
  <c r="HN17" i="3"/>
  <c r="HM17" i="3"/>
  <c r="HL17" i="3"/>
  <c r="HK17" i="3"/>
  <c r="HJ17" i="3"/>
  <c r="HI17" i="3"/>
  <c r="HH17" i="3"/>
  <c r="HG17" i="3"/>
  <c r="HF17" i="3"/>
  <c r="HE17" i="3"/>
  <c r="HD17" i="3"/>
  <c r="HC17" i="3"/>
  <c r="HB17" i="3"/>
  <c r="HA17" i="3"/>
  <c r="GZ17" i="3"/>
  <c r="GY17" i="3"/>
  <c r="GX17" i="3"/>
  <c r="GW17" i="3"/>
  <c r="GV17" i="3"/>
  <c r="GU17" i="3"/>
  <c r="GT17" i="3"/>
  <c r="GS17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IV16" i="3"/>
  <c r="IU16" i="3"/>
  <c r="IT16" i="3"/>
  <c r="IS16" i="3"/>
  <c r="IR16" i="3"/>
  <c r="IQ16" i="3"/>
  <c r="IP16" i="3"/>
  <c r="IO16" i="3"/>
  <c r="IN16" i="3"/>
  <c r="IM16" i="3"/>
  <c r="IL16" i="3"/>
  <c r="IK16" i="3"/>
  <c r="IJ16" i="3"/>
  <c r="II16" i="3"/>
  <c r="IH16" i="3"/>
  <c r="IG16" i="3"/>
  <c r="IF16" i="3"/>
  <c r="IE16" i="3"/>
  <c r="ID16" i="3"/>
  <c r="IC16" i="3"/>
  <c r="IB16" i="3"/>
  <c r="IA16" i="3"/>
  <c r="HZ16" i="3"/>
  <c r="HY16" i="3"/>
  <c r="HX16" i="3"/>
  <c r="HW16" i="3"/>
  <c r="HV16" i="3"/>
  <c r="HU16" i="3"/>
  <c r="HT16" i="3"/>
  <c r="HS16" i="3"/>
  <c r="HR16" i="3"/>
  <c r="HQ16" i="3"/>
  <c r="HP16" i="3"/>
  <c r="HO16" i="3"/>
  <c r="HN16" i="3"/>
  <c r="HM16" i="3"/>
  <c r="HL16" i="3"/>
  <c r="HK16" i="3"/>
  <c r="HJ16" i="3"/>
  <c r="HI16" i="3"/>
  <c r="HH16" i="3"/>
  <c r="HG16" i="3"/>
  <c r="HF16" i="3"/>
  <c r="HE16" i="3"/>
  <c r="HD16" i="3"/>
  <c r="HC16" i="3"/>
  <c r="HB16" i="3"/>
  <c r="HA16" i="3"/>
  <c r="GZ16" i="3"/>
  <c r="GY16" i="3"/>
  <c r="GX16" i="3"/>
  <c r="GW16" i="3"/>
  <c r="GV16" i="3"/>
  <c r="GU16" i="3"/>
  <c r="GT16" i="3"/>
  <c r="GS16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IV15" i="3"/>
  <c r="IU15" i="3"/>
  <c r="IT15" i="3"/>
  <c r="IS15" i="3"/>
  <c r="IR15" i="3"/>
  <c r="IQ15" i="3"/>
  <c r="IP15" i="3"/>
  <c r="IO15" i="3"/>
  <c r="IN15" i="3"/>
  <c r="IM15" i="3"/>
  <c r="IL15" i="3"/>
  <c r="IK15" i="3"/>
  <c r="IJ15" i="3"/>
  <c r="II15" i="3"/>
  <c r="IH15" i="3"/>
  <c r="IG15" i="3"/>
  <c r="IF15" i="3"/>
  <c r="IE15" i="3"/>
  <c r="ID15" i="3"/>
  <c r="IC15" i="3"/>
  <c r="IB15" i="3"/>
  <c r="IA15" i="3"/>
  <c r="HZ15" i="3"/>
  <c r="HY15" i="3"/>
  <c r="HX15" i="3"/>
  <c r="HW15" i="3"/>
  <c r="HV15" i="3"/>
  <c r="HU15" i="3"/>
  <c r="HT15" i="3"/>
  <c r="HS15" i="3"/>
  <c r="HR15" i="3"/>
  <c r="HQ15" i="3"/>
  <c r="HP15" i="3"/>
  <c r="HO15" i="3"/>
  <c r="HN15" i="3"/>
  <c r="HM15" i="3"/>
  <c r="HL15" i="3"/>
  <c r="HK15" i="3"/>
  <c r="HJ15" i="3"/>
  <c r="HI15" i="3"/>
  <c r="HH15" i="3"/>
  <c r="HG15" i="3"/>
  <c r="HF15" i="3"/>
  <c r="HE15" i="3"/>
  <c r="HD15" i="3"/>
  <c r="HC15" i="3"/>
  <c r="HB15" i="3"/>
  <c r="HA15" i="3"/>
  <c r="GZ15" i="3"/>
  <c r="GY15" i="3"/>
  <c r="GX15" i="3"/>
  <c r="GW15" i="3"/>
  <c r="GV15" i="3"/>
  <c r="GU15" i="3"/>
  <c r="GT15" i="3"/>
  <c r="GS15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IV14" i="3"/>
  <c r="IU14" i="3"/>
  <c r="IT14" i="3"/>
  <c r="IS14" i="3"/>
  <c r="IR14" i="3"/>
  <c r="IQ14" i="3"/>
  <c r="IP14" i="3"/>
  <c r="IO14" i="3"/>
  <c r="IN14" i="3"/>
  <c r="IM14" i="3"/>
  <c r="IL14" i="3"/>
  <c r="IK14" i="3"/>
  <c r="IJ14" i="3"/>
  <c r="II14" i="3"/>
  <c r="IH14" i="3"/>
  <c r="IG14" i="3"/>
  <c r="IF14" i="3"/>
  <c r="IE14" i="3"/>
  <c r="ID14" i="3"/>
  <c r="IC14" i="3"/>
  <c r="IB14" i="3"/>
  <c r="IA14" i="3"/>
  <c r="HZ14" i="3"/>
  <c r="HY14" i="3"/>
  <c r="HX14" i="3"/>
  <c r="HW14" i="3"/>
  <c r="HV14" i="3"/>
  <c r="HU14" i="3"/>
  <c r="HT14" i="3"/>
  <c r="HS14" i="3"/>
  <c r="HR14" i="3"/>
  <c r="HQ14" i="3"/>
  <c r="HP14" i="3"/>
  <c r="HO14" i="3"/>
  <c r="HN14" i="3"/>
  <c r="HM14" i="3"/>
  <c r="HL14" i="3"/>
  <c r="HK14" i="3"/>
  <c r="HJ14" i="3"/>
  <c r="HI14" i="3"/>
  <c r="HH14" i="3"/>
  <c r="HG14" i="3"/>
  <c r="HF14" i="3"/>
  <c r="HE14" i="3"/>
  <c r="HD14" i="3"/>
  <c r="HC14" i="3"/>
  <c r="HB14" i="3"/>
  <c r="HA14" i="3"/>
  <c r="GZ14" i="3"/>
  <c r="GY14" i="3"/>
  <c r="GX14" i="3"/>
  <c r="GW14" i="3"/>
  <c r="GV14" i="3"/>
  <c r="GU14" i="3"/>
  <c r="GT14" i="3"/>
  <c r="GS14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IV13" i="3"/>
  <c r="IU13" i="3"/>
  <c r="IT13" i="3"/>
  <c r="IS13" i="3"/>
  <c r="IR13" i="3"/>
  <c r="IQ13" i="3"/>
  <c r="IP13" i="3"/>
  <c r="IO13" i="3"/>
  <c r="IN13" i="3"/>
  <c r="IM13" i="3"/>
  <c r="IL13" i="3"/>
  <c r="IK13" i="3"/>
  <c r="IJ13" i="3"/>
  <c r="II13" i="3"/>
  <c r="IH13" i="3"/>
  <c r="IG13" i="3"/>
  <c r="IF13" i="3"/>
  <c r="IE13" i="3"/>
  <c r="ID13" i="3"/>
  <c r="IC13" i="3"/>
  <c r="IB13" i="3"/>
  <c r="IA13" i="3"/>
  <c r="HZ13" i="3"/>
  <c r="HY13" i="3"/>
  <c r="HX13" i="3"/>
  <c r="HW13" i="3"/>
  <c r="HV13" i="3"/>
  <c r="HU13" i="3"/>
  <c r="HT13" i="3"/>
  <c r="HS13" i="3"/>
  <c r="HR13" i="3"/>
  <c r="HQ13" i="3"/>
  <c r="HP13" i="3"/>
  <c r="HO13" i="3"/>
  <c r="HN13" i="3"/>
  <c r="HM13" i="3"/>
  <c r="HL13" i="3"/>
  <c r="HK13" i="3"/>
  <c r="HJ13" i="3"/>
  <c r="HI13" i="3"/>
  <c r="HH13" i="3"/>
  <c r="HG13" i="3"/>
  <c r="HF13" i="3"/>
  <c r="HE13" i="3"/>
  <c r="HD13" i="3"/>
  <c r="HC13" i="3"/>
  <c r="HB13" i="3"/>
  <c r="HA13" i="3"/>
  <c r="GZ13" i="3"/>
  <c r="GY13" i="3"/>
  <c r="GX13" i="3"/>
  <c r="GW13" i="3"/>
  <c r="GV13" i="3"/>
  <c r="GU13" i="3"/>
  <c r="GT13" i="3"/>
  <c r="GS13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IV12" i="3"/>
  <c r="IU12" i="3"/>
  <c r="IT12" i="3"/>
  <c r="IS12" i="3"/>
  <c r="IR12" i="3"/>
  <c r="IQ12" i="3"/>
  <c r="IP12" i="3"/>
  <c r="IO12" i="3"/>
  <c r="IN12" i="3"/>
  <c r="IM12" i="3"/>
  <c r="IL12" i="3"/>
  <c r="IK12" i="3"/>
  <c r="IJ12" i="3"/>
  <c r="II12" i="3"/>
  <c r="IH12" i="3"/>
  <c r="IG12" i="3"/>
  <c r="IF12" i="3"/>
  <c r="IE12" i="3"/>
  <c r="ID12" i="3"/>
  <c r="IC12" i="3"/>
  <c r="IB12" i="3"/>
  <c r="IA12" i="3"/>
  <c r="HZ12" i="3"/>
  <c r="HY12" i="3"/>
  <c r="HX12" i="3"/>
  <c r="HW12" i="3"/>
  <c r="HV12" i="3"/>
  <c r="HU12" i="3"/>
  <c r="HT12" i="3"/>
  <c r="HS12" i="3"/>
  <c r="HR12" i="3"/>
  <c r="HQ12" i="3"/>
  <c r="HP12" i="3"/>
  <c r="HO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IV11" i="3"/>
  <c r="IU11" i="3"/>
  <c r="IT11" i="3"/>
  <c r="IS11" i="3"/>
  <c r="IR11" i="3"/>
  <c r="IQ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IV10" i="3"/>
  <c r="IU10" i="3"/>
  <c r="IT10" i="3"/>
  <c r="IS10" i="3"/>
  <c r="IR10" i="3"/>
  <c r="IQ10" i="3"/>
  <c r="IP10" i="3"/>
  <c r="IO10" i="3"/>
  <c r="IN10" i="3"/>
  <c r="IM10" i="3"/>
  <c r="IL10" i="3"/>
  <c r="IK10" i="3"/>
  <c r="IJ10" i="3"/>
  <c r="II10" i="3"/>
  <c r="IH10" i="3"/>
  <c r="IG10" i="3"/>
  <c r="IF10" i="3"/>
  <c r="IE10" i="3"/>
  <c r="ID10" i="3"/>
  <c r="IC10" i="3"/>
  <c r="IB10" i="3"/>
  <c r="IA10" i="3"/>
  <c r="HZ10" i="3"/>
  <c r="HY10" i="3"/>
  <c r="HX10" i="3"/>
  <c r="HW10" i="3"/>
  <c r="HV10" i="3"/>
  <c r="HU10" i="3"/>
  <c r="HT10" i="3"/>
  <c r="HS10" i="3"/>
  <c r="HR10" i="3"/>
  <c r="HQ10" i="3"/>
  <c r="HP10" i="3"/>
  <c r="HO10" i="3"/>
  <c r="HN10" i="3"/>
  <c r="HM10" i="3"/>
  <c r="HL10" i="3"/>
  <c r="HK10" i="3"/>
  <c r="HJ10" i="3"/>
  <c r="HI10" i="3"/>
  <c r="HH10" i="3"/>
  <c r="HG10" i="3"/>
  <c r="HF10" i="3"/>
  <c r="HE10" i="3"/>
  <c r="HD10" i="3"/>
  <c r="HC10" i="3"/>
  <c r="HB10" i="3"/>
  <c r="HA10" i="3"/>
  <c r="GZ10" i="3"/>
  <c r="GY10" i="3"/>
  <c r="GX10" i="3"/>
  <c r="GW10" i="3"/>
  <c r="GV10" i="3"/>
  <c r="GU10" i="3"/>
  <c r="GT10" i="3"/>
  <c r="GS10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IV7" i="3"/>
  <c r="IU7" i="3"/>
  <c r="IT7" i="3"/>
  <c r="IS7" i="3"/>
  <c r="IR7" i="3"/>
  <c r="IQ7" i="3"/>
  <c r="IP7" i="3"/>
  <c r="IO7" i="3"/>
  <c r="IN7" i="3"/>
  <c r="IM7" i="3"/>
  <c r="IL7" i="3"/>
  <c r="IK7" i="3"/>
  <c r="IJ7" i="3"/>
  <c r="II7" i="3"/>
  <c r="IH7" i="3"/>
  <c r="IG7" i="3"/>
  <c r="IF7" i="3"/>
  <c r="IE7" i="3"/>
  <c r="ID7" i="3"/>
  <c r="IC7" i="3"/>
  <c r="IB7" i="3"/>
  <c r="IA7" i="3"/>
  <c r="HZ7" i="3"/>
  <c r="HY7" i="3"/>
  <c r="HX7" i="3"/>
  <c r="HW7" i="3"/>
  <c r="HV7" i="3"/>
  <c r="HU7" i="3"/>
  <c r="HT7" i="3"/>
  <c r="HS7" i="3"/>
  <c r="HR7" i="3"/>
  <c r="HQ7" i="3"/>
  <c r="HP7" i="3"/>
  <c r="HO7" i="3"/>
  <c r="HN7" i="3"/>
  <c r="HM7" i="3"/>
  <c r="HL7" i="3"/>
  <c r="HK7" i="3"/>
  <c r="HJ7" i="3"/>
  <c r="HI7" i="3"/>
  <c r="HH7" i="3"/>
  <c r="HG7" i="3"/>
  <c r="HF7" i="3"/>
  <c r="HE7" i="3"/>
  <c r="HD7" i="3"/>
  <c r="HC7" i="3"/>
  <c r="HB7" i="3"/>
  <c r="HA7" i="3"/>
  <c r="GZ7" i="3"/>
  <c r="GY7" i="3"/>
  <c r="GX7" i="3"/>
  <c r="GW7" i="3"/>
  <c r="GV7" i="3"/>
  <c r="GU7" i="3"/>
  <c r="GT7" i="3"/>
  <c r="GS7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IV6" i="3"/>
  <c r="IU6" i="3"/>
  <c r="IT6" i="3"/>
  <c r="IS6" i="3"/>
  <c r="IR6" i="3"/>
  <c r="IQ6" i="3"/>
  <c r="IP6" i="3"/>
  <c r="IO6" i="3"/>
  <c r="IN6" i="3"/>
  <c r="IM6" i="3"/>
  <c r="IL6" i="3"/>
  <c r="IK6" i="3"/>
  <c r="IJ6" i="3"/>
  <c r="II6" i="3"/>
  <c r="IH6" i="3"/>
  <c r="IG6" i="3"/>
  <c r="IF6" i="3"/>
  <c r="IE6" i="3"/>
  <c r="ID6" i="3"/>
  <c r="IC6" i="3"/>
  <c r="IB6" i="3"/>
  <c r="IA6" i="3"/>
  <c r="HZ6" i="3"/>
  <c r="HY6" i="3"/>
  <c r="HX6" i="3"/>
  <c r="HW6" i="3"/>
  <c r="HV6" i="3"/>
  <c r="HU6" i="3"/>
  <c r="HT6" i="3"/>
  <c r="HS6" i="3"/>
  <c r="HR6" i="3"/>
  <c r="HQ6" i="3"/>
  <c r="HP6" i="3"/>
  <c r="HO6" i="3"/>
  <c r="HN6" i="3"/>
  <c r="HM6" i="3"/>
  <c r="HL6" i="3"/>
  <c r="HK6" i="3"/>
  <c r="HJ6" i="3"/>
  <c r="HI6" i="3"/>
  <c r="HH6" i="3"/>
  <c r="HG6" i="3"/>
  <c r="HF6" i="3"/>
  <c r="HE6" i="3"/>
  <c r="HD6" i="3"/>
  <c r="HC6" i="3"/>
  <c r="HB6" i="3"/>
  <c r="HA6" i="3"/>
  <c r="GZ6" i="3"/>
  <c r="GY6" i="3"/>
  <c r="GX6" i="3"/>
  <c r="GW6" i="3"/>
  <c r="GV6" i="3"/>
  <c r="GU6" i="3"/>
  <c r="GT6" i="3"/>
  <c r="GS6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IV5" i="3"/>
  <c r="IU5" i="3"/>
  <c r="IT5" i="3"/>
  <c r="IS5" i="3"/>
  <c r="IR5" i="3"/>
  <c r="IQ5" i="3"/>
  <c r="IP5" i="3"/>
  <c r="IO5" i="3"/>
  <c r="IN5" i="3"/>
  <c r="IM5" i="3"/>
  <c r="IL5" i="3"/>
  <c r="IK5" i="3"/>
  <c r="IJ5" i="3"/>
  <c r="II5" i="3"/>
  <c r="IH5" i="3"/>
  <c r="IG5" i="3"/>
  <c r="IF5" i="3"/>
  <c r="IE5" i="3"/>
  <c r="ID5" i="3"/>
  <c r="IC5" i="3"/>
  <c r="IB5" i="3"/>
  <c r="IA5" i="3"/>
  <c r="HZ5" i="3"/>
  <c r="HY5" i="3"/>
  <c r="HX5" i="3"/>
  <c r="HW5" i="3"/>
  <c r="HV5" i="3"/>
  <c r="HU5" i="3"/>
  <c r="HT5" i="3"/>
  <c r="HS5" i="3"/>
  <c r="HR5" i="3"/>
  <c r="HQ5" i="3"/>
  <c r="HP5" i="3"/>
  <c r="HO5" i="3"/>
  <c r="HN5" i="3"/>
  <c r="HM5" i="3"/>
  <c r="HL5" i="3"/>
  <c r="HK5" i="3"/>
  <c r="HJ5" i="3"/>
  <c r="HI5" i="3"/>
  <c r="HH5" i="3"/>
  <c r="HG5" i="3"/>
  <c r="HF5" i="3"/>
  <c r="HE5" i="3"/>
  <c r="HD5" i="3"/>
  <c r="HC5" i="3"/>
  <c r="HB5" i="3"/>
  <c r="HA5" i="3"/>
  <c r="GZ5" i="3"/>
  <c r="GY5" i="3"/>
  <c r="GX5" i="3"/>
  <c r="GW5" i="3"/>
  <c r="GV5" i="3"/>
  <c r="GU5" i="3"/>
  <c r="GT5" i="3"/>
  <c r="GS5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IV4" i="3"/>
  <c r="IU4" i="3"/>
  <c r="IT4" i="3"/>
  <c r="IS4" i="3"/>
  <c r="IR4" i="3"/>
  <c r="IQ4" i="3"/>
  <c r="IP4" i="3"/>
  <c r="IO4" i="3"/>
  <c r="IN4" i="3"/>
  <c r="IM4" i="3"/>
  <c r="IL4" i="3"/>
  <c r="IK4" i="3"/>
  <c r="IJ4" i="3"/>
  <c r="II4" i="3"/>
  <c r="IH4" i="3"/>
  <c r="IG4" i="3"/>
  <c r="IF4" i="3"/>
  <c r="IE4" i="3"/>
  <c r="ID4" i="3"/>
  <c r="IC4" i="3"/>
  <c r="IB4" i="3"/>
  <c r="IA4" i="3"/>
  <c r="HZ4" i="3"/>
  <c r="HY4" i="3"/>
  <c r="HX4" i="3"/>
  <c r="HW4" i="3"/>
  <c r="HV4" i="3"/>
  <c r="HU4" i="3"/>
  <c r="HT4" i="3"/>
  <c r="HS4" i="3"/>
  <c r="HR4" i="3"/>
  <c r="HQ4" i="3"/>
  <c r="HP4" i="3"/>
  <c r="HO4" i="3"/>
  <c r="HN4" i="3"/>
  <c r="HM4" i="3"/>
  <c r="HL4" i="3"/>
  <c r="HK4" i="3"/>
  <c r="HJ4" i="3"/>
  <c r="HI4" i="3"/>
  <c r="HH4" i="3"/>
  <c r="HG4" i="3"/>
  <c r="HF4" i="3"/>
  <c r="HE4" i="3"/>
  <c r="HD4" i="3"/>
  <c r="HC4" i="3"/>
  <c r="HB4" i="3"/>
  <c r="HA4" i="3"/>
  <c r="GZ4" i="3"/>
  <c r="GY4" i="3"/>
  <c r="GX4" i="3"/>
  <c r="GW4" i="3"/>
  <c r="GV4" i="3"/>
  <c r="GU4" i="3"/>
  <c r="GT4" i="3"/>
  <c r="GS4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R4" i="3"/>
  <c r="DQ4" i="3"/>
  <c r="DP4" i="3"/>
  <c r="DO4" i="3"/>
  <c r="DN4" i="3"/>
  <c r="DM4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G3" i="3"/>
  <c r="BF3" i="3"/>
  <c r="BE3" i="3"/>
  <c r="BD3" i="3"/>
  <c r="BC3" i="3"/>
  <c r="BB3" i="3"/>
  <c r="AZ3" i="3"/>
  <c r="AY3" i="3"/>
  <c r="AX3" i="3"/>
  <c r="AW3" i="3"/>
  <c r="AV3" i="3"/>
  <c r="AU3" i="3"/>
  <c r="AT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IV2" i="3"/>
  <c r="IU2" i="3"/>
  <c r="IT2" i="3"/>
  <c r="IS2" i="3"/>
  <c r="IR2" i="3"/>
  <c r="IQ2" i="3"/>
  <c r="IP2" i="3"/>
  <c r="IO2" i="3"/>
  <c r="IN2" i="3"/>
  <c r="IM2" i="3"/>
  <c r="IL2" i="3"/>
  <c r="IK2" i="3"/>
  <c r="IJ2" i="3"/>
  <c r="II2" i="3"/>
  <c r="IH2" i="3"/>
  <c r="IG2" i="3"/>
  <c r="IF2" i="3"/>
  <c r="IE2" i="3"/>
  <c r="ID2" i="3"/>
  <c r="IC2" i="3"/>
  <c r="IB2" i="3"/>
  <c r="IA2" i="3"/>
  <c r="HZ2" i="3"/>
  <c r="HY2" i="3"/>
  <c r="HX2" i="3"/>
  <c r="HW2" i="3"/>
  <c r="HV2" i="3"/>
  <c r="HU2" i="3"/>
  <c r="HT2" i="3"/>
  <c r="HS2" i="3"/>
  <c r="HR2" i="3"/>
  <c r="HQ2" i="3"/>
  <c r="HP2" i="3"/>
  <c r="HO2" i="3"/>
  <c r="HN2" i="3"/>
  <c r="HM2" i="3"/>
  <c r="HL2" i="3"/>
  <c r="HK2" i="3"/>
  <c r="HJ2" i="3"/>
  <c r="HI2" i="3"/>
  <c r="HH2" i="3"/>
  <c r="HG2" i="3"/>
  <c r="HF2" i="3"/>
  <c r="HE2" i="3"/>
  <c r="HD2" i="3"/>
  <c r="HC2" i="3"/>
  <c r="HB2" i="3"/>
  <c r="HA2" i="3"/>
  <c r="GZ2" i="3"/>
  <c r="GY2" i="3"/>
  <c r="GX2" i="3"/>
  <c r="GW2" i="3"/>
  <c r="GV2" i="3"/>
  <c r="GU2" i="3"/>
  <c r="GT2" i="3"/>
  <c r="GS2" i="3"/>
  <c r="GR2" i="3"/>
  <c r="GQ2" i="3"/>
  <c r="GP2" i="3"/>
  <c r="GO2" i="3"/>
  <c r="GN2" i="3"/>
  <c r="GM2" i="3"/>
  <c r="GL2" i="3"/>
  <c r="GK2" i="3"/>
  <c r="GJ2" i="3"/>
  <c r="GI2" i="3"/>
  <c r="GH2" i="3"/>
  <c r="GG2" i="3"/>
  <c r="GF2" i="3"/>
  <c r="GE2" i="3"/>
  <c r="GD2" i="3"/>
  <c r="GC2" i="3"/>
  <c r="GB2" i="3"/>
  <c r="GA2" i="3"/>
  <c r="FZ2" i="3"/>
  <c r="FY2" i="3"/>
  <c r="FX2" i="3"/>
  <c r="FW2" i="3"/>
  <c r="FV2" i="3"/>
  <c r="FU2" i="3"/>
  <c r="FT2" i="3"/>
  <c r="FS2" i="3"/>
  <c r="FR2" i="3"/>
  <c r="FQ2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I3" i="2"/>
  <c r="FH10" i="3" s="1"/>
  <c r="G13" i="1"/>
  <c r="BH3" i="3" s="1"/>
  <c r="G12" i="1"/>
  <c r="BA3" i="3" s="1"/>
  <c r="G11" i="1"/>
  <c r="AS3" i="3" s="1"/>
</calcChain>
</file>

<file path=xl/sharedStrings.xml><?xml version="1.0" encoding="utf-8"?>
<sst xmlns="http://schemas.openxmlformats.org/spreadsheetml/2006/main" count="1925" uniqueCount="856">
  <si>
    <t>FIXtag</t>
  </si>
  <si>
    <t>FIX tag #</t>
  </si>
  <si>
    <t>ReqFIX</t>
  </si>
  <si>
    <t>ReqSG</t>
  </si>
  <si>
    <t>Confirmation Message
Valid values</t>
  </si>
  <si>
    <t>Comments</t>
  </si>
  <si>
    <t>Message header</t>
  </si>
  <si>
    <t>BeginString</t>
  </si>
  <si>
    <t>Y</t>
  </si>
  <si>
    <t>=FIX4.4</t>
  </si>
  <si>
    <t>Identifies beginning of new message and protocol version. Always 1st field in message.</t>
  </si>
  <si>
    <t>BodyLength</t>
  </si>
  <si>
    <t>&lt;999&gt;</t>
  </si>
  <si>
    <t>Message length, in bytes, forward to the CheckSum field. Always 2nd field in message.</t>
  </si>
  <si>
    <t>MsgType</t>
  </si>
  <si>
    <t>=AK</t>
  </si>
  <si>
    <t>Always 3rd field in message</t>
  </si>
  <si>
    <t>MsgSeqNum</t>
  </si>
  <si>
    <t>&lt;9999&gt;</t>
  </si>
  <si>
    <t>SenderCompId</t>
  </si>
  <si>
    <r>
      <t>&lt;</t>
    </r>
    <r>
      <rPr>
        <i/>
        <sz val="11"/>
        <rFont val="Arial"/>
        <family val="2"/>
      </rPr>
      <t>CLNT</t>
    </r>
    <r>
      <rPr>
        <sz val="11"/>
        <rFont val="Arial"/>
        <family val="2"/>
      </rPr>
      <t>ALLOC&gt;</t>
    </r>
  </si>
  <si>
    <r>
      <t>"</t>
    </r>
    <r>
      <rPr>
        <i/>
        <sz val="11"/>
        <rFont val="Arial"/>
        <family val="2"/>
      </rPr>
      <t>CLNT</t>
    </r>
    <r>
      <rPr>
        <sz val="11"/>
        <rFont val="Arial"/>
        <family val="2"/>
      </rPr>
      <t>" is a code identifying the broker</t>
    </r>
  </si>
  <si>
    <t>TargetCompID</t>
  </si>
  <si>
    <t>=SGALLOC</t>
  </si>
  <si>
    <t>Assigned value used to identify receiving firm</t>
  </si>
  <si>
    <t>SendingTime</t>
  </si>
  <si>
    <t>&lt;YYYYMMDD:HH:MM:SS.sss&gt;</t>
  </si>
  <si>
    <t>Time of message transmission. UTC time</t>
  </si>
  <si>
    <t>Message body</t>
  </si>
  <si>
    <t>ConfirmID</t>
  </si>
  <si>
    <t>&lt;unique ID created by broker&gt;</t>
  </si>
  <si>
    <t>Always unique</t>
  </si>
  <si>
    <t>ConfirmRefID</t>
  </si>
  <si>
    <t>C</t>
  </si>
  <si>
    <t>C (666=2)</t>
  </si>
  <si>
    <t>&lt;id of canceled&gt;</t>
  </si>
  <si>
    <t>For cancels, 664 will be a new value with ConfirmRefID as old value</t>
  </si>
  <si>
    <t>ConfirmTransType</t>
  </si>
  <si>
    <t> =0 (new)</t>
  </si>
  <si>
    <t>Amends are 'Cancel' then 'New'</t>
  </si>
  <si>
    <t> =2 (cancel)</t>
  </si>
  <si>
    <t>ConfirmType</t>
  </si>
  <si>
    <t> =2 (confirmation)</t>
  </si>
  <si>
    <t>Not used</t>
  </si>
  <si>
    <t>LegalConfirm</t>
  </si>
  <si>
    <t>N</t>
  </si>
  <si>
    <t>C (666=0)</t>
  </si>
  <si>
    <t> =Y (indicated legal confirmation)</t>
  </si>
  <si>
    <t>ConfirmStatus</t>
  </si>
  <si>
    <t> =4 (confirmed)</t>
  </si>
  <si>
    <t>Note: “confirmed” means that this is the sell-side view.</t>
  </si>
  <si>
    <t>AllocId</t>
  </si>
  <si>
    <t>O</t>
  </si>
  <si>
    <t>&lt;Block-ID&gt;</t>
  </si>
  <si>
    <t>Block ID. Not used.</t>
  </si>
  <si>
    <t>IndividualAllocId</t>
  </si>
  <si>
    <t xml:space="preserve">&lt;Allocation-ID&gt; </t>
  </si>
  <si>
    <t>Broker's internal reference for the trade</t>
  </si>
  <si>
    <t>TransactTime</t>
  </si>
  <si>
    <t>Timestamp when the business transaction represented by the message occurred. UTC time</t>
  </si>
  <si>
    <t>Parties</t>
  </si>
  <si>
    <t>NoPartyIds</t>
  </si>
  <si>
    <t>&gt;=4 (Exchange, ExecutingBroker, Trader, OrderOriginatingFrom, ...)</t>
  </si>
  <si>
    <t>Has to be changed to reflect exact number of parties </t>
  </si>
  <si>
    <t>Exchange</t>
  </si>
  <si>
    <t>→PartyID</t>
  </si>
  <si>
    <t> =&lt;MIC&gt;</t>
  </si>
  <si>
    <t>Primary exchange that the ISIN is listed on
When 167=CORP (fixed income), to populate with 'N/A'</t>
  </si>
  <si>
    <t>→PartyIDSource</t>
  </si>
  <si>
    <t> =G</t>
  </si>
  <si>
    <t>MIC</t>
  </si>
  <si>
    <t>→PartyRole</t>
  </si>
  <si>
    <t> =22</t>
  </si>
  <si>
    <t>MIC to overwrite MIC in tag 448 (when 447=G and 452=22)</t>
  </si>
  <si>
    <t>→→SettlPartyId</t>
  </si>
  <si>
    <t> =MIC</t>
  </si>
  <si>
    <t>→→SettlPartyIDSource</t>
  </si>
  <si>
    <t>→→SettlPartyRole</t>
  </si>
  <si>
    <t>=22</t>
  </si>
  <si>
    <t>This is not needed</t>
  </si>
  <si>
    <t>ExecutingBroker</t>
  </si>
  <si>
    <t> =&lt;BIC&gt;</t>
  </si>
  <si>
    <t>BIC of the Broker</t>
  </si>
  <si>
    <t> =B</t>
  </si>
  <si>
    <t>BIC</t>
  </si>
  <si>
    <t> =1</t>
  </si>
  <si>
    <t>Executing firm</t>
  </si>
  <si>
    <t>→NoPartySubIDs</t>
  </si>
  <si>
    <t> &gt;=1</t>
  </si>
  <si>
    <t>Depends on the number of sub-parties</t>
  </si>
  <si>
    <t>→→PartySubID</t>
  </si>
  <si>
    <t> =&lt;Book ID&gt;</t>
  </si>
  <si>
    <t>Book ID at SGSS</t>
  </si>
  <si>
    <t>→→PartySubIDType</t>
  </si>
  <si>
    <t xml:space="preserve"> =10 (securities account)</t>
  </si>
  <si>
    <t>xxxxx/yyyyy</t>
  </si>
  <si>
    <t>xxxxx = Depot Alias, yyyyy=Nostro Alias
Used to override the company depot/nostro defautling rules</t>
  </si>
  <si>
    <t>BrokerOfCredit</t>
  </si>
  <si>
    <t>Trader</t>
  </si>
  <si>
    <t> =&lt;Counterparty ID&gt;</t>
  </si>
  <si>
    <t>In a disclosed model, the broker's internal ID for the parent of its counterparty (e.g. an Asset Manager when the counterparty is a fund).</t>
  </si>
  <si>
    <t> =D</t>
  </si>
  <si>
    <t> =36 (Entering Trader)</t>
  </si>
  <si>
    <t>GiveUp</t>
  </si>
  <si>
    <t>Cross-Border</t>
  </si>
  <si>
    <t>LargeTraderReportableAccount</t>
  </si>
  <si>
    <t>TradeIdentification</t>
  </si>
  <si>
    <t>Side</t>
  </si>
  <si>
    <t> =1 (Buy)</t>
  </si>
  <si>
    <t>Side to be understood from the counterparty point of view</t>
  </si>
  <si>
    <t> =2 (Sell)</t>
  </si>
  <si>
    <t>Symbol</t>
  </si>
  <si>
    <t>&lt;symbol&gt;</t>
  </si>
  <si>
    <t>Local Ticker</t>
  </si>
  <si>
    <t>SecurityIdSource</t>
  </si>
  <si>
    <t> =4 (ISIN)</t>
  </si>
  <si>
    <t>Primary identifier.</t>
  </si>
  <si>
    <t>SecurityId</t>
  </si>
  <si>
    <t>&lt;security-id&gt; </t>
  </si>
  <si>
    <t>NoSecurityAltID</t>
  </si>
  <si>
    <t>Alternate Identifier</t>
  </si>
  <si>
    <t>SecurityAltID</t>
  </si>
  <si>
    <t>SecurityAltIDSource</t>
  </si>
  <si>
    <t> =1-CUSIP</t>
  </si>
  <si>
    <t> =2-SEDOL</t>
  </si>
  <si>
    <t>SecurityType</t>
  </si>
  <si>
    <t xml:space="preserve"> = “CS” </t>
  </si>
  <si>
    <t>Indicates an Equity trade</t>
  </si>
  <si>
    <t> = “CORP”</t>
  </si>
  <si>
    <t>Indicates a Fixed Income trade</t>
  </si>
  <si>
    <t>SecurityDesc</t>
  </si>
  <si>
    <t>CFIcode</t>
  </si>
  <si>
    <t>AllocQty</t>
  </si>
  <si>
    <t>&lt;quantity allocated to this account&gt;</t>
  </si>
  <si>
    <t>QtyType</t>
  </si>
  <si>
    <t xml:space="preserve"> =0 (Unit) </t>
  </si>
  <si>
    <t> =1 (Facial Amount)</t>
  </si>
  <si>
    <t>TradeDate</t>
  </si>
  <si>
    <t>&lt;YYYYMMDD&gt;</t>
  </si>
  <si>
    <t>NoCapacities</t>
  </si>
  <si>
    <t xml:space="preserve"> =1</t>
  </si>
  <si>
    <t>Will always be 1</t>
  </si>
  <si>
    <t>→OrderCapacity</t>
  </si>
  <si>
    <t> = A (Agency)</t>
  </si>
  <si>
    <t> = P (Principal)</t>
  </si>
  <si>
    <t> = R (Riskless principal)</t>
  </si>
  <si>
    <t>→Ordercapacityquantity</t>
  </si>
  <si>
    <t>&lt;Quantity&gt; (executed in this capacity)</t>
  </si>
  <si>
    <t>Equal to AllocQty</t>
  </si>
  <si>
    <t>AccountIdentification</t>
  </si>
  <si>
    <t>AllocAccount</t>
  </si>
  <si>
    <t>&lt;counterparty account&gt;</t>
  </si>
  <si>
    <t xml:space="preserve">In a disclosed model, the broker's internal ID for its counterparty (Client, Executing broker, CCP). </t>
  </si>
  <si>
    <t>AllocAcctIDSource</t>
  </si>
  <si>
    <t> =4 (OMGEOAlertID)</t>
  </si>
  <si>
    <t>Not required</t>
  </si>
  <si>
    <t>= 99 (other)</t>
  </si>
  <si>
    <t>ProcessCode</t>
  </si>
  <si>
    <t>= 0 (Regular)</t>
  </si>
  <si>
    <t>=1 (Soft Dollar)</t>
  </si>
  <si>
    <t>AllocAccountType</t>
  </si>
  <si>
    <t> =1 (account is carried on customer side of books (default))</t>
  </si>
  <si>
    <t> =2 (account is carried on non-customer side of books)</t>
  </si>
  <si>
    <t> =3 – house trader</t>
  </si>
  <si>
    <t> =4 (floor trader)</t>
  </si>
  <si>
    <t> =6 (account is carried on non-customer side of books and is cross margined)</t>
  </si>
  <si>
    <t> =7 (account is house trader and is cross margined)</t>
  </si>
  <si>
    <t> =8 (joint back office account (JBO))</t>
  </si>
  <si>
    <t>FinancialDetail</t>
  </si>
  <si>
    <t>AvgPx</t>
  </si>
  <si>
    <t>&lt;booking price&gt; (of the executions allocated to this account)</t>
  </si>
  <si>
    <t>In trading currency</t>
  </si>
  <si>
    <t>Currency</t>
  </si>
  <si>
    <t>&lt;currency code&gt;</t>
  </si>
  <si>
    <t>Trading currency (GBP not GBp, ZAR not ZAr, etc...)</t>
  </si>
  <si>
    <t>PriceType</t>
  </si>
  <si>
    <t> =1 (percentage (eg. Percent of par))</t>
  </si>
  <si>
    <t> =2 (per Unit (default))</t>
  </si>
  <si>
    <t>Text</t>
  </si>
  <si>
    <t>GrossTradeAmt</t>
  </si>
  <si>
    <t>&lt;amount&gt; (Total amount traded)</t>
  </si>
  <si>
    <t>Note: if PriceType(423) is Percent of par, then this will be: AllocQty(80) * AvgPx(6) / 100.</t>
  </si>
  <si>
    <t>NetMoney</t>
  </si>
  <si>
    <t xml:space="preserve">&lt;amount&gt; </t>
  </si>
  <si>
    <t>(Total amount due as the result of the transaction (e.g. for Buy order - principal + commission + fees) reported in trade currency )</t>
  </si>
  <si>
    <t>SettlDate</t>
  </si>
  <si>
    <t xml:space="preserve">Specific date of trade settlement </t>
  </si>
  <si>
    <t>Settlementotherthantradecurrency</t>
  </si>
  <si>
    <t>SettlCurrAmt</t>
  </si>
  <si>
    <t>&lt;amount&gt; </t>
  </si>
  <si>
    <t>Same as tag 118 if trade currency = settlement currency</t>
  </si>
  <si>
    <t>SettlCurrency</t>
  </si>
  <si>
    <t xml:space="preserve">&lt;currency code&gt; </t>
  </si>
  <si>
    <t>ISO currency code for settlement currency</t>
  </si>
  <si>
    <t>SettlCurrFxRate</t>
  </si>
  <si>
    <t xml:space="preserve">&lt;rate&gt; </t>
  </si>
  <si>
    <t>FX rate used to convert the net amount from Currency (15) to SettlCurrency (120)
1.00 if Trading currency = Settlement currency</t>
  </si>
  <si>
    <t>SettlCurrFxRateCalc</t>
  </si>
  <si>
    <t> =M (Multiply)</t>
  </si>
  <si>
    <t>Specifies whether the SettlCurrFxRate should be multiplied or divided when converting from Currency to SettlCurrency. Must be M</t>
  </si>
  <si>
    <t> =D (Divide)</t>
  </si>
  <si>
    <t>Interest</t>
  </si>
  <si>
    <t>For fixed income</t>
  </si>
  <si>
    <t>AccruedInterestAmt</t>
  </si>
  <si>
    <t>For convertible bond (in currency of execution)</t>
  </si>
  <si>
    <t>AccruedDays</t>
  </si>
  <si>
    <t> =&lt;Number of days over which interest has been accrued&gt;</t>
  </si>
  <si>
    <t>CouponRate</t>
  </si>
  <si>
    <t> =&lt;coupon rate&gt;</t>
  </si>
  <si>
    <t>Factor</t>
  </si>
  <si>
    <t> =&lt;amortization Factor&gt;</t>
  </si>
  <si>
    <t>Applicable for MBS and ABS only</t>
  </si>
  <si>
    <t>Commissions</t>
  </si>
  <si>
    <t>Commission</t>
  </si>
  <si>
    <t> =&lt;amount&gt;</t>
  </si>
  <si>
    <t>In trade currency</t>
  </si>
  <si>
    <t>CommType</t>
  </si>
  <si>
    <t> =3 (absolute) (default)</t>
  </si>
  <si>
    <t>Fees</t>
  </si>
  <si>
    <t>NoMiscFees</t>
  </si>
  <si>
    <t> =&lt;integer&gt; (not included if there are no fees)</t>
  </si>
  <si>
    <t>→MiscFeeAmt</t>
  </si>
  <si>
    <t>C (136 &gt;0)</t>
  </si>
  <si>
    <t>→MiscFeeCurr</t>
  </si>
  <si>
    <t>C (136&gt;0)</t>
  </si>
  <si>
    <t> =&lt;currency-code&gt; </t>
  </si>
  <si>
    <t>Note: The default for this is Currency (tag15) and if MiscFeeCurr is included it must be the same as Currency (tag15)</t>
  </si>
  <si>
    <t>→MiscFeeType</t>
  </si>
  <si>
    <t> =1 (Local Stamp)</t>
  </si>
  <si>
    <t> =2 (FTT)</t>
  </si>
  <si>
    <t> =3 (Local Commission)</t>
  </si>
  <si>
    <t> =4 (Exchange Fees)</t>
  </si>
  <si>
    <t> =5 -(ISD/SDRT)</t>
  </si>
  <si>
    <t> =6 (ITP/PTM Levy)</t>
  </si>
  <si>
    <t> =7 (Other)</t>
  </si>
  <si>
    <t xml:space="preserve"> =9 (Local tax)</t>
  </si>
  <si>
    <t> =12 (Agent (Brokerage))</t>
  </si>
  <si>
    <t>→MiscFeeBasis</t>
  </si>
  <si>
    <t> =0 absolute (default)</t>
  </si>
  <si>
    <t>→MiscFeeTypeId</t>
  </si>
  <si>
    <t xml:space="preserve">custom tag </t>
  </si>
  <si>
    <t> =&lt;market specific fee identifier&gt;</t>
  </si>
  <si>
    <t>These types are currently being identified by the working group to achieve the objective of clearly identify individual fees.</t>
  </si>
  <si>
    <t>→MiscFeeName</t>
  </si>
  <si>
    <t>custom tag TBD</t>
  </si>
  <si>
    <t>=&lt;Human readable name of fee&gt;</t>
  </si>
  <si>
    <t>These are there for additional clarity if there is any confusion.  In the end there should be no need for these names.</t>
  </si>
  <si>
    <t>Settlement Instructions</t>
  </si>
  <si>
    <t>NoDlvyInst</t>
  </si>
  <si>
    <t> =1 or =2</t>
  </si>
  <si>
    <t>Sell-side are required, buy-side details are optional but recommended. 
Shall be 1</t>
  </si>
  <si>
    <t>→SettlInstSource</t>
  </si>
  <si>
    <t>=1 (Broker’s instructions (sell-side))</t>
  </si>
  <si>
    <t>Used to identify whether these delivery instructions are for the buy-side or the sell-side
1 for market side and 3 for client side</t>
  </si>
  <si>
    <t>=3 (Investor (buy-side))</t>
  </si>
  <si>
    <t>→DlvyInstType</t>
  </si>
  <si>
    <t> =C (cash)</t>
  </si>
  <si>
    <t>Shall be S only</t>
  </si>
  <si>
    <t> =S (securities)</t>
  </si>
  <si>
    <t>→NoSettlParties</t>
  </si>
  <si>
    <t> &gt;=3</t>
  </si>
  <si>
    <t>SMPG practice is always to populate at least 3 Settlement Parties. These are:
- Place of Settlement (PSET)
- Receiving / Delivering Agent (REAG/DEAG)
- Buyer/Seller (BUYR/SELL)
Occasionally, additional Settlement Parties are required:
- Local Custodian (DECU/RECU)
- Intermediary 1 (DEI1/REI1)
- Intermediary 2 (DEI2/REI2) 
Note: only one of any given type may be specified for integrity</t>
  </si>
  <si>
    <t>PlaceOfSettlement(PSET)</t>
  </si>
  <si>
    <t>BIC (Bank Identification Code)</t>
  </si>
  <si>
    <t> =B (BIC)</t>
  </si>
  <si>
    <t>=10 (Settlement location (ISO 15022 PSET))</t>
  </si>
  <si>
    <t>Buyer/Seller(BUYR/SELL)</t>
  </si>
  <si>
    <t>See SettlPartyIDSource</t>
  </si>
  <si>
    <t>Note : SettlPartyId (782) contains the BIC</t>
  </si>
  <si>
    <t> =H (Local Code)</t>
  </si>
  <si>
    <t>Note : SettlPartyId (782) contains the DSS code for identification as well as the local code (e.g. “VPDK/1234”)</t>
  </si>
  <si>
    <t> =F (Settlement entity location (physical name and address, equivalent to SWIFT “Q”))</t>
  </si>
  <si>
    <t>Note : SettlPartyId (782) contains the text of the physical address (e.g. “XYZ CORPORATION VANCOUVER CA”)</t>
  </si>
  <si>
    <t> =27 (Buyer/Seller (Receiver/Deliverer - ISO 15022 BUYR/SELR))</t>
  </si>
  <si>
    <t>27Note: BUYR/SELL is derived from Side (tag 54)</t>
  </si>
  <si>
    <t>→→NoSettlPartySubIDs</t>
  </si>
  <si>
    <t>Optionally used to specify additional account information (e.g. safekeeping account)</t>
  </si>
  <si>
    <t>→→→SettlPartySubID</t>
  </si>
  <si>
    <t>C (801)</t>
  </si>
  <si>
    <t> =&lt;account number&gt;</t>
  </si>
  <si>
    <t>→→→SettlPartySubIDType</t>
  </si>
  <si>
    <t>=10 (Securities account number)</t>
  </si>
  <si>
    <t>Receiving/DeliveringAgent (REAG/DEAG)</t>
  </si>
  <si>
    <t> =F (Settlement entity location)</t>
  </si>
  <si>
    <t> =30 (Agent (ISO 15022 DEAG/REAG))</t>
  </si>
  <si>
    <t>Optional safekeeping account</t>
  </si>
  <si>
    <t>&lt;account number&gt;</t>
  </si>
  <si>
    <t> =10 (Securities account number)</t>
  </si>
  <si>
    <t>Custodian(DECU/RECU)</t>
  </si>
  <si>
    <t>Custodian BIC</t>
  </si>
  <si>
    <t> =28 (Custodian (ISO 15022 DECU/RECU))</t>
  </si>
  <si>
    <t>Intermediary1(DEI1/REI1)</t>
  </si>
  <si>
    <t> =29 (Intermediary 1 (DEI1/REI1))</t>
  </si>
  <si>
    <t>Intermediary2(DEI2/REI2)</t>
  </si>
  <si>
    <t> =29 (Intermediary 2 (DEI2/REI2)  (second instance in repeating group)</t>
  </si>
  <si>
    <t>Message Trailer</t>
  </si>
  <si>
    <t>CheckSum</t>
  </si>
  <si>
    <t>Three byte, simple checksum. Always last field in message</t>
  </si>
  <si>
    <t>Correspondance Lot ALDO</t>
  </si>
  <si>
    <t xml:space="preserve">Numero </t>
  </si>
  <si>
    <t xml:space="preserve">Désignation technique </t>
  </si>
  <si>
    <t xml:space="preserve">Description </t>
  </si>
  <si>
    <t xml:space="preserve">Obligatoire </t>
  </si>
  <si>
    <t xml:space="preserve">Type </t>
  </si>
  <si>
    <t xml:space="preserve">Précision </t>
  </si>
  <si>
    <t xml:space="preserve">Position </t>
  </si>
  <si>
    <t xml:space="preserve">Regle </t>
  </si>
  <si>
    <t>FIL_NRECALDO</t>
  </si>
  <si>
    <t>NUMERO ENREGISTREMENT / ALDO</t>
  </si>
  <si>
    <t>true</t>
  </si>
  <si>
    <t>Pic 9</t>
  </si>
  <si>
    <t>En séquence et unique</t>
  </si>
  <si>
    <t>FIL_YRECALDO</t>
  </si>
  <si>
    <t>TYPE D'ENREGISTREMENT / ALDO</t>
  </si>
  <si>
    <t>false</t>
  </si>
  <si>
    <t>Pic X</t>
  </si>
  <si>
    <t>"E" : Ordre Exécuté</t>
  </si>
  <si>
    <t>"A" : Demande d'annulation d'un ordre exécuté (ne pas utiliser pour un ordre dépouillé sur un dossier SBI)</t>
  </si>
  <si>
    <t>FIL_DMSG</t>
  </si>
  <si>
    <t>DATE DU MESSAGE</t>
  </si>
  <si>
    <t>Date de prise en charge (YYYYMMDD)</t>
  </si>
  <si>
    <t>FIL_HMSG</t>
  </si>
  <si>
    <t>HEURE DU MESSAGE</t>
  </si>
  <si>
    <t>Heure de prise en charge (HHMMSS)</t>
  </si>
  <si>
    <t>FIL_CRF2OP</t>
  </si>
  <si>
    <t>REFERENCE 2 DE L'OPERATION</t>
  </si>
  <si>
    <t>Doit être unique.</t>
  </si>
  <si>
    <t>En cas de demande d'annulation, rappeler la référence de l'ordre exécuté à annuler.</t>
  </si>
  <si>
    <t>FIL_CORGRF2OP</t>
  </si>
  <si>
    <t>CODE ORIGINE REFERENCE 2 DE L'OPERATION</t>
  </si>
  <si>
    <t>Constante "G"</t>
  </si>
  <si>
    <t>FIL_CORGOP</t>
  </si>
  <si>
    <t>CODE ORIGINE OPERATION CARNET</t>
  </si>
  <si>
    <t>FIL_CUTLCRN</t>
  </si>
  <si>
    <t>CODE UTILISATEUR CARNET</t>
  </si>
  <si>
    <t>Ø</t>
  </si>
  <si>
    <t>FIL_IROREPO</t>
  </si>
  <si>
    <t>INDICATEUR DE ROUTAGE / REPONSE</t>
  </si>
  <si>
    <t>Constante "N"</t>
  </si>
  <si>
    <t>FIL_LDDO</t>
  </si>
  <si>
    <t>LIBELLE DONNEUR D'ORDRES</t>
  </si>
  <si>
    <t>FIL_CGES</t>
  </si>
  <si>
    <t>CODE GESTION</t>
  </si>
  <si>
    <t>FIL_CANA</t>
  </si>
  <si>
    <t>CODE ANALYTIQUE</t>
  </si>
  <si>
    <t>FIL_CROXTE</t>
  </si>
  <si>
    <t>CODE ROUTAGE / EXECUTION</t>
  </si>
  <si>
    <t>FIL_CSECETCR</t>
  </si>
  <si>
    <t>CODE SECTION / ETABLISSEMENT DE CREDIT</t>
  </si>
  <si>
    <t>FIL_CEN</t>
  </si>
  <si>
    <t>CODE ENTITE DE NEGOCIATION</t>
  </si>
  <si>
    <t>Code négociateur sur 5 + "00000"</t>
  </si>
  <si>
    <t>FIL_CFCORD</t>
  </si>
  <si>
    <t>CODE FORCAGE DE L'ORDRE</t>
  </si>
  <si>
    <t>FIL_CDOS</t>
  </si>
  <si>
    <t>CODE DOSSIER</t>
  </si>
  <si>
    <t>Doit être ouvert dans le référentiel tiers à la date d'exécution, pour l'entité CEN.</t>
  </si>
  <si>
    <t>FIL_CRJCTLRCV</t>
  </si>
  <si>
    <t>CODE REJET / CONTROLES DE RECEVABILITE</t>
  </si>
  <si>
    <t>"000"</t>
  </si>
  <si>
    <t>FIL_CAGTDEST</t>
  </si>
  <si>
    <t>CODE SDB / DESTINATAIRE</t>
  </si>
  <si>
    <t>FIL_YMSGRO</t>
  </si>
  <si>
    <t>TYPE DE MESSAGE</t>
  </si>
  <si>
    <t>"500" pour un achat ;</t>
  </si>
  <si>
    <t>"501" pour une vente</t>
  </si>
  <si>
    <t>FIL_CSITEMSG</t>
  </si>
  <si>
    <t>CODE SITE EMETTEUR DU MESSAGE</t>
  </si>
  <si>
    <t>"00000000000"</t>
  </si>
  <si>
    <t>FIL_CLOGEMSG</t>
  </si>
  <si>
    <t>CODE LOGIQUE EMETTEUR_MESSAGE / RONA</t>
  </si>
  <si>
    <t>FIL_DHRCPCDR</t>
  </si>
  <si>
    <t>DATE &amp; HEURE DE RECEPTION DU MESSAGE</t>
  </si>
  <si>
    <t>Idem DMSG + HMSG</t>
  </si>
  <si>
    <t>FIL_CRFOP</t>
  </si>
  <si>
    <t>REFERENCE OPERATION</t>
  </si>
  <si>
    <t>Si alimenté pour un compte SBI, l'AO sera considéré comme un AO Banquier et non pas un AO Direct.</t>
  </si>
  <si>
    <t>FIL_CCLIRO</t>
  </si>
  <si>
    <t>CODE CLIENT ROUTAGE / RONA</t>
  </si>
  <si>
    <t>FIL_LRDCLIRO</t>
  </si>
  <si>
    <t>LIBELLE REDUIT CLIENT ROUTAGE</t>
  </si>
  <si>
    <t>FIL_CDESTDUPAMSG</t>
  </si>
  <si>
    <t>CODE DESTINATAIRE DUPLICATA MESSAGE</t>
  </si>
  <si>
    <t>FIL_ISENSOPCLIRO</t>
  </si>
  <si>
    <t>INDICATEUR SENS OPERATION</t>
  </si>
  <si>
    <t>"A" pour un achat ;</t>
  </si>
  <si>
    <t>"V" pour une vente</t>
  </si>
  <si>
    <t>FIL_CMARNGOP</t>
  </si>
  <si>
    <t>CODE MARCHE NEGOCIATION / OPERATION</t>
  </si>
  <si>
    <t>"C" pour le comptant</t>
  </si>
  <si>
    <t>"SRD" pour un règlement différé</t>
  </si>
  <si>
    <t>"MEP" pour le marché de P/E centralisé</t>
  </si>
  <si>
    <t>Par défaut, si la zone n'est pas alimentée, c'est le marché comptant qui sera considéré.</t>
  </si>
  <si>
    <t>FIL_CVALISIN</t>
  </si>
  <si>
    <t>CODE VALEUR ISIN</t>
  </si>
  <si>
    <t>Format Isin. Le code doit être ouvert dans le référentiel valeur, à la date d'exécution, sur la place de cotation indiquée dans FIL_CPLCOT ou FIL_LIEXTE.</t>
  </si>
  <si>
    <t>FIL_DRVMSGRO</t>
  </si>
  <si>
    <t>DATE RENVOI DE MESSAGE PAR LE ROUTAGE</t>
  </si>
  <si>
    <t>Idem DMSG</t>
  </si>
  <si>
    <t>FIL_HRVMSGRO</t>
  </si>
  <si>
    <t>HEURE RENVOI MESSAGE PAR LE ROUTAGE</t>
  </si>
  <si>
    <t>Idem HMSG</t>
  </si>
  <si>
    <t>FIL_LINSTCPLMSG</t>
  </si>
  <si>
    <t>LIBELLE INSTRUCTION COMPLEMENT MESSAGE</t>
  </si>
  <si>
    <t>FIL_CUNIQ_QTITOP</t>
  </si>
  <si>
    <t>CODE UNITE QUANTITE / QTE TITRES OPERATION</t>
  </si>
  <si>
    <t>Constante "QTE"</t>
  </si>
  <si>
    <t>FIL_QBTQ_QTITOP</t>
  </si>
  <si>
    <t>QUANTITE DE TITRES DE L'ORDRE</t>
  </si>
  <si>
    <t>(13)V(2)</t>
  </si>
  <si>
    <t>Exprimée dans l'unité de la place de cotation (UNT/FMT)</t>
  </si>
  <si>
    <t>FIL_DVALIOP</t>
  </si>
  <si>
    <t>DATE VALIDITE / OPERATION</t>
  </si>
  <si>
    <t>FIL_PLIM1_4DEC</t>
  </si>
  <si>
    <t>PRIX LIMITE 1 / 4 DEC</t>
  </si>
  <si>
    <t>(11)V(4)</t>
  </si>
  <si>
    <t>FIL_DECHOP</t>
  </si>
  <si>
    <t>DATE ECHEANCE / OPERATION</t>
  </si>
  <si>
    <t>FIL_QCOMBRK</t>
  </si>
  <si>
    <t>MONTANT COMMISSION BROKER</t>
  </si>
  <si>
    <t>(14)V(4)</t>
  </si>
  <si>
    <t>Ne doit pas être renseigné</t>
  </si>
  <si>
    <t>FIL_IOPHCOMP</t>
  </si>
  <si>
    <t>INDICATEUR OPERATION HORS COMPENSATION</t>
  </si>
  <si>
    <t>Constante "O"</t>
  </si>
  <si>
    <t>FIL_YMDTXTE</t>
  </si>
  <si>
    <t>TYPE DE MODALITE D'EXECUTION</t>
  </si>
  <si>
    <t>"LMTO" : A cours limite</t>
  </si>
  <si>
    <t>"MAKT" : Au marché</t>
  </si>
  <si>
    <t>"MTLO" : A la meilleure limite</t>
  </si>
  <si>
    <t>"STOP" : A seuil de déclenchement</t>
  </si>
  <si>
    <t>"STLI" : A plage de déclenchement</t>
  </si>
  <si>
    <t>FIL_CUNIMDTXTE</t>
  </si>
  <si>
    <t>CODE UNITE / MODALITE EXECUTION</t>
  </si>
  <si>
    <t>FIL_ZLIMMDTXTE_4DEC</t>
  </si>
  <si>
    <t>NOMBRE LIMITE / MODALITE EXECUTION / 4 DEC</t>
  </si>
  <si>
    <t>FIL_CTRTFBS</t>
  </si>
  <si>
    <t>CODE TRAITEMENT FICHE DE BOURSE</t>
  </si>
  <si>
    <t>Constante "1"</t>
  </si>
  <si>
    <t>FIL_CLIERO</t>
  </si>
  <si>
    <t>CODE DU LIEU DE ROUTAGE</t>
  </si>
  <si>
    <t>FIL_ZDUPAFBS</t>
  </si>
  <si>
    <t>NOMBRE DE DUPLICATAS DE LA FICHE DE BOURSE</t>
  </si>
  <si>
    <t>FIL_IOPCLPOSSERON</t>
  </si>
  <si>
    <t>INDICATEUR OPER / CLOTURE POS / SERIE OPTION_NEGO</t>
  </si>
  <si>
    <t>FIL_LINFCPLORD</t>
  </si>
  <si>
    <t>TEXTE INFOS COMPLEMENTAIRES / ORDRE</t>
  </si>
  <si>
    <t>Les 16 premiers caractères de cette zone permettent de véhiculer la 'Référence Négociateur' vers l'ensemble du SI et de la retrouver dans le reporting fourni par Parel (FLOP, etc.)</t>
  </si>
  <si>
    <t>FIL_CSERVDDO</t>
  </si>
  <si>
    <t>CODE SERVICE / DONNEUR_ORDRE</t>
  </si>
  <si>
    <t>FIL_CDEVQBTRO</t>
  </si>
  <si>
    <t>CODE DEVISE / MONTANT BRUT NORME ISO</t>
  </si>
  <si>
    <t>Permet de préciser la devise de cotation dans le cas où le lieu d'exécution est identifié par un code MIC.</t>
  </si>
  <si>
    <t>FIL_CDEVQFRSRO</t>
  </si>
  <si>
    <t>CODE DEVISE / MONTANT FRAIS NORME ISO</t>
  </si>
  <si>
    <t>FIL_LINSTCPLMSGSUI</t>
  </si>
  <si>
    <t>TEXTE LIBRE</t>
  </si>
  <si>
    <t>FIL_IAVIOPEPACT</t>
  </si>
  <si>
    <t>INDICATEUR AVIS D'OPERES PRE ACCEPTES</t>
  </si>
  <si>
    <t>FIL_DATYPLIV</t>
  </si>
  <si>
    <t>DATE TYPE DE LIVRAISON</t>
  </si>
  <si>
    <t>FIL_CPLCOT</t>
  </si>
  <si>
    <t>CODE PLACE DE COTATION</t>
  </si>
  <si>
    <t>Codification Six-Telekurs. Voir chapitre Règles de Gestion.</t>
  </si>
  <si>
    <t>FIL_CLIEDEP</t>
  </si>
  <si>
    <t>CODE LIEU DE DEPOT</t>
  </si>
  <si>
    <t>Le code lieu de dépôt est habituellement calculé par le carnet d'ordres ICAR à partir du code négociateur et de la place de cotation.</t>
  </si>
  <si>
    <t>Dans certains cas (MTF tels que Chi-X ou Turquoise), il n'est pas possible aujourd'hui de définir le lieu de dépôt : celui-ci doit alors être renseigné.</t>
  </si>
  <si>
    <t>Contacter Parel pour plus d'informations.</t>
  </si>
  <si>
    <t>FIL_CDEVRG1</t>
  </si>
  <si>
    <t>CODE DEVISE / REGLEMENT 1</t>
  </si>
  <si>
    <t>A renseigner si différente de la devise de cotation</t>
  </si>
  <si>
    <t>FIL_CDOSBRK</t>
  </si>
  <si>
    <t>CODE DOSSIER BROKER</t>
  </si>
  <si>
    <t>Pour les places étrangères (hors Euronext) : à renseigner pour activer le calcul des frais brokers.</t>
  </si>
  <si>
    <t>Ce code dossier est issu du référentiel Parel et sera donc fourni par Parel.</t>
  </si>
  <si>
    <t>FIL_BICDEPBRK</t>
  </si>
  <si>
    <t>BIC DU DEPOSITAIRE BROKER</t>
  </si>
  <si>
    <t>FIL_LDEPBRK</t>
  </si>
  <si>
    <t>LIBELLE DU DEPOSITAIRE BROKER</t>
  </si>
  <si>
    <t>FILLER</t>
  </si>
  <si>
    <t>FIL_YCTGREPO</t>
  </si>
  <si>
    <t>TYPE COURTAGE / REPONSE CARNET</t>
  </si>
  <si>
    <t>blanc : utilisation du code tarif associé au dossier,</t>
  </si>
  <si>
    <t>"G" : Saisie d'un montant global dans FIL_QCTGREPO</t>
  </si>
  <si>
    <t>"T" : Saisie d'un taux dans FIL_QCTGREPO</t>
  </si>
  <si>
    <t>"P" : Saisie d'un montant par titre dans FIL_QCTGREPO</t>
  </si>
  <si>
    <t>"F" : Franco de courtage</t>
  </si>
  <si>
    <t>FIL_QCTGREPO</t>
  </si>
  <si>
    <t>MONTANT COURTAGE / REPONSE CARNET</t>
  </si>
  <si>
    <t>(6)V(3)</t>
  </si>
  <si>
    <t>Cf Donnée YCTGREPO</t>
  </si>
  <si>
    <t>FIL_XREMNGCLI</t>
  </si>
  <si>
    <t>TAUX REMISE NORMAL / NEGO</t>
  </si>
  <si>
    <t>(4)V(3)</t>
  </si>
  <si>
    <t>FIL_IREMCTGSAICRN</t>
  </si>
  <si>
    <t>INDICATEUR REMISE COURTAGE / SAISIE CARNET</t>
  </si>
  <si>
    <t>FIL_IIVIMPNG</t>
  </si>
  <si>
    <t>INDICATEUR INVERSION IMPOT NEGO</t>
  </si>
  <si>
    <t>FIL_IFOVALING</t>
  </si>
  <si>
    <t>INDICATEUR VALIDATION MANUELLE / NEGO</t>
  </si>
  <si>
    <t>FIL_DXTEOP</t>
  </si>
  <si>
    <t>DATE EXECUTION / OPERATION</t>
  </si>
  <si>
    <t>Antérieure ou égale à la date du message (DMSG)</t>
  </si>
  <si>
    <t>FIL_HXTEOP</t>
  </si>
  <si>
    <t>HEURE EXECUTION / OPERATION</t>
  </si>
  <si>
    <t>FIL_PNGCRN</t>
  </si>
  <si>
    <t>COURS NEGOCIATION / CARNET</t>
  </si>
  <si>
    <t>(8)V(4)</t>
  </si>
  <si>
    <t>Cf. Règles de gestion</t>
  </si>
  <si>
    <t>FIL_XCPCU</t>
  </si>
  <si>
    <t>POURCENTAGE COUPON COURU</t>
  </si>
  <si>
    <t>(3)V(6)</t>
  </si>
  <si>
    <t>CC à 6 décimales. Une autre zone existe sur 9 décimales (XCPCU9)</t>
  </si>
  <si>
    <t>FIL_CYMDTXTE</t>
  </si>
  <si>
    <t>CODE TYPE MODALITE EXECUTION</t>
  </si>
  <si>
    <t>« M » : Négociation sur le marché</t>
  </si>
  <si>
    <t>« I » : Internalisation</t>
  </si>
  <si>
    <t>FIL_QBTQ_QTITXTE</t>
  </si>
  <si>
    <t>QUANTITE DE TITRES EXECUTES</t>
  </si>
  <si>
    <t>FIL_IOPSPEC</t>
  </si>
  <si>
    <t>INDICATEUR OPERATION SPECIFIQUE</t>
  </si>
  <si>
    <t>FIL_CTRIF</t>
  </si>
  <si>
    <t>CODE TARIF</t>
  </si>
  <si>
    <t>FIL_IXCPCUSAICRN</t>
  </si>
  <si>
    <t>INDICATEUR TAUX COUPON COURU / SAISIE CARNET</t>
  </si>
  <si>
    <t>Par défaut égal à "N".</t>
  </si>
  <si>
    <t>Peut-être positionné à "O" si le taux du coupon couru est fourni dans la zone FIL_XCPCU9.</t>
  </si>
  <si>
    <t>FIL_IIVFRSNG</t>
  </si>
  <si>
    <t>INDICATEUR INVERSION FRAIS DE NEGO</t>
  </si>
  <si>
    <t>Valeurs autorisées :</t>
  </si>
  <si>
    <t>blanc ou 'N' : pas d'inversion des frais</t>
  </si>
  <si>
    <t>'O' : inversion des frais</t>
  </si>
  <si>
    <t>FIL_IFROCRA</t>
  </si>
  <si>
    <t>INDICATEUR FRANCO DE CRA</t>
  </si>
  <si>
    <t>FIL_IFRODIF</t>
  </si>
  <si>
    <t>INDICATEUR FRANCO DE DIFFERENTIEL</t>
  </si>
  <si>
    <t>FIL_ISYSRL</t>
  </si>
  <si>
    <t>INDICATEUR SYSTEME RELIT</t>
  </si>
  <si>
    <t>FIL_CADHPART</t>
  </si>
  <si>
    <t>CODE ADHERENT / PARTIE</t>
  </si>
  <si>
    <t>FIL_CADHCIE</t>
  </si>
  <si>
    <t>CODE ADHERENT / CONTREPARTIE</t>
  </si>
  <si>
    <t>FIL_YVALIORD</t>
  </si>
  <si>
    <t>TYPE DE VALIDITE DE L'ORDRE</t>
  </si>
  <si>
    <t>Non utilisé</t>
  </si>
  <si>
    <t>FIL_XCHGSAI</t>
  </si>
  <si>
    <t>TAUX DE CHANGE SAISI</t>
  </si>
  <si>
    <t>Pic S9</t>
  </si>
  <si>
    <t>(9)V(9)</t>
  </si>
  <si>
    <t>A renseigner si la devise de règlement est différente de la devise de cotation. La règle est Montant Net en DevCot / TxChange = Montant Net en DevReg</t>
  </si>
  <si>
    <t>FIL_IAVIOPEPACTRP</t>
  </si>
  <si>
    <t>INDICATEUR AVIS_OPERES PRE_ACCEPTES / REPONSES</t>
  </si>
  <si>
    <t>FIL_DATYPLIVRP</t>
  </si>
  <si>
    <t>DATE TYPE DE LIVRAISON RP</t>
  </si>
  <si>
    <t>Date de dénouement théorique.</t>
  </si>
  <si>
    <t>Ne pas la renseigner dans le cas d'un compte SBI.</t>
  </si>
  <si>
    <t>FIL_NOPCRN</t>
  </si>
  <si>
    <t>NUMERO OPERATION CARNET</t>
  </si>
  <si>
    <t>FIL_IREPRTRT</t>
  </si>
  <si>
    <t>INDICATEUR REPRISE TRAITEMENT</t>
  </si>
  <si>
    <t>FIL_NMLNCDRDMSG</t>
  </si>
  <si>
    <t>NO SEQUENCE MAILLON CENTRE_ROUTAGE DEST_MESSAGE</t>
  </si>
  <si>
    <t>FIL_NREPOCRN</t>
  </si>
  <si>
    <t>NUMERO REPONSE / CLIENT</t>
  </si>
  <si>
    <t>"00"</t>
  </si>
  <si>
    <t>FIL_ZONE_DONPRVT</t>
  </si>
  <si>
    <t>ZONE DONNEES PRIVATIVES</t>
  </si>
  <si>
    <t>FIL_NCPTEIDEPBRK</t>
  </si>
  <si>
    <t>NO COMPTE_INTERNL / DEPOSITAIRE BROKER</t>
  </si>
  <si>
    <t>FIL_LCPLINSTRL</t>
  </si>
  <si>
    <t>LIBELLE COMPLEMENT INSTRUCTION R/L</t>
  </si>
  <si>
    <t>FIL_CETBNFTIT</t>
  </si>
  <si>
    <t>CODE ETABLISSEMENT / BENEFICIAIRE DES TITRES</t>
  </si>
  <si>
    <t>FIL_LETBNFTIT</t>
  </si>
  <si>
    <t>LIBELLE ETABLISSEMENT / BENEFICIAIRE DES TITRES</t>
  </si>
  <si>
    <t>FIL_NCPTEBNFTIT</t>
  </si>
  <si>
    <t>NO COMPTE / BENEFICIAIRE DES TITRES</t>
  </si>
  <si>
    <t>FIL_QFRSBRK</t>
  </si>
  <si>
    <t>MONTANT FRAIS BROKER 1</t>
  </si>
  <si>
    <t>Si la ligne concerne le marché espagnol (FIL_CPLCOT = '054'), ce frais correspond aux frais de marché.</t>
  </si>
  <si>
    <t>Si la ligne concerne un marché US (FIL_CPLCOT = '065' ou '067'), ce frais correspond aux SEC fees.</t>
  </si>
  <si>
    <t>Pour que les frais broker soient pris en compte, il faut que le code dossier broker soit renseigné dans l'enregistrement ALDO.</t>
  </si>
  <si>
    <t>FIL_CDOSBRK - CODE DOSSIER BROKER - Position 409</t>
  </si>
  <si>
    <t>FIL_CDEVQFRSBRK</t>
  </si>
  <si>
    <t>CODE DEVISE / MONTANT FRAIS BROKER 1</t>
  </si>
  <si>
    <t>FIL_YQFRSBRK</t>
  </si>
  <si>
    <t>TYPE DE MONTANT FRAIS BROKER 1</t>
  </si>
  <si>
    <t>Si le type</t>
  </si>
  <si>
    <t>= O =&gt; les frais sont calculés par IFAC à partir de la grille de facturation</t>
  </si>
  <si>
    <t>= N =&gt; aucun calcul de frais n'est effectué par IFAC</t>
  </si>
  <si>
    <t>= G =&gt; est pris en compte, le montant des frais transmis dans le lot ALDO</t>
  </si>
  <si>
    <t xml:space="preserve">  101</t>
  </si>
  <si>
    <t>MONTANT FRAIS BROKER 2</t>
  </si>
  <si>
    <t>Si la ligne concerne le marché espagnol (FIL_CPLCOT = '054'), ce frais correspond aux frais Iberclear.</t>
  </si>
  <si>
    <t>CODE DEVISE / MONTANT FRAIS BROKER 2</t>
  </si>
  <si>
    <t>TYPE DE MONTANT FRAIS BROKER 2</t>
  </si>
  <si>
    <t xml:space="preserve">  104</t>
  </si>
  <si>
    <t>MONTANT FRAIS BROKER 3</t>
  </si>
  <si>
    <t>Si la ligne concerne le marché britannique ou irlandais ce frais correspond au PTM levy.</t>
  </si>
  <si>
    <t>CODE DEVISE / MONTANT FRAIS BROKER 3</t>
  </si>
  <si>
    <t>TYPE DE MONTANT FRAIS BROKER 3</t>
  </si>
  <si>
    <t xml:space="preserve">  107</t>
  </si>
  <si>
    <t>MONTANT FRAIS BROKER 4</t>
  </si>
  <si>
    <t>Si la ligne concerne le marché britannique ou irlandais ce frais correspond à l'ITP levy.</t>
  </si>
  <si>
    <t>CODE DEVISE / MONTANT FRAIS BROKER 4</t>
  </si>
  <si>
    <t>TYPE DE MONTANT FRAIS BROKER 4</t>
  </si>
  <si>
    <t xml:space="preserve">  110</t>
  </si>
  <si>
    <t>MONTANT FRAIS BROKER 5</t>
  </si>
  <si>
    <t>Si la ligne concerne le marché britannique ou irlandais ce frais correspond à la SDRT.</t>
  </si>
  <si>
    <t>CODE DEVISE / MONTANT FRAIS BROKER 5</t>
  </si>
  <si>
    <t>TYPE DE MONTANT FRAIS BROKER 5</t>
  </si>
  <si>
    <t xml:space="preserve">  113</t>
  </si>
  <si>
    <t>MONTANT FRAIS BROKER 6</t>
  </si>
  <si>
    <t>Si la ligne concerne le marché britannique ou irlandais ce frais correspond à l'ISD.</t>
  </si>
  <si>
    <t>CODE DEVISE / MONTANT FRAIS BROKER 6</t>
  </si>
  <si>
    <t>TYPE DE MONTANT FRAIS BROKER 6</t>
  </si>
  <si>
    <t xml:space="preserve">  116</t>
  </si>
  <si>
    <t>MONTANT FRAIS BROKER 7</t>
  </si>
  <si>
    <t>Si la ligne concerne le marché suisse, ce frais correspond au droit de timbre suisse.</t>
  </si>
  <si>
    <t>CODE DEVISE / MONTANT FRAIS BROKER 7</t>
  </si>
  <si>
    <t>TYPE DE MONTANT FRAIS BROKER 7</t>
  </si>
  <si>
    <t xml:space="preserve">  119</t>
  </si>
  <si>
    <t>MONTANT FRAIS BROKER 8</t>
  </si>
  <si>
    <t>Si la ligne concerne le marché suisse, ce frais correspond à des taxes suisses.</t>
  </si>
  <si>
    <t>CODE DEVISE / MONTANT FRAIS BROKER 8</t>
  </si>
  <si>
    <t>TYPE DE MONTANT FRAIS BROKER 8</t>
  </si>
  <si>
    <t xml:space="preserve">  122</t>
  </si>
  <si>
    <t>MONTANT FRAIS BROKER 9</t>
  </si>
  <si>
    <t>Si le dépouillement concerne le marché grec (place 034), cette zone permet de saisir le total des frais et impôts locaux.</t>
  </si>
  <si>
    <t>CODE DEVISE / MONTANT FRAIS BROKER 9</t>
  </si>
  <si>
    <t>TYPE DE MONTANT FRAIS BROKER 9</t>
  </si>
  <si>
    <t xml:space="preserve">  125</t>
  </si>
  <si>
    <t>FIL_CYLIEXTE</t>
  </si>
  <si>
    <t>CODE TYPE DE LIEU D'EXECUTION</t>
  </si>
  <si>
    <t>"M" : Code MIC,</t>
  </si>
  <si>
    <t>"I" : Code IBEI,</t>
  </si>
  <si>
    <t>"B" : Code BIC,</t>
  </si>
  <si>
    <t>"X" : "MULTI".</t>
  </si>
  <si>
    <t>Obligatoire si LIEXTE est renseigné.</t>
  </si>
  <si>
    <t>FIL_LIEXTE</t>
  </si>
  <si>
    <t>LIEU D'EXECUTION</t>
  </si>
  <si>
    <t>Obligatoire si CYLIEXTE est renseigné. Egal "MULTI" si CYLIEXTE = "X". Cf liste des contrôles en annexe.</t>
  </si>
  <si>
    <t>FIL_CYINTNL</t>
  </si>
  <si>
    <t>CODE TYPE D'INTERNALISATION</t>
  </si>
  <si>
    <t>"M" : Matching interne Euronext,</t>
  </si>
  <si>
    <t>"I" : Internalisation,</t>
  </si>
  <si>
    <t>"G" : Intra Groupe,</t>
  </si>
  <si>
    <t>"C" : Matching Client/Client</t>
  </si>
  <si>
    <t>FIL_ZREPODTL</t>
  </si>
  <si>
    <t>NBRE REPONSES MARCHE / DETAIL POUR REPONSE CLIENT</t>
  </si>
  <si>
    <t>Le champ ZREPODTL doit être un nombre supérieur ou égal à zéro. Si ce champ est reçu à zéro, le filtre ALDO le forcera à 1.</t>
  </si>
  <si>
    <t>FIL_QFRSSPL</t>
  </si>
  <si>
    <t>MONTANT / FRAIS SUPPLEMENTAIRE</t>
  </si>
  <si>
    <t>S9(14)V9(4)</t>
  </si>
  <si>
    <t>Zone non activée.</t>
  </si>
  <si>
    <t>FIL_YQFRSSPLREPO</t>
  </si>
  <si>
    <t>TYPE DE MONTANT / FRAIS SUPPLEMENTAIRE / REPONSE</t>
  </si>
  <si>
    <t>Zone non activée</t>
  </si>
  <si>
    <t>FIL_QSADIE</t>
  </si>
  <si>
    <t>Montant de TTF (Taxe sur les Transactions Financières).</t>
  </si>
  <si>
    <t>FIL_YQSADIEREPO</t>
  </si>
  <si>
    <t>Ce champ, couplé au champ 'Montant de TTF', pilote le traitement de la TTF chez SGSS/CLS.</t>
  </si>
  <si>
    <t>FIL_XCPCU9</t>
  </si>
  <si>
    <t>POURCENTAGE COUPON COURU / 9 DEC</t>
  </si>
  <si>
    <t>(3)V(9)</t>
  </si>
  <si>
    <t>FIL_PNGCRN10D</t>
  </si>
  <si>
    <t>COURS 10 DECIMALES</t>
  </si>
  <si>
    <t>9(8)V9(10)</t>
  </si>
  <si>
    <t>Cf Règles de gestion</t>
  </si>
  <si>
    <t>FIL_QSADIE2</t>
  </si>
  <si>
    <t>9(14)V9(4)</t>
  </si>
  <si>
    <t>Montant de SADIE (Services d'Aide à la Décision d'Investissement et à l'Exécution d'ordres) ou CCP (Commission de Courtage Partagée).</t>
  </si>
  <si>
    <t>YQSADIE2REPO</t>
  </si>
  <si>
    <t xml:space="preserve"> doit être égal à "G".</t>
  </si>
  <si>
    <t>FIL_YQSADIE2REPO</t>
  </si>
  <si>
    <t>"G" : Saisie d'un montant global dans FIL_QSADIE2</t>
  </si>
  <si>
    <t>NA</t>
  </si>
  <si>
    <t>Commentaire correspondance</t>
  </si>
  <si>
    <t>la séquence suit elle une règle précise ?</t>
  </si>
  <si>
    <t>Correspondance FIX Tag</t>
  </si>
  <si>
    <t>?</t>
  </si>
  <si>
    <t>Trade date</t>
  </si>
  <si>
    <t>est ce la date d'intégration du FIX msg?</t>
  </si>
  <si>
    <t>a quoi correspond le Tag 455 ?</t>
  </si>
  <si>
    <t>Transparent pour ALDO ? Pas de distinction</t>
  </si>
  <si>
    <t>664 / 772</t>
  </si>
  <si>
    <t>523?</t>
  </si>
  <si>
    <t>80/863</t>
  </si>
  <si>
    <t>A verifier</t>
  </si>
  <si>
    <t>Demander le nbre de decimals du FIX message</t>
  </si>
  <si>
    <t>D%$&amp;01_ab10ca8fc1a74d2c85a941c55eecb8d9</t>
  </si>
  <si>
    <t>est ce que le cours est pied de coupon ?</t>
  </si>
  <si>
    <t xml:space="preserve">comment fait GBDS?
</t>
  </si>
  <si>
    <t>A verifier si Liquidnet en a</t>
  </si>
  <si>
    <t>Amends are 'Cance'l then 'New'</t>
  </si>
  <si>
    <t xml:space="preserve"> = “FOR” </t>
  </si>
  <si>
    <t>Indicates an FX trade</t>
  </si>
  <si>
    <t>&lt;Amount&gt;</t>
  </si>
  <si>
    <t xml:space="preserve">If Side (54) = 1 (buy), the amount in the Currency (15) that will be received  by the broker from the FX desk 
If Side (54) = 2 (sell), the amount in the Currency (15)  that will be delivered by the Broker to the FX Desk
</t>
  </si>
  <si>
    <t xml:space="preserve">Broker's internal ID for its counterparty (FX desk) </t>
  </si>
  <si>
    <t>&lt;FX rate&gt;</t>
  </si>
  <si>
    <t>The rate at which the FX trade was executed with the SG FX Desk</t>
  </si>
  <si>
    <t>&lt;currency code&gt; (ISO currency code for settlement currency.) </t>
  </si>
  <si>
    <t xml:space="preserve">If Side (54) = 1 (buy), the currency bought in the FX trade i.e. the currency received by the Broker from the FX Desk 
If Side (54) = 2 (sell), the currency sold in the FX trade i.e. the currency delivered by the Broker to the FX Desk
</t>
  </si>
  <si>
    <t xml:space="preserve">If Side (54) = 1 (buy), the amount in the SettlCurrency (120) that will be delivered by the broker to the FX desk 
If Side (54) = 2 (sell), the amount in the SettlCurrency(120) that will be received by the Broker from the FX Desk
</t>
  </si>
  <si>
    <t xml:space="preserve">If Side (54) = 1 (buy), the currency sold in the FX trade i.e. the currency delivered by the Broker to the FX Desk 
If Side (54) = 2 (sell), the currency bought in the FX trade i.e. the currency received by the Broker from the FX Desk
</t>
  </si>
  <si>
    <t>Three bytes, simple checksum. Always last field in message</t>
  </si>
  <si>
    <t>FIX.4.4</t>
  </si>
  <si>
    <t>AK</t>
  </si>
  <si>
    <t>&lt;SGRTSS&gt;</t>
  </si>
  <si>
    <t>SGSS is sender of the message</t>
  </si>
  <si>
    <t>TargetCompId</t>
  </si>
  <si>
    <r>
      <t>&lt;</t>
    </r>
    <r>
      <rPr>
        <i/>
        <sz val="11"/>
        <color rgb="FF333333"/>
        <rFont val="Arial"/>
        <family val="2"/>
      </rPr>
      <t>CLNT</t>
    </r>
    <r>
      <rPr>
        <sz val="11"/>
        <color rgb="FF333333"/>
        <rFont val="Arial"/>
        <family val="2"/>
      </rPr>
      <t>RTSS&gt;</t>
    </r>
  </si>
  <si>
    <r>
      <t>"</t>
    </r>
    <r>
      <rPr>
        <i/>
        <sz val="11"/>
        <color rgb="FF333333"/>
        <rFont val="Arial"/>
        <family val="2"/>
      </rPr>
      <t>CLNT</t>
    </r>
    <r>
      <rPr>
        <sz val="11"/>
        <color rgb="FF333333"/>
        <rFont val="Arial"/>
        <family val="2"/>
      </rPr>
      <t>" is a code identifying the broker</t>
    </r>
  </si>
  <si>
    <t xml:space="preserve"> = 0</t>
  </si>
  <si>
    <t>Hard coded</t>
  </si>
  <si>
    <t>&lt;YYYYMMDD-HH:MM:SS&gt;</t>
  </si>
  <si>
    <t>Time of message transmission</t>
  </si>
  <si>
    <t>&lt;unique Id created by broker&gt;</t>
  </si>
  <si>
    <t>Field 664 of the trade message sent by the broker which is subject to the status report</t>
  </si>
  <si>
    <t>&lt;Id of canceled&gt;</t>
  </si>
  <si>
    <t>Gloss internal reference. Used to identify a parent trade (in case of split, transformation, net) or a cancelled trade</t>
  </si>
  <si>
    <t> =1 (replace)</t>
  </si>
  <si>
    <t>Means the trade in Gloss replaces the ConfirmRefID (in case of split, transformation, net)</t>
  </si>
  <si>
    <t>Means the original trade in Gloss is cancelled</t>
  </si>
  <si>
    <t> =4</t>
  </si>
  <si>
    <t>&lt;Id.V&gt;</t>
  </si>
  <si>
    <t>Gloss internal reference + Version number (Unique identifier in Gloss)</t>
  </si>
  <si>
    <t>Same as 664</t>
  </si>
  <si>
    <t>&lt;YYYYMMDD-HH:MM:SS.sss&gt;</t>
  </si>
  <si>
    <t>Status time</t>
  </si>
  <si>
    <t xml:space="preserve"> =RTSS</t>
  </si>
  <si>
    <t>DatedDate</t>
  </si>
  <si>
    <t>Same as 75</t>
  </si>
  <si>
    <t>NoUnderlyings</t>
  </si>
  <si>
    <t xml:space="preserve"> =0</t>
  </si>
  <si>
    <t>NoLegs</t>
  </si>
  <si>
    <t>&lt;Quantity&gt;</t>
  </si>
  <si>
    <t xml:space="preserve">The settled quantity in messages reporting partial or total settlement
</t>
  </si>
  <si>
    <t> =7</t>
  </si>
  <si>
    <t> = A – Agency</t>
  </si>
  <si>
    <t>&lt;reference&gt;</t>
  </si>
  <si>
    <t>Gloss Front Office Reference (Unique)
ID in field 664 prefixed by "GDNV"</t>
  </si>
  <si>
    <r>
      <t xml:space="preserve">Trade and instruction statuses trigerred from trade in Gloss or Swift MT548
Format : GlossDescription / SwiftType / SwiftStatus / SwiftReason (if any) / GlossNarrative (if any)
</t>
    </r>
    <r>
      <rPr>
        <b/>
        <sz val="11"/>
        <color rgb="FFFF0000"/>
        <rFont val="Arial"/>
        <family val="2"/>
      </rPr>
      <t/>
    </r>
  </si>
  <si>
    <t>The settled amount in messages reporting partial or total settlement</t>
  </si>
  <si>
    <t>Message trailer</t>
  </si>
  <si>
    <t>List of statuses in field 58</t>
  </si>
  <si>
    <t>Trade statuses</t>
  </si>
  <si>
    <t>AcceptedForProcessing/None</t>
  </si>
  <si>
    <t>AcceptedForProcessing/ParentSplit</t>
  </si>
  <si>
    <t>AcceptedForProcessing/Split</t>
  </si>
  <si>
    <t>AcceptedForProcessing/Netted</t>
  </si>
  <si>
    <t>AcceptedForProcessing/Net</t>
  </si>
  <si>
    <t>AcceptedForProcessing/Transformed</t>
  </si>
  <si>
    <t>AcceptedForProcessing/Outturn</t>
  </si>
  <si>
    <t>AcceptedForProcessing/TradeCancelled</t>
  </si>
  <si>
    <t>Unmatched / Reason</t>
  </si>
  <si>
    <t>Matched / (MTCH/MACH or IIB or IIE)</t>
  </si>
  <si>
    <t>PartiallySettled</t>
  </si>
  <si>
    <t>Settled</t>
  </si>
  <si>
    <t>Unsettled</t>
  </si>
  <si>
    <t>Instruction statuses</t>
  </si>
  <si>
    <t>InstructionProcessing / Status+Reason</t>
  </si>
  <si>
    <t>Settlement / Status+Reason</t>
  </si>
  <si>
    <t>CancellationProcessing / Status+Reason</t>
  </si>
  <si>
    <t>CancellationFailed / Status+Reason</t>
  </si>
  <si>
    <t>Cancelled / Status + Reason</t>
  </si>
  <si>
    <t>Back-office team comments</t>
  </si>
  <si>
    <t>TradeDiary / Reason / Narrative</t>
  </si>
  <si>
    <t>TradeInvestigation / Reason / Narrative</t>
  </si>
  <si>
    <t>créé en auto pour chaque lot ALDO ? Il ne devrait y avoir qu'un seul numéro car pour Liquidnet 1 trade par fichier</t>
  </si>
  <si>
    <t>à enrichir ou utiliser le Tag 52</t>
  </si>
  <si>
    <t>utilisation du BIC Broker Tag 448 ? Ou sera forcé par défaut pour Liquidnet</t>
  </si>
  <si>
    <t>comment le meme Tag gère un BookID et depot/nostro</t>
  </si>
  <si>
    <t>a-t-on cette info dans les frais du FIX?</t>
  </si>
  <si>
    <t>Est-ce la trade date ?</t>
  </si>
  <si>
    <t>BICDEPPAR</t>
  </si>
  <si>
    <t>BICPARTPTY</t>
  </si>
  <si>
    <t>CYLIV</t>
  </si>
  <si>
    <t>BICDEPCIE</t>
  </si>
  <si>
    <t>CCSDCIE</t>
  </si>
  <si>
    <t>ACSDCIE/CPTDEPCIE</t>
  </si>
  <si>
    <t>BICDEPGLO</t>
  </si>
  <si>
    <t>CCSDGLO</t>
  </si>
  <si>
    <t>ACSDGLO/CPTDEPGLO</t>
  </si>
  <si>
    <t>BICDEPBEN</t>
  </si>
  <si>
    <t>CPTDEPBEN</t>
  </si>
  <si>
    <t>BICDONORD</t>
  </si>
  <si>
    <t>CPTDONORD</t>
  </si>
  <si>
    <t>MARKCLIENTIND</t>
  </si>
  <si>
    <t>TAXCAPACITY</t>
  </si>
  <si>
    <t>STAMPSTATUS</t>
  </si>
  <si>
    <t>REPORTIND</t>
  </si>
  <si>
    <t>BICCSDPTYCLI</t>
  </si>
  <si>
    <t>BICCSDCIECLI</t>
  </si>
  <si>
    <t>CPRI</t>
  </si>
  <si>
    <t>IDNPART</t>
  </si>
  <si>
    <t>IBLO</t>
  </si>
  <si>
    <t>ICUMEX</t>
  </si>
  <si>
    <t>IOPTOUT</t>
  </si>
  <si>
    <t>CAFTPOS</t>
  </si>
  <si>
    <t>CHARITYID</t>
  </si>
  <si>
    <t>COUNTRYCODE</t>
  </si>
  <si>
    <t>YPTFM1</t>
  </si>
  <si>
    <t>TYPESETR2</t>
  </si>
  <si>
    <t>PIC X</t>
  </si>
  <si>
    <t>BIC PSET</t>
  </si>
  <si>
    <t xml:space="preserve">BIC Négociateur </t>
  </si>
  <si>
    <t>Mode de livraison</t>
  </si>
  <si>
    <t>BIC Contrepartie</t>
  </si>
  <si>
    <t>CSD/N° Contrepartie</t>
  </si>
  <si>
    <t>Adhérent CSD/N°  Contrepartie</t>
  </si>
  <si>
    <t>BIC DECU/RECU Contrepartie</t>
  </si>
  <si>
    <t>CSD/N° DECU/RECU Contrepartie</t>
  </si>
  <si>
    <t>Adhérent CSD/N° DECU/RECU Contrepartie</t>
  </si>
  <si>
    <t>Compte Contrepartie</t>
  </si>
  <si>
    <t>BIC BUYR/SELL Partie</t>
  </si>
  <si>
    <t>Compte BUYR/SELL Partie</t>
  </si>
  <si>
    <t xml:space="preserve">Market/Client Indicator </t>
  </si>
  <si>
    <t>Agent Indicator</t>
  </si>
  <si>
    <t>Stamp Status</t>
  </si>
  <si>
    <t>Reporting Indicator</t>
  </si>
  <si>
    <t>BIC CSD cie</t>
  </si>
  <si>
    <t>Code prioirté</t>
  </si>
  <si>
    <t>Dénouement Partiel</t>
  </si>
  <si>
    <t>Hold</t>
  </si>
  <si>
    <t>CUM/EX  N=EX O=CUM</t>
  </si>
  <si>
    <t>Opt out O=Opt out</t>
  </si>
  <si>
    <t>Earmarked Balance</t>
  </si>
  <si>
    <t>Charity ID</t>
  </si>
  <si>
    <t>Country Code</t>
  </si>
  <si>
    <t>DCP/ICP</t>
  </si>
  <si>
    <t>TYPSETR2 = IOD14TR.TYPSETR + 4 char (= for ex. 'TRAD')</t>
  </si>
  <si>
    <t>partie "Custodian(DECU/RECU)" ligne 173</t>
  </si>
  <si>
    <t>partie "PlaceOfSettlement(PSET)" ligne 148</t>
  </si>
  <si>
    <t>BIC Broker</t>
  </si>
  <si>
    <t>partie "Buyer/Seller(BUYR/SELL)" ligne 151</t>
  </si>
  <si>
    <t>info si BuySide ou Sell side ?</t>
  </si>
  <si>
    <t>fait on des crossborder, as ton des PSET (dépositaire centraux diff sur leur trades), ligne 56 en not needed</t>
  </si>
  <si>
    <t>r.pierre_9126__Windows (32-bit) NT 6.01_MO21_r.pierre$$$13052019</t>
  </si>
  <si>
    <t>"$GJ|!5891"</t>
  </si>
  <si>
    <t>(854+)  863</t>
  </si>
  <si>
    <t>12 ?</t>
  </si>
  <si>
    <t>13 
(if "3" =&gt; "G")</t>
  </si>
  <si>
    <t>137 si 139 = "2"</t>
  </si>
  <si>
    <t>Enrichissement Parel</t>
  </si>
  <si>
    <t>782 if 784 = "10" and 783 = "B"</t>
  </si>
  <si>
    <t>782 if 784 = "30"  and 783 = "B"</t>
  </si>
  <si>
    <t>782 if 784 = "28"  and 783 = "B"</t>
  </si>
  <si>
    <t>782 if 784 = "27" and 783 = "B"</t>
  </si>
  <si>
    <t>782 if 784 = "30"  and 783 = "H"</t>
  </si>
  <si>
    <t xml:space="preserve">785 if 784 = "27" and 801 = "1" </t>
  </si>
  <si>
    <t xml:space="preserve">782 if 784 = "28"  and 783 = "H"
or 
785 if 784 = "28" and 801 = "1" </t>
  </si>
  <si>
    <t>Marc Duhem_8201__Windows (32-bit) NT 6.01_MO83_m.duhem$$$13052019</t>
  </si>
  <si>
    <t>"$?X3!5"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</si>
</sst>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b/>
      <i/>
      <sz val="11"/>
      <color rgb="FF333333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i/>
      <sz val="11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color rgb="FF333333"/>
      <name val="Arial"/>
      <family val="2"/>
    </font>
    <font>
      <i/>
      <sz val="11"/>
      <color rgb="FF333333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/>
      <bottom style="medium">
        <color indexed="64"/>
      </bottom>
      <diagonal/>
    </border>
    <border>
      <left/>
      <right style="medium">
        <color rgb="FFDDDDDD"/>
      </right>
      <top/>
      <bottom style="medium">
        <color indexed="64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/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DDDDDD"/>
      </left>
      <right/>
      <top style="medium">
        <color indexed="64"/>
      </top>
      <bottom style="medium">
        <color rgb="FFDDDDDD"/>
      </bottom>
      <diagonal/>
    </border>
    <border>
      <left/>
      <right/>
      <top style="medium">
        <color indexed="64"/>
      </top>
      <bottom style="medium">
        <color rgb="FFDDDDDD"/>
      </bottom>
      <diagonal/>
    </border>
    <border>
      <left/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4" fillId="2" borderId="2" xfId="0" applyFont="1" applyFill="1" applyBorder="1" applyAlignment="1">
      <alignment horizontal="left" vertical="top" wrapText="1" indent="1"/>
    </xf>
    <xf numFmtId="0" fontId="4" fillId="2" borderId="2" xfId="0" quotePrefix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top" wrapText="1" indent="1"/>
    </xf>
    <xf numFmtId="0" fontId="4" fillId="2" borderId="7" xfId="0" quotePrefix="1" applyFont="1" applyFill="1" applyBorder="1" applyAlignment="1">
      <alignment horizontal="left" vertical="top" wrapText="1" indent="1"/>
    </xf>
    <xf numFmtId="0" fontId="4" fillId="2" borderId="9" xfId="0" applyFont="1" applyFill="1" applyBorder="1" applyAlignment="1">
      <alignment horizontal="left" vertical="top" wrapText="1" indent="1"/>
    </xf>
    <xf numFmtId="0" fontId="4" fillId="2" borderId="5" xfId="0" applyFont="1" applyFill="1" applyBorder="1" applyAlignment="1">
      <alignment horizontal="left" vertical="top" wrapText="1" indent="1"/>
    </xf>
    <xf numFmtId="0" fontId="4" fillId="2" borderId="2" xfId="0" quotePrefix="1" applyFont="1" applyFill="1" applyBorder="1" applyAlignment="1">
      <alignment horizontal="left" vertical="top" wrapText="1" indent="1"/>
    </xf>
    <xf numFmtId="0" fontId="4" fillId="2" borderId="6" xfId="0" applyFont="1" applyFill="1" applyBorder="1" applyAlignment="1">
      <alignment horizontal="left" vertical="top" wrapText="1" indent="1"/>
    </xf>
    <xf numFmtId="0" fontId="7" fillId="0" borderId="7" xfId="0" applyFont="1" applyBorder="1"/>
    <xf numFmtId="0" fontId="4" fillId="2" borderId="7" xfId="0" applyFont="1" applyFill="1" applyBorder="1" applyAlignment="1">
      <alignment horizontal="left" vertical="top" wrapText="1" indent="1"/>
    </xf>
    <xf numFmtId="0" fontId="0" fillId="0" borderId="0" xfId="0" applyFont="1" applyAlignment="1"/>
    <xf numFmtId="0" fontId="0" fillId="0" borderId="0" xfId="0" applyFont="1"/>
    <xf numFmtId="0" fontId="4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15" xfId="0" applyFont="1" applyFill="1" applyBorder="1" applyAlignment="1">
      <alignment horizontal="left" vertical="top" wrapText="1" inden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7" fillId="0" borderId="0" xfId="0" applyFont="1" applyBorder="1"/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vertical="top" wrapText="1"/>
    </xf>
    <xf numFmtId="0" fontId="4" fillId="2" borderId="12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top" wrapText="1"/>
    </xf>
    <xf numFmtId="0" fontId="4" fillId="2" borderId="25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top" wrapText="1" indent="1"/>
    </xf>
    <xf numFmtId="0" fontId="4" fillId="2" borderId="28" xfId="0" applyFont="1" applyFill="1" applyBorder="1" applyAlignment="1">
      <alignment horizontal="left" vertical="top" wrapText="1" indent="1"/>
    </xf>
    <xf numFmtId="0" fontId="4" fillId="2" borderId="30" xfId="0" applyFont="1" applyFill="1" applyBorder="1" applyAlignment="1">
      <alignment horizontal="left" vertical="top" wrapText="1" indent="1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4" fillId="4" borderId="13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left" vertical="top" wrapText="1" indent="1"/>
    </xf>
    <xf numFmtId="0" fontId="4" fillId="4" borderId="12" xfId="0" applyFont="1" applyFill="1" applyBorder="1" applyAlignment="1">
      <alignment vertical="top" wrapText="1"/>
    </xf>
    <xf numFmtId="0" fontId="0" fillId="4" borderId="31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4" fillId="4" borderId="13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 indent="1"/>
    </xf>
    <xf numFmtId="0" fontId="4" fillId="4" borderId="2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horizontal="left" vertical="top" wrapText="1" indent="1"/>
    </xf>
    <xf numFmtId="0" fontId="4" fillId="2" borderId="23" xfId="0" applyFont="1" applyFill="1" applyBorder="1" applyAlignment="1">
      <alignment vertical="top" wrapText="1"/>
    </xf>
    <xf numFmtId="0" fontId="4" fillId="2" borderId="32" xfId="0" applyFont="1" applyFill="1" applyBorder="1" applyAlignment="1">
      <alignment vertical="top" wrapText="1"/>
    </xf>
    <xf numFmtId="0" fontId="4" fillId="2" borderId="34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4" fillId="5" borderId="2" xfId="0" applyFont="1" applyFill="1" applyBorder="1" applyAlignment="1">
      <alignment horizontal="left" vertical="top" wrapText="1" indent="1"/>
    </xf>
    <xf numFmtId="0" fontId="4" fillId="5" borderId="25" xfId="0" applyFont="1" applyFill="1" applyBorder="1" applyAlignment="1">
      <alignment vertical="top" wrapText="1"/>
    </xf>
    <xf numFmtId="0" fontId="4" fillId="5" borderId="9" xfId="0" applyFont="1" applyFill="1" applyBorder="1" applyAlignment="1">
      <alignment horizontal="left" vertical="top" wrapText="1" indent="1"/>
    </xf>
    <xf numFmtId="0" fontId="4" fillId="4" borderId="23" xfId="0" applyFont="1" applyFill="1" applyBorder="1" applyAlignment="1">
      <alignment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6" xfId="0" applyFont="1" applyFill="1" applyBorder="1" applyAlignment="1">
      <alignment horizontal="left" vertical="top" wrapText="1" indent="1"/>
    </xf>
    <xf numFmtId="0" fontId="4" fillId="4" borderId="11" xfId="0" applyFont="1" applyFill="1" applyBorder="1" applyAlignment="1">
      <alignment vertical="top" wrapText="1"/>
    </xf>
    <xf numFmtId="0" fontId="9" fillId="2" borderId="7" xfId="0" applyFont="1" applyFill="1" applyBorder="1" applyAlignment="1">
      <alignment horizontal="left" vertical="top" wrapText="1" indent="1"/>
    </xf>
    <xf numFmtId="0" fontId="11" fillId="2" borderId="7" xfId="0" applyFont="1" applyFill="1" applyBorder="1" applyAlignment="1">
      <alignment horizontal="left" vertical="top" wrapText="1" inden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" fillId="0" borderId="23" xfId="0" applyFont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top" wrapText="1" indent="1"/>
    </xf>
    <xf numFmtId="0" fontId="4" fillId="2" borderId="50" xfId="0" applyFont="1" applyFill="1" applyBorder="1" applyAlignment="1">
      <alignment vertical="top" wrapText="1"/>
    </xf>
    <xf numFmtId="0" fontId="16" fillId="6" borderId="22" xfId="0" applyFont="1" applyFill="1" applyBorder="1" applyAlignment="1">
      <alignment horizontal="center" vertical="top" wrapText="1"/>
    </xf>
    <xf numFmtId="0" fontId="16" fillId="6" borderId="21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4" borderId="46" xfId="0" applyFont="1" applyFill="1" applyBorder="1" applyAlignment="1">
      <alignment vertical="top" wrapText="1"/>
    </xf>
    <xf numFmtId="0" fontId="4" fillId="3" borderId="47" xfId="0" applyFont="1" applyFill="1" applyBorder="1" applyAlignment="1">
      <alignment vertical="top" wrapText="1"/>
    </xf>
    <xf numFmtId="0" fontId="4" fillId="7" borderId="23" xfId="0" applyFont="1" applyFill="1" applyBorder="1" applyAlignment="1">
      <alignment vertical="top" wrapText="1"/>
    </xf>
    <xf numFmtId="0" fontId="4" fillId="3" borderId="50" xfId="0" applyFont="1" applyFill="1" applyBorder="1" applyAlignment="1">
      <alignment horizontal="center" vertical="top" wrapText="1"/>
    </xf>
    <xf numFmtId="0" fontId="4" fillId="3" borderId="38" xfId="0" applyFont="1" applyFill="1" applyBorder="1" applyAlignment="1">
      <alignment vertical="top" wrapText="1"/>
    </xf>
    <xf numFmtId="0" fontId="1" fillId="3" borderId="47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left" vertical="top" wrapText="1"/>
    </xf>
    <xf numFmtId="0" fontId="0" fillId="3" borderId="33" xfId="0" applyFill="1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7" borderId="33" xfId="0" applyFill="1" applyBorder="1" applyAlignment="1">
      <alignment horizontal="left" vertical="top" wrapText="1"/>
    </xf>
    <xf numFmtId="0" fontId="0" fillId="3" borderId="51" xfId="0" applyFill="1" applyBorder="1" applyAlignment="1">
      <alignment horizontal="left" vertical="top" wrapText="1"/>
    </xf>
    <xf numFmtId="0" fontId="0" fillId="3" borderId="35" xfId="0" applyFill="1" applyBorder="1" applyAlignment="1">
      <alignment horizontal="left" vertical="top" wrapText="1"/>
    </xf>
    <xf numFmtId="0" fontId="4" fillId="4" borderId="17" xfId="0" applyFont="1" applyFill="1" applyBorder="1" applyAlignment="1">
      <alignment vertical="top" wrapText="1"/>
    </xf>
    <xf numFmtId="0" fontId="4" fillId="4" borderId="7" xfId="0" applyFont="1" applyFill="1" applyBorder="1" applyAlignment="1">
      <alignment horizontal="left" vertical="top" wrapText="1" indent="1"/>
    </xf>
    <xf numFmtId="0" fontId="4" fillId="4" borderId="3" xfId="0" applyFont="1" applyFill="1" applyBorder="1" applyAlignment="1">
      <alignment vertical="top" wrapText="1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18" fillId="0" borderId="23" xfId="0" applyFont="1" applyBorder="1" applyAlignment="1">
      <alignment vertical="center"/>
    </xf>
    <xf numFmtId="0" fontId="0" fillId="0" borderId="23" xfId="0" applyBorder="1"/>
    <xf numFmtId="0" fontId="18" fillId="0" borderId="23" xfId="0" applyFont="1" applyBorder="1" applyAlignment="1">
      <alignment horizontal="right" vertical="center"/>
    </xf>
    <xf numFmtId="0" fontId="19" fillId="0" borderId="23" xfId="0" applyFont="1" applyBorder="1" applyAlignment="1">
      <alignment vertical="center"/>
    </xf>
    <xf numFmtId="0" fontId="19" fillId="0" borderId="23" xfId="0" applyFont="1" applyBorder="1" applyAlignment="1">
      <alignment vertical="center" wrapText="1"/>
    </xf>
    <xf numFmtId="0" fontId="0" fillId="5" borderId="0" xfId="0" applyFill="1"/>
    <xf numFmtId="0" fontId="17" fillId="6" borderId="10" xfId="0" applyFont="1" applyFill="1" applyBorder="1"/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8" fillId="8" borderId="10" xfId="0" applyFont="1" applyFill="1" applyBorder="1" applyAlignment="1">
      <alignment vertical="top" wrapText="1"/>
    </xf>
    <xf numFmtId="0" fontId="1" fillId="0" borderId="0" xfId="0" applyFont="1" applyAlignment="1">
      <alignment horizontal="center" wrapText="1"/>
    </xf>
    <xf numFmtId="0" fontId="20" fillId="6" borderId="19" xfId="0" applyFont="1" applyFill="1" applyBorder="1" applyAlignment="1">
      <alignment horizontal="left" vertical="top" wrapText="1"/>
    </xf>
    <xf numFmtId="0" fontId="20" fillId="6" borderId="20" xfId="0" applyFont="1" applyFill="1" applyBorder="1" applyAlignment="1">
      <alignment horizontal="left" vertical="top" wrapText="1"/>
    </xf>
    <xf numFmtId="0" fontId="4" fillId="4" borderId="16" xfId="0" applyFont="1" applyFill="1" applyBorder="1" applyAlignment="1">
      <alignment vertical="top" wrapText="1"/>
    </xf>
    <xf numFmtId="0" fontId="4" fillId="4" borderId="18" xfId="0" applyFont="1" applyFill="1" applyBorder="1" applyAlignment="1">
      <alignment vertical="top" wrapText="1"/>
    </xf>
    <xf numFmtId="0" fontId="4" fillId="4" borderId="13" xfId="0" applyFont="1" applyFill="1" applyBorder="1" applyAlignment="1">
      <alignment vertical="top" wrapText="1"/>
    </xf>
    <xf numFmtId="0" fontId="4" fillId="2" borderId="16" xfId="0" applyFont="1" applyFill="1" applyBorder="1" applyAlignment="1">
      <alignment vertical="top" wrapText="1"/>
    </xf>
    <xf numFmtId="0" fontId="4" fillId="2" borderId="18" xfId="0" applyFont="1" applyFill="1" applyBorder="1" applyAlignment="1">
      <alignment vertical="top" wrapText="1"/>
    </xf>
    <xf numFmtId="0" fontId="4" fillId="2" borderId="6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top" wrapText="1" indent="1"/>
    </xf>
    <xf numFmtId="0" fontId="4" fillId="4" borderId="6" xfId="0" applyFont="1" applyFill="1" applyBorder="1" applyAlignment="1">
      <alignment horizontal="left" vertical="top" wrapText="1" indent="1"/>
    </xf>
    <xf numFmtId="0" fontId="4" fillId="4" borderId="8" xfId="0" applyFont="1" applyFill="1" applyBorder="1" applyAlignment="1">
      <alignment horizontal="left" vertical="top" wrapText="1" indent="1"/>
    </xf>
    <xf numFmtId="0" fontId="4" fillId="4" borderId="1" xfId="0" applyFont="1" applyFill="1" applyBorder="1" applyAlignment="1">
      <alignment horizontal="left" vertical="top" wrapText="1" indent="1"/>
    </xf>
    <xf numFmtId="0" fontId="4" fillId="2" borderId="13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25" xfId="0" applyFont="1" applyFill="1" applyBorder="1" applyAlignment="1">
      <alignment vertical="top" wrapText="1"/>
    </xf>
    <xf numFmtId="0" fontId="7" fillId="0" borderId="11" xfId="0" applyFont="1" applyBorder="1" applyAlignment="1"/>
    <xf numFmtId="0" fontId="4" fillId="5" borderId="16" xfId="0" applyFont="1" applyFill="1" applyBorder="1" applyAlignment="1">
      <alignment vertical="top" wrapText="1"/>
    </xf>
    <xf numFmtId="0" fontId="4" fillId="5" borderId="18" xfId="0" applyFont="1" applyFill="1" applyBorder="1" applyAlignment="1">
      <alignment vertical="top" wrapText="1"/>
    </xf>
    <xf numFmtId="0" fontId="4" fillId="5" borderId="13" xfId="0" applyFont="1" applyFill="1" applyBorder="1" applyAlignment="1">
      <alignment vertical="top" wrapText="1"/>
    </xf>
    <xf numFmtId="0" fontId="4" fillId="5" borderId="6" xfId="0" applyFont="1" applyFill="1" applyBorder="1" applyAlignment="1">
      <alignment horizontal="left" vertical="top" wrapText="1" indent="1"/>
    </xf>
    <xf numFmtId="0" fontId="4" fillId="5" borderId="8" xfId="0" applyFont="1" applyFill="1" applyBorder="1" applyAlignment="1">
      <alignment horizontal="left" vertical="top" wrapText="1" indent="1"/>
    </xf>
    <xf numFmtId="0" fontId="4" fillId="5" borderId="1" xfId="0" applyFont="1" applyFill="1" applyBorder="1" applyAlignment="1">
      <alignment horizontal="left" vertical="top" wrapText="1" indent="1"/>
    </xf>
    <xf numFmtId="0" fontId="4" fillId="5" borderId="25" xfId="0" applyFont="1" applyFill="1" applyBorder="1" applyAlignment="1">
      <alignment vertical="top" wrapText="1"/>
    </xf>
    <xf numFmtId="0" fontId="4" fillId="5" borderId="26" xfId="0" applyFont="1" applyFill="1" applyBorder="1" applyAlignment="1">
      <alignment vertical="top" wrapText="1"/>
    </xf>
    <xf numFmtId="0" fontId="7" fillId="5" borderId="26" xfId="0" applyFont="1" applyFill="1" applyBorder="1" applyAlignment="1"/>
    <xf numFmtId="0" fontId="7" fillId="5" borderId="11" xfId="0" applyFont="1" applyFill="1" applyBorder="1" applyAlignment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5" borderId="30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7" xfId="0" applyFont="1" applyFill="1" applyBorder="1" applyAlignment="1">
      <alignment horizontal="left" vertical="top" wrapText="1" indent="1"/>
    </xf>
    <xf numFmtId="0" fontId="4" fillId="2" borderId="3" xfId="0" applyFont="1" applyFill="1" applyBorder="1" applyAlignment="1">
      <alignment vertical="top" wrapText="1"/>
    </xf>
    <xf numFmtId="0" fontId="7" fillId="0" borderId="3" xfId="0" applyFont="1" applyBorder="1" applyAlignment="1"/>
    <xf numFmtId="0" fontId="7" fillId="0" borderId="26" xfId="0" applyFont="1" applyBorder="1" applyAlignment="1"/>
    <xf numFmtId="0" fontId="4" fillId="4" borderId="25" xfId="0" applyFont="1" applyFill="1" applyBorder="1" applyAlignment="1">
      <alignment vertical="top" wrapText="1"/>
    </xf>
    <xf numFmtId="0" fontId="7" fillId="4" borderId="11" xfId="0" applyFont="1" applyFill="1" applyBorder="1" applyAlignment="1"/>
    <xf numFmtId="0" fontId="7" fillId="4" borderId="26" xfId="0" applyFont="1" applyFill="1" applyBorder="1" applyAlignment="1"/>
    <xf numFmtId="0" fontId="0" fillId="0" borderId="33" xfId="0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3" borderId="51" xfId="0" applyFill="1" applyBorder="1" applyAlignment="1">
      <alignment horizontal="left" vertical="top" wrapText="1"/>
    </xf>
    <xf numFmtId="0" fontId="0" fillId="3" borderId="37" xfId="0" applyFill="1" applyBorder="1" applyAlignment="1">
      <alignment horizontal="left" vertical="top" wrapText="1"/>
    </xf>
    <xf numFmtId="0" fontId="1" fillId="3" borderId="50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top" wrapText="1"/>
    </xf>
    <xf numFmtId="0" fontId="4" fillId="2" borderId="40" xfId="0" applyFont="1" applyFill="1" applyBorder="1" applyAlignment="1">
      <alignment horizontal="center" vertical="top" wrapText="1"/>
    </xf>
    <xf numFmtId="0" fontId="4" fillId="2" borderId="36" xfId="0" applyFont="1" applyFill="1" applyBorder="1" applyAlignment="1">
      <alignment horizontal="center" vertical="top" wrapText="1"/>
    </xf>
    <xf numFmtId="0" fontId="4" fillId="4" borderId="49" xfId="0" applyFont="1" applyFill="1" applyBorder="1" applyAlignment="1">
      <alignment horizontal="center" vertical="top" wrapText="1"/>
    </xf>
    <xf numFmtId="0" fontId="4" fillId="4" borderId="36" xfId="0" applyFont="1" applyFill="1" applyBorder="1" applyAlignment="1">
      <alignment horizontal="center" vertical="top" wrapText="1"/>
    </xf>
    <xf numFmtId="0" fontId="4" fillId="3" borderId="50" xfId="0" applyFont="1" applyFill="1" applyBorder="1" applyAlignment="1">
      <alignment horizontal="center" vertical="top" wrapText="1"/>
    </xf>
    <xf numFmtId="0" fontId="4" fillId="3" borderId="39" xfId="0" applyFont="1" applyFill="1" applyBorder="1" applyAlignment="1">
      <alignment horizontal="center" vertical="top" wrapText="1"/>
    </xf>
    <xf numFmtId="0" fontId="0" fillId="0" borderId="42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1" fillId="0" borderId="23" xfId="0" applyFont="1" applyBorder="1" applyAlignment="1">
      <alignment horizontal="center" vertical="center" wrapText="1"/>
    </xf>
    <xf numFmtId="0" fontId="4" fillId="7" borderId="50" xfId="0" applyFont="1" applyFill="1" applyBorder="1" applyAlignment="1">
      <alignment horizontal="center" vertical="top" wrapText="1"/>
    </xf>
    <xf numFmtId="0" fontId="4" fillId="7" borderId="41" xfId="0" applyFont="1" applyFill="1" applyBorder="1" applyAlignment="1">
      <alignment horizontal="center" vertical="top" wrapText="1"/>
    </xf>
    <xf numFmtId="0" fontId="4" fillId="7" borderId="39" xfId="0" applyFont="1" applyFill="1" applyBorder="1" applyAlignment="1">
      <alignment horizontal="center" vertical="top" wrapText="1"/>
    </xf>
    <xf numFmtId="0" fontId="4" fillId="2" borderId="50" xfId="0" applyFont="1" applyFill="1" applyBorder="1" applyAlignment="1">
      <alignment horizontal="center" vertical="top" wrapText="1"/>
    </xf>
    <xf numFmtId="0" fontId="4" fillId="2" borderId="41" xfId="0" applyFont="1" applyFill="1" applyBorder="1" applyAlignment="1">
      <alignment horizontal="center" vertical="top" wrapText="1"/>
    </xf>
    <xf numFmtId="0" fontId="4" fillId="2" borderId="39" xfId="0" applyFont="1" applyFill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0" fillId="3" borderId="42" xfId="0" applyFill="1" applyBorder="1" applyAlignment="1">
      <alignment horizontal="left" vertical="top" wrapText="1"/>
    </xf>
    <xf numFmtId="0" fontId="1" fillId="7" borderId="50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0" fillId="7" borderId="51" xfId="0" applyFill="1" applyBorder="1" applyAlignment="1">
      <alignment horizontal="left" vertical="top" wrapText="1"/>
    </xf>
    <xf numFmtId="0" fontId="0" fillId="7" borderId="42" xfId="0" applyFill="1" applyBorder="1" applyAlignment="1">
      <alignment horizontal="left" vertical="top" wrapText="1"/>
    </xf>
    <xf numFmtId="0" fontId="0" fillId="7" borderId="37" xfId="0" applyFill="1" applyBorder="1" applyAlignment="1">
      <alignment horizontal="left" vertical="top" wrapText="1"/>
    </xf>
    <xf numFmtId="0" fontId="1" fillId="3" borderId="41" xfId="0" applyFont="1" applyFill="1" applyBorder="1" applyAlignment="1">
      <alignment horizontal="center" vertical="center"/>
    </xf>
    <xf numFmtId="0" fontId="4" fillId="3" borderId="41" xfId="0" applyFont="1" applyFill="1" applyBorder="1" applyAlignment="1">
      <alignment horizontal="center" vertical="top" wrapText="1"/>
    </xf>
    <xf numFmtId="0" fontId="4" fillId="4" borderId="40" xfId="0" applyFont="1" applyFill="1" applyBorder="1" applyAlignment="1">
      <alignment horizontal="center" vertical="top" wrapText="1"/>
    </xf>
    <xf numFmtId="0" fontId="3" fillId="2" borderId="43" xfId="0" applyFont="1" applyFill="1" applyBorder="1" applyAlignment="1">
      <alignment horizontal="left" vertical="center" wrapText="1"/>
    </xf>
    <xf numFmtId="0" fontId="3" fillId="2" borderId="44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3" fillId="2" borderId="43" xfId="0" applyFont="1" applyFill="1" applyBorder="1" applyAlignment="1">
      <alignment vertical="center" wrapText="1"/>
    </xf>
    <xf numFmtId="0" fontId="3" fillId="2" borderId="44" xfId="0" applyFont="1" applyFill="1" applyBorder="1" applyAlignment="1">
      <alignment vertical="center" wrapText="1"/>
    </xf>
    <xf numFmtId="0" fontId="3" fillId="2" borderId="45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topLeftCell="A153" zoomScale="85" zoomScaleNormal="85" workbookViewId="0">
      <selection activeCell="B170" sqref="B170"/>
    </sheetView>
  </sheetViews>
  <sheetFormatPr defaultColWidth="9.140625" defaultRowHeight="15" x14ac:dyDescent="0.25"/>
  <cols>
    <col min="1" max="1" width="28.85546875" style="12" customWidth="1"/>
    <col min="2" max="2" width="12.7109375" style="13" customWidth="1"/>
    <col min="3" max="3" width="13" style="13" customWidth="1"/>
    <col min="4" max="4" width="12.42578125" style="13" customWidth="1"/>
    <col min="5" max="5" width="38" style="13" customWidth="1"/>
    <col min="6" max="6" width="79.7109375" style="12" customWidth="1"/>
    <col min="7" max="7" width="38.28515625" customWidth="1"/>
    <col min="8" max="8" width="42.7109375" customWidth="1"/>
  </cols>
  <sheetData>
    <row r="1" spans="1:8" ht="30.75" thickBo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298</v>
      </c>
      <c r="H1" s="25" t="s">
        <v>678</v>
      </c>
    </row>
    <row r="2" spans="1:8" ht="15.75" thickBot="1" x14ac:dyDescent="0.3">
      <c r="A2" s="106" t="s">
        <v>6</v>
      </c>
      <c r="B2" s="107"/>
      <c r="C2" s="107"/>
      <c r="D2" s="107"/>
      <c r="E2" s="107"/>
      <c r="F2" s="107"/>
      <c r="G2" s="101"/>
    </row>
    <row r="3" spans="1:8" ht="29.25" thickBot="1" x14ac:dyDescent="0.3">
      <c r="A3" s="14" t="s">
        <v>7</v>
      </c>
      <c r="B3" s="1">
        <v>8</v>
      </c>
      <c r="C3" s="1" t="s">
        <v>8</v>
      </c>
      <c r="D3" s="1" t="s">
        <v>8</v>
      </c>
      <c r="E3" s="2" t="s">
        <v>9</v>
      </c>
      <c r="F3" s="26" t="s">
        <v>10</v>
      </c>
      <c r="G3" s="36" t="s">
        <v>677</v>
      </c>
    </row>
    <row r="4" spans="1:8" ht="29.25" thickBot="1" x14ac:dyDescent="0.3">
      <c r="A4" s="14" t="s">
        <v>11</v>
      </c>
      <c r="B4" s="1">
        <v>9</v>
      </c>
      <c r="C4" s="1" t="s">
        <v>8</v>
      </c>
      <c r="D4" s="1" t="s">
        <v>8</v>
      </c>
      <c r="E4" s="3" t="s">
        <v>12</v>
      </c>
      <c r="F4" s="26" t="s">
        <v>13</v>
      </c>
      <c r="G4" s="37" t="s">
        <v>677</v>
      </c>
    </row>
    <row r="5" spans="1:8" ht="15.75" thickBot="1" x14ac:dyDescent="0.3">
      <c r="A5" s="14" t="s">
        <v>14</v>
      </c>
      <c r="B5" s="1">
        <v>35</v>
      </c>
      <c r="C5" s="1" t="s">
        <v>8</v>
      </c>
      <c r="D5" s="1" t="s">
        <v>8</v>
      </c>
      <c r="E5" s="2" t="s">
        <v>15</v>
      </c>
      <c r="F5" s="27" t="s">
        <v>16</v>
      </c>
      <c r="G5" s="37" t="s">
        <v>677</v>
      </c>
    </row>
    <row r="6" spans="1:8" ht="15.75" thickBot="1" x14ac:dyDescent="0.3">
      <c r="A6" s="14" t="s">
        <v>17</v>
      </c>
      <c r="B6" s="1">
        <v>34</v>
      </c>
      <c r="C6" s="1" t="s">
        <v>8</v>
      </c>
      <c r="D6" s="1" t="s">
        <v>8</v>
      </c>
      <c r="E6" s="3" t="s">
        <v>18</v>
      </c>
      <c r="F6" s="27"/>
      <c r="G6" s="37" t="s">
        <v>677</v>
      </c>
    </row>
    <row r="7" spans="1:8" ht="15.75" thickBot="1" x14ac:dyDescent="0.3">
      <c r="A7" s="14" t="s">
        <v>19</v>
      </c>
      <c r="B7" s="1">
        <v>49</v>
      </c>
      <c r="C7" s="1" t="s">
        <v>8</v>
      </c>
      <c r="D7" s="1" t="s">
        <v>8</v>
      </c>
      <c r="E7" s="3" t="s">
        <v>20</v>
      </c>
      <c r="F7" s="27" t="s">
        <v>21</v>
      </c>
      <c r="G7" s="37" t="s">
        <v>677</v>
      </c>
    </row>
    <row r="8" spans="1:8" ht="15.75" thickBot="1" x14ac:dyDescent="0.3">
      <c r="A8" s="14" t="s">
        <v>22</v>
      </c>
      <c r="B8" s="1">
        <v>56</v>
      </c>
      <c r="C8" s="1" t="s">
        <v>8</v>
      </c>
      <c r="D8" s="1" t="s">
        <v>8</v>
      </c>
      <c r="E8" s="2" t="s">
        <v>23</v>
      </c>
      <c r="F8" s="27" t="s">
        <v>24</v>
      </c>
      <c r="G8" s="37" t="s">
        <v>677</v>
      </c>
    </row>
    <row r="9" spans="1:8" ht="15.75" thickBot="1" x14ac:dyDescent="0.3">
      <c r="A9" s="15" t="s">
        <v>25</v>
      </c>
      <c r="B9" s="16">
        <v>52</v>
      </c>
      <c r="C9" s="16" t="s">
        <v>8</v>
      </c>
      <c r="D9" s="16" t="s">
        <v>8</v>
      </c>
      <c r="E9" s="17" t="s">
        <v>26</v>
      </c>
      <c r="F9" s="28" t="s">
        <v>27</v>
      </c>
      <c r="G9" s="38" t="s">
        <v>677</v>
      </c>
    </row>
    <row r="10" spans="1:8" ht="15.75" thickBot="1" x14ac:dyDescent="0.3">
      <c r="A10" s="106" t="s">
        <v>28</v>
      </c>
      <c r="B10" s="107"/>
      <c r="C10" s="107"/>
      <c r="D10" s="107"/>
      <c r="E10" s="107"/>
      <c r="F10" s="107"/>
      <c r="G10" s="101"/>
    </row>
    <row r="11" spans="1:8" ht="15.75" thickBot="1" x14ac:dyDescent="0.3">
      <c r="A11" s="41" t="s">
        <v>29</v>
      </c>
      <c r="B11" s="42">
        <v>664</v>
      </c>
      <c r="C11" s="42" t="s">
        <v>8</v>
      </c>
      <c r="D11" s="42" t="s">
        <v>8</v>
      </c>
      <c r="E11" s="42" t="s">
        <v>30</v>
      </c>
      <c r="F11" s="43" t="s">
        <v>31</v>
      </c>
      <c r="G11" s="44">
        <f>ALDO!A2</f>
        <v>1</v>
      </c>
      <c r="H11" s="68" t="s">
        <v>679</v>
      </c>
    </row>
    <row r="12" spans="1:8" ht="15.75" thickBot="1" x14ac:dyDescent="0.3">
      <c r="A12" s="41" t="s">
        <v>32</v>
      </c>
      <c r="B12" s="42">
        <v>772</v>
      </c>
      <c r="C12" s="42" t="s">
        <v>33</v>
      </c>
      <c r="D12" s="42" t="s">
        <v>34</v>
      </c>
      <c r="E12" s="42" t="s">
        <v>35</v>
      </c>
      <c r="F12" s="43" t="s">
        <v>36</v>
      </c>
      <c r="G12" s="45">
        <f>ALDO!A7</f>
        <v>5</v>
      </c>
    </row>
    <row r="13" spans="1:8" ht="15.75" thickBot="1" x14ac:dyDescent="0.3">
      <c r="A13" s="108" t="s">
        <v>37</v>
      </c>
      <c r="B13" s="115">
        <v>666</v>
      </c>
      <c r="C13" s="115" t="s">
        <v>8</v>
      </c>
      <c r="D13" s="115" t="s">
        <v>8</v>
      </c>
      <c r="E13" s="42" t="s">
        <v>38</v>
      </c>
      <c r="F13" s="141" t="s">
        <v>39</v>
      </c>
      <c r="G13" s="132">
        <f>ALDO!A3</f>
        <v>2</v>
      </c>
    </row>
    <row r="14" spans="1:8" ht="15.75" thickBot="1" x14ac:dyDescent="0.3">
      <c r="A14" s="110"/>
      <c r="B14" s="117"/>
      <c r="C14" s="117"/>
      <c r="D14" s="117"/>
      <c r="E14" s="42" t="s">
        <v>40</v>
      </c>
      <c r="F14" s="142"/>
      <c r="G14" s="133"/>
    </row>
    <row r="15" spans="1:8" ht="15.75" thickBot="1" x14ac:dyDescent="0.3">
      <c r="A15" s="18" t="s">
        <v>41</v>
      </c>
      <c r="B15" s="1">
        <v>773</v>
      </c>
      <c r="C15" s="1" t="s">
        <v>8</v>
      </c>
      <c r="D15" s="1" t="s">
        <v>8</v>
      </c>
      <c r="E15" s="1" t="s">
        <v>42</v>
      </c>
      <c r="F15" s="26" t="s">
        <v>43</v>
      </c>
      <c r="G15" s="39"/>
    </row>
    <row r="16" spans="1:8" ht="15.75" thickBot="1" x14ac:dyDescent="0.3">
      <c r="A16" s="18" t="s">
        <v>44</v>
      </c>
      <c r="B16" s="1">
        <v>650</v>
      </c>
      <c r="C16" s="1" t="s">
        <v>45</v>
      </c>
      <c r="D16" s="1" t="s">
        <v>46</v>
      </c>
      <c r="E16" s="1" t="s">
        <v>47</v>
      </c>
      <c r="F16" s="26" t="s">
        <v>43</v>
      </c>
      <c r="G16" s="39"/>
    </row>
    <row r="17" spans="1:7" ht="15.75" thickBot="1" x14ac:dyDescent="0.3">
      <c r="A17" s="111" t="s">
        <v>48</v>
      </c>
      <c r="B17" s="113">
        <v>665</v>
      </c>
      <c r="C17" s="113" t="s">
        <v>8</v>
      </c>
      <c r="D17" s="113" t="s">
        <v>8</v>
      </c>
      <c r="E17" s="1" t="s">
        <v>49</v>
      </c>
      <c r="F17" s="120" t="s">
        <v>43</v>
      </c>
      <c r="G17" s="39"/>
    </row>
    <row r="18" spans="1:7" ht="29.25" thickBot="1" x14ac:dyDescent="0.3">
      <c r="A18" s="118"/>
      <c r="B18" s="119"/>
      <c r="C18" s="119"/>
      <c r="D18" s="119"/>
      <c r="E18" s="1" t="s">
        <v>50</v>
      </c>
      <c r="F18" s="121"/>
      <c r="G18" s="39"/>
    </row>
    <row r="19" spans="1:7" ht="15.75" thickBot="1" x14ac:dyDescent="0.3">
      <c r="A19" s="18" t="s">
        <v>51</v>
      </c>
      <c r="B19" s="1">
        <v>70</v>
      </c>
      <c r="C19" s="1" t="s">
        <v>45</v>
      </c>
      <c r="D19" s="1" t="s">
        <v>52</v>
      </c>
      <c r="E19" s="1" t="s">
        <v>53</v>
      </c>
      <c r="F19" s="26" t="s">
        <v>54</v>
      </c>
      <c r="G19" s="39"/>
    </row>
    <row r="20" spans="1:7" ht="15.75" thickBot="1" x14ac:dyDescent="0.3">
      <c r="A20" s="41" t="s">
        <v>55</v>
      </c>
      <c r="B20" s="42">
        <v>467</v>
      </c>
      <c r="C20" s="42" t="s">
        <v>45</v>
      </c>
      <c r="D20" s="42" t="s">
        <v>8</v>
      </c>
      <c r="E20" s="42" t="s">
        <v>56</v>
      </c>
      <c r="F20" s="43" t="s">
        <v>57</v>
      </c>
      <c r="G20" s="45"/>
    </row>
    <row r="21" spans="1:7" ht="29.25" thickBot="1" x14ac:dyDescent="0.3">
      <c r="A21" s="41" t="s">
        <v>58</v>
      </c>
      <c r="B21" s="42">
        <v>60</v>
      </c>
      <c r="C21" s="42" t="s">
        <v>8</v>
      </c>
      <c r="D21" s="42" t="s">
        <v>8</v>
      </c>
      <c r="E21" s="48" t="s">
        <v>26</v>
      </c>
      <c r="F21" s="49" t="s">
        <v>59</v>
      </c>
      <c r="G21" s="45"/>
    </row>
    <row r="22" spans="1:7" ht="15.75" thickBot="1" x14ac:dyDescent="0.3">
      <c r="A22" s="106" t="s">
        <v>60</v>
      </c>
      <c r="B22" s="107"/>
      <c r="C22" s="107"/>
      <c r="D22" s="107"/>
      <c r="E22" s="107"/>
      <c r="F22" s="107"/>
      <c r="G22" s="101"/>
    </row>
    <row r="23" spans="1:7" ht="29.25" thickBot="1" x14ac:dyDescent="0.3">
      <c r="A23" s="18" t="s">
        <v>61</v>
      </c>
      <c r="B23" s="1">
        <v>453</v>
      </c>
      <c r="C23" s="1" t="s">
        <v>45</v>
      </c>
      <c r="D23" s="1" t="s">
        <v>8</v>
      </c>
      <c r="E23" s="1" t="s">
        <v>62</v>
      </c>
      <c r="F23" s="26" t="s">
        <v>63</v>
      </c>
      <c r="G23" s="102"/>
    </row>
    <row r="24" spans="1:7" ht="15.75" thickBot="1" x14ac:dyDescent="0.3">
      <c r="A24" s="106" t="s">
        <v>64</v>
      </c>
      <c r="B24" s="107"/>
      <c r="C24" s="107"/>
      <c r="D24" s="107"/>
      <c r="E24" s="107"/>
      <c r="F24" s="107"/>
      <c r="G24" s="101"/>
    </row>
    <row r="25" spans="1:7" ht="29.25" thickBot="1" x14ac:dyDescent="0.3">
      <c r="A25" s="46" t="s">
        <v>65</v>
      </c>
      <c r="B25" s="42">
        <v>448</v>
      </c>
      <c r="C25" s="42" t="s">
        <v>45</v>
      </c>
      <c r="D25" s="42" t="s">
        <v>8</v>
      </c>
      <c r="E25" s="42" t="s">
        <v>66</v>
      </c>
      <c r="F25" s="43" t="s">
        <v>67</v>
      </c>
      <c r="G25" s="103"/>
    </row>
    <row r="26" spans="1:7" ht="15.75" thickBot="1" x14ac:dyDescent="0.3">
      <c r="A26" s="18" t="s">
        <v>68</v>
      </c>
      <c r="B26" s="1">
        <v>447</v>
      </c>
      <c r="C26" s="1" t="s">
        <v>45</v>
      </c>
      <c r="D26" s="1" t="s">
        <v>8</v>
      </c>
      <c r="E26" s="1" t="s">
        <v>69</v>
      </c>
      <c r="F26" s="26" t="s">
        <v>70</v>
      </c>
      <c r="G26" s="39"/>
    </row>
    <row r="27" spans="1:7" ht="15.75" thickBot="1" x14ac:dyDescent="0.3">
      <c r="A27" s="18" t="s">
        <v>71</v>
      </c>
      <c r="B27" s="1">
        <v>452</v>
      </c>
      <c r="C27" s="1" t="s">
        <v>45</v>
      </c>
      <c r="D27" s="1" t="s">
        <v>8</v>
      </c>
      <c r="E27" s="1" t="s">
        <v>72</v>
      </c>
      <c r="F27" s="26" t="s">
        <v>73</v>
      </c>
      <c r="G27" s="39"/>
    </row>
    <row r="28" spans="1:7" ht="15.75" thickBot="1" x14ac:dyDescent="0.3">
      <c r="A28" s="20" t="s">
        <v>74</v>
      </c>
      <c r="B28" s="4">
        <v>782</v>
      </c>
      <c r="C28" s="4" t="s">
        <v>45</v>
      </c>
      <c r="D28" s="4" t="s">
        <v>45</v>
      </c>
      <c r="E28" s="4" t="s">
        <v>75</v>
      </c>
      <c r="F28" s="26"/>
      <c r="G28" s="39"/>
    </row>
    <row r="29" spans="1:7" ht="15.75" thickBot="1" x14ac:dyDescent="0.3">
      <c r="A29" s="20" t="s">
        <v>76</v>
      </c>
      <c r="B29" s="4">
        <v>783</v>
      </c>
      <c r="C29" s="4" t="s">
        <v>45</v>
      </c>
      <c r="D29" s="4" t="s">
        <v>45</v>
      </c>
      <c r="E29" s="4" t="s">
        <v>69</v>
      </c>
      <c r="F29" s="26"/>
      <c r="G29" s="39"/>
    </row>
    <row r="30" spans="1:7" ht="15.75" thickBot="1" x14ac:dyDescent="0.3">
      <c r="A30" s="20" t="s">
        <v>77</v>
      </c>
      <c r="B30" s="4">
        <v>784</v>
      </c>
      <c r="C30" s="4" t="s">
        <v>45</v>
      </c>
      <c r="D30" s="4" t="s">
        <v>45</v>
      </c>
      <c r="E30" s="5" t="s">
        <v>78</v>
      </c>
      <c r="F30" s="26"/>
      <c r="G30" s="39"/>
    </row>
    <row r="31" spans="1:7" ht="15.75" thickBot="1" x14ac:dyDescent="0.3">
      <c r="A31" s="106" t="s">
        <v>64</v>
      </c>
      <c r="B31" s="107"/>
      <c r="C31" s="107"/>
      <c r="D31" s="107"/>
      <c r="E31" s="107"/>
      <c r="F31" s="107" t="s">
        <v>79</v>
      </c>
      <c r="G31" s="104" t="s">
        <v>79</v>
      </c>
    </row>
    <row r="32" spans="1:7" ht="15.75" thickBot="1" x14ac:dyDescent="0.3">
      <c r="A32" s="18" t="s">
        <v>65</v>
      </c>
      <c r="B32" s="1">
        <v>448</v>
      </c>
      <c r="C32" s="1" t="s">
        <v>45</v>
      </c>
      <c r="D32" s="1" t="s">
        <v>52</v>
      </c>
      <c r="E32" s="1"/>
      <c r="F32" s="26"/>
      <c r="G32" s="39"/>
    </row>
    <row r="33" spans="1:8" ht="15.75" thickBot="1" x14ac:dyDescent="0.3">
      <c r="A33" s="18" t="s">
        <v>68</v>
      </c>
      <c r="B33" s="1">
        <v>447</v>
      </c>
      <c r="C33" s="1" t="s">
        <v>45</v>
      </c>
      <c r="D33" s="1" t="s">
        <v>52</v>
      </c>
      <c r="E33" s="1"/>
      <c r="F33" s="26"/>
      <c r="G33" s="39"/>
    </row>
    <row r="34" spans="1:8" ht="15.75" thickBot="1" x14ac:dyDescent="0.3">
      <c r="A34" s="18" t="s">
        <v>71</v>
      </c>
      <c r="B34" s="1">
        <v>452</v>
      </c>
      <c r="C34" s="1" t="s">
        <v>45</v>
      </c>
      <c r="D34" s="1" t="s">
        <v>52</v>
      </c>
      <c r="E34" s="1"/>
      <c r="F34" s="26"/>
      <c r="G34" s="39"/>
    </row>
    <row r="35" spans="1:8" ht="15.75" thickBot="1" x14ac:dyDescent="0.3">
      <c r="A35" s="106" t="s">
        <v>80</v>
      </c>
      <c r="B35" s="107"/>
      <c r="C35" s="107"/>
      <c r="D35" s="107"/>
      <c r="E35" s="107"/>
      <c r="F35" s="107"/>
      <c r="G35" s="101"/>
    </row>
    <row r="36" spans="1:8" ht="15.75" thickBot="1" x14ac:dyDescent="0.3">
      <c r="A36" s="41" t="s">
        <v>65</v>
      </c>
      <c r="B36" s="42">
        <v>448</v>
      </c>
      <c r="C36" s="42" t="s">
        <v>45</v>
      </c>
      <c r="D36" s="42" t="s">
        <v>8</v>
      </c>
      <c r="E36" s="42" t="s">
        <v>81</v>
      </c>
      <c r="F36" s="43" t="s">
        <v>82</v>
      </c>
      <c r="G36" s="39"/>
    </row>
    <row r="37" spans="1:8" ht="15.75" thickBot="1" x14ac:dyDescent="0.3">
      <c r="A37" s="18" t="s">
        <v>68</v>
      </c>
      <c r="B37" s="1">
        <v>447</v>
      </c>
      <c r="C37" s="1" t="s">
        <v>45</v>
      </c>
      <c r="D37" s="1" t="s">
        <v>8</v>
      </c>
      <c r="E37" s="1" t="s">
        <v>83</v>
      </c>
      <c r="F37" s="26" t="s">
        <v>84</v>
      </c>
      <c r="G37" s="39"/>
    </row>
    <row r="38" spans="1:8" ht="15.75" thickBot="1" x14ac:dyDescent="0.3">
      <c r="A38" s="18" t="s">
        <v>71</v>
      </c>
      <c r="B38" s="1">
        <v>452</v>
      </c>
      <c r="C38" s="1" t="s">
        <v>45</v>
      </c>
      <c r="D38" s="1" t="s">
        <v>8</v>
      </c>
      <c r="E38" s="1" t="s">
        <v>85</v>
      </c>
      <c r="F38" s="26" t="s">
        <v>86</v>
      </c>
      <c r="G38" s="39"/>
    </row>
    <row r="39" spans="1:8" ht="15.75" thickBot="1" x14ac:dyDescent="0.3">
      <c r="A39" s="18" t="s">
        <v>87</v>
      </c>
      <c r="B39" s="1">
        <v>802</v>
      </c>
      <c r="C39" s="1" t="s">
        <v>45</v>
      </c>
      <c r="D39" s="1" t="s">
        <v>8</v>
      </c>
      <c r="E39" s="1" t="s">
        <v>88</v>
      </c>
      <c r="F39" s="26" t="s">
        <v>89</v>
      </c>
      <c r="G39" s="39"/>
    </row>
    <row r="40" spans="1:8" ht="29.25" thickBot="1" x14ac:dyDescent="0.3">
      <c r="A40" s="46" t="s">
        <v>90</v>
      </c>
      <c r="B40" s="42">
        <v>523</v>
      </c>
      <c r="C40" s="42" t="s">
        <v>45</v>
      </c>
      <c r="D40" s="42" t="s">
        <v>8</v>
      </c>
      <c r="E40" s="42" t="s">
        <v>91</v>
      </c>
      <c r="F40" s="43" t="s">
        <v>92</v>
      </c>
      <c r="G40" s="39"/>
      <c r="H40" s="68" t="s">
        <v>774</v>
      </c>
    </row>
    <row r="41" spans="1:8" ht="15.75" thickBot="1" x14ac:dyDescent="0.3">
      <c r="A41" s="18" t="s">
        <v>93</v>
      </c>
      <c r="B41" s="1">
        <v>803</v>
      </c>
      <c r="C41" s="1" t="s">
        <v>45</v>
      </c>
      <c r="D41" s="1" t="s">
        <v>8</v>
      </c>
      <c r="E41" s="1" t="s">
        <v>94</v>
      </c>
      <c r="F41" s="26"/>
      <c r="G41" s="39"/>
    </row>
    <row r="42" spans="1:8" ht="29.25" thickBot="1" x14ac:dyDescent="0.3">
      <c r="A42" s="46" t="s">
        <v>90</v>
      </c>
      <c r="B42" s="42">
        <v>523</v>
      </c>
      <c r="C42" s="42" t="s">
        <v>45</v>
      </c>
      <c r="D42" s="42" t="s">
        <v>52</v>
      </c>
      <c r="E42" s="42" t="s">
        <v>95</v>
      </c>
      <c r="F42" s="43" t="s">
        <v>96</v>
      </c>
      <c r="G42" s="39"/>
    </row>
    <row r="43" spans="1:8" ht="15.75" thickBot="1" x14ac:dyDescent="0.3">
      <c r="A43" s="18" t="s">
        <v>93</v>
      </c>
      <c r="B43" s="1">
        <v>803</v>
      </c>
      <c r="C43" s="1" t="s">
        <v>45</v>
      </c>
      <c r="D43" s="1" t="s">
        <v>52</v>
      </c>
      <c r="E43" s="1">
        <v>31</v>
      </c>
      <c r="F43" s="26"/>
      <c r="G43" s="39"/>
    </row>
    <row r="44" spans="1:8" ht="15.75" thickBot="1" x14ac:dyDescent="0.3">
      <c r="A44" s="106" t="s">
        <v>97</v>
      </c>
      <c r="B44" s="107"/>
      <c r="C44" s="107"/>
      <c r="D44" s="107"/>
      <c r="E44" s="107"/>
      <c r="F44" s="107" t="s">
        <v>79</v>
      </c>
      <c r="G44" s="104" t="s">
        <v>79</v>
      </c>
    </row>
    <row r="45" spans="1:8" ht="15.75" thickBot="1" x14ac:dyDescent="0.3">
      <c r="A45" s="18" t="s">
        <v>65</v>
      </c>
      <c r="B45" s="1">
        <v>448</v>
      </c>
      <c r="C45" s="1" t="s">
        <v>45</v>
      </c>
      <c r="D45" s="1" t="s">
        <v>52</v>
      </c>
      <c r="E45" s="1"/>
      <c r="F45" s="26"/>
      <c r="G45" s="39"/>
    </row>
    <row r="46" spans="1:8" ht="15.75" thickBot="1" x14ac:dyDescent="0.3">
      <c r="A46" s="18" t="s">
        <v>68</v>
      </c>
      <c r="B46" s="1">
        <v>447</v>
      </c>
      <c r="C46" s="1" t="s">
        <v>45</v>
      </c>
      <c r="D46" s="1" t="s">
        <v>52</v>
      </c>
      <c r="E46" s="1"/>
      <c r="F46" s="26"/>
      <c r="G46" s="39"/>
    </row>
    <row r="47" spans="1:8" ht="15.75" thickBot="1" x14ac:dyDescent="0.3">
      <c r="A47" s="18" t="s">
        <v>71</v>
      </c>
      <c r="B47" s="1">
        <v>452</v>
      </c>
      <c r="C47" s="1" t="s">
        <v>45</v>
      </c>
      <c r="D47" s="1" t="s">
        <v>52</v>
      </c>
      <c r="E47" s="1"/>
      <c r="F47" s="26"/>
      <c r="G47" s="39"/>
    </row>
    <row r="48" spans="1:8" ht="15.75" thickBot="1" x14ac:dyDescent="0.3">
      <c r="A48" s="106" t="s">
        <v>98</v>
      </c>
      <c r="B48" s="107"/>
      <c r="C48" s="107"/>
      <c r="D48" s="107"/>
      <c r="E48" s="107"/>
      <c r="F48" s="107"/>
      <c r="G48" s="101"/>
    </row>
    <row r="49" spans="1:7" ht="29.25" thickBot="1" x14ac:dyDescent="0.3">
      <c r="A49" s="41" t="s">
        <v>65</v>
      </c>
      <c r="B49" s="42">
        <v>448</v>
      </c>
      <c r="C49" s="42" t="s">
        <v>45</v>
      </c>
      <c r="D49" s="42" t="s">
        <v>8</v>
      </c>
      <c r="E49" s="42" t="s">
        <v>99</v>
      </c>
      <c r="F49" s="43" t="s">
        <v>100</v>
      </c>
      <c r="G49" s="39"/>
    </row>
    <row r="50" spans="1:7" ht="15.75" thickBot="1" x14ac:dyDescent="0.3">
      <c r="A50" s="18" t="s">
        <v>68</v>
      </c>
      <c r="B50" s="1">
        <v>447</v>
      </c>
      <c r="C50" s="1" t="s">
        <v>45</v>
      </c>
      <c r="D50" s="1" t="s">
        <v>8</v>
      </c>
      <c r="E50" s="1" t="s">
        <v>101</v>
      </c>
      <c r="F50" s="26"/>
      <c r="G50" s="39"/>
    </row>
    <row r="51" spans="1:7" ht="15.75" thickBot="1" x14ac:dyDescent="0.3">
      <c r="A51" s="18" t="s">
        <v>71</v>
      </c>
      <c r="B51" s="1">
        <v>452</v>
      </c>
      <c r="C51" s="1" t="s">
        <v>45</v>
      </c>
      <c r="D51" s="1" t="s">
        <v>8</v>
      </c>
      <c r="E51" s="1" t="s">
        <v>102</v>
      </c>
      <c r="F51" s="26"/>
      <c r="G51" s="39"/>
    </row>
    <row r="52" spans="1:7" ht="15.75" thickBot="1" x14ac:dyDescent="0.3">
      <c r="A52" s="106" t="s">
        <v>103</v>
      </c>
      <c r="B52" s="107"/>
      <c r="C52" s="107"/>
      <c r="D52" s="107"/>
      <c r="E52" s="107"/>
      <c r="F52" s="107" t="s">
        <v>79</v>
      </c>
      <c r="G52" s="104" t="s">
        <v>79</v>
      </c>
    </row>
    <row r="53" spans="1:7" ht="15.75" thickBot="1" x14ac:dyDescent="0.3">
      <c r="A53" s="18" t="s">
        <v>65</v>
      </c>
      <c r="B53" s="1">
        <v>448</v>
      </c>
      <c r="C53" s="1" t="s">
        <v>45</v>
      </c>
      <c r="D53" s="1" t="s">
        <v>52</v>
      </c>
      <c r="E53" s="1"/>
      <c r="F53" s="26"/>
      <c r="G53" s="39"/>
    </row>
    <row r="54" spans="1:7" ht="15.75" thickBot="1" x14ac:dyDescent="0.3">
      <c r="A54" s="18" t="s">
        <v>68</v>
      </c>
      <c r="B54" s="1">
        <v>447</v>
      </c>
      <c r="C54" s="1" t="s">
        <v>45</v>
      </c>
      <c r="D54" s="1" t="s">
        <v>52</v>
      </c>
      <c r="E54" s="1"/>
      <c r="F54" s="26"/>
      <c r="G54" s="39"/>
    </row>
    <row r="55" spans="1:7" ht="15.75" thickBot="1" x14ac:dyDescent="0.3">
      <c r="A55" s="18" t="s">
        <v>71</v>
      </c>
      <c r="B55" s="1">
        <v>452</v>
      </c>
      <c r="C55" s="1" t="s">
        <v>45</v>
      </c>
      <c r="D55" s="1" t="s">
        <v>52</v>
      </c>
      <c r="E55" s="1"/>
      <c r="F55" s="26"/>
      <c r="G55" s="39"/>
    </row>
    <row r="56" spans="1:7" ht="15.75" thickBot="1" x14ac:dyDescent="0.3">
      <c r="A56" s="106" t="s">
        <v>104</v>
      </c>
      <c r="B56" s="107"/>
      <c r="C56" s="107"/>
      <c r="D56" s="107"/>
      <c r="E56" s="107"/>
      <c r="F56" s="107" t="s">
        <v>79</v>
      </c>
      <c r="G56" s="104" t="s">
        <v>79</v>
      </c>
    </row>
    <row r="57" spans="1:7" ht="15.75" thickBot="1" x14ac:dyDescent="0.3">
      <c r="A57" s="18" t="s">
        <v>65</v>
      </c>
      <c r="B57" s="1">
        <v>448</v>
      </c>
      <c r="C57" s="1" t="s">
        <v>45</v>
      </c>
      <c r="D57" s="1" t="s">
        <v>45</v>
      </c>
      <c r="E57" s="1"/>
      <c r="F57" s="26"/>
      <c r="G57" s="39"/>
    </row>
    <row r="58" spans="1:7" ht="15.75" thickBot="1" x14ac:dyDescent="0.3">
      <c r="A58" s="18" t="s">
        <v>68</v>
      </c>
      <c r="B58" s="1">
        <v>447</v>
      </c>
      <c r="C58" s="1" t="s">
        <v>45</v>
      </c>
      <c r="D58" s="1" t="s">
        <v>45</v>
      </c>
      <c r="E58" s="1"/>
      <c r="F58" s="26"/>
      <c r="G58" s="39"/>
    </row>
    <row r="59" spans="1:7" ht="15.75" thickBot="1" x14ac:dyDescent="0.3">
      <c r="A59" s="18" t="s">
        <v>71</v>
      </c>
      <c r="B59" s="1">
        <v>452</v>
      </c>
      <c r="C59" s="1" t="s">
        <v>45</v>
      </c>
      <c r="D59" s="1" t="s">
        <v>45</v>
      </c>
      <c r="E59" s="1"/>
      <c r="F59" s="26"/>
      <c r="G59" s="39"/>
    </row>
    <row r="60" spans="1:7" ht="15.75" thickBot="1" x14ac:dyDescent="0.3">
      <c r="A60" s="106" t="s">
        <v>105</v>
      </c>
      <c r="B60" s="107"/>
      <c r="C60" s="107"/>
      <c r="D60" s="107"/>
      <c r="E60" s="107"/>
      <c r="F60" s="107" t="s">
        <v>79</v>
      </c>
      <c r="G60" s="104" t="s">
        <v>79</v>
      </c>
    </row>
    <row r="61" spans="1:7" ht="15.75" thickBot="1" x14ac:dyDescent="0.3">
      <c r="A61" s="18" t="s">
        <v>65</v>
      </c>
      <c r="B61" s="1">
        <v>448</v>
      </c>
      <c r="C61" s="1" t="s">
        <v>45</v>
      </c>
      <c r="D61" s="1" t="s">
        <v>45</v>
      </c>
      <c r="E61" s="1"/>
      <c r="F61" s="26"/>
      <c r="G61" s="39"/>
    </row>
    <row r="62" spans="1:7" ht="15.75" thickBot="1" x14ac:dyDescent="0.3">
      <c r="A62" s="18" t="s">
        <v>68</v>
      </c>
      <c r="B62" s="1">
        <v>447</v>
      </c>
      <c r="C62" s="1" t="s">
        <v>45</v>
      </c>
      <c r="D62" s="1" t="s">
        <v>45</v>
      </c>
      <c r="E62" s="1"/>
      <c r="F62" s="26"/>
      <c r="G62" s="39"/>
    </row>
    <row r="63" spans="1:7" ht="15.75" thickBot="1" x14ac:dyDescent="0.3">
      <c r="A63" s="18" t="s">
        <v>71</v>
      </c>
      <c r="B63" s="1">
        <v>452</v>
      </c>
      <c r="C63" s="1" t="s">
        <v>45</v>
      </c>
      <c r="D63" s="1" t="s">
        <v>45</v>
      </c>
      <c r="E63" s="1"/>
      <c r="F63" s="26"/>
      <c r="G63" s="39"/>
    </row>
    <row r="64" spans="1:7" ht="15.75" thickBot="1" x14ac:dyDescent="0.3">
      <c r="A64" s="106" t="s">
        <v>106</v>
      </c>
      <c r="B64" s="107"/>
      <c r="C64" s="107"/>
      <c r="D64" s="107"/>
      <c r="E64" s="107"/>
      <c r="F64" s="107"/>
      <c r="G64" s="101"/>
    </row>
    <row r="65" spans="1:7" ht="15.75" thickBot="1" x14ac:dyDescent="0.3">
      <c r="A65" s="108" t="s">
        <v>107</v>
      </c>
      <c r="B65" s="115">
        <v>54</v>
      </c>
      <c r="C65" s="115" t="s">
        <v>8</v>
      </c>
      <c r="D65" s="115" t="s">
        <v>8</v>
      </c>
      <c r="E65" s="42" t="s">
        <v>108</v>
      </c>
      <c r="F65" s="141" t="s">
        <v>109</v>
      </c>
      <c r="G65" s="45"/>
    </row>
    <row r="66" spans="1:7" ht="15.75" thickBot="1" x14ac:dyDescent="0.3">
      <c r="A66" s="109"/>
      <c r="B66" s="116"/>
      <c r="C66" s="116"/>
      <c r="D66" s="116"/>
      <c r="E66" s="50" t="s">
        <v>110</v>
      </c>
      <c r="F66" s="143"/>
      <c r="G66" s="45"/>
    </row>
    <row r="67" spans="1:7" ht="15.75" thickBot="1" x14ac:dyDescent="0.3">
      <c r="A67" s="20" t="s">
        <v>111</v>
      </c>
      <c r="B67" s="7">
        <v>55</v>
      </c>
      <c r="C67" s="7" t="s">
        <v>45</v>
      </c>
      <c r="D67" s="7" t="s">
        <v>45</v>
      </c>
      <c r="E67" s="7" t="s">
        <v>112</v>
      </c>
      <c r="F67" s="29" t="s">
        <v>113</v>
      </c>
      <c r="G67" s="39"/>
    </row>
    <row r="68" spans="1:7" ht="15.75" thickBot="1" x14ac:dyDescent="0.3">
      <c r="A68" s="18" t="s">
        <v>114</v>
      </c>
      <c r="B68" s="1">
        <v>22</v>
      </c>
      <c r="C68" s="1" t="s">
        <v>45</v>
      </c>
      <c r="D68" s="1" t="s">
        <v>8</v>
      </c>
      <c r="E68" s="1" t="s">
        <v>115</v>
      </c>
      <c r="F68" s="26" t="s">
        <v>116</v>
      </c>
      <c r="G68" s="39"/>
    </row>
    <row r="69" spans="1:7" ht="15.75" thickBot="1" x14ac:dyDescent="0.3">
      <c r="A69" s="41" t="s">
        <v>117</v>
      </c>
      <c r="B69" s="42">
        <v>48</v>
      </c>
      <c r="C69" s="42" t="s">
        <v>45</v>
      </c>
      <c r="D69" s="42" t="s">
        <v>8</v>
      </c>
      <c r="E69" s="42" t="s">
        <v>118</v>
      </c>
      <c r="F69" s="43"/>
      <c r="G69" s="39"/>
    </row>
    <row r="70" spans="1:7" ht="15.75" thickBot="1" x14ac:dyDescent="0.3">
      <c r="A70" s="18" t="s">
        <v>119</v>
      </c>
      <c r="B70" s="1">
        <v>454</v>
      </c>
      <c r="C70" s="1" t="s">
        <v>45</v>
      </c>
      <c r="D70" s="1" t="s">
        <v>45</v>
      </c>
      <c r="E70" s="1" t="s">
        <v>88</v>
      </c>
      <c r="F70" s="26" t="s">
        <v>120</v>
      </c>
      <c r="G70" s="39"/>
    </row>
    <row r="71" spans="1:7" ht="15.75" thickBot="1" x14ac:dyDescent="0.3">
      <c r="A71" s="18" t="s">
        <v>121</v>
      </c>
      <c r="B71" s="1">
        <v>455</v>
      </c>
      <c r="C71" s="1" t="s">
        <v>45</v>
      </c>
      <c r="D71" s="1" t="s">
        <v>45</v>
      </c>
      <c r="E71" s="1" t="s">
        <v>118</v>
      </c>
      <c r="F71" s="26"/>
      <c r="G71" s="39"/>
    </row>
    <row r="72" spans="1:7" ht="15.75" thickBot="1" x14ac:dyDescent="0.3">
      <c r="A72" s="111" t="s">
        <v>122</v>
      </c>
      <c r="B72" s="113">
        <v>456</v>
      </c>
      <c r="C72" s="113" t="s">
        <v>45</v>
      </c>
      <c r="D72" s="113" t="s">
        <v>45</v>
      </c>
      <c r="E72" s="1" t="s">
        <v>123</v>
      </c>
      <c r="F72" s="120"/>
      <c r="G72" s="39"/>
    </row>
    <row r="73" spans="1:7" ht="15.75" thickBot="1" x14ac:dyDescent="0.3">
      <c r="A73" s="118"/>
      <c r="B73" s="119"/>
      <c r="C73" s="119"/>
      <c r="D73" s="119"/>
      <c r="E73" s="1" t="s">
        <v>124</v>
      </c>
      <c r="F73" s="121"/>
      <c r="G73" s="39"/>
    </row>
    <row r="74" spans="1:7" ht="15.75" thickBot="1" x14ac:dyDescent="0.3">
      <c r="A74" s="111" t="s">
        <v>125</v>
      </c>
      <c r="B74" s="113">
        <v>167</v>
      </c>
      <c r="C74" s="113" t="s">
        <v>45</v>
      </c>
      <c r="D74" s="113" t="s">
        <v>8</v>
      </c>
      <c r="E74" s="55" t="s">
        <v>126</v>
      </c>
      <c r="F74" s="56" t="s">
        <v>127</v>
      </c>
      <c r="G74" s="134" t="s">
        <v>685</v>
      </c>
    </row>
    <row r="75" spans="1:7" ht="15.75" thickBot="1" x14ac:dyDescent="0.3">
      <c r="A75" s="112"/>
      <c r="B75" s="114"/>
      <c r="C75" s="114"/>
      <c r="D75" s="114"/>
      <c r="E75" s="57" t="s">
        <v>128</v>
      </c>
      <c r="F75" s="56" t="s">
        <v>129</v>
      </c>
      <c r="G75" s="135"/>
    </row>
    <row r="76" spans="1:7" ht="15.75" thickBot="1" x14ac:dyDescent="0.3">
      <c r="A76" s="20" t="s">
        <v>130</v>
      </c>
      <c r="B76" s="7">
        <v>107</v>
      </c>
      <c r="C76" s="7" t="s">
        <v>45</v>
      </c>
      <c r="D76" s="7" t="s">
        <v>45</v>
      </c>
      <c r="E76" s="7"/>
      <c r="F76" s="29"/>
      <c r="G76" s="39"/>
    </row>
    <row r="77" spans="1:7" ht="15.75" thickBot="1" x14ac:dyDescent="0.3">
      <c r="A77" s="18" t="s">
        <v>131</v>
      </c>
      <c r="B77" s="1">
        <v>461</v>
      </c>
      <c r="C77" s="1" t="s">
        <v>45</v>
      </c>
      <c r="D77" s="1" t="s">
        <v>45</v>
      </c>
      <c r="E77" s="1"/>
      <c r="F77" s="26"/>
      <c r="G77" s="39"/>
    </row>
    <row r="78" spans="1:7" ht="15.75" thickBot="1" x14ac:dyDescent="0.3">
      <c r="A78" s="46" t="s">
        <v>132</v>
      </c>
      <c r="B78" s="42">
        <v>80</v>
      </c>
      <c r="C78" s="42" t="s">
        <v>8</v>
      </c>
      <c r="D78" s="42" t="s">
        <v>8</v>
      </c>
      <c r="E78" s="42" t="s">
        <v>133</v>
      </c>
      <c r="F78" s="43"/>
      <c r="G78" s="39"/>
    </row>
    <row r="79" spans="1:7" ht="15.75" thickBot="1" x14ac:dyDescent="0.3">
      <c r="A79" s="108" t="s">
        <v>134</v>
      </c>
      <c r="B79" s="115">
        <v>854</v>
      </c>
      <c r="C79" s="115" t="s">
        <v>45</v>
      </c>
      <c r="D79" s="115" t="s">
        <v>8</v>
      </c>
      <c r="E79" s="42" t="s">
        <v>135</v>
      </c>
      <c r="F79" s="141"/>
      <c r="G79" s="45"/>
    </row>
    <row r="80" spans="1:7" ht="15.75" thickBot="1" x14ac:dyDescent="0.3">
      <c r="A80" s="110"/>
      <c r="B80" s="117"/>
      <c r="C80" s="117"/>
      <c r="D80" s="117"/>
      <c r="E80" s="42" t="s">
        <v>136</v>
      </c>
      <c r="F80" s="142"/>
      <c r="G80" s="45"/>
    </row>
    <row r="81" spans="1:7" ht="15.75" thickBot="1" x14ac:dyDescent="0.3">
      <c r="A81" s="46" t="s">
        <v>137</v>
      </c>
      <c r="B81" s="42">
        <v>75</v>
      </c>
      <c r="C81" s="42" t="s">
        <v>8</v>
      </c>
      <c r="D81" s="42" t="s">
        <v>8</v>
      </c>
      <c r="E81" s="42" t="s">
        <v>138</v>
      </c>
      <c r="F81" s="43" t="s">
        <v>682</v>
      </c>
      <c r="G81" s="39"/>
    </row>
    <row r="82" spans="1:7" ht="15.75" thickBot="1" x14ac:dyDescent="0.3">
      <c r="A82" s="18" t="s">
        <v>139</v>
      </c>
      <c r="B82" s="1">
        <v>862</v>
      </c>
      <c r="C82" s="1" t="s">
        <v>8</v>
      </c>
      <c r="D82" s="1" t="s">
        <v>8</v>
      </c>
      <c r="E82" s="1" t="s">
        <v>140</v>
      </c>
      <c r="F82" s="26" t="s">
        <v>141</v>
      </c>
      <c r="G82" s="39"/>
    </row>
    <row r="83" spans="1:7" ht="15.75" thickBot="1" x14ac:dyDescent="0.3">
      <c r="A83" s="111" t="s">
        <v>142</v>
      </c>
      <c r="B83" s="113">
        <v>528</v>
      </c>
      <c r="C83" s="113" t="s">
        <v>8</v>
      </c>
      <c r="D83" s="113" t="s">
        <v>8</v>
      </c>
      <c r="E83" s="1" t="s">
        <v>143</v>
      </c>
      <c r="F83" s="120"/>
      <c r="G83" s="39"/>
    </row>
    <row r="84" spans="1:7" ht="15.75" thickBot="1" x14ac:dyDescent="0.3">
      <c r="A84" s="112"/>
      <c r="B84" s="114"/>
      <c r="C84" s="114"/>
      <c r="D84" s="114"/>
      <c r="E84" s="1" t="s">
        <v>144</v>
      </c>
      <c r="F84" s="140"/>
      <c r="G84" s="39"/>
    </row>
    <row r="85" spans="1:7" ht="15.75" thickBot="1" x14ac:dyDescent="0.3">
      <c r="A85" s="118"/>
      <c r="B85" s="119"/>
      <c r="C85" s="119"/>
      <c r="D85" s="119"/>
      <c r="E85" s="1" t="s">
        <v>145</v>
      </c>
      <c r="F85" s="121"/>
      <c r="G85" s="39"/>
    </row>
    <row r="86" spans="1:7" ht="29.25" thickBot="1" x14ac:dyDescent="0.3">
      <c r="A86" s="41" t="s">
        <v>146</v>
      </c>
      <c r="B86" s="42">
        <v>863</v>
      </c>
      <c r="C86" s="42" t="s">
        <v>8</v>
      </c>
      <c r="D86" s="42" t="s">
        <v>8</v>
      </c>
      <c r="E86" s="42" t="s">
        <v>147</v>
      </c>
      <c r="F86" s="43" t="s">
        <v>148</v>
      </c>
      <c r="G86" s="45"/>
    </row>
    <row r="87" spans="1:7" ht="15.75" thickBot="1" x14ac:dyDescent="0.3">
      <c r="A87" s="106" t="s">
        <v>149</v>
      </c>
      <c r="B87" s="107"/>
      <c r="C87" s="107"/>
      <c r="D87" s="107"/>
      <c r="E87" s="107"/>
      <c r="F87" s="107"/>
      <c r="G87" s="101"/>
    </row>
    <row r="88" spans="1:7" ht="29.25" thickBot="1" x14ac:dyDescent="0.3">
      <c r="A88" s="18" t="s">
        <v>150</v>
      </c>
      <c r="B88" s="1">
        <v>79</v>
      </c>
      <c r="C88" s="1" t="s">
        <v>8</v>
      </c>
      <c r="D88" s="1" t="s">
        <v>8</v>
      </c>
      <c r="E88" s="1" t="s">
        <v>151</v>
      </c>
      <c r="F88" s="26" t="s">
        <v>152</v>
      </c>
      <c r="G88" s="39"/>
    </row>
    <row r="89" spans="1:7" ht="15.75" thickBot="1" x14ac:dyDescent="0.3">
      <c r="A89" s="111" t="s">
        <v>153</v>
      </c>
      <c r="B89" s="113">
        <v>661</v>
      </c>
      <c r="C89" s="113" t="s">
        <v>45</v>
      </c>
      <c r="D89" s="113" t="s">
        <v>45</v>
      </c>
      <c r="E89" s="1" t="s">
        <v>154</v>
      </c>
      <c r="F89" s="120" t="s">
        <v>155</v>
      </c>
      <c r="G89" s="39"/>
    </row>
    <row r="90" spans="1:7" ht="15.75" thickBot="1" x14ac:dyDescent="0.3">
      <c r="A90" s="118"/>
      <c r="B90" s="119"/>
      <c r="C90" s="119"/>
      <c r="D90" s="119"/>
      <c r="E90" s="1" t="s">
        <v>156</v>
      </c>
      <c r="F90" s="121"/>
      <c r="G90" s="39"/>
    </row>
    <row r="91" spans="1:7" ht="15.75" thickBot="1" x14ac:dyDescent="0.3">
      <c r="A91" s="111" t="s">
        <v>157</v>
      </c>
      <c r="B91" s="113">
        <v>81</v>
      </c>
      <c r="C91" s="113" t="s">
        <v>45</v>
      </c>
      <c r="D91" s="113" t="s">
        <v>45</v>
      </c>
      <c r="E91" s="8" t="s">
        <v>158</v>
      </c>
      <c r="F91" s="120"/>
      <c r="G91" s="39"/>
    </row>
    <row r="92" spans="1:7" ht="15.75" thickBot="1" x14ac:dyDescent="0.3">
      <c r="A92" s="118"/>
      <c r="B92" s="119"/>
      <c r="C92" s="119"/>
      <c r="D92" s="119"/>
      <c r="E92" s="8" t="s">
        <v>159</v>
      </c>
      <c r="F92" s="121"/>
      <c r="G92" s="39"/>
    </row>
    <row r="93" spans="1:7" ht="29.25" thickBot="1" x14ac:dyDescent="0.3">
      <c r="A93" s="111" t="s">
        <v>160</v>
      </c>
      <c r="B93" s="113">
        <v>798</v>
      </c>
      <c r="C93" s="113" t="s">
        <v>45</v>
      </c>
      <c r="D93" s="113" t="s">
        <v>45</v>
      </c>
      <c r="E93" s="1" t="s">
        <v>161</v>
      </c>
      <c r="F93" s="120" t="s">
        <v>155</v>
      </c>
      <c r="G93" s="39"/>
    </row>
    <row r="94" spans="1:7" ht="29.25" thickBot="1" x14ac:dyDescent="0.3">
      <c r="A94" s="112"/>
      <c r="B94" s="114"/>
      <c r="C94" s="114"/>
      <c r="D94" s="114"/>
      <c r="E94" s="1" t="s">
        <v>162</v>
      </c>
      <c r="F94" s="140"/>
      <c r="G94" s="39"/>
    </row>
    <row r="95" spans="1:7" ht="15.75" thickBot="1" x14ac:dyDescent="0.3">
      <c r="A95" s="112"/>
      <c r="B95" s="114"/>
      <c r="C95" s="114"/>
      <c r="D95" s="114"/>
      <c r="E95" s="1" t="s">
        <v>163</v>
      </c>
      <c r="F95" s="140"/>
      <c r="G95" s="39"/>
    </row>
    <row r="96" spans="1:7" ht="15.75" thickBot="1" x14ac:dyDescent="0.3">
      <c r="A96" s="112"/>
      <c r="B96" s="114"/>
      <c r="C96" s="114"/>
      <c r="D96" s="114"/>
      <c r="E96" s="1" t="s">
        <v>164</v>
      </c>
      <c r="F96" s="140"/>
      <c r="G96" s="39"/>
    </row>
    <row r="97" spans="1:7" ht="43.5" thickBot="1" x14ac:dyDescent="0.3">
      <c r="A97" s="112"/>
      <c r="B97" s="114"/>
      <c r="C97" s="114"/>
      <c r="D97" s="114"/>
      <c r="E97" s="1" t="s">
        <v>165</v>
      </c>
      <c r="F97" s="140"/>
      <c r="G97" s="39"/>
    </row>
    <row r="98" spans="1:7" ht="29.25" thickBot="1" x14ac:dyDescent="0.3">
      <c r="A98" s="112"/>
      <c r="B98" s="114"/>
      <c r="C98" s="114"/>
      <c r="D98" s="114"/>
      <c r="E98" s="1" t="s">
        <v>166</v>
      </c>
      <c r="F98" s="140"/>
      <c r="G98" s="39"/>
    </row>
    <row r="99" spans="1:7" ht="15.75" thickBot="1" x14ac:dyDescent="0.3">
      <c r="A99" s="118"/>
      <c r="B99" s="119"/>
      <c r="C99" s="119"/>
      <c r="D99" s="119"/>
      <c r="E99" s="1" t="s">
        <v>167</v>
      </c>
      <c r="F99" s="121"/>
      <c r="G99" s="39"/>
    </row>
    <row r="100" spans="1:7" ht="15.75" thickBot="1" x14ac:dyDescent="0.3">
      <c r="A100" s="106" t="s">
        <v>168</v>
      </c>
      <c r="B100" s="107"/>
      <c r="C100" s="107"/>
      <c r="D100" s="107"/>
      <c r="E100" s="107"/>
      <c r="F100" s="107"/>
      <c r="G100" s="101"/>
    </row>
    <row r="101" spans="1:7" ht="29.25" thickBot="1" x14ac:dyDescent="0.3">
      <c r="A101" s="46" t="s">
        <v>169</v>
      </c>
      <c r="B101" s="42">
        <v>6</v>
      </c>
      <c r="C101" s="42" t="s">
        <v>8</v>
      </c>
      <c r="D101" s="42" t="s">
        <v>8</v>
      </c>
      <c r="E101" s="42" t="s">
        <v>170</v>
      </c>
      <c r="F101" s="43" t="s">
        <v>171</v>
      </c>
      <c r="G101" s="39"/>
    </row>
    <row r="102" spans="1:7" ht="15.75" thickBot="1" x14ac:dyDescent="0.3">
      <c r="A102" s="18" t="s">
        <v>172</v>
      </c>
      <c r="B102" s="1">
        <v>15</v>
      </c>
      <c r="C102" s="1" t="s">
        <v>45</v>
      </c>
      <c r="D102" s="1" t="s">
        <v>8</v>
      </c>
      <c r="E102" s="1" t="s">
        <v>173</v>
      </c>
      <c r="F102" s="26" t="s">
        <v>174</v>
      </c>
      <c r="G102" s="39"/>
    </row>
    <row r="103" spans="1:7" ht="15.75" thickBot="1" x14ac:dyDescent="0.3">
      <c r="A103" s="108" t="s">
        <v>175</v>
      </c>
      <c r="B103" s="115">
        <v>423</v>
      </c>
      <c r="C103" s="115" t="s">
        <v>45</v>
      </c>
      <c r="D103" s="115" t="s">
        <v>8</v>
      </c>
      <c r="E103" s="42" t="s">
        <v>176</v>
      </c>
      <c r="F103" s="141"/>
      <c r="G103" s="39"/>
    </row>
    <row r="104" spans="1:7" ht="15.75" thickBot="1" x14ac:dyDescent="0.3">
      <c r="A104" s="110"/>
      <c r="B104" s="117"/>
      <c r="C104" s="117"/>
      <c r="D104" s="117"/>
      <c r="E104" s="42" t="s">
        <v>177</v>
      </c>
      <c r="F104" s="142"/>
      <c r="G104" s="39"/>
    </row>
    <row r="105" spans="1:7" ht="15.75" thickBot="1" x14ac:dyDescent="0.3">
      <c r="A105" s="18" t="s">
        <v>178</v>
      </c>
      <c r="B105" s="1">
        <v>58</v>
      </c>
      <c r="C105" s="1" t="s">
        <v>33</v>
      </c>
      <c r="D105" s="1" t="s">
        <v>33</v>
      </c>
      <c r="E105" s="1"/>
      <c r="F105" s="26" t="s">
        <v>43</v>
      </c>
      <c r="G105" s="39"/>
    </row>
    <row r="106" spans="1:7" ht="29.25" thickBot="1" x14ac:dyDescent="0.3">
      <c r="A106" s="18" t="s">
        <v>179</v>
      </c>
      <c r="B106" s="1">
        <v>381</v>
      </c>
      <c r="C106" s="1" t="s">
        <v>8</v>
      </c>
      <c r="D106" s="1" t="s">
        <v>8</v>
      </c>
      <c r="E106" s="1" t="s">
        <v>180</v>
      </c>
      <c r="F106" s="26" t="s">
        <v>181</v>
      </c>
      <c r="G106" s="39"/>
    </row>
    <row r="107" spans="1:7" ht="29.25" thickBot="1" x14ac:dyDescent="0.3">
      <c r="A107" s="18" t="s">
        <v>182</v>
      </c>
      <c r="B107" s="1">
        <v>118</v>
      </c>
      <c r="C107" s="1" t="s">
        <v>8</v>
      </c>
      <c r="D107" s="1" t="s">
        <v>8</v>
      </c>
      <c r="E107" s="1" t="s">
        <v>183</v>
      </c>
      <c r="F107" s="26" t="s">
        <v>184</v>
      </c>
      <c r="G107" s="39"/>
    </row>
    <row r="108" spans="1:7" ht="15.75" thickBot="1" x14ac:dyDescent="0.3">
      <c r="A108" s="46" t="s">
        <v>185</v>
      </c>
      <c r="B108" s="42">
        <v>64</v>
      </c>
      <c r="C108" s="42" t="s">
        <v>45</v>
      </c>
      <c r="D108" s="42" t="s">
        <v>8</v>
      </c>
      <c r="E108" s="42" t="s">
        <v>138</v>
      </c>
      <c r="F108" s="49" t="s">
        <v>186</v>
      </c>
      <c r="G108" s="39"/>
    </row>
    <row r="109" spans="1:7" ht="29.25" thickBot="1" x14ac:dyDescent="0.3">
      <c r="A109" s="19" t="s">
        <v>187</v>
      </c>
      <c r="B109" s="1"/>
      <c r="C109" s="1"/>
      <c r="D109" s="1"/>
      <c r="E109" s="1"/>
      <c r="F109" s="26"/>
      <c r="G109" s="39"/>
    </row>
    <row r="110" spans="1:7" ht="15.75" thickBot="1" x14ac:dyDescent="0.3">
      <c r="A110" s="18" t="s">
        <v>188</v>
      </c>
      <c r="B110" s="1">
        <v>119</v>
      </c>
      <c r="C110" s="1" t="s">
        <v>45</v>
      </c>
      <c r="D110" s="1" t="s">
        <v>8</v>
      </c>
      <c r="E110" s="1" t="s">
        <v>189</v>
      </c>
      <c r="F110" s="26" t="s">
        <v>190</v>
      </c>
      <c r="G110" s="39"/>
    </row>
    <row r="111" spans="1:7" ht="15.75" thickBot="1" x14ac:dyDescent="0.3">
      <c r="A111" s="18" t="s">
        <v>191</v>
      </c>
      <c r="B111" s="1">
        <v>120</v>
      </c>
      <c r="C111" s="1" t="s">
        <v>45</v>
      </c>
      <c r="D111" s="1" t="s">
        <v>8</v>
      </c>
      <c r="E111" s="1" t="s">
        <v>192</v>
      </c>
      <c r="F111" s="26" t="s">
        <v>193</v>
      </c>
      <c r="G111" s="39"/>
    </row>
    <row r="112" spans="1:7" ht="29.25" thickBot="1" x14ac:dyDescent="0.3">
      <c r="A112" s="46" t="s">
        <v>194</v>
      </c>
      <c r="B112" s="42">
        <v>155</v>
      </c>
      <c r="C112" s="42" t="s">
        <v>45</v>
      </c>
      <c r="D112" s="42" t="s">
        <v>8</v>
      </c>
      <c r="E112" s="42" t="s">
        <v>195</v>
      </c>
      <c r="F112" s="43" t="s">
        <v>196</v>
      </c>
      <c r="G112" s="39"/>
    </row>
    <row r="113" spans="1:7" ht="15.75" thickBot="1" x14ac:dyDescent="0.3">
      <c r="A113" s="111" t="s">
        <v>197</v>
      </c>
      <c r="B113" s="113">
        <v>156</v>
      </c>
      <c r="C113" s="113" t="s">
        <v>45</v>
      </c>
      <c r="D113" s="113" t="s">
        <v>8</v>
      </c>
      <c r="E113" s="1" t="s">
        <v>198</v>
      </c>
      <c r="F113" s="120" t="s">
        <v>199</v>
      </c>
      <c r="G113" s="39"/>
    </row>
    <row r="114" spans="1:7" ht="15.75" thickBot="1" x14ac:dyDescent="0.3">
      <c r="A114" s="112"/>
      <c r="B114" s="114"/>
      <c r="C114" s="114"/>
      <c r="D114" s="114"/>
      <c r="E114" s="9" t="s">
        <v>200</v>
      </c>
      <c r="F114" s="140"/>
      <c r="G114" s="39"/>
    </row>
    <row r="115" spans="1:7" ht="15.75" thickBot="1" x14ac:dyDescent="0.3">
      <c r="A115" s="106" t="s">
        <v>201</v>
      </c>
      <c r="B115" s="107"/>
      <c r="C115" s="107"/>
      <c r="D115" s="107"/>
      <c r="E115" s="107"/>
      <c r="F115" s="107" t="s">
        <v>202</v>
      </c>
      <c r="G115" s="101"/>
    </row>
    <row r="116" spans="1:7" ht="15.75" thickBot="1" x14ac:dyDescent="0.3">
      <c r="A116" s="46" t="s">
        <v>203</v>
      </c>
      <c r="B116" s="42">
        <v>159</v>
      </c>
      <c r="C116" s="42" t="s">
        <v>45</v>
      </c>
      <c r="D116" s="42" t="s">
        <v>52</v>
      </c>
      <c r="E116" s="42" t="s">
        <v>183</v>
      </c>
      <c r="F116" s="43" t="s">
        <v>204</v>
      </c>
      <c r="G116" s="39"/>
    </row>
    <row r="117" spans="1:7" ht="29.25" thickBot="1" x14ac:dyDescent="0.3">
      <c r="A117" s="46" t="s">
        <v>205</v>
      </c>
      <c r="B117" s="47">
        <v>157</v>
      </c>
      <c r="C117" s="47" t="s">
        <v>45</v>
      </c>
      <c r="D117" s="47" t="s">
        <v>52</v>
      </c>
      <c r="E117" s="47" t="s">
        <v>206</v>
      </c>
      <c r="F117" s="61"/>
      <c r="G117" s="39"/>
    </row>
    <row r="118" spans="1:7" ht="15.75" thickBot="1" x14ac:dyDescent="0.3">
      <c r="A118" s="46" t="s">
        <v>207</v>
      </c>
      <c r="B118" s="42">
        <v>223</v>
      </c>
      <c r="C118" s="42" t="s">
        <v>45</v>
      </c>
      <c r="D118" s="42" t="s">
        <v>52</v>
      </c>
      <c r="E118" s="42" t="s">
        <v>208</v>
      </c>
      <c r="F118" s="43"/>
      <c r="G118" s="39"/>
    </row>
    <row r="119" spans="1:7" ht="15.75" thickBot="1" x14ac:dyDescent="0.3">
      <c r="A119" s="18" t="s">
        <v>209</v>
      </c>
      <c r="B119" s="1">
        <v>228</v>
      </c>
      <c r="C119" s="1" t="s">
        <v>45</v>
      </c>
      <c r="D119" s="4" t="s">
        <v>52</v>
      </c>
      <c r="E119" s="1" t="s">
        <v>210</v>
      </c>
      <c r="F119" s="26" t="s">
        <v>211</v>
      </c>
      <c r="G119" s="39"/>
    </row>
    <row r="120" spans="1:7" ht="15.75" thickBot="1" x14ac:dyDescent="0.3">
      <c r="A120" s="106" t="s">
        <v>212</v>
      </c>
      <c r="B120" s="107"/>
      <c r="C120" s="107"/>
      <c r="D120" s="107"/>
      <c r="E120" s="107"/>
      <c r="F120" s="107"/>
      <c r="G120" s="101"/>
    </row>
    <row r="121" spans="1:7" ht="15.75" thickBot="1" x14ac:dyDescent="0.3">
      <c r="A121" s="46" t="s">
        <v>213</v>
      </c>
      <c r="B121" s="42">
        <v>12</v>
      </c>
      <c r="C121" s="42" t="s">
        <v>45</v>
      </c>
      <c r="D121" s="42" t="s">
        <v>52</v>
      </c>
      <c r="E121" s="42" t="s">
        <v>214</v>
      </c>
      <c r="F121" s="43" t="s">
        <v>215</v>
      </c>
      <c r="G121" s="39"/>
    </row>
    <row r="122" spans="1:7" ht="15.75" thickBot="1" x14ac:dyDescent="0.3">
      <c r="A122" s="18" t="s">
        <v>216</v>
      </c>
      <c r="B122" s="1">
        <v>13</v>
      </c>
      <c r="C122" s="1" t="s">
        <v>45</v>
      </c>
      <c r="D122" s="1" t="s">
        <v>52</v>
      </c>
      <c r="E122" s="1" t="s">
        <v>217</v>
      </c>
      <c r="F122" s="26"/>
      <c r="G122" s="39"/>
    </row>
    <row r="123" spans="1:7" ht="15.75" thickBot="1" x14ac:dyDescent="0.3">
      <c r="A123" s="19" t="s">
        <v>218</v>
      </c>
      <c r="B123" s="1"/>
      <c r="C123" s="1"/>
      <c r="D123" s="1"/>
      <c r="E123" s="1"/>
      <c r="F123" s="26"/>
      <c r="G123" s="39"/>
    </row>
    <row r="124" spans="1:7" ht="29.25" thickBot="1" x14ac:dyDescent="0.3">
      <c r="A124" s="18" t="s">
        <v>219</v>
      </c>
      <c r="B124" s="1">
        <v>136</v>
      </c>
      <c r="C124" s="1" t="s">
        <v>45</v>
      </c>
      <c r="D124" s="1" t="s">
        <v>52</v>
      </c>
      <c r="E124" s="1" t="s">
        <v>220</v>
      </c>
      <c r="F124" s="26"/>
      <c r="G124" s="39"/>
    </row>
    <row r="125" spans="1:7" ht="15.75" thickBot="1" x14ac:dyDescent="0.3">
      <c r="A125" s="18" t="s">
        <v>221</v>
      </c>
      <c r="B125" s="1">
        <v>137</v>
      </c>
      <c r="C125" s="1" t="s">
        <v>45</v>
      </c>
      <c r="D125" s="1" t="s">
        <v>222</v>
      </c>
      <c r="E125" s="1" t="s">
        <v>214</v>
      </c>
      <c r="F125" s="26"/>
      <c r="G125" s="39"/>
    </row>
    <row r="126" spans="1:7" ht="15.75" thickBot="1" x14ac:dyDescent="0.3">
      <c r="A126" s="111" t="s">
        <v>223</v>
      </c>
      <c r="B126" s="113">
        <v>138</v>
      </c>
      <c r="C126" s="113" t="s">
        <v>45</v>
      </c>
      <c r="D126" s="113" t="s">
        <v>224</v>
      </c>
      <c r="E126" s="1" t="s">
        <v>225</v>
      </c>
      <c r="F126" s="120"/>
      <c r="G126" s="39"/>
    </row>
    <row r="127" spans="1:7" ht="57.75" thickBot="1" x14ac:dyDescent="0.3">
      <c r="A127" s="118"/>
      <c r="B127" s="119"/>
      <c r="C127" s="119"/>
      <c r="D127" s="119"/>
      <c r="E127" s="1" t="s">
        <v>226</v>
      </c>
      <c r="F127" s="121"/>
      <c r="G127" s="39"/>
    </row>
    <row r="128" spans="1:7" ht="15.75" thickBot="1" x14ac:dyDescent="0.3">
      <c r="A128" s="122" t="s">
        <v>227</v>
      </c>
      <c r="B128" s="125">
        <v>139</v>
      </c>
      <c r="C128" s="125" t="s">
        <v>45</v>
      </c>
      <c r="D128" s="125" t="s">
        <v>224</v>
      </c>
      <c r="E128" s="55" t="s">
        <v>228</v>
      </c>
      <c r="F128" s="128"/>
      <c r="G128" s="39"/>
    </row>
    <row r="129" spans="1:7" ht="15.75" thickBot="1" x14ac:dyDescent="0.3">
      <c r="A129" s="123"/>
      <c r="B129" s="126"/>
      <c r="C129" s="126"/>
      <c r="D129" s="126"/>
      <c r="E129" s="55" t="s">
        <v>229</v>
      </c>
      <c r="F129" s="129"/>
      <c r="G129" s="39"/>
    </row>
    <row r="130" spans="1:7" ht="15.75" thickBot="1" x14ac:dyDescent="0.3">
      <c r="A130" s="123"/>
      <c r="B130" s="126"/>
      <c r="C130" s="126"/>
      <c r="D130" s="126"/>
      <c r="E130" s="55" t="s">
        <v>230</v>
      </c>
      <c r="F130" s="130"/>
      <c r="G130" s="39"/>
    </row>
    <row r="131" spans="1:7" ht="15.75" thickBot="1" x14ac:dyDescent="0.3">
      <c r="A131" s="123"/>
      <c r="B131" s="126"/>
      <c r="C131" s="126"/>
      <c r="D131" s="126"/>
      <c r="E131" s="55" t="s">
        <v>231</v>
      </c>
      <c r="F131" s="130"/>
      <c r="G131" s="39"/>
    </row>
    <row r="132" spans="1:7" ht="15.75" thickBot="1" x14ac:dyDescent="0.3">
      <c r="A132" s="123"/>
      <c r="B132" s="126"/>
      <c r="C132" s="126"/>
      <c r="D132" s="126"/>
      <c r="E132" s="55" t="s">
        <v>232</v>
      </c>
      <c r="F132" s="130"/>
      <c r="G132" s="39"/>
    </row>
    <row r="133" spans="1:7" ht="15.75" thickBot="1" x14ac:dyDescent="0.3">
      <c r="A133" s="123"/>
      <c r="B133" s="126"/>
      <c r="C133" s="126"/>
      <c r="D133" s="126"/>
      <c r="E133" s="55" t="s">
        <v>233</v>
      </c>
      <c r="F133" s="130"/>
      <c r="G133" s="39"/>
    </row>
    <row r="134" spans="1:7" ht="15.75" thickBot="1" x14ac:dyDescent="0.3">
      <c r="A134" s="123"/>
      <c r="B134" s="126"/>
      <c r="C134" s="126"/>
      <c r="D134" s="126"/>
      <c r="E134" s="55" t="s">
        <v>234</v>
      </c>
      <c r="F134" s="130"/>
      <c r="G134" s="39"/>
    </row>
    <row r="135" spans="1:7" ht="15.75" thickBot="1" x14ac:dyDescent="0.3">
      <c r="A135" s="123"/>
      <c r="B135" s="126"/>
      <c r="C135" s="126"/>
      <c r="D135" s="126"/>
      <c r="E135" s="55" t="s">
        <v>235</v>
      </c>
      <c r="F135" s="130"/>
      <c r="G135" s="39"/>
    </row>
    <row r="136" spans="1:7" ht="15.75" thickBot="1" x14ac:dyDescent="0.3">
      <c r="A136" s="124"/>
      <c r="B136" s="127"/>
      <c r="C136" s="127"/>
      <c r="D136" s="127"/>
      <c r="E136" s="55" t="s">
        <v>236</v>
      </c>
      <c r="F136" s="131"/>
      <c r="G136" s="39"/>
    </row>
    <row r="137" spans="1:7" ht="15.75" thickBot="1" x14ac:dyDescent="0.3">
      <c r="A137" s="18" t="s">
        <v>237</v>
      </c>
      <c r="B137" s="1">
        <v>891</v>
      </c>
      <c r="C137" s="1" t="s">
        <v>45</v>
      </c>
      <c r="D137" s="1" t="s">
        <v>224</v>
      </c>
      <c r="E137" s="1" t="s">
        <v>238</v>
      </c>
      <c r="F137" s="26"/>
      <c r="G137" s="39"/>
    </row>
    <row r="138" spans="1:7" ht="29.25" thickBot="1" x14ac:dyDescent="0.3">
      <c r="A138" s="21" t="s">
        <v>239</v>
      </c>
      <c r="B138" s="9" t="s">
        <v>240</v>
      </c>
      <c r="C138" s="9" t="s">
        <v>45</v>
      </c>
      <c r="D138" s="9" t="s">
        <v>224</v>
      </c>
      <c r="E138" s="6" t="s">
        <v>241</v>
      </c>
      <c r="F138" s="30" t="s">
        <v>242</v>
      </c>
      <c r="G138" s="39"/>
    </row>
    <row r="139" spans="1:7" ht="29.25" thickBot="1" x14ac:dyDescent="0.3">
      <c r="A139" s="20" t="s">
        <v>243</v>
      </c>
      <c r="B139" s="4" t="s">
        <v>244</v>
      </c>
      <c r="C139" s="4" t="s">
        <v>45</v>
      </c>
      <c r="D139" s="4" t="s">
        <v>224</v>
      </c>
      <c r="E139" s="5" t="s">
        <v>245</v>
      </c>
      <c r="F139" s="31" t="s">
        <v>246</v>
      </c>
      <c r="G139" s="39"/>
    </row>
    <row r="140" spans="1:7" ht="15.75" thickBot="1" x14ac:dyDescent="0.3">
      <c r="A140" s="106" t="s">
        <v>247</v>
      </c>
      <c r="B140" s="107"/>
      <c r="C140" s="107"/>
      <c r="D140" s="107"/>
      <c r="E140" s="107"/>
      <c r="F140" s="107"/>
      <c r="G140" s="101"/>
    </row>
    <row r="141" spans="1:7" ht="29.25" thickBot="1" x14ac:dyDescent="0.3">
      <c r="A141" s="18" t="s">
        <v>248</v>
      </c>
      <c r="B141" s="1">
        <v>85</v>
      </c>
      <c r="C141" s="1" t="s">
        <v>45</v>
      </c>
      <c r="D141" s="1" t="s">
        <v>8</v>
      </c>
      <c r="E141" s="1" t="s">
        <v>249</v>
      </c>
      <c r="F141" s="26" t="s">
        <v>250</v>
      </c>
      <c r="G141" s="39"/>
    </row>
    <row r="142" spans="1:7" ht="15.75" thickBot="1" x14ac:dyDescent="0.3">
      <c r="A142" s="111" t="s">
        <v>251</v>
      </c>
      <c r="B142" s="113">
        <v>165</v>
      </c>
      <c r="C142" s="113" t="s">
        <v>45</v>
      </c>
      <c r="D142" s="113" t="s">
        <v>8</v>
      </c>
      <c r="E142" s="8" t="s">
        <v>252</v>
      </c>
      <c r="F142" s="120" t="s">
        <v>253</v>
      </c>
      <c r="G142" s="39"/>
    </row>
    <row r="143" spans="1:7" ht="15.75" thickBot="1" x14ac:dyDescent="0.3">
      <c r="A143" s="112"/>
      <c r="B143" s="114"/>
      <c r="C143" s="114"/>
      <c r="D143" s="114"/>
      <c r="E143" s="8" t="s">
        <v>254</v>
      </c>
      <c r="F143" s="140"/>
      <c r="G143" s="39"/>
    </row>
    <row r="144" spans="1:7" ht="15.75" thickBot="1" x14ac:dyDescent="0.3">
      <c r="A144" s="111" t="s">
        <v>255</v>
      </c>
      <c r="B144" s="113">
        <v>787</v>
      </c>
      <c r="C144" s="113" t="s">
        <v>45</v>
      </c>
      <c r="D144" s="113" t="s">
        <v>8</v>
      </c>
      <c r="E144" s="1" t="s">
        <v>256</v>
      </c>
      <c r="F144" s="120" t="s">
        <v>257</v>
      </c>
      <c r="G144" s="39"/>
    </row>
    <row r="145" spans="1:7" ht="15.75" thickBot="1" x14ac:dyDescent="0.3">
      <c r="A145" s="118"/>
      <c r="B145" s="119"/>
      <c r="C145" s="119"/>
      <c r="D145" s="119"/>
      <c r="E145" s="1" t="s">
        <v>258</v>
      </c>
      <c r="F145" s="121"/>
      <c r="G145" s="39"/>
    </row>
    <row r="146" spans="1:7" ht="129" thickBot="1" x14ac:dyDescent="0.3">
      <c r="A146" s="21" t="s">
        <v>259</v>
      </c>
      <c r="B146" s="9">
        <v>781</v>
      </c>
      <c r="C146" s="9" t="s">
        <v>45</v>
      </c>
      <c r="D146" s="9" t="s">
        <v>8</v>
      </c>
      <c r="E146" s="6" t="s">
        <v>260</v>
      </c>
      <c r="F146" s="30" t="s">
        <v>261</v>
      </c>
      <c r="G146" s="39"/>
    </row>
    <row r="147" spans="1:7" ht="15.75" thickBot="1" x14ac:dyDescent="0.3">
      <c r="A147" s="106" t="s">
        <v>262</v>
      </c>
      <c r="B147" s="107"/>
      <c r="C147" s="107"/>
      <c r="D147" s="107"/>
      <c r="E147" s="107"/>
      <c r="F147" s="107"/>
      <c r="G147" s="101"/>
    </row>
    <row r="148" spans="1:7" ht="15.75" thickBot="1" x14ac:dyDescent="0.3">
      <c r="A148" s="90" t="s">
        <v>74</v>
      </c>
      <c r="B148" s="91">
        <v>782</v>
      </c>
      <c r="C148" s="91" t="s">
        <v>45</v>
      </c>
      <c r="D148" s="91" t="s">
        <v>8</v>
      </c>
      <c r="E148" s="91" t="s">
        <v>81</v>
      </c>
      <c r="F148" s="92" t="s">
        <v>263</v>
      </c>
      <c r="G148" s="45"/>
    </row>
    <row r="149" spans="1:7" ht="15.75" thickBot="1" x14ac:dyDescent="0.3">
      <c r="A149" s="20" t="s">
        <v>76</v>
      </c>
      <c r="B149" s="4">
        <v>783</v>
      </c>
      <c r="C149" s="4" t="s">
        <v>45</v>
      </c>
      <c r="D149" s="4" t="s">
        <v>8</v>
      </c>
      <c r="E149" s="4" t="s">
        <v>264</v>
      </c>
      <c r="F149" s="31"/>
      <c r="G149" s="39"/>
    </row>
    <row r="150" spans="1:7" ht="29.25" thickBot="1" x14ac:dyDescent="0.3">
      <c r="A150" s="20" t="s">
        <v>77</v>
      </c>
      <c r="B150" s="4">
        <v>784</v>
      </c>
      <c r="C150" s="4" t="s">
        <v>45</v>
      </c>
      <c r="D150" s="4" t="s">
        <v>8</v>
      </c>
      <c r="E150" s="5" t="s">
        <v>265</v>
      </c>
      <c r="F150" s="31"/>
      <c r="G150" s="39"/>
    </row>
    <row r="151" spans="1:7" ht="15.75" thickBot="1" x14ac:dyDescent="0.3">
      <c r="A151" s="106" t="s">
        <v>266</v>
      </c>
      <c r="B151" s="107"/>
      <c r="C151" s="107"/>
      <c r="D151" s="107"/>
      <c r="E151" s="107"/>
      <c r="F151" s="107"/>
      <c r="G151" s="101"/>
    </row>
    <row r="152" spans="1:7" ht="15.75" thickBot="1" x14ac:dyDescent="0.3">
      <c r="A152" s="59" t="s">
        <v>74</v>
      </c>
      <c r="B152" s="60">
        <v>782</v>
      </c>
      <c r="C152" s="60" t="s">
        <v>45</v>
      </c>
      <c r="D152" s="60" t="s">
        <v>8</v>
      </c>
      <c r="E152" s="60" t="s">
        <v>267</v>
      </c>
      <c r="F152" s="92"/>
      <c r="G152" s="45"/>
    </row>
    <row r="153" spans="1:7" ht="15.75" thickBot="1" x14ac:dyDescent="0.3">
      <c r="A153" s="111" t="s">
        <v>76</v>
      </c>
      <c r="B153" s="113">
        <v>783</v>
      </c>
      <c r="C153" s="113" t="s">
        <v>45</v>
      </c>
      <c r="D153" s="113" t="s">
        <v>8</v>
      </c>
      <c r="E153" s="4" t="s">
        <v>264</v>
      </c>
      <c r="F153" s="31" t="s">
        <v>268</v>
      </c>
      <c r="G153" s="39"/>
    </row>
    <row r="154" spans="1:7" ht="29.25" thickBot="1" x14ac:dyDescent="0.3">
      <c r="A154" s="112"/>
      <c r="B154" s="114"/>
      <c r="C154" s="114"/>
      <c r="D154" s="114"/>
      <c r="E154" s="4" t="s">
        <v>269</v>
      </c>
      <c r="F154" s="31" t="s">
        <v>270</v>
      </c>
      <c r="G154" s="39"/>
    </row>
    <row r="155" spans="1:7" ht="43.5" thickBot="1" x14ac:dyDescent="0.3">
      <c r="A155" s="112"/>
      <c r="B155" s="114"/>
      <c r="C155" s="114"/>
      <c r="D155" s="114"/>
      <c r="E155" s="4" t="s">
        <v>271</v>
      </c>
      <c r="F155" s="31" t="s">
        <v>272</v>
      </c>
      <c r="G155" s="39"/>
    </row>
    <row r="156" spans="1:7" ht="43.5" thickBot="1" x14ac:dyDescent="0.3">
      <c r="A156" s="21" t="s">
        <v>77</v>
      </c>
      <c r="B156" s="9">
        <v>784</v>
      </c>
      <c r="C156" s="9" t="s">
        <v>45</v>
      </c>
      <c r="D156" s="9" t="s">
        <v>8</v>
      </c>
      <c r="E156" s="6" t="s">
        <v>273</v>
      </c>
      <c r="F156" s="30" t="s">
        <v>274</v>
      </c>
      <c r="G156" s="39"/>
    </row>
    <row r="157" spans="1:7" ht="29.25" thickBot="1" x14ac:dyDescent="0.3">
      <c r="A157" s="20" t="s">
        <v>275</v>
      </c>
      <c r="B157" s="4">
        <v>801</v>
      </c>
      <c r="C157" s="4" t="s">
        <v>45</v>
      </c>
      <c r="D157" s="4" t="s">
        <v>52</v>
      </c>
      <c r="E157" s="4"/>
      <c r="F157" s="31" t="s">
        <v>276</v>
      </c>
      <c r="G157" s="39"/>
    </row>
    <row r="158" spans="1:7" x14ac:dyDescent="0.25">
      <c r="A158" s="111" t="s">
        <v>277</v>
      </c>
      <c r="B158" s="113">
        <v>785</v>
      </c>
      <c r="C158" s="113" t="s">
        <v>45</v>
      </c>
      <c r="D158" s="113" t="s">
        <v>278</v>
      </c>
      <c r="E158" s="113" t="s">
        <v>279</v>
      </c>
      <c r="F158" s="32"/>
      <c r="G158" s="39"/>
    </row>
    <row r="159" spans="1:7" x14ac:dyDescent="0.25">
      <c r="A159" s="112"/>
      <c r="B159" s="114"/>
      <c r="C159" s="114"/>
      <c r="D159" s="114"/>
      <c r="E159" s="114"/>
      <c r="F159" s="32"/>
      <c r="G159" s="39"/>
    </row>
    <row r="160" spans="1:7" x14ac:dyDescent="0.25">
      <c r="A160" s="112"/>
      <c r="B160" s="114"/>
      <c r="C160" s="114"/>
      <c r="D160" s="114"/>
      <c r="E160" s="114"/>
      <c r="F160" s="33"/>
      <c r="G160" s="39"/>
    </row>
    <row r="161" spans="1:7" ht="15.75" thickBot="1" x14ac:dyDescent="0.3">
      <c r="A161" s="118"/>
      <c r="B161" s="119"/>
      <c r="C161" s="119"/>
      <c r="D161" s="119"/>
      <c r="E161" s="119"/>
      <c r="F161" s="26"/>
      <c r="G161" s="39"/>
    </row>
    <row r="162" spans="1:7" ht="15.75" thickBot="1" x14ac:dyDescent="0.3">
      <c r="A162" s="18" t="s">
        <v>280</v>
      </c>
      <c r="B162" s="1">
        <v>786</v>
      </c>
      <c r="C162" s="1" t="s">
        <v>45</v>
      </c>
      <c r="D162" s="1" t="s">
        <v>278</v>
      </c>
      <c r="E162" s="8" t="s">
        <v>281</v>
      </c>
      <c r="F162" s="26"/>
      <c r="G162" s="39"/>
    </row>
    <row r="163" spans="1:7" ht="15.75" thickBot="1" x14ac:dyDescent="0.3">
      <c r="A163" s="106" t="s">
        <v>282</v>
      </c>
      <c r="B163" s="107"/>
      <c r="C163" s="107"/>
      <c r="D163" s="107"/>
      <c r="E163" s="107"/>
      <c r="F163" s="107"/>
      <c r="G163" s="101"/>
    </row>
    <row r="164" spans="1:7" ht="15.75" thickBot="1" x14ac:dyDescent="0.3">
      <c r="A164" s="18" t="s">
        <v>74</v>
      </c>
      <c r="B164" s="1">
        <v>782</v>
      </c>
      <c r="C164" s="1" t="s">
        <v>45</v>
      </c>
      <c r="D164" s="1" t="s">
        <v>8</v>
      </c>
      <c r="E164" s="1" t="s">
        <v>267</v>
      </c>
      <c r="F164" s="26"/>
      <c r="G164" s="39"/>
    </row>
    <row r="165" spans="1:7" ht="15.75" thickBot="1" x14ac:dyDescent="0.3">
      <c r="A165" s="111" t="s">
        <v>76</v>
      </c>
      <c r="B165" s="113">
        <v>783</v>
      </c>
      <c r="C165" s="113" t="s">
        <v>45</v>
      </c>
      <c r="D165" s="113" t="s">
        <v>8</v>
      </c>
      <c r="E165" s="1" t="s">
        <v>264</v>
      </c>
      <c r="F165" s="120"/>
      <c r="G165" s="39"/>
    </row>
    <row r="166" spans="1:7" ht="15.75" thickBot="1" x14ac:dyDescent="0.3">
      <c r="A166" s="112"/>
      <c r="B166" s="114"/>
      <c r="C166" s="114"/>
      <c r="D166" s="114"/>
      <c r="E166" s="1" t="s">
        <v>269</v>
      </c>
      <c r="F166" s="140"/>
      <c r="G166" s="39"/>
    </row>
    <row r="167" spans="1:7" ht="15.75" thickBot="1" x14ac:dyDescent="0.3">
      <c r="A167" s="118"/>
      <c r="B167" s="119"/>
      <c r="C167" s="119"/>
      <c r="D167" s="119"/>
      <c r="E167" s="1" t="s">
        <v>283</v>
      </c>
      <c r="F167" s="121"/>
      <c r="G167" s="39"/>
    </row>
    <row r="168" spans="1:7" ht="29.25" thickBot="1" x14ac:dyDescent="0.3">
      <c r="A168" s="18" t="s">
        <v>77</v>
      </c>
      <c r="B168" s="1">
        <v>784</v>
      </c>
      <c r="C168" s="1" t="s">
        <v>45</v>
      </c>
      <c r="D168" s="1" t="s">
        <v>8</v>
      </c>
      <c r="E168" s="1" t="s">
        <v>284</v>
      </c>
      <c r="F168" s="26"/>
      <c r="G168" s="39"/>
    </row>
    <row r="169" spans="1:7" ht="15.75" thickBot="1" x14ac:dyDescent="0.3">
      <c r="A169" s="18" t="s">
        <v>275</v>
      </c>
      <c r="B169" s="1">
        <v>801</v>
      </c>
      <c r="C169" s="1" t="s">
        <v>45</v>
      </c>
      <c r="D169" s="1" t="s">
        <v>52</v>
      </c>
      <c r="E169" s="1"/>
      <c r="F169" s="26" t="s">
        <v>285</v>
      </c>
      <c r="G169" s="39"/>
    </row>
    <row r="170" spans="1:7" ht="15.75" thickBot="1" x14ac:dyDescent="0.3">
      <c r="A170" s="18" t="s">
        <v>277</v>
      </c>
      <c r="B170" s="1">
        <v>785</v>
      </c>
      <c r="C170" s="1" t="s">
        <v>45</v>
      </c>
      <c r="D170" s="1" t="s">
        <v>278</v>
      </c>
      <c r="E170" s="1" t="s">
        <v>286</v>
      </c>
      <c r="F170" s="26"/>
      <c r="G170" s="39"/>
    </row>
    <row r="171" spans="1:7" ht="15.75" thickBot="1" x14ac:dyDescent="0.3">
      <c r="A171" s="18" t="s">
        <v>280</v>
      </c>
      <c r="B171" s="1">
        <v>786</v>
      </c>
      <c r="C171" s="1" t="s">
        <v>45</v>
      </c>
      <c r="D171" s="1" t="s">
        <v>278</v>
      </c>
      <c r="E171" s="1" t="s">
        <v>287</v>
      </c>
      <c r="F171" s="26"/>
      <c r="G171" s="39"/>
    </row>
    <row r="172" spans="1:7" ht="15.75" thickBot="1" x14ac:dyDescent="0.3">
      <c r="A172" s="106" t="s">
        <v>288</v>
      </c>
      <c r="B172" s="107"/>
      <c r="C172" s="107"/>
      <c r="D172" s="107"/>
      <c r="E172" s="107"/>
      <c r="F172" s="107"/>
      <c r="G172" s="101"/>
    </row>
    <row r="173" spans="1:7" x14ac:dyDescent="0.25">
      <c r="A173" s="108" t="s">
        <v>74</v>
      </c>
      <c r="B173" s="115">
        <v>782</v>
      </c>
      <c r="C173" s="115" t="s">
        <v>45</v>
      </c>
      <c r="D173" s="115" t="s">
        <v>52</v>
      </c>
      <c r="E173" s="115" t="s">
        <v>267</v>
      </c>
      <c r="F173" s="93" t="s">
        <v>289</v>
      </c>
      <c r="G173" s="45"/>
    </row>
    <row r="174" spans="1:7" x14ac:dyDescent="0.25">
      <c r="A174" s="109"/>
      <c r="B174" s="116"/>
      <c r="C174" s="116"/>
      <c r="D174" s="116"/>
      <c r="E174" s="116"/>
      <c r="F174" s="93"/>
      <c r="G174" s="45"/>
    </row>
    <row r="175" spans="1:7" x14ac:dyDescent="0.25">
      <c r="A175" s="109"/>
      <c r="B175" s="116"/>
      <c r="C175" s="116"/>
      <c r="D175" s="116"/>
      <c r="E175" s="116"/>
      <c r="F175" s="94"/>
      <c r="G175" s="45"/>
    </row>
    <row r="176" spans="1:7" ht="15.75" thickBot="1" x14ac:dyDescent="0.3">
      <c r="A176" s="110"/>
      <c r="B176" s="117"/>
      <c r="C176" s="117"/>
      <c r="D176" s="117"/>
      <c r="E176" s="117"/>
      <c r="F176" s="43"/>
      <c r="G176" s="45"/>
    </row>
    <row r="177" spans="1:7" ht="15.75" thickBot="1" x14ac:dyDescent="0.3">
      <c r="A177" s="111" t="s">
        <v>76</v>
      </c>
      <c r="B177" s="113">
        <v>783</v>
      </c>
      <c r="C177" s="113" t="s">
        <v>45</v>
      </c>
      <c r="D177" s="113" t="s">
        <v>52</v>
      </c>
      <c r="E177" s="1" t="s">
        <v>264</v>
      </c>
      <c r="F177" s="32"/>
      <c r="G177" s="39"/>
    </row>
    <row r="178" spans="1:7" ht="15.75" thickBot="1" x14ac:dyDescent="0.3">
      <c r="A178" s="112"/>
      <c r="B178" s="114"/>
      <c r="C178" s="114"/>
      <c r="D178" s="114"/>
      <c r="E178" s="1" t="s">
        <v>269</v>
      </c>
      <c r="F178" s="33"/>
      <c r="G178" s="39"/>
    </row>
    <row r="179" spans="1:7" ht="15.75" thickBot="1" x14ac:dyDescent="0.3">
      <c r="A179" s="118"/>
      <c r="B179" s="119"/>
      <c r="C179" s="119"/>
      <c r="D179" s="119"/>
      <c r="E179" s="1" t="s">
        <v>283</v>
      </c>
      <c r="F179" s="26"/>
      <c r="G179" s="39"/>
    </row>
    <row r="180" spans="1:7" ht="29.25" thickBot="1" x14ac:dyDescent="0.3">
      <c r="A180" s="18" t="s">
        <v>77</v>
      </c>
      <c r="B180" s="1">
        <v>784</v>
      </c>
      <c r="C180" s="1" t="s">
        <v>45</v>
      </c>
      <c r="D180" s="1" t="s">
        <v>52</v>
      </c>
      <c r="E180" s="1" t="s">
        <v>290</v>
      </c>
      <c r="F180" s="26"/>
      <c r="G180" s="39"/>
    </row>
    <row r="181" spans="1:7" ht="29.25" thickBot="1" x14ac:dyDescent="0.3">
      <c r="A181" s="21" t="s">
        <v>275</v>
      </c>
      <c r="B181" s="9">
        <v>801</v>
      </c>
      <c r="C181" s="9" t="s">
        <v>45</v>
      </c>
      <c r="D181" s="9" t="s">
        <v>52</v>
      </c>
      <c r="E181" s="22"/>
      <c r="F181" s="34" t="s">
        <v>276</v>
      </c>
      <c r="G181" s="39"/>
    </row>
    <row r="182" spans="1:7" x14ac:dyDescent="0.25">
      <c r="A182" s="111" t="s">
        <v>277</v>
      </c>
      <c r="B182" s="113">
        <v>785</v>
      </c>
      <c r="C182" s="113" t="s">
        <v>45</v>
      </c>
      <c r="D182" s="113" t="s">
        <v>278</v>
      </c>
      <c r="E182" s="113" t="s">
        <v>286</v>
      </c>
      <c r="F182" s="32"/>
      <c r="G182" s="39"/>
    </row>
    <row r="183" spans="1:7" x14ac:dyDescent="0.25">
      <c r="A183" s="112"/>
      <c r="B183" s="114"/>
      <c r="C183" s="114"/>
      <c r="D183" s="114"/>
      <c r="E183" s="114"/>
      <c r="F183" s="33"/>
      <c r="G183" s="39"/>
    </row>
    <row r="184" spans="1:7" x14ac:dyDescent="0.25">
      <c r="A184" s="112"/>
      <c r="B184" s="114"/>
      <c r="C184" s="114"/>
      <c r="D184" s="114"/>
      <c r="E184" s="114"/>
      <c r="F184" s="33"/>
      <c r="G184" s="39"/>
    </row>
    <row r="185" spans="1:7" ht="15.75" thickBot="1" x14ac:dyDescent="0.3">
      <c r="A185" s="118"/>
      <c r="B185" s="119"/>
      <c r="C185" s="119"/>
      <c r="D185" s="119"/>
      <c r="E185" s="119"/>
      <c r="F185" s="26"/>
      <c r="G185" s="39"/>
    </row>
    <row r="186" spans="1:7" ht="15.75" thickBot="1" x14ac:dyDescent="0.3">
      <c r="A186" s="18" t="s">
        <v>280</v>
      </c>
      <c r="B186" s="1">
        <v>786</v>
      </c>
      <c r="C186" s="1" t="s">
        <v>45</v>
      </c>
      <c r="D186" s="1" t="s">
        <v>278</v>
      </c>
      <c r="E186" s="1" t="s">
        <v>287</v>
      </c>
      <c r="F186" s="26"/>
      <c r="G186" s="39"/>
    </row>
    <row r="187" spans="1:7" ht="15.75" thickBot="1" x14ac:dyDescent="0.3">
      <c r="A187" s="106" t="s">
        <v>291</v>
      </c>
      <c r="B187" s="107"/>
      <c r="C187" s="107"/>
      <c r="D187" s="107"/>
      <c r="E187" s="107"/>
      <c r="F187" s="107"/>
      <c r="G187" s="101"/>
    </row>
    <row r="188" spans="1:7" ht="15.75" thickBot="1" x14ac:dyDescent="0.3">
      <c r="A188" s="18" t="s">
        <v>74</v>
      </c>
      <c r="B188" s="1">
        <v>782</v>
      </c>
      <c r="C188" s="1" t="s">
        <v>45</v>
      </c>
      <c r="D188" s="1" t="s">
        <v>52</v>
      </c>
      <c r="E188" s="1" t="s">
        <v>267</v>
      </c>
      <c r="F188" s="26"/>
      <c r="G188" s="39"/>
    </row>
    <row r="189" spans="1:7" ht="15.75" thickBot="1" x14ac:dyDescent="0.3">
      <c r="A189" s="111" t="s">
        <v>76</v>
      </c>
      <c r="B189" s="113">
        <v>783</v>
      </c>
      <c r="C189" s="113" t="s">
        <v>45</v>
      </c>
      <c r="D189" s="113" t="s">
        <v>52</v>
      </c>
      <c r="E189" s="1" t="s">
        <v>264</v>
      </c>
      <c r="F189" s="120"/>
      <c r="G189" s="39"/>
    </row>
    <row r="190" spans="1:7" ht="15.75" thickBot="1" x14ac:dyDescent="0.3">
      <c r="A190" s="112"/>
      <c r="B190" s="114"/>
      <c r="C190" s="114"/>
      <c r="D190" s="114"/>
      <c r="E190" s="1" t="s">
        <v>269</v>
      </c>
      <c r="F190" s="140"/>
      <c r="G190" s="39"/>
    </row>
    <row r="191" spans="1:7" ht="15.75" thickBot="1" x14ac:dyDescent="0.3">
      <c r="A191" s="118"/>
      <c r="B191" s="119"/>
      <c r="C191" s="119"/>
      <c r="D191" s="119"/>
      <c r="E191" s="1" t="s">
        <v>283</v>
      </c>
      <c r="F191" s="121"/>
      <c r="G191" s="39"/>
    </row>
    <row r="192" spans="1:7" ht="15.75" thickBot="1" x14ac:dyDescent="0.3">
      <c r="A192" s="18" t="s">
        <v>77</v>
      </c>
      <c r="B192" s="1">
        <v>784</v>
      </c>
      <c r="C192" s="1" t="s">
        <v>45</v>
      </c>
      <c r="D192" s="1" t="s">
        <v>52</v>
      </c>
      <c r="E192" s="1" t="s">
        <v>292</v>
      </c>
      <c r="F192" s="26"/>
      <c r="G192" s="39"/>
    </row>
    <row r="193" spans="1:7" ht="29.25" thickBot="1" x14ac:dyDescent="0.3">
      <c r="A193" s="20" t="s">
        <v>275</v>
      </c>
      <c r="B193" s="4">
        <v>801</v>
      </c>
      <c r="C193" s="4" t="s">
        <v>45</v>
      </c>
      <c r="D193" s="4" t="s">
        <v>52</v>
      </c>
      <c r="E193" s="10"/>
      <c r="F193" s="34" t="s">
        <v>276</v>
      </c>
      <c r="G193" s="39"/>
    </row>
    <row r="194" spans="1:7" ht="15.75" thickBot="1" x14ac:dyDescent="0.3">
      <c r="A194" s="18" t="s">
        <v>277</v>
      </c>
      <c r="B194" s="1">
        <v>785</v>
      </c>
      <c r="C194" s="1" t="s">
        <v>45</v>
      </c>
      <c r="D194" s="1" t="s">
        <v>278</v>
      </c>
      <c r="E194" s="1" t="s">
        <v>279</v>
      </c>
      <c r="F194" s="26"/>
      <c r="G194" s="39"/>
    </row>
    <row r="195" spans="1:7" ht="15.75" thickBot="1" x14ac:dyDescent="0.3">
      <c r="A195" s="18" t="s">
        <v>280</v>
      </c>
      <c r="B195" s="1">
        <v>786</v>
      </c>
      <c r="C195" s="1" t="s">
        <v>45</v>
      </c>
      <c r="D195" s="1" t="s">
        <v>278</v>
      </c>
      <c r="E195" s="8" t="s">
        <v>281</v>
      </c>
      <c r="F195" s="26"/>
      <c r="G195" s="39"/>
    </row>
    <row r="196" spans="1:7" ht="15.75" thickBot="1" x14ac:dyDescent="0.3">
      <c r="A196" s="106" t="s">
        <v>293</v>
      </c>
      <c r="B196" s="107"/>
      <c r="C196" s="107"/>
      <c r="D196" s="107"/>
      <c r="E196" s="107"/>
      <c r="F196" s="107"/>
      <c r="G196" s="101"/>
    </row>
    <row r="197" spans="1:7" ht="15.75" thickBot="1" x14ac:dyDescent="0.3">
      <c r="A197" s="18" t="s">
        <v>74</v>
      </c>
      <c r="B197" s="1">
        <v>782</v>
      </c>
      <c r="C197" s="1" t="s">
        <v>45</v>
      </c>
      <c r="D197" s="1" t="s">
        <v>52</v>
      </c>
      <c r="E197" s="1" t="s">
        <v>267</v>
      </c>
      <c r="F197" s="26"/>
      <c r="G197" s="39"/>
    </row>
    <row r="198" spans="1:7" ht="15.75" thickBot="1" x14ac:dyDescent="0.3">
      <c r="A198" s="136" t="s">
        <v>76</v>
      </c>
      <c r="B198" s="137">
        <v>783</v>
      </c>
      <c r="C198" s="137" t="s">
        <v>45</v>
      </c>
      <c r="D198" s="137" t="s">
        <v>52</v>
      </c>
      <c r="E198" s="4" t="s">
        <v>264</v>
      </c>
      <c r="F198" s="138"/>
      <c r="G198" s="39"/>
    </row>
    <row r="199" spans="1:7" ht="15.75" thickBot="1" x14ac:dyDescent="0.3">
      <c r="A199" s="136"/>
      <c r="B199" s="137"/>
      <c r="C199" s="137"/>
      <c r="D199" s="137"/>
      <c r="E199" s="4" t="s">
        <v>269</v>
      </c>
      <c r="F199" s="139"/>
      <c r="G199" s="39"/>
    </row>
    <row r="200" spans="1:7" ht="15.75" thickBot="1" x14ac:dyDescent="0.3">
      <c r="A200" s="136"/>
      <c r="B200" s="137"/>
      <c r="C200" s="137"/>
      <c r="D200" s="137"/>
      <c r="E200" s="4" t="s">
        <v>283</v>
      </c>
      <c r="F200" s="139"/>
      <c r="G200" s="39"/>
    </row>
    <row r="201" spans="1:7" ht="29.25" thickBot="1" x14ac:dyDescent="0.3">
      <c r="A201" s="20" t="s">
        <v>77</v>
      </c>
      <c r="B201" s="4">
        <v>784</v>
      </c>
      <c r="C201" s="4" t="s">
        <v>45</v>
      </c>
      <c r="D201" s="4" t="s">
        <v>52</v>
      </c>
      <c r="E201" s="4" t="s">
        <v>294</v>
      </c>
      <c r="F201" s="31"/>
      <c r="G201" s="39"/>
    </row>
    <row r="202" spans="1:7" ht="29.25" thickBot="1" x14ac:dyDescent="0.3">
      <c r="A202" s="20" t="s">
        <v>275</v>
      </c>
      <c r="B202" s="4">
        <v>801</v>
      </c>
      <c r="C202" s="4" t="s">
        <v>45</v>
      </c>
      <c r="D202" s="4" t="s">
        <v>52</v>
      </c>
      <c r="E202" s="4"/>
      <c r="F202" s="34" t="s">
        <v>276</v>
      </c>
      <c r="G202" s="39"/>
    </row>
    <row r="203" spans="1:7" ht="15.75" thickBot="1" x14ac:dyDescent="0.3">
      <c r="A203" s="20" t="s">
        <v>277</v>
      </c>
      <c r="B203" s="4">
        <v>785</v>
      </c>
      <c r="C203" s="4" t="s">
        <v>45</v>
      </c>
      <c r="D203" s="4" t="s">
        <v>278</v>
      </c>
      <c r="E203" s="4" t="s">
        <v>286</v>
      </c>
      <c r="F203" s="31"/>
      <c r="G203" s="39"/>
    </row>
    <row r="204" spans="1:7" ht="15.75" thickBot="1" x14ac:dyDescent="0.3">
      <c r="A204" s="20" t="s">
        <v>280</v>
      </c>
      <c r="B204" s="4">
        <v>786</v>
      </c>
      <c r="C204" s="4" t="s">
        <v>45</v>
      </c>
      <c r="D204" s="4" t="s">
        <v>278</v>
      </c>
      <c r="E204" s="4" t="s">
        <v>287</v>
      </c>
      <c r="F204" s="31"/>
      <c r="G204" s="39"/>
    </row>
    <row r="205" spans="1:7" ht="15.75" thickBot="1" x14ac:dyDescent="0.3">
      <c r="A205" s="106" t="s">
        <v>295</v>
      </c>
      <c r="B205" s="107"/>
      <c r="C205" s="107"/>
      <c r="D205" s="107"/>
      <c r="E205" s="107"/>
      <c r="F205" s="107"/>
      <c r="G205" s="101"/>
    </row>
    <row r="206" spans="1:7" ht="15.75" thickBot="1" x14ac:dyDescent="0.3">
      <c r="A206" s="23" t="s">
        <v>296</v>
      </c>
      <c r="B206" s="24">
        <v>10</v>
      </c>
      <c r="C206" s="24" t="s">
        <v>8</v>
      </c>
      <c r="D206" s="24" t="s">
        <v>8</v>
      </c>
      <c r="E206" s="17"/>
      <c r="F206" s="35" t="s">
        <v>297</v>
      </c>
      <c r="G206" s="40"/>
    </row>
  </sheetData>
  <mergeCells count="143">
    <mergeCell ref="A2:F2"/>
    <mergeCell ref="A10:F10"/>
    <mergeCell ref="A13:A14"/>
    <mergeCell ref="B13:B14"/>
    <mergeCell ref="C13:C14"/>
    <mergeCell ref="D13:D14"/>
    <mergeCell ref="F13:F14"/>
    <mergeCell ref="A17:A18"/>
    <mergeCell ref="B17:B18"/>
    <mergeCell ref="C17:C18"/>
    <mergeCell ref="D17:D18"/>
    <mergeCell ref="F17:F18"/>
    <mergeCell ref="A65:A66"/>
    <mergeCell ref="B65:B66"/>
    <mergeCell ref="C65:C66"/>
    <mergeCell ref="D65:D66"/>
    <mergeCell ref="F65:F66"/>
    <mergeCell ref="A72:A73"/>
    <mergeCell ref="B72:B73"/>
    <mergeCell ref="C72:C73"/>
    <mergeCell ref="D72:D73"/>
    <mergeCell ref="F72:F73"/>
    <mergeCell ref="A74:A75"/>
    <mergeCell ref="B74:B75"/>
    <mergeCell ref="C74:C75"/>
    <mergeCell ref="D74:D75"/>
    <mergeCell ref="A79:A80"/>
    <mergeCell ref="B79:B80"/>
    <mergeCell ref="C79:C80"/>
    <mergeCell ref="D79:D80"/>
    <mergeCell ref="F79:F80"/>
    <mergeCell ref="A83:A85"/>
    <mergeCell ref="B83:B85"/>
    <mergeCell ref="C83:C85"/>
    <mergeCell ref="D83:D85"/>
    <mergeCell ref="F83:F85"/>
    <mergeCell ref="A89:A90"/>
    <mergeCell ref="B89:B90"/>
    <mergeCell ref="C89:C90"/>
    <mergeCell ref="D89:D90"/>
    <mergeCell ref="F89:F90"/>
    <mergeCell ref="F103:F104"/>
    <mergeCell ref="A113:A114"/>
    <mergeCell ref="B113:B114"/>
    <mergeCell ref="C113:C114"/>
    <mergeCell ref="D113:D114"/>
    <mergeCell ref="F113:F114"/>
    <mergeCell ref="A91:A92"/>
    <mergeCell ref="B91:B92"/>
    <mergeCell ref="C91:C92"/>
    <mergeCell ref="D91:D92"/>
    <mergeCell ref="F91:F92"/>
    <mergeCell ref="A93:A99"/>
    <mergeCell ref="B93:B99"/>
    <mergeCell ref="C93:C99"/>
    <mergeCell ref="D93:D99"/>
    <mergeCell ref="F93:F99"/>
    <mergeCell ref="D165:D167"/>
    <mergeCell ref="A142:A143"/>
    <mergeCell ref="B142:B143"/>
    <mergeCell ref="C142:C143"/>
    <mergeCell ref="D142:D143"/>
    <mergeCell ref="F142:F143"/>
    <mergeCell ref="A144:A145"/>
    <mergeCell ref="B144:B145"/>
    <mergeCell ref="C144:C145"/>
    <mergeCell ref="D144:D145"/>
    <mergeCell ref="F144:F145"/>
    <mergeCell ref="A147:F147"/>
    <mergeCell ref="A151:F151"/>
    <mergeCell ref="A163:F163"/>
    <mergeCell ref="A22:F22"/>
    <mergeCell ref="G13:G14"/>
    <mergeCell ref="G74:G75"/>
    <mergeCell ref="A198:A200"/>
    <mergeCell ref="B198:B200"/>
    <mergeCell ref="C198:C200"/>
    <mergeCell ref="D198:D200"/>
    <mergeCell ref="F198:F200"/>
    <mergeCell ref="A205:F205"/>
    <mergeCell ref="E182:E185"/>
    <mergeCell ref="A189:A191"/>
    <mergeCell ref="B189:B191"/>
    <mergeCell ref="C189:C191"/>
    <mergeCell ref="D189:D191"/>
    <mergeCell ref="F189:F191"/>
    <mergeCell ref="A177:A179"/>
    <mergeCell ref="B177:B179"/>
    <mergeCell ref="C177:C179"/>
    <mergeCell ref="D177:D179"/>
    <mergeCell ref="A182:A185"/>
    <mergeCell ref="B182:B185"/>
    <mergeCell ref="C182:C185"/>
    <mergeCell ref="D182:D185"/>
    <mergeCell ref="F165:F167"/>
    <mergeCell ref="A24:F24"/>
    <mergeCell ref="A35:F35"/>
    <mergeCell ref="A48:F48"/>
    <mergeCell ref="A64:F64"/>
    <mergeCell ref="A87:F87"/>
    <mergeCell ref="A100:F100"/>
    <mergeCell ref="A115:F115"/>
    <mergeCell ref="A140:F140"/>
    <mergeCell ref="A44:F44"/>
    <mergeCell ref="A31:F31"/>
    <mergeCell ref="A126:A127"/>
    <mergeCell ref="B126:B127"/>
    <mergeCell ref="C126:C127"/>
    <mergeCell ref="D126:D127"/>
    <mergeCell ref="F126:F127"/>
    <mergeCell ref="A128:A136"/>
    <mergeCell ref="B128:B136"/>
    <mergeCell ref="C128:C136"/>
    <mergeCell ref="D128:D136"/>
    <mergeCell ref="F128:F136"/>
    <mergeCell ref="A103:A104"/>
    <mergeCell ref="B103:B104"/>
    <mergeCell ref="C103:C104"/>
    <mergeCell ref="D103:D104"/>
    <mergeCell ref="A172:F172"/>
    <mergeCell ref="A196:F196"/>
    <mergeCell ref="A187:F187"/>
    <mergeCell ref="A56:F56"/>
    <mergeCell ref="A60:F60"/>
    <mergeCell ref="A52:F52"/>
    <mergeCell ref="A120:F120"/>
    <mergeCell ref="A173:A176"/>
    <mergeCell ref="A153:A155"/>
    <mergeCell ref="B153:B155"/>
    <mergeCell ref="C153:C155"/>
    <mergeCell ref="D153:D155"/>
    <mergeCell ref="B173:B176"/>
    <mergeCell ref="C173:C176"/>
    <mergeCell ref="D173:D176"/>
    <mergeCell ref="E173:E176"/>
    <mergeCell ref="A158:A161"/>
    <mergeCell ref="B158:B161"/>
    <mergeCell ref="C158:C161"/>
    <mergeCell ref="D158:D161"/>
    <mergeCell ref="E158:E161"/>
    <mergeCell ref="A165:A167"/>
    <mergeCell ref="B165:B167"/>
    <mergeCell ref="C165:C167"/>
  </mergeCells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opLeftCell="A214" zoomScale="85" zoomScaleNormal="85" workbookViewId="0">
      <selection activeCell="B237" sqref="B237"/>
    </sheetView>
  </sheetViews>
  <sheetFormatPr defaultColWidth="11.42578125" defaultRowHeight="15" x14ac:dyDescent="0.25"/>
  <cols>
    <col min="1" max="1" width="9" bestFit="1" customWidth="1"/>
    <col min="2" max="2" width="20.85546875" bestFit="1" customWidth="1"/>
    <col min="3" max="3" width="55.85546875" bestFit="1" customWidth="1"/>
    <col min="4" max="4" width="11.7109375" customWidth="1"/>
    <col min="5" max="5" width="7.140625" bestFit="1" customWidth="1"/>
    <col min="6" max="6" width="11.5703125" bestFit="1" customWidth="1"/>
    <col min="7" max="7" width="9.28515625" bestFit="1" customWidth="1"/>
    <col min="8" max="8" width="83.85546875" bestFit="1" customWidth="1"/>
    <col min="9" max="9" width="53.42578125" style="54" customWidth="1"/>
    <col min="10" max="10" width="70.28515625" customWidth="1"/>
  </cols>
  <sheetData>
    <row r="1" spans="1:10" ht="30.75" thickBot="1" x14ac:dyDescent="0.3">
      <c r="A1" s="70" t="s">
        <v>299</v>
      </c>
      <c r="B1" s="70" t="s">
        <v>300</v>
      </c>
      <c r="C1" s="70" t="s">
        <v>301</v>
      </c>
      <c r="D1" s="70" t="s">
        <v>302</v>
      </c>
      <c r="E1" s="70" t="s">
        <v>303</v>
      </c>
      <c r="F1" s="70" t="s">
        <v>304</v>
      </c>
      <c r="G1" s="70" t="s">
        <v>305</v>
      </c>
      <c r="H1" s="70" t="s">
        <v>306</v>
      </c>
      <c r="I1" s="70" t="s">
        <v>680</v>
      </c>
      <c r="J1" s="71" t="s">
        <v>678</v>
      </c>
    </row>
    <row r="2" spans="1:10" ht="30" x14ac:dyDescent="0.25">
      <c r="A2" s="74">
        <v>1</v>
      </c>
      <c r="B2" s="75" t="s">
        <v>307</v>
      </c>
      <c r="C2" s="75" t="s">
        <v>308</v>
      </c>
      <c r="D2" s="75" t="s">
        <v>309</v>
      </c>
      <c r="E2" s="75" t="s">
        <v>310</v>
      </c>
      <c r="F2" s="75">
        <v>6</v>
      </c>
      <c r="G2" s="75">
        <v>1</v>
      </c>
      <c r="H2" s="75" t="s">
        <v>311</v>
      </c>
      <c r="I2" s="79"/>
      <c r="J2" s="84" t="s">
        <v>771</v>
      </c>
    </row>
    <row r="3" spans="1:10" x14ac:dyDescent="0.25">
      <c r="A3" s="52">
        <v>2</v>
      </c>
      <c r="B3" s="51" t="s">
        <v>312</v>
      </c>
      <c r="C3" s="51" t="s">
        <v>313</v>
      </c>
      <c r="D3" s="51" t="s">
        <v>314</v>
      </c>
      <c r="E3" s="51" t="s">
        <v>315</v>
      </c>
      <c r="F3" s="51">
        <v>1</v>
      </c>
      <c r="G3" s="51">
        <v>7</v>
      </c>
      <c r="H3" s="51" t="s">
        <v>316</v>
      </c>
      <c r="I3" s="150">
        <f>'Equity or FI trade'!B13</f>
        <v>666</v>
      </c>
      <c r="J3" s="144"/>
    </row>
    <row r="4" spans="1:10" ht="28.5" x14ac:dyDescent="0.25">
      <c r="A4" s="52"/>
      <c r="B4" s="69"/>
      <c r="C4" s="69"/>
      <c r="D4" s="69"/>
      <c r="E4" s="69"/>
      <c r="F4" s="69"/>
      <c r="G4" s="69"/>
      <c r="H4" s="69" t="s">
        <v>317</v>
      </c>
      <c r="I4" s="151"/>
      <c r="J4" s="145"/>
    </row>
    <row r="5" spans="1:10" x14ac:dyDescent="0.25">
      <c r="A5" s="52">
        <v>3</v>
      </c>
      <c r="B5" s="73" t="s">
        <v>318</v>
      </c>
      <c r="C5" s="73" t="s">
        <v>319</v>
      </c>
      <c r="D5" s="73" t="s">
        <v>309</v>
      </c>
      <c r="E5" s="73" t="s">
        <v>310</v>
      </c>
      <c r="F5" s="73">
        <v>8</v>
      </c>
      <c r="G5" s="73">
        <v>8</v>
      </c>
      <c r="H5" s="73" t="s">
        <v>320</v>
      </c>
      <c r="I5" s="80"/>
      <c r="J5" s="85" t="s">
        <v>772</v>
      </c>
    </row>
    <row r="6" spans="1:10" x14ac:dyDescent="0.25">
      <c r="A6" s="52">
        <v>4</v>
      </c>
      <c r="B6" s="51" t="s">
        <v>321</v>
      </c>
      <c r="C6" s="51" t="s">
        <v>322</v>
      </c>
      <c r="D6" s="51" t="s">
        <v>309</v>
      </c>
      <c r="E6" s="51" t="s">
        <v>310</v>
      </c>
      <c r="F6" s="51">
        <v>6</v>
      </c>
      <c r="G6" s="51">
        <v>16</v>
      </c>
      <c r="H6" s="51" t="s">
        <v>323</v>
      </c>
      <c r="I6" s="67"/>
      <c r="J6" s="86" t="s">
        <v>772</v>
      </c>
    </row>
    <row r="7" spans="1:10" x14ac:dyDescent="0.25">
      <c r="A7" s="155">
        <v>5</v>
      </c>
      <c r="B7" s="157" t="s">
        <v>324</v>
      </c>
      <c r="C7" s="157" t="s">
        <v>325</v>
      </c>
      <c r="D7" s="73" t="s">
        <v>309</v>
      </c>
      <c r="E7" s="73" t="s">
        <v>315</v>
      </c>
      <c r="F7" s="73">
        <v>16</v>
      </c>
      <c r="G7" s="73">
        <v>22</v>
      </c>
      <c r="H7" s="73" t="s">
        <v>326</v>
      </c>
      <c r="I7" s="148" t="s">
        <v>686</v>
      </c>
      <c r="J7" s="146"/>
    </row>
    <row r="8" spans="1:10" x14ac:dyDescent="0.25">
      <c r="A8" s="156"/>
      <c r="B8" s="158"/>
      <c r="C8" s="158"/>
      <c r="D8" s="73"/>
      <c r="E8" s="73"/>
      <c r="F8" s="73"/>
      <c r="G8" s="73"/>
      <c r="H8" s="73" t="s">
        <v>327</v>
      </c>
      <c r="I8" s="149"/>
      <c r="J8" s="147"/>
    </row>
    <row r="9" spans="1:10" x14ac:dyDescent="0.25">
      <c r="A9" s="52">
        <v>6</v>
      </c>
      <c r="B9" s="76" t="s">
        <v>328</v>
      </c>
      <c r="C9" s="76" t="s">
        <v>329</v>
      </c>
      <c r="D9" s="76" t="s">
        <v>309</v>
      </c>
      <c r="E9" s="76" t="s">
        <v>315</v>
      </c>
      <c r="F9" s="76">
        <v>1</v>
      </c>
      <c r="G9" s="76">
        <v>38</v>
      </c>
      <c r="H9" s="76" t="s">
        <v>330</v>
      </c>
      <c r="I9" s="81"/>
      <c r="J9" s="87"/>
    </row>
    <row r="10" spans="1:10" x14ac:dyDescent="0.25">
      <c r="A10" s="52">
        <v>7</v>
      </c>
      <c r="B10" s="73" t="s">
        <v>331</v>
      </c>
      <c r="C10" s="73" t="s">
        <v>332</v>
      </c>
      <c r="D10" s="73" t="s">
        <v>309</v>
      </c>
      <c r="E10" s="73" t="s">
        <v>315</v>
      </c>
      <c r="F10" s="73">
        <v>1</v>
      </c>
      <c r="G10" s="73">
        <v>39</v>
      </c>
      <c r="H10" s="73" t="s">
        <v>330</v>
      </c>
      <c r="I10" s="80"/>
      <c r="J10" s="85"/>
    </row>
    <row r="11" spans="1:10" x14ac:dyDescent="0.25">
      <c r="A11" s="52">
        <v>8</v>
      </c>
      <c r="B11" s="76" t="s">
        <v>333</v>
      </c>
      <c r="C11" s="76" t="s">
        <v>334</v>
      </c>
      <c r="D11" s="76" t="s">
        <v>314</v>
      </c>
      <c r="E11" s="76" t="s">
        <v>315</v>
      </c>
      <c r="F11" s="76">
        <v>6</v>
      </c>
      <c r="G11" s="76">
        <v>40</v>
      </c>
      <c r="H11" s="76" t="s">
        <v>335</v>
      </c>
      <c r="I11" s="81"/>
      <c r="J11" s="87"/>
    </row>
    <row r="12" spans="1:10" x14ac:dyDescent="0.25">
      <c r="A12" s="52">
        <v>9</v>
      </c>
      <c r="B12" s="73" t="s">
        <v>336</v>
      </c>
      <c r="C12" s="73" t="s">
        <v>337</v>
      </c>
      <c r="D12" s="73" t="s">
        <v>309</v>
      </c>
      <c r="E12" s="73" t="s">
        <v>315</v>
      </c>
      <c r="F12" s="73">
        <v>1</v>
      </c>
      <c r="G12" s="73">
        <v>46</v>
      </c>
      <c r="H12" s="73" t="s">
        <v>338</v>
      </c>
      <c r="I12" s="80"/>
      <c r="J12" s="85"/>
    </row>
    <row r="13" spans="1:10" x14ac:dyDescent="0.25">
      <c r="A13" s="52">
        <v>10</v>
      </c>
      <c r="B13" s="76" t="s">
        <v>339</v>
      </c>
      <c r="C13" s="76" t="s">
        <v>340</v>
      </c>
      <c r="D13" s="76" t="s">
        <v>314</v>
      </c>
      <c r="E13" s="76" t="s">
        <v>315</v>
      </c>
      <c r="F13" s="76">
        <v>20</v>
      </c>
      <c r="G13" s="76">
        <v>47</v>
      </c>
      <c r="H13" s="76" t="s">
        <v>335</v>
      </c>
      <c r="I13" s="81"/>
      <c r="J13" s="87"/>
    </row>
    <row r="14" spans="1:10" x14ac:dyDescent="0.25">
      <c r="A14" s="52">
        <v>11</v>
      </c>
      <c r="B14" s="73" t="s">
        <v>341</v>
      </c>
      <c r="C14" s="73" t="s">
        <v>342</v>
      </c>
      <c r="D14" s="73" t="s">
        <v>314</v>
      </c>
      <c r="E14" s="73" t="s">
        <v>315</v>
      </c>
      <c r="F14" s="73">
        <v>5</v>
      </c>
      <c r="G14" s="73">
        <v>67</v>
      </c>
      <c r="H14" s="73" t="s">
        <v>335</v>
      </c>
      <c r="I14" s="80"/>
      <c r="J14" s="85"/>
    </row>
    <row r="15" spans="1:10" x14ac:dyDescent="0.25">
      <c r="A15" s="52">
        <v>12</v>
      </c>
      <c r="B15" s="76" t="s">
        <v>343</v>
      </c>
      <c r="C15" s="76" t="s">
        <v>344</v>
      </c>
      <c r="D15" s="76" t="s">
        <v>314</v>
      </c>
      <c r="E15" s="76" t="s">
        <v>315</v>
      </c>
      <c r="F15" s="76">
        <v>3</v>
      </c>
      <c r="G15" s="76">
        <v>72</v>
      </c>
      <c r="H15" s="76" t="s">
        <v>335</v>
      </c>
      <c r="I15" s="81"/>
      <c r="J15" s="87"/>
    </row>
    <row r="16" spans="1:10" x14ac:dyDescent="0.25">
      <c r="A16" s="52">
        <v>13</v>
      </c>
      <c r="B16" s="73" t="s">
        <v>345</v>
      </c>
      <c r="C16" s="73" t="s">
        <v>346</v>
      </c>
      <c r="D16" s="73" t="s">
        <v>314</v>
      </c>
      <c r="E16" s="73" t="s">
        <v>315</v>
      </c>
      <c r="F16" s="73">
        <v>1</v>
      </c>
      <c r="G16" s="73">
        <v>75</v>
      </c>
      <c r="H16" s="73" t="s">
        <v>335</v>
      </c>
      <c r="I16" s="80"/>
      <c r="J16" s="85"/>
    </row>
    <row r="17" spans="1:10" x14ac:dyDescent="0.25">
      <c r="A17" s="52">
        <v>14</v>
      </c>
      <c r="B17" s="76" t="s">
        <v>347</v>
      </c>
      <c r="C17" s="76" t="s">
        <v>348</v>
      </c>
      <c r="D17" s="76" t="s">
        <v>314</v>
      </c>
      <c r="E17" s="76" t="s">
        <v>315</v>
      </c>
      <c r="F17" s="76">
        <v>2</v>
      </c>
      <c r="G17" s="76">
        <v>76</v>
      </c>
      <c r="H17" s="76" t="s">
        <v>335</v>
      </c>
      <c r="I17" s="81"/>
      <c r="J17" s="87"/>
    </row>
    <row r="18" spans="1:10" x14ac:dyDescent="0.25">
      <c r="A18" s="72">
        <v>15</v>
      </c>
      <c r="B18" s="73" t="s">
        <v>349</v>
      </c>
      <c r="C18" s="73" t="s">
        <v>350</v>
      </c>
      <c r="D18" s="73" t="s">
        <v>309</v>
      </c>
      <c r="E18" s="73" t="s">
        <v>315</v>
      </c>
      <c r="F18" s="73">
        <v>10</v>
      </c>
      <c r="G18" s="73">
        <v>78</v>
      </c>
      <c r="H18" s="73" t="s">
        <v>351</v>
      </c>
      <c r="I18" s="80"/>
      <c r="J18" s="85" t="s">
        <v>773</v>
      </c>
    </row>
    <row r="19" spans="1:10" x14ac:dyDescent="0.25">
      <c r="A19" s="52">
        <v>16</v>
      </c>
      <c r="B19" s="76" t="s">
        <v>352</v>
      </c>
      <c r="C19" s="76" t="s">
        <v>353</v>
      </c>
      <c r="D19" s="76" t="s">
        <v>309</v>
      </c>
      <c r="E19" s="76" t="s">
        <v>315</v>
      </c>
      <c r="F19" s="76">
        <v>1</v>
      </c>
      <c r="G19" s="76">
        <v>88</v>
      </c>
      <c r="H19" s="76" t="s">
        <v>338</v>
      </c>
      <c r="I19" s="81"/>
      <c r="J19" s="87"/>
    </row>
    <row r="20" spans="1:10" x14ac:dyDescent="0.25">
      <c r="A20" s="72">
        <v>17</v>
      </c>
      <c r="B20" s="73" t="s">
        <v>354</v>
      </c>
      <c r="C20" s="73" t="s">
        <v>355</v>
      </c>
      <c r="D20" s="73" t="s">
        <v>309</v>
      </c>
      <c r="E20" s="73" t="s">
        <v>315</v>
      </c>
      <c r="F20" s="73">
        <v>11</v>
      </c>
      <c r="G20" s="73">
        <v>89</v>
      </c>
      <c r="H20" s="73" t="s">
        <v>356</v>
      </c>
      <c r="I20" s="80" t="s">
        <v>687</v>
      </c>
      <c r="J20" s="85" t="s">
        <v>681</v>
      </c>
    </row>
    <row r="21" spans="1:10" x14ac:dyDescent="0.25">
      <c r="A21" s="52">
        <v>18</v>
      </c>
      <c r="B21" s="76" t="s">
        <v>357</v>
      </c>
      <c r="C21" s="76" t="s">
        <v>358</v>
      </c>
      <c r="D21" s="76" t="s">
        <v>309</v>
      </c>
      <c r="E21" s="76" t="s">
        <v>315</v>
      </c>
      <c r="F21" s="76">
        <v>3</v>
      </c>
      <c r="G21" s="76">
        <v>100</v>
      </c>
      <c r="H21" s="76" t="s">
        <v>359</v>
      </c>
      <c r="I21" s="81"/>
      <c r="J21" s="87"/>
    </row>
    <row r="22" spans="1:10" x14ac:dyDescent="0.25">
      <c r="A22" s="52">
        <v>19</v>
      </c>
      <c r="B22" s="73" t="s">
        <v>360</v>
      </c>
      <c r="C22" s="73" t="s">
        <v>361</v>
      </c>
      <c r="D22" s="73" t="s">
        <v>309</v>
      </c>
      <c r="E22" s="73" t="s">
        <v>315</v>
      </c>
      <c r="F22" s="73">
        <v>3</v>
      </c>
      <c r="G22" s="73">
        <v>103</v>
      </c>
      <c r="H22" s="73" t="s">
        <v>359</v>
      </c>
      <c r="I22" s="80"/>
      <c r="J22" s="85"/>
    </row>
    <row r="23" spans="1:10" x14ac:dyDescent="0.25">
      <c r="A23" s="72">
        <v>20</v>
      </c>
      <c r="B23" s="76" t="s">
        <v>362</v>
      </c>
      <c r="C23" s="76" t="s">
        <v>363</v>
      </c>
      <c r="D23" s="76" t="s">
        <v>309</v>
      </c>
      <c r="E23" s="76" t="s">
        <v>315</v>
      </c>
      <c r="F23" s="76">
        <v>3</v>
      </c>
      <c r="G23" s="76">
        <v>106</v>
      </c>
      <c r="H23" s="76" t="s">
        <v>364</v>
      </c>
      <c r="I23" s="81">
        <v>54</v>
      </c>
      <c r="J23" s="87"/>
    </row>
    <row r="24" spans="1:10" x14ac:dyDescent="0.25">
      <c r="A24" s="52"/>
      <c r="B24" s="73"/>
      <c r="C24" s="73"/>
      <c r="D24" s="73"/>
      <c r="E24" s="73"/>
      <c r="F24" s="73"/>
      <c r="G24" s="73"/>
      <c r="H24" s="73" t="s">
        <v>365</v>
      </c>
      <c r="I24" s="80"/>
      <c r="J24" s="85"/>
    </row>
    <row r="25" spans="1:10" x14ac:dyDescent="0.25">
      <c r="A25" s="52">
        <v>21</v>
      </c>
      <c r="B25" s="76" t="s">
        <v>366</v>
      </c>
      <c r="C25" s="76" t="s">
        <v>367</v>
      </c>
      <c r="D25" s="76" t="s">
        <v>309</v>
      </c>
      <c r="E25" s="76" t="s">
        <v>315</v>
      </c>
      <c r="F25" s="76">
        <v>11</v>
      </c>
      <c r="G25" s="76">
        <v>109</v>
      </c>
      <c r="H25" s="76" t="s">
        <v>368</v>
      </c>
      <c r="I25" s="81"/>
      <c r="J25" s="87"/>
    </row>
    <row r="26" spans="1:10" x14ac:dyDescent="0.25">
      <c r="A26" s="52">
        <v>22</v>
      </c>
      <c r="B26" s="73" t="s">
        <v>369</v>
      </c>
      <c r="C26" s="73" t="s">
        <v>370</v>
      </c>
      <c r="D26" s="73" t="s">
        <v>309</v>
      </c>
      <c r="E26" s="73" t="s">
        <v>315</v>
      </c>
      <c r="F26" s="73">
        <v>11</v>
      </c>
      <c r="G26" s="73">
        <v>120</v>
      </c>
      <c r="H26" s="73" t="s">
        <v>368</v>
      </c>
      <c r="I26" s="80"/>
      <c r="J26" s="85"/>
    </row>
    <row r="27" spans="1:10" x14ac:dyDescent="0.25">
      <c r="A27" s="52">
        <v>23</v>
      </c>
      <c r="B27" s="76" t="s">
        <v>371</v>
      </c>
      <c r="C27" s="76" t="s">
        <v>372</v>
      </c>
      <c r="D27" s="76" t="s">
        <v>309</v>
      </c>
      <c r="E27" s="76" t="s">
        <v>310</v>
      </c>
      <c r="F27" s="76">
        <v>14</v>
      </c>
      <c r="G27" s="76">
        <v>131</v>
      </c>
      <c r="H27" s="76" t="s">
        <v>373</v>
      </c>
      <c r="I27" s="81">
        <v>60</v>
      </c>
      <c r="J27" s="87"/>
    </row>
    <row r="28" spans="1:10" ht="28.5" x14ac:dyDescent="0.25">
      <c r="A28" s="52">
        <v>24</v>
      </c>
      <c r="B28" s="73" t="s">
        <v>374</v>
      </c>
      <c r="C28" s="73" t="s">
        <v>375</v>
      </c>
      <c r="D28" s="73" t="s">
        <v>314</v>
      </c>
      <c r="E28" s="73" t="s">
        <v>315</v>
      </c>
      <c r="F28" s="73">
        <v>16</v>
      </c>
      <c r="G28" s="73">
        <v>145</v>
      </c>
      <c r="H28" s="73" t="s">
        <v>376</v>
      </c>
      <c r="I28" s="80"/>
      <c r="J28" s="85" t="s">
        <v>681</v>
      </c>
    </row>
    <row r="29" spans="1:10" x14ac:dyDescent="0.25">
      <c r="A29" s="52">
        <v>25</v>
      </c>
      <c r="B29" s="76" t="s">
        <v>377</v>
      </c>
      <c r="C29" s="76" t="s">
        <v>378</v>
      </c>
      <c r="D29" s="76" t="s">
        <v>314</v>
      </c>
      <c r="E29" s="76" t="s">
        <v>315</v>
      </c>
      <c r="F29" s="76">
        <v>11</v>
      </c>
      <c r="G29" s="76">
        <v>161</v>
      </c>
      <c r="H29" s="76" t="s">
        <v>335</v>
      </c>
      <c r="I29" s="81"/>
      <c r="J29" s="87"/>
    </row>
    <row r="30" spans="1:10" x14ac:dyDescent="0.25">
      <c r="A30" s="52">
        <v>26</v>
      </c>
      <c r="B30" s="73" t="s">
        <v>379</v>
      </c>
      <c r="C30" s="73" t="s">
        <v>380</v>
      </c>
      <c r="D30" s="73" t="s">
        <v>314</v>
      </c>
      <c r="E30" s="73" t="s">
        <v>315</v>
      </c>
      <c r="F30" s="73">
        <v>11</v>
      </c>
      <c r="G30" s="73">
        <v>172</v>
      </c>
      <c r="H30" s="73" t="s">
        <v>335</v>
      </c>
      <c r="I30" s="80"/>
      <c r="J30" s="85"/>
    </row>
    <row r="31" spans="1:10" ht="28.5" x14ac:dyDescent="0.25">
      <c r="A31" s="52">
        <v>27</v>
      </c>
      <c r="B31" s="76" t="s">
        <v>381</v>
      </c>
      <c r="C31" s="76" t="s">
        <v>382</v>
      </c>
      <c r="D31" s="76" t="s">
        <v>314</v>
      </c>
      <c r="E31" s="76" t="s">
        <v>315</v>
      </c>
      <c r="F31" s="76">
        <v>11</v>
      </c>
      <c r="G31" s="76">
        <v>183</v>
      </c>
      <c r="H31" s="76" t="s">
        <v>335</v>
      </c>
      <c r="I31" s="81"/>
      <c r="J31" s="87"/>
    </row>
    <row r="32" spans="1:10" ht="15" customHeight="1" x14ac:dyDescent="0.25">
      <c r="A32" s="155">
        <v>28</v>
      </c>
      <c r="B32" s="73" t="s">
        <v>383</v>
      </c>
      <c r="C32" s="73" t="s">
        <v>384</v>
      </c>
      <c r="D32" s="73" t="s">
        <v>309</v>
      </c>
      <c r="E32" s="73" t="s">
        <v>315</v>
      </c>
      <c r="F32" s="73">
        <v>1</v>
      </c>
      <c r="G32" s="73">
        <v>194</v>
      </c>
      <c r="H32" s="73" t="s">
        <v>385</v>
      </c>
      <c r="I32" s="148">
        <v>54</v>
      </c>
      <c r="J32" s="146"/>
    </row>
    <row r="33" spans="1:10" x14ac:dyDescent="0.25">
      <c r="A33" s="156"/>
      <c r="B33" s="73"/>
      <c r="C33" s="73"/>
      <c r="D33" s="73"/>
      <c r="E33" s="73"/>
      <c r="F33" s="73"/>
      <c r="G33" s="73"/>
      <c r="H33" s="73" t="s">
        <v>386</v>
      </c>
      <c r="I33" s="149"/>
      <c r="J33" s="147"/>
    </row>
    <row r="34" spans="1:10" x14ac:dyDescent="0.25">
      <c r="A34" s="152">
        <v>29</v>
      </c>
      <c r="B34" s="162" t="s">
        <v>387</v>
      </c>
      <c r="C34" s="162" t="s">
        <v>388</v>
      </c>
      <c r="D34" s="76" t="s">
        <v>314</v>
      </c>
      <c r="E34" s="76" t="s">
        <v>315</v>
      </c>
      <c r="F34" s="76">
        <v>3</v>
      </c>
      <c r="G34" s="76">
        <v>195</v>
      </c>
      <c r="H34" s="76" t="s">
        <v>389</v>
      </c>
      <c r="I34" s="171"/>
      <c r="J34" s="174"/>
    </row>
    <row r="35" spans="1:10" x14ac:dyDescent="0.25">
      <c r="A35" s="153"/>
      <c r="B35" s="163"/>
      <c r="C35" s="163"/>
      <c r="D35" s="76"/>
      <c r="E35" s="76"/>
      <c r="F35" s="76"/>
      <c r="G35" s="76"/>
      <c r="H35" s="76" t="s">
        <v>390</v>
      </c>
      <c r="I35" s="172"/>
      <c r="J35" s="175"/>
    </row>
    <row r="36" spans="1:10" x14ac:dyDescent="0.25">
      <c r="A36" s="153"/>
      <c r="B36" s="163"/>
      <c r="C36" s="163"/>
      <c r="D36" s="76"/>
      <c r="E36" s="76"/>
      <c r="F36" s="76"/>
      <c r="G36" s="76"/>
      <c r="H36" s="76" t="s">
        <v>391</v>
      </c>
      <c r="I36" s="172"/>
      <c r="J36" s="175"/>
    </row>
    <row r="37" spans="1:10" x14ac:dyDescent="0.25">
      <c r="A37" s="153"/>
      <c r="B37" s="163"/>
      <c r="C37" s="163"/>
      <c r="D37" s="76"/>
      <c r="E37" s="76"/>
      <c r="F37" s="76"/>
      <c r="G37" s="76"/>
      <c r="H37" s="76"/>
      <c r="I37" s="172"/>
      <c r="J37" s="175"/>
    </row>
    <row r="38" spans="1:10" x14ac:dyDescent="0.25">
      <c r="A38" s="153"/>
      <c r="B38" s="163"/>
      <c r="C38" s="163"/>
      <c r="D38" s="76"/>
      <c r="E38" s="76"/>
      <c r="F38" s="76"/>
      <c r="G38" s="76"/>
      <c r="H38" s="76"/>
      <c r="I38" s="172"/>
      <c r="J38" s="175"/>
    </row>
    <row r="39" spans="1:10" ht="28.5" x14ac:dyDescent="0.25">
      <c r="A39" s="154"/>
      <c r="B39" s="164"/>
      <c r="C39" s="164"/>
      <c r="D39" s="76"/>
      <c r="E39" s="76"/>
      <c r="F39" s="76"/>
      <c r="G39" s="76"/>
      <c r="H39" s="76" t="s">
        <v>392</v>
      </c>
      <c r="I39" s="173"/>
      <c r="J39" s="176"/>
    </row>
    <row r="40" spans="1:10" ht="28.5" x14ac:dyDescent="0.25">
      <c r="A40" s="72">
        <v>30</v>
      </c>
      <c r="B40" s="73" t="s">
        <v>393</v>
      </c>
      <c r="C40" s="73" t="s">
        <v>394</v>
      </c>
      <c r="D40" s="73" t="s">
        <v>309</v>
      </c>
      <c r="E40" s="73" t="s">
        <v>315</v>
      </c>
      <c r="F40" s="73">
        <v>12</v>
      </c>
      <c r="G40" s="73">
        <v>198</v>
      </c>
      <c r="H40" s="73" t="s">
        <v>395</v>
      </c>
      <c r="I40" s="80">
        <v>48</v>
      </c>
      <c r="J40" s="85" t="s">
        <v>684</v>
      </c>
    </row>
    <row r="41" spans="1:10" x14ac:dyDescent="0.25">
      <c r="A41" s="52">
        <v>31</v>
      </c>
      <c r="B41" s="51" t="s">
        <v>396</v>
      </c>
      <c r="C41" s="51" t="s">
        <v>397</v>
      </c>
      <c r="D41" s="51" t="s">
        <v>309</v>
      </c>
      <c r="E41" s="51" t="s">
        <v>310</v>
      </c>
      <c r="F41" s="51">
        <v>8</v>
      </c>
      <c r="G41" s="51">
        <v>210</v>
      </c>
      <c r="H41" s="51" t="s">
        <v>398</v>
      </c>
      <c r="I41" s="67"/>
      <c r="J41" s="86" t="s">
        <v>683</v>
      </c>
    </row>
    <row r="42" spans="1:10" x14ac:dyDescent="0.25">
      <c r="A42" s="52">
        <v>32</v>
      </c>
      <c r="B42" s="73" t="s">
        <v>399</v>
      </c>
      <c r="C42" s="73" t="s">
        <v>400</v>
      </c>
      <c r="D42" s="73" t="s">
        <v>309</v>
      </c>
      <c r="E42" s="73" t="s">
        <v>310</v>
      </c>
      <c r="F42" s="73">
        <v>6</v>
      </c>
      <c r="G42" s="73">
        <v>218</v>
      </c>
      <c r="H42" s="73" t="s">
        <v>401</v>
      </c>
      <c r="I42" s="80"/>
      <c r="J42" s="85" t="s">
        <v>683</v>
      </c>
    </row>
    <row r="43" spans="1:10" x14ac:dyDescent="0.25">
      <c r="A43" s="52">
        <v>33</v>
      </c>
      <c r="B43" s="51" t="s">
        <v>402</v>
      </c>
      <c r="C43" s="51" t="s">
        <v>403</v>
      </c>
      <c r="D43" s="51" t="s">
        <v>314</v>
      </c>
      <c r="E43" s="51" t="s">
        <v>315</v>
      </c>
      <c r="F43" s="51">
        <v>30</v>
      </c>
      <c r="G43" s="51">
        <v>224</v>
      </c>
      <c r="H43" s="51" t="s">
        <v>335</v>
      </c>
      <c r="I43" s="67"/>
      <c r="J43" s="86"/>
    </row>
    <row r="44" spans="1:10" x14ac:dyDescent="0.25">
      <c r="A44" s="52">
        <v>34</v>
      </c>
      <c r="B44" s="73" t="s">
        <v>404</v>
      </c>
      <c r="C44" s="73" t="s">
        <v>405</v>
      </c>
      <c r="D44" s="73" t="s">
        <v>309</v>
      </c>
      <c r="E44" s="73" t="s">
        <v>315</v>
      </c>
      <c r="F44" s="73">
        <v>3</v>
      </c>
      <c r="G44" s="73">
        <v>254</v>
      </c>
      <c r="H44" s="73" t="s">
        <v>406</v>
      </c>
      <c r="I44" s="80"/>
      <c r="J44" s="85"/>
    </row>
    <row r="45" spans="1:10" x14ac:dyDescent="0.25">
      <c r="A45" s="72">
        <v>35</v>
      </c>
      <c r="B45" s="51" t="s">
        <v>407</v>
      </c>
      <c r="C45" s="51" t="s">
        <v>408</v>
      </c>
      <c r="D45" s="51" t="s">
        <v>309</v>
      </c>
      <c r="E45" s="51" t="s">
        <v>310</v>
      </c>
      <c r="F45" s="51" t="s">
        <v>409</v>
      </c>
      <c r="G45" s="51">
        <v>257</v>
      </c>
      <c r="H45" s="51" t="s">
        <v>410</v>
      </c>
      <c r="I45" s="67" t="s">
        <v>842</v>
      </c>
      <c r="J45" s="86"/>
    </row>
    <row r="46" spans="1:10" x14ac:dyDescent="0.25">
      <c r="A46" s="52">
        <v>36</v>
      </c>
      <c r="B46" s="73" t="s">
        <v>411</v>
      </c>
      <c r="C46" s="73" t="s">
        <v>412</v>
      </c>
      <c r="D46" s="73" t="s">
        <v>309</v>
      </c>
      <c r="E46" s="73" t="s">
        <v>310</v>
      </c>
      <c r="F46" s="73">
        <v>8</v>
      </c>
      <c r="G46" s="73">
        <v>272</v>
      </c>
      <c r="H46" s="73" t="s">
        <v>398</v>
      </c>
      <c r="I46" s="80"/>
      <c r="J46" s="85" t="s">
        <v>776</v>
      </c>
    </row>
    <row r="47" spans="1:10" x14ac:dyDescent="0.25">
      <c r="A47" s="52">
        <v>37</v>
      </c>
      <c r="B47" s="51" t="s">
        <v>413</v>
      </c>
      <c r="C47" s="51" t="s">
        <v>414</v>
      </c>
      <c r="D47" s="51" t="s">
        <v>314</v>
      </c>
      <c r="E47" s="51" t="s">
        <v>310</v>
      </c>
      <c r="F47" s="51" t="s">
        <v>415</v>
      </c>
      <c r="G47" s="51">
        <v>280</v>
      </c>
      <c r="H47" s="51" t="s">
        <v>335</v>
      </c>
      <c r="I47" s="67"/>
      <c r="J47" s="86"/>
    </row>
    <row r="48" spans="1:10" x14ac:dyDescent="0.25">
      <c r="A48" s="52">
        <v>38</v>
      </c>
      <c r="B48" s="73" t="s">
        <v>416</v>
      </c>
      <c r="C48" s="73" t="s">
        <v>417</v>
      </c>
      <c r="D48" s="73" t="s">
        <v>314</v>
      </c>
      <c r="E48" s="73" t="s">
        <v>315</v>
      </c>
      <c r="F48" s="73">
        <v>8</v>
      </c>
      <c r="G48" s="73">
        <v>295</v>
      </c>
      <c r="H48" s="73" t="s">
        <v>335</v>
      </c>
      <c r="I48" s="80"/>
      <c r="J48" s="85"/>
    </row>
    <row r="49" spans="1:10" x14ac:dyDescent="0.25">
      <c r="A49" s="52">
        <v>39</v>
      </c>
      <c r="B49" s="51" t="s">
        <v>418</v>
      </c>
      <c r="C49" s="51" t="s">
        <v>419</v>
      </c>
      <c r="D49" s="51" t="s">
        <v>314</v>
      </c>
      <c r="E49" s="51" t="s">
        <v>310</v>
      </c>
      <c r="F49" s="51" t="s">
        <v>420</v>
      </c>
      <c r="G49" s="51">
        <v>303</v>
      </c>
      <c r="H49" s="51" t="s">
        <v>421</v>
      </c>
      <c r="I49" s="67"/>
      <c r="J49" s="86"/>
    </row>
    <row r="50" spans="1:10" x14ac:dyDescent="0.25">
      <c r="A50" s="52">
        <v>40</v>
      </c>
      <c r="B50" s="73" t="s">
        <v>422</v>
      </c>
      <c r="C50" s="73" t="s">
        <v>423</v>
      </c>
      <c r="D50" s="73" t="s">
        <v>314</v>
      </c>
      <c r="E50" s="73" t="s">
        <v>315</v>
      </c>
      <c r="F50" s="73">
        <v>1</v>
      </c>
      <c r="G50" s="73">
        <v>321</v>
      </c>
      <c r="H50" s="73" t="s">
        <v>424</v>
      </c>
      <c r="I50" s="80"/>
      <c r="J50" s="85"/>
    </row>
    <row r="51" spans="1:10" x14ac:dyDescent="0.25">
      <c r="A51" s="152">
        <v>41</v>
      </c>
      <c r="B51" s="165" t="s">
        <v>425</v>
      </c>
      <c r="C51" s="165" t="s">
        <v>426</v>
      </c>
      <c r="D51" s="165" t="s">
        <v>314</v>
      </c>
      <c r="E51" s="165" t="s">
        <v>315</v>
      </c>
      <c r="F51" s="165">
        <v>4</v>
      </c>
      <c r="G51" s="165">
        <v>322</v>
      </c>
      <c r="H51" s="51" t="s">
        <v>427</v>
      </c>
      <c r="I51" s="151"/>
      <c r="J51" s="145"/>
    </row>
    <row r="52" spans="1:10" x14ac:dyDescent="0.25">
      <c r="A52" s="153"/>
      <c r="B52" s="166"/>
      <c r="C52" s="166"/>
      <c r="D52" s="166"/>
      <c r="E52" s="166"/>
      <c r="F52" s="166"/>
      <c r="G52" s="166"/>
      <c r="H52" s="51" t="s">
        <v>428</v>
      </c>
      <c r="I52" s="168"/>
      <c r="J52" s="159"/>
    </row>
    <row r="53" spans="1:10" x14ac:dyDescent="0.25">
      <c r="A53" s="153"/>
      <c r="B53" s="166"/>
      <c r="C53" s="166"/>
      <c r="D53" s="166"/>
      <c r="E53" s="166"/>
      <c r="F53" s="166"/>
      <c r="G53" s="166"/>
      <c r="H53" s="51" t="s">
        <v>429</v>
      </c>
      <c r="I53" s="168"/>
      <c r="J53" s="159"/>
    </row>
    <row r="54" spans="1:10" x14ac:dyDescent="0.25">
      <c r="A54" s="153"/>
      <c r="B54" s="166"/>
      <c r="C54" s="166"/>
      <c r="D54" s="166"/>
      <c r="E54" s="166"/>
      <c r="F54" s="166"/>
      <c r="G54" s="166"/>
      <c r="H54" s="51" t="s">
        <v>430</v>
      </c>
      <c r="I54" s="168"/>
      <c r="J54" s="159"/>
    </row>
    <row r="55" spans="1:10" x14ac:dyDescent="0.25">
      <c r="A55" s="154"/>
      <c r="B55" s="167"/>
      <c r="C55" s="167"/>
      <c r="D55" s="167"/>
      <c r="E55" s="167"/>
      <c r="F55" s="167"/>
      <c r="G55" s="167"/>
      <c r="H55" s="51" t="s">
        <v>431</v>
      </c>
      <c r="I55" s="169"/>
      <c r="J55" s="160"/>
    </row>
    <row r="56" spans="1:10" x14ac:dyDescent="0.25">
      <c r="A56" s="52">
        <v>42</v>
      </c>
      <c r="B56" s="73" t="s">
        <v>432</v>
      </c>
      <c r="C56" s="73" t="s">
        <v>433</v>
      </c>
      <c r="D56" s="73" t="s">
        <v>314</v>
      </c>
      <c r="E56" s="73" t="s">
        <v>315</v>
      </c>
      <c r="F56" s="73">
        <v>1</v>
      </c>
      <c r="G56" s="73">
        <v>326</v>
      </c>
      <c r="H56" s="73" t="s">
        <v>335</v>
      </c>
      <c r="I56" s="80"/>
      <c r="J56" s="85"/>
    </row>
    <row r="57" spans="1:10" ht="28.5" x14ac:dyDescent="0.25">
      <c r="A57" s="52">
        <v>43</v>
      </c>
      <c r="B57" s="51" t="s">
        <v>434</v>
      </c>
      <c r="C57" s="51" t="s">
        <v>435</v>
      </c>
      <c r="D57" s="51" t="s">
        <v>314</v>
      </c>
      <c r="E57" s="51" t="s">
        <v>310</v>
      </c>
      <c r="F57" s="51" t="s">
        <v>415</v>
      </c>
      <c r="G57" s="51">
        <v>327</v>
      </c>
      <c r="H57" s="51" t="s">
        <v>335</v>
      </c>
      <c r="I57" s="67"/>
      <c r="J57" s="86"/>
    </row>
    <row r="58" spans="1:10" x14ac:dyDescent="0.25">
      <c r="A58" s="52">
        <v>44</v>
      </c>
      <c r="B58" s="73" t="s">
        <v>436</v>
      </c>
      <c r="C58" s="73" t="s">
        <v>437</v>
      </c>
      <c r="D58" s="73" t="s">
        <v>309</v>
      </c>
      <c r="E58" s="73" t="s">
        <v>315</v>
      </c>
      <c r="F58" s="73">
        <v>1</v>
      </c>
      <c r="G58" s="73">
        <v>342</v>
      </c>
      <c r="H58" s="73" t="s">
        <v>438</v>
      </c>
      <c r="I58" s="80"/>
      <c r="J58" s="85"/>
    </row>
    <row r="59" spans="1:10" x14ac:dyDescent="0.25">
      <c r="A59" s="52">
        <v>45</v>
      </c>
      <c r="B59" s="51" t="s">
        <v>439</v>
      </c>
      <c r="C59" s="51" t="s">
        <v>440</v>
      </c>
      <c r="D59" s="51" t="s">
        <v>309</v>
      </c>
      <c r="E59" s="51" t="s">
        <v>315</v>
      </c>
      <c r="F59" s="51">
        <v>1</v>
      </c>
      <c r="G59" s="51">
        <v>343</v>
      </c>
      <c r="H59" s="51" t="s">
        <v>330</v>
      </c>
      <c r="I59" s="67"/>
      <c r="J59" s="86"/>
    </row>
    <row r="60" spans="1:10" x14ac:dyDescent="0.25">
      <c r="A60" s="52">
        <v>46</v>
      </c>
      <c r="B60" s="73" t="s">
        <v>441</v>
      </c>
      <c r="C60" s="73" t="s">
        <v>442</v>
      </c>
      <c r="D60" s="73" t="s">
        <v>309</v>
      </c>
      <c r="E60" s="73" t="s">
        <v>310</v>
      </c>
      <c r="F60" s="73">
        <v>1</v>
      </c>
      <c r="G60" s="73">
        <v>344</v>
      </c>
      <c r="H60" s="73" t="s">
        <v>438</v>
      </c>
      <c r="I60" s="80"/>
      <c r="J60" s="85"/>
    </row>
    <row r="61" spans="1:10" ht="28.5" x14ac:dyDescent="0.25">
      <c r="A61" s="52">
        <v>47</v>
      </c>
      <c r="B61" s="51" t="s">
        <v>443</v>
      </c>
      <c r="C61" s="51" t="s">
        <v>444</v>
      </c>
      <c r="D61" s="51" t="s">
        <v>309</v>
      </c>
      <c r="E61" s="51" t="s">
        <v>315</v>
      </c>
      <c r="F61" s="51">
        <v>1</v>
      </c>
      <c r="G61" s="51">
        <v>345</v>
      </c>
      <c r="H61" s="51" t="s">
        <v>330</v>
      </c>
      <c r="I61" s="67"/>
      <c r="J61" s="86"/>
    </row>
    <row r="62" spans="1:10" ht="42.75" x14ac:dyDescent="0.25">
      <c r="A62" s="52">
        <v>48</v>
      </c>
      <c r="B62" s="73" t="s">
        <v>445</v>
      </c>
      <c r="C62" s="73" t="s">
        <v>446</v>
      </c>
      <c r="D62" s="73" t="s">
        <v>314</v>
      </c>
      <c r="E62" s="73" t="s">
        <v>315</v>
      </c>
      <c r="F62" s="73">
        <v>23</v>
      </c>
      <c r="G62" s="73">
        <v>346</v>
      </c>
      <c r="H62" s="73" t="s">
        <v>447</v>
      </c>
      <c r="I62" s="80"/>
      <c r="J62" s="85"/>
    </row>
    <row r="63" spans="1:10" x14ac:dyDescent="0.25">
      <c r="A63" s="52">
        <v>49</v>
      </c>
      <c r="B63" s="51" t="s">
        <v>448</v>
      </c>
      <c r="C63" s="51" t="s">
        <v>449</v>
      </c>
      <c r="D63" s="51" t="s">
        <v>314</v>
      </c>
      <c r="E63" s="51" t="s">
        <v>315</v>
      </c>
      <c r="F63" s="51">
        <v>5</v>
      </c>
      <c r="G63" s="51">
        <v>369</v>
      </c>
      <c r="H63" s="51" t="s">
        <v>335</v>
      </c>
      <c r="I63" s="67"/>
      <c r="J63" s="86"/>
    </row>
    <row r="64" spans="1:10" ht="28.5" x14ac:dyDescent="0.25">
      <c r="A64" s="52">
        <v>50</v>
      </c>
      <c r="B64" s="73" t="s">
        <v>450</v>
      </c>
      <c r="C64" s="73" t="s">
        <v>451</v>
      </c>
      <c r="D64" s="73" t="s">
        <v>314</v>
      </c>
      <c r="E64" s="73" t="s">
        <v>315</v>
      </c>
      <c r="F64" s="73">
        <v>3</v>
      </c>
      <c r="G64" s="73">
        <v>374</v>
      </c>
      <c r="H64" s="73" t="s">
        <v>452</v>
      </c>
      <c r="I64" s="80"/>
      <c r="J64" s="85"/>
    </row>
    <row r="65" spans="1:10" x14ac:dyDescent="0.25">
      <c r="A65" s="52">
        <v>51</v>
      </c>
      <c r="B65" s="51" t="s">
        <v>453</v>
      </c>
      <c r="C65" s="51" t="s">
        <v>454</v>
      </c>
      <c r="D65" s="51" t="s">
        <v>314</v>
      </c>
      <c r="E65" s="51" t="s">
        <v>315</v>
      </c>
      <c r="F65" s="51">
        <v>3</v>
      </c>
      <c r="G65" s="51">
        <v>377</v>
      </c>
      <c r="H65" s="51" t="s">
        <v>335</v>
      </c>
      <c r="I65" s="67"/>
      <c r="J65" s="86"/>
    </row>
    <row r="66" spans="1:10" ht="28.5" x14ac:dyDescent="0.25">
      <c r="A66" s="52">
        <v>52</v>
      </c>
      <c r="B66" s="73" t="s">
        <v>455</v>
      </c>
      <c r="C66" s="73" t="s">
        <v>456</v>
      </c>
      <c r="D66" s="73" t="s">
        <v>314</v>
      </c>
      <c r="E66" s="73" t="s">
        <v>315</v>
      </c>
      <c r="F66" s="73">
        <v>10</v>
      </c>
      <c r="G66" s="73">
        <v>380</v>
      </c>
      <c r="H66" s="73" t="s">
        <v>335</v>
      </c>
      <c r="I66" s="80"/>
      <c r="J66" s="85"/>
    </row>
    <row r="67" spans="1:10" x14ac:dyDescent="0.25">
      <c r="A67" s="52">
        <v>53</v>
      </c>
      <c r="B67" s="51" t="s">
        <v>457</v>
      </c>
      <c r="C67" s="51" t="s">
        <v>458</v>
      </c>
      <c r="D67" s="51" t="s">
        <v>314</v>
      </c>
      <c r="E67" s="51" t="s">
        <v>315</v>
      </c>
      <c r="F67" s="51">
        <v>1</v>
      </c>
      <c r="G67" s="51">
        <v>390</v>
      </c>
      <c r="H67" s="51" t="s">
        <v>335</v>
      </c>
      <c r="I67" s="67"/>
      <c r="J67" s="86"/>
    </row>
    <row r="68" spans="1:10" x14ac:dyDescent="0.25">
      <c r="A68" s="52">
        <v>54</v>
      </c>
      <c r="B68" s="73" t="s">
        <v>459</v>
      </c>
      <c r="C68" s="73" t="s">
        <v>460</v>
      </c>
      <c r="D68" s="73" t="s">
        <v>314</v>
      </c>
      <c r="E68" s="73" t="s">
        <v>315</v>
      </c>
      <c r="F68" s="73">
        <v>8</v>
      </c>
      <c r="G68" s="73">
        <v>391</v>
      </c>
      <c r="H68" s="73" t="s">
        <v>335</v>
      </c>
      <c r="I68" s="80"/>
      <c r="J68" s="85"/>
    </row>
    <row r="69" spans="1:10" x14ac:dyDescent="0.25">
      <c r="A69" s="52">
        <v>55</v>
      </c>
      <c r="B69" s="51" t="s">
        <v>461</v>
      </c>
      <c r="C69" s="51" t="s">
        <v>462</v>
      </c>
      <c r="D69" s="51" t="s">
        <v>314</v>
      </c>
      <c r="E69" s="51" t="s">
        <v>315</v>
      </c>
      <c r="F69" s="51">
        <v>3</v>
      </c>
      <c r="G69" s="51">
        <v>399</v>
      </c>
      <c r="H69" s="51" t="s">
        <v>463</v>
      </c>
      <c r="I69" s="67"/>
      <c r="J69" s="86"/>
    </row>
    <row r="70" spans="1:10" ht="28.5" x14ac:dyDescent="0.25">
      <c r="A70" s="152">
        <v>56</v>
      </c>
      <c r="B70" s="157" t="s">
        <v>464</v>
      </c>
      <c r="C70" s="157" t="s">
        <v>465</v>
      </c>
      <c r="D70" s="157" t="s">
        <v>314</v>
      </c>
      <c r="E70" s="157" t="s">
        <v>315</v>
      </c>
      <c r="F70" s="157">
        <v>4</v>
      </c>
      <c r="G70" s="157">
        <v>402</v>
      </c>
      <c r="H70" s="73" t="s">
        <v>466</v>
      </c>
      <c r="I70" s="148"/>
      <c r="J70" s="146"/>
    </row>
    <row r="71" spans="1:10" ht="28.5" x14ac:dyDescent="0.25">
      <c r="A71" s="153"/>
      <c r="B71" s="178"/>
      <c r="C71" s="178"/>
      <c r="D71" s="178"/>
      <c r="E71" s="178"/>
      <c r="F71" s="178"/>
      <c r="G71" s="178"/>
      <c r="H71" s="73" t="s">
        <v>467</v>
      </c>
      <c r="I71" s="177"/>
      <c r="J71" s="170"/>
    </row>
    <row r="72" spans="1:10" x14ac:dyDescent="0.25">
      <c r="A72" s="154"/>
      <c r="B72" s="158"/>
      <c r="C72" s="158"/>
      <c r="D72" s="158"/>
      <c r="E72" s="158"/>
      <c r="F72" s="158"/>
      <c r="G72" s="158"/>
      <c r="H72" s="73" t="s">
        <v>468</v>
      </c>
      <c r="I72" s="149"/>
      <c r="J72" s="147"/>
    </row>
    <row r="73" spans="1:10" x14ac:dyDescent="0.25">
      <c r="A73" s="52">
        <v>57</v>
      </c>
      <c r="B73" s="51" t="s">
        <v>469</v>
      </c>
      <c r="C73" s="51" t="s">
        <v>470</v>
      </c>
      <c r="D73" s="51" t="s">
        <v>314</v>
      </c>
      <c r="E73" s="51" t="s">
        <v>315</v>
      </c>
      <c r="F73" s="51">
        <v>3</v>
      </c>
      <c r="G73" s="51">
        <v>406</v>
      </c>
      <c r="H73" s="51" t="s">
        <v>471</v>
      </c>
      <c r="I73" s="67"/>
      <c r="J73" s="86"/>
    </row>
    <row r="74" spans="1:10" ht="28.5" x14ac:dyDescent="0.25">
      <c r="A74" s="52">
        <v>58</v>
      </c>
      <c r="B74" s="73" t="s">
        <v>472</v>
      </c>
      <c r="C74" s="73" t="s">
        <v>473</v>
      </c>
      <c r="D74" s="73" t="s">
        <v>314</v>
      </c>
      <c r="E74" s="73" t="s">
        <v>315</v>
      </c>
      <c r="F74" s="73">
        <v>11</v>
      </c>
      <c r="G74" s="73">
        <v>409</v>
      </c>
      <c r="H74" s="73" t="s">
        <v>474</v>
      </c>
      <c r="I74" s="80"/>
      <c r="J74" s="85"/>
    </row>
    <row r="75" spans="1:10" x14ac:dyDescent="0.25">
      <c r="A75" s="52"/>
      <c r="B75" s="51"/>
      <c r="C75" s="51"/>
      <c r="D75" s="51"/>
      <c r="E75" s="51"/>
      <c r="F75" s="51"/>
      <c r="G75" s="51"/>
      <c r="H75" s="51" t="s">
        <v>475</v>
      </c>
      <c r="I75" s="67"/>
      <c r="J75" s="86"/>
    </row>
    <row r="76" spans="1:10" x14ac:dyDescent="0.25">
      <c r="A76" s="52">
        <v>59</v>
      </c>
      <c r="B76" s="73" t="s">
        <v>476</v>
      </c>
      <c r="C76" s="73" t="s">
        <v>477</v>
      </c>
      <c r="D76" s="73" t="s">
        <v>314</v>
      </c>
      <c r="E76" s="73" t="s">
        <v>315</v>
      </c>
      <c r="F76" s="73">
        <v>11</v>
      </c>
      <c r="G76" s="73">
        <v>420</v>
      </c>
      <c r="H76" s="73" t="s">
        <v>335</v>
      </c>
      <c r="I76" s="80"/>
      <c r="J76" s="85"/>
    </row>
    <row r="77" spans="1:10" x14ac:dyDescent="0.25">
      <c r="A77" s="52">
        <v>60</v>
      </c>
      <c r="B77" s="51" t="s">
        <v>478</v>
      </c>
      <c r="C77" s="51" t="s">
        <v>479</v>
      </c>
      <c r="D77" s="51" t="s">
        <v>314</v>
      </c>
      <c r="E77" s="51" t="s">
        <v>315</v>
      </c>
      <c r="F77" s="51">
        <v>35</v>
      </c>
      <c r="G77" s="51">
        <v>431</v>
      </c>
      <c r="H77" s="51" t="s">
        <v>335</v>
      </c>
      <c r="I77" s="67"/>
      <c r="J77" s="86"/>
    </row>
    <row r="78" spans="1:10" x14ac:dyDescent="0.25">
      <c r="A78" s="52">
        <v>61</v>
      </c>
      <c r="B78" s="73" t="s">
        <v>480</v>
      </c>
      <c r="C78" s="73" t="s">
        <v>480</v>
      </c>
      <c r="D78" s="73" t="s">
        <v>314</v>
      </c>
      <c r="E78" s="73" t="s">
        <v>315</v>
      </c>
      <c r="F78" s="73">
        <v>2</v>
      </c>
      <c r="G78" s="73">
        <v>466</v>
      </c>
      <c r="H78" s="73" t="s">
        <v>335</v>
      </c>
      <c r="I78" s="80"/>
      <c r="J78" s="85"/>
    </row>
    <row r="79" spans="1:10" x14ac:dyDescent="0.25">
      <c r="A79" s="155">
        <v>62</v>
      </c>
      <c r="B79" s="165" t="s">
        <v>481</v>
      </c>
      <c r="C79" s="165" t="s">
        <v>482</v>
      </c>
      <c r="D79" s="165" t="s">
        <v>314</v>
      </c>
      <c r="E79" s="165" t="s">
        <v>315</v>
      </c>
      <c r="F79" s="165">
        <v>1</v>
      </c>
      <c r="G79" s="165">
        <v>468</v>
      </c>
      <c r="H79" s="51" t="s">
        <v>483</v>
      </c>
      <c r="I79" s="161" t="s">
        <v>844</v>
      </c>
      <c r="J79" s="144"/>
    </row>
    <row r="80" spans="1:10" x14ac:dyDescent="0.25">
      <c r="A80" s="179"/>
      <c r="B80" s="166"/>
      <c r="C80" s="166"/>
      <c r="D80" s="166"/>
      <c r="E80" s="166"/>
      <c r="F80" s="166"/>
      <c r="G80" s="166"/>
      <c r="H80" s="51" t="s">
        <v>484</v>
      </c>
      <c r="I80" s="150"/>
      <c r="J80" s="144"/>
    </row>
    <row r="81" spans="1:10" x14ac:dyDescent="0.25">
      <c r="A81" s="179"/>
      <c r="B81" s="166"/>
      <c r="C81" s="166"/>
      <c r="D81" s="166"/>
      <c r="E81" s="166"/>
      <c r="F81" s="166"/>
      <c r="G81" s="166"/>
      <c r="H81" s="51" t="s">
        <v>485</v>
      </c>
      <c r="I81" s="150"/>
      <c r="J81" s="144"/>
    </row>
    <row r="82" spans="1:10" x14ac:dyDescent="0.25">
      <c r="A82" s="179"/>
      <c r="B82" s="166"/>
      <c r="C82" s="166"/>
      <c r="D82" s="166"/>
      <c r="E82" s="166"/>
      <c r="F82" s="166"/>
      <c r="G82" s="166"/>
      <c r="H82" s="51" t="s">
        <v>486</v>
      </c>
      <c r="I82" s="150"/>
      <c r="J82" s="144"/>
    </row>
    <row r="83" spans="1:10" x14ac:dyDescent="0.25">
      <c r="A83" s="156"/>
      <c r="B83" s="167"/>
      <c r="C83" s="167"/>
      <c r="D83" s="167"/>
      <c r="E83" s="167"/>
      <c r="F83" s="167"/>
      <c r="G83" s="167"/>
      <c r="H83" s="51" t="s">
        <v>487</v>
      </c>
      <c r="I83" s="150"/>
      <c r="J83" s="144"/>
    </row>
    <row r="84" spans="1:10" x14ac:dyDescent="0.25">
      <c r="A84" s="72">
        <v>63</v>
      </c>
      <c r="B84" s="73" t="s">
        <v>488</v>
      </c>
      <c r="C84" s="73" t="s">
        <v>489</v>
      </c>
      <c r="D84" s="73" t="s">
        <v>314</v>
      </c>
      <c r="E84" s="73" t="s">
        <v>310</v>
      </c>
      <c r="F84" s="73" t="s">
        <v>490</v>
      </c>
      <c r="G84" s="73">
        <v>469</v>
      </c>
      <c r="H84" s="73" t="s">
        <v>491</v>
      </c>
      <c r="I84" s="80" t="s">
        <v>843</v>
      </c>
      <c r="J84" s="85" t="s">
        <v>775</v>
      </c>
    </row>
    <row r="85" spans="1:10" x14ac:dyDescent="0.25">
      <c r="A85" s="52">
        <v>64</v>
      </c>
      <c r="B85" s="51" t="s">
        <v>492</v>
      </c>
      <c r="C85" s="51" t="s">
        <v>493</v>
      </c>
      <c r="D85" s="51" t="s">
        <v>314</v>
      </c>
      <c r="E85" s="51" t="s">
        <v>310</v>
      </c>
      <c r="F85" s="51" t="s">
        <v>494</v>
      </c>
      <c r="G85" s="51">
        <v>478</v>
      </c>
      <c r="H85" s="51" t="s">
        <v>335</v>
      </c>
      <c r="I85" s="67"/>
      <c r="J85" s="86"/>
    </row>
    <row r="86" spans="1:10" ht="28.5" x14ac:dyDescent="0.25">
      <c r="A86" s="52">
        <v>65</v>
      </c>
      <c r="B86" s="73" t="s">
        <v>495</v>
      </c>
      <c r="C86" s="73" t="s">
        <v>496</v>
      </c>
      <c r="D86" s="73" t="s">
        <v>309</v>
      </c>
      <c r="E86" s="73" t="s">
        <v>315</v>
      </c>
      <c r="F86" s="73">
        <v>1</v>
      </c>
      <c r="G86" s="73">
        <v>485</v>
      </c>
      <c r="H86" s="73" t="s">
        <v>338</v>
      </c>
      <c r="I86" s="80"/>
      <c r="J86" s="85"/>
    </row>
    <row r="87" spans="1:10" x14ac:dyDescent="0.25">
      <c r="A87" s="52">
        <v>66</v>
      </c>
      <c r="B87" s="51" t="s">
        <v>497</v>
      </c>
      <c r="C87" s="51" t="s">
        <v>498</v>
      </c>
      <c r="D87" s="51" t="s">
        <v>314</v>
      </c>
      <c r="E87" s="51" t="s">
        <v>315</v>
      </c>
      <c r="F87" s="51">
        <v>1</v>
      </c>
      <c r="G87" s="51">
        <v>486</v>
      </c>
      <c r="H87" s="51" t="s">
        <v>335</v>
      </c>
      <c r="I87" s="67"/>
      <c r="J87" s="86"/>
    </row>
    <row r="88" spans="1:10" x14ac:dyDescent="0.25">
      <c r="A88" s="52">
        <v>67</v>
      </c>
      <c r="B88" s="73" t="s">
        <v>499</v>
      </c>
      <c r="C88" s="73" t="s">
        <v>500</v>
      </c>
      <c r="D88" s="73" t="s">
        <v>314</v>
      </c>
      <c r="E88" s="73" t="s">
        <v>315</v>
      </c>
      <c r="F88" s="73">
        <v>1</v>
      </c>
      <c r="G88" s="73">
        <v>487</v>
      </c>
      <c r="H88" s="73" t="s">
        <v>335</v>
      </c>
      <c r="I88" s="80"/>
      <c r="J88" s="85"/>
    </row>
    <row r="89" spans="1:10" x14ac:dyDescent="0.25">
      <c r="A89" s="72">
        <v>68</v>
      </c>
      <c r="B89" s="51" t="s">
        <v>501</v>
      </c>
      <c r="C89" s="51" t="s">
        <v>502</v>
      </c>
      <c r="D89" s="51" t="s">
        <v>309</v>
      </c>
      <c r="E89" s="51" t="s">
        <v>310</v>
      </c>
      <c r="F89" s="51">
        <v>8</v>
      </c>
      <c r="G89" s="51">
        <v>488</v>
      </c>
      <c r="H89" s="51" t="s">
        <v>503</v>
      </c>
      <c r="I89" s="67">
        <v>60</v>
      </c>
      <c r="J89" s="86"/>
    </row>
    <row r="90" spans="1:10" x14ac:dyDescent="0.25">
      <c r="A90" s="72">
        <v>69</v>
      </c>
      <c r="B90" s="73" t="s">
        <v>504</v>
      </c>
      <c r="C90" s="73" t="s">
        <v>505</v>
      </c>
      <c r="D90" s="73" t="s">
        <v>309</v>
      </c>
      <c r="E90" s="73" t="s">
        <v>310</v>
      </c>
      <c r="F90" s="73">
        <v>6</v>
      </c>
      <c r="G90" s="73">
        <v>496</v>
      </c>
      <c r="H90" s="73" t="s">
        <v>335</v>
      </c>
      <c r="I90" s="80">
        <v>60</v>
      </c>
      <c r="J90" s="85"/>
    </row>
    <row r="91" spans="1:10" x14ac:dyDescent="0.25">
      <c r="A91" s="72">
        <v>70</v>
      </c>
      <c r="B91" s="51" t="s">
        <v>506</v>
      </c>
      <c r="C91" s="51" t="s">
        <v>507</v>
      </c>
      <c r="D91" s="51" t="s">
        <v>309</v>
      </c>
      <c r="E91" s="51" t="s">
        <v>310</v>
      </c>
      <c r="F91" s="51" t="s">
        <v>508</v>
      </c>
      <c r="G91" s="51">
        <v>502</v>
      </c>
      <c r="H91" s="51" t="s">
        <v>509</v>
      </c>
      <c r="I91" s="67">
        <v>6</v>
      </c>
      <c r="J91" s="86" t="s">
        <v>692</v>
      </c>
    </row>
    <row r="92" spans="1:10" ht="30" x14ac:dyDescent="0.25">
      <c r="A92" s="72">
        <v>71</v>
      </c>
      <c r="B92" s="73" t="s">
        <v>510</v>
      </c>
      <c r="C92" s="73" t="s">
        <v>511</v>
      </c>
      <c r="D92" s="73" t="s">
        <v>314</v>
      </c>
      <c r="E92" s="73" t="s">
        <v>310</v>
      </c>
      <c r="F92" s="73" t="s">
        <v>512</v>
      </c>
      <c r="G92" s="73">
        <v>514</v>
      </c>
      <c r="H92" s="73" t="s">
        <v>513</v>
      </c>
      <c r="I92" s="80"/>
      <c r="J92" s="85" t="s">
        <v>693</v>
      </c>
    </row>
    <row r="93" spans="1:10" x14ac:dyDescent="0.25">
      <c r="A93" s="52">
        <v>72</v>
      </c>
      <c r="B93" s="51" t="s">
        <v>514</v>
      </c>
      <c r="C93" s="51" t="s">
        <v>515</v>
      </c>
      <c r="D93" s="51" t="s">
        <v>309</v>
      </c>
      <c r="E93" s="51" t="s">
        <v>315</v>
      </c>
      <c r="F93" s="51">
        <v>1</v>
      </c>
      <c r="G93" s="51">
        <v>523</v>
      </c>
      <c r="H93" s="51" t="s">
        <v>516</v>
      </c>
      <c r="I93" s="67"/>
      <c r="J93" s="86"/>
    </row>
    <row r="94" spans="1:10" x14ac:dyDescent="0.25">
      <c r="A94" s="52"/>
      <c r="B94" s="73"/>
      <c r="C94" s="73"/>
      <c r="D94" s="73"/>
      <c r="E94" s="73"/>
      <c r="F94" s="73"/>
      <c r="G94" s="73"/>
      <c r="H94" s="73" t="s">
        <v>517</v>
      </c>
      <c r="I94" s="80"/>
      <c r="J94" s="85"/>
    </row>
    <row r="95" spans="1:10" ht="28.5" x14ac:dyDescent="0.25">
      <c r="A95" s="72">
        <v>73</v>
      </c>
      <c r="B95" s="51" t="s">
        <v>518</v>
      </c>
      <c r="C95" s="51" t="s">
        <v>519</v>
      </c>
      <c r="D95" s="51" t="s">
        <v>309</v>
      </c>
      <c r="E95" s="51" t="s">
        <v>310</v>
      </c>
      <c r="F95" s="51" t="s">
        <v>409</v>
      </c>
      <c r="G95" s="51">
        <v>524</v>
      </c>
      <c r="H95" s="51" t="s">
        <v>410</v>
      </c>
      <c r="I95" s="67" t="s">
        <v>688</v>
      </c>
      <c r="J95" s="86"/>
    </row>
    <row r="96" spans="1:10" x14ac:dyDescent="0.25">
      <c r="A96" s="52">
        <v>74</v>
      </c>
      <c r="B96" s="73" t="s">
        <v>520</v>
      </c>
      <c r="C96" s="73" t="s">
        <v>521</v>
      </c>
      <c r="D96" s="73" t="s">
        <v>314</v>
      </c>
      <c r="E96" s="73" t="s">
        <v>315</v>
      </c>
      <c r="F96" s="73">
        <v>1</v>
      </c>
      <c r="G96" s="73">
        <v>539</v>
      </c>
      <c r="H96" s="73" t="s">
        <v>335</v>
      </c>
      <c r="I96" s="80"/>
      <c r="J96" s="85"/>
    </row>
    <row r="97" spans="1:10" x14ac:dyDescent="0.25">
      <c r="A97" s="52">
        <v>75</v>
      </c>
      <c r="B97" s="51" t="s">
        <v>522</v>
      </c>
      <c r="C97" s="51" t="s">
        <v>523</v>
      </c>
      <c r="D97" s="51" t="s">
        <v>314</v>
      </c>
      <c r="E97" s="51" t="s">
        <v>315</v>
      </c>
      <c r="F97" s="51">
        <v>4</v>
      </c>
      <c r="G97" s="51">
        <v>540</v>
      </c>
      <c r="H97" s="51" t="s">
        <v>335</v>
      </c>
      <c r="I97" s="67"/>
      <c r="J97" s="86"/>
    </row>
    <row r="98" spans="1:10" ht="28.5" customHeight="1" x14ac:dyDescent="0.25">
      <c r="A98" s="152">
        <v>76</v>
      </c>
      <c r="B98" s="157" t="s">
        <v>524</v>
      </c>
      <c r="C98" s="157" t="s">
        <v>525</v>
      </c>
      <c r="D98" s="157" t="s">
        <v>309</v>
      </c>
      <c r="E98" s="157" t="s">
        <v>315</v>
      </c>
      <c r="F98" s="157">
        <v>1</v>
      </c>
      <c r="G98" s="157">
        <v>544</v>
      </c>
      <c r="H98" s="73" t="s">
        <v>526</v>
      </c>
      <c r="I98" s="148"/>
      <c r="J98" s="146"/>
    </row>
    <row r="99" spans="1:10" ht="28.5" x14ac:dyDescent="0.25">
      <c r="A99" s="154"/>
      <c r="B99" s="158"/>
      <c r="C99" s="158"/>
      <c r="D99" s="158"/>
      <c r="E99" s="158"/>
      <c r="F99" s="158"/>
      <c r="G99" s="158"/>
      <c r="H99" s="73" t="s">
        <v>527</v>
      </c>
      <c r="I99" s="149"/>
      <c r="J99" s="147"/>
    </row>
    <row r="100" spans="1:10" x14ac:dyDescent="0.25">
      <c r="A100" s="155">
        <v>77</v>
      </c>
      <c r="B100" s="165" t="s">
        <v>528</v>
      </c>
      <c r="C100" s="165" t="s">
        <v>529</v>
      </c>
      <c r="D100" s="165" t="s">
        <v>314</v>
      </c>
      <c r="E100" s="165" t="s">
        <v>315</v>
      </c>
      <c r="F100" s="165">
        <v>1</v>
      </c>
      <c r="G100" s="165">
        <v>545</v>
      </c>
      <c r="H100" s="51" t="s">
        <v>530</v>
      </c>
      <c r="I100" s="151" t="s">
        <v>681</v>
      </c>
      <c r="J100" s="145"/>
    </row>
    <row r="101" spans="1:10" x14ac:dyDescent="0.25">
      <c r="A101" s="179"/>
      <c r="B101" s="166"/>
      <c r="C101" s="166"/>
      <c r="D101" s="166"/>
      <c r="E101" s="166"/>
      <c r="F101" s="166"/>
      <c r="G101" s="166"/>
      <c r="H101" s="51"/>
      <c r="I101" s="168"/>
      <c r="J101" s="159"/>
    </row>
    <row r="102" spans="1:10" x14ac:dyDescent="0.25">
      <c r="A102" s="179"/>
      <c r="B102" s="166"/>
      <c r="C102" s="166"/>
      <c r="D102" s="166"/>
      <c r="E102" s="166"/>
      <c r="F102" s="166"/>
      <c r="G102" s="166"/>
      <c r="H102" s="51" t="s">
        <v>531</v>
      </c>
      <c r="I102" s="168"/>
      <c r="J102" s="159"/>
    </row>
    <row r="103" spans="1:10" x14ac:dyDescent="0.25">
      <c r="A103" s="156"/>
      <c r="B103" s="167"/>
      <c r="C103" s="167"/>
      <c r="D103" s="167"/>
      <c r="E103" s="167"/>
      <c r="F103" s="167"/>
      <c r="G103" s="167"/>
      <c r="H103" s="51" t="s">
        <v>532</v>
      </c>
      <c r="I103" s="169"/>
      <c r="J103" s="160"/>
    </row>
    <row r="104" spans="1:10" x14ac:dyDescent="0.25">
      <c r="A104" s="52">
        <v>78</v>
      </c>
      <c r="B104" s="73" t="s">
        <v>533</v>
      </c>
      <c r="C104" s="73" t="s">
        <v>534</v>
      </c>
      <c r="D104" s="73" t="s">
        <v>314</v>
      </c>
      <c r="E104" s="73" t="s">
        <v>315</v>
      </c>
      <c r="F104" s="73">
        <v>1</v>
      </c>
      <c r="G104" s="73">
        <v>546</v>
      </c>
      <c r="H104" s="73" t="s">
        <v>335</v>
      </c>
      <c r="I104" s="80"/>
      <c r="J104" s="85"/>
    </row>
    <row r="105" spans="1:10" x14ac:dyDescent="0.25">
      <c r="A105" s="52">
        <v>79</v>
      </c>
      <c r="B105" s="51" t="s">
        <v>535</v>
      </c>
      <c r="C105" s="51" t="s">
        <v>536</v>
      </c>
      <c r="D105" s="51" t="s">
        <v>314</v>
      </c>
      <c r="E105" s="51" t="s">
        <v>315</v>
      </c>
      <c r="F105" s="51">
        <v>1</v>
      </c>
      <c r="G105" s="51">
        <v>547</v>
      </c>
      <c r="H105" s="51" t="s">
        <v>335</v>
      </c>
      <c r="I105" s="67"/>
      <c r="J105" s="86"/>
    </row>
    <row r="106" spans="1:10" x14ac:dyDescent="0.25">
      <c r="A106" s="52">
        <v>80</v>
      </c>
      <c r="B106" s="73" t="s">
        <v>537</v>
      </c>
      <c r="C106" s="73" t="s">
        <v>538</v>
      </c>
      <c r="D106" s="73" t="s">
        <v>314</v>
      </c>
      <c r="E106" s="73" t="s">
        <v>315</v>
      </c>
      <c r="F106" s="73">
        <v>1</v>
      </c>
      <c r="G106" s="73">
        <v>548</v>
      </c>
      <c r="H106" s="73" t="s">
        <v>335</v>
      </c>
      <c r="I106" s="80"/>
      <c r="J106" s="85"/>
    </row>
    <row r="107" spans="1:10" x14ac:dyDescent="0.25">
      <c r="A107" s="52">
        <v>81</v>
      </c>
      <c r="B107" s="51" t="s">
        <v>539</v>
      </c>
      <c r="C107" s="51" t="s">
        <v>540</v>
      </c>
      <c r="D107" s="51" t="s">
        <v>314</v>
      </c>
      <c r="E107" s="51" t="s">
        <v>315</v>
      </c>
      <c r="F107" s="51">
        <v>5</v>
      </c>
      <c r="G107" s="51">
        <v>549</v>
      </c>
      <c r="H107" s="51" t="s">
        <v>335</v>
      </c>
      <c r="I107" s="67"/>
      <c r="J107" s="86"/>
    </row>
    <row r="108" spans="1:10" x14ac:dyDescent="0.25">
      <c r="A108" s="52">
        <v>82</v>
      </c>
      <c r="B108" s="73" t="s">
        <v>541</v>
      </c>
      <c r="C108" s="73" t="s">
        <v>542</v>
      </c>
      <c r="D108" s="73" t="s">
        <v>314</v>
      </c>
      <c r="E108" s="73" t="s">
        <v>315</v>
      </c>
      <c r="F108" s="73">
        <v>5</v>
      </c>
      <c r="G108" s="73">
        <v>554</v>
      </c>
      <c r="H108" s="73" t="s">
        <v>335</v>
      </c>
      <c r="I108" s="80"/>
      <c r="J108" s="85"/>
    </row>
    <row r="109" spans="1:10" x14ac:dyDescent="0.25">
      <c r="A109" s="52">
        <v>83</v>
      </c>
      <c r="B109" s="51" t="s">
        <v>543</v>
      </c>
      <c r="C109" s="51" t="s">
        <v>544</v>
      </c>
      <c r="D109" s="51" t="s">
        <v>314</v>
      </c>
      <c r="E109" s="51" t="s">
        <v>315</v>
      </c>
      <c r="F109" s="51">
        <v>1</v>
      </c>
      <c r="G109" s="51">
        <v>559</v>
      </c>
      <c r="H109" s="51" t="s">
        <v>545</v>
      </c>
      <c r="I109" s="67"/>
      <c r="J109" s="86"/>
    </row>
    <row r="110" spans="1:10" x14ac:dyDescent="0.25">
      <c r="A110" s="52">
        <v>84</v>
      </c>
      <c r="B110" s="73" t="s">
        <v>480</v>
      </c>
      <c r="C110" s="73" t="s">
        <v>480</v>
      </c>
      <c r="D110" s="73" t="s">
        <v>314</v>
      </c>
      <c r="E110" s="73" t="s">
        <v>315</v>
      </c>
      <c r="F110" s="73">
        <v>2</v>
      </c>
      <c r="G110" s="73">
        <v>560</v>
      </c>
      <c r="H110" s="73" t="s">
        <v>335</v>
      </c>
      <c r="I110" s="80"/>
      <c r="J110" s="85"/>
    </row>
    <row r="111" spans="1:10" ht="28.5" x14ac:dyDescent="0.25">
      <c r="A111" s="72">
        <v>85</v>
      </c>
      <c r="B111" s="51" t="s">
        <v>546</v>
      </c>
      <c r="C111" s="51" t="s">
        <v>547</v>
      </c>
      <c r="D111" s="51" t="s">
        <v>314</v>
      </c>
      <c r="E111" s="51" t="s">
        <v>548</v>
      </c>
      <c r="F111" s="51" t="s">
        <v>549</v>
      </c>
      <c r="G111" s="51">
        <v>562</v>
      </c>
      <c r="H111" s="51" t="s">
        <v>550</v>
      </c>
      <c r="I111" s="67">
        <v>155</v>
      </c>
      <c r="J111" s="86"/>
    </row>
    <row r="112" spans="1:10" ht="28.5" x14ac:dyDescent="0.25">
      <c r="A112" s="52">
        <v>86</v>
      </c>
      <c r="B112" s="73" t="s">
        <v>551</v>
      </c>
      <c r="C112" s="73" t="s">
        <v>552</v>
      </c>
      <c r="D112" s="73" t="s">
        <v>314</v>
      </c>
      <c r="E112" s="73" t="s">
        <v>315</v>
      </c>
      <c r="F112" s="73">
        <v>1</v>
      </c>
      <c r="G112" s="73">
        <v>580</v>
      </c>
      <c r="H112" s="73" t="s">
        <v>335</v>
      </c>
      <c r="I112" s="80"/>
      <c r="J112" s="85"/>
    </row>
    <row r="113" spans="1:10" x14ac:dyDescent="0.25">
      <c r="A113" s="72">
        <v>87</v>
      </c>
      <c r="B113" s="165" t="s">
        <v>553</v>
      </c>
      <c r="C113" s="165" t="s">
        <v>554</v>
      </c>
      <c r="D113" s="165" t="s">
        <v>314</v>
      </c>
      <c r="E113" s="165" t="s">
        <v>315</v>
      </c>
      <c r="F113" s="165">
        <v>8</v>
      </c>
      <c r="G113" s="165">
        <v>581</v>
      </c>
      <c r="H113" s="51" t="s">
        <v>555</v>
      </c>
      <c r="I113" s="151">
        <v>64</v>
      </c>
      <c r="J113" s="145" t="s">
        <v>689</v>
      </c>
    </row>
    <row r="114" spans="1:10" x14ac:dyDescent="0.25">
      <c r="A114" s="52"/>
      <c r="B114" s="167"/>
      <c r="C114" s="167"/>
      <c r="D114" s="167"/>
      <c r="E114" s="167"/>
      <c r="F114" s="167"/>
      <c r="G114" s="167"/>
      <c r="H114" s="73" t="s">
        <v>556</v>
      </c>
      <c r="I114" s="169"/>
      <c r="J114" s="160"/>
    </row>
    <row r="115" spans="1:10" x14ac:dyDescent="0.25">
      <c r="A115" s="52">
        <v>88</v>
      </c>
      <c r="B115" s="73" t="s">
        <v>557</v>
      </c>
      <c r="C115" s="73" t="s">
        <v>558</v>
      </c>
      <c r="D115" s="73" t="s">
        <v>314</v>
      </c>
      <c r="E115" s="73" t="s">
        <v>315</v>
      </c>
      <c r="F115" s="73">
        <v>9</v>
      </c>
      <c r="G115" s="73">
        <v>589</v>
      </c>
      <c r="H115" s="73" t="s">
        <v>335</v>
      </c>
      <c r="I115" s="80"/>
      <c r="J115" s="85"/>
    </row>
    <row r="116" spans="1:10" x14ac:dyDescent="0.25">
      <c r="A116" s="52">
        <v>89</v>
      </c>
      <c r="B116" s="51" t="s">
        <v>559</v>
      </c>
      <c r="C116" s="51" t="s">
        <v>560</v>
      </c>
      <c r="D116" s="51" t="s">
        <v>314</v>
      </c>
      <c r="E116" s="51" t="s">
        <v>315</v>
      </c>
      <c r="F116" s="51">
        <v>1</v>
      </c>
      <c r="G116" s="51">
        <v>598</v>
      </c>
      <c r="H116" s="51" t="s">
        <v>335</v>
      </c>
      <c r="I116" s="67"/>
      <c r="J116" s="86"/>
    </row>
    <row r="117" spans="1:10" ht="28.5" x14ac:dyDescent="0.25">
      <c r="A117" s="52">
        <v>90</v>
      </c>
      <c r="B117" s="73" t="s">
        <v>561</v>
      </c>
      <c r="C117" s="73" t="s">
        <v>562</v>
      </c>
      <c r="D117" s="73" t="s">
        <v>314</v>
      </c>
      <c r="E117" s="73" t="s">
        <v>315</v>
      </c>
      <c r="F117" s="73">
        <v>5</v>
      </c>
      <c r="G117" s="73">
        <v>599</v>
      </c>
      <c r="H117" s="73" t="s">
        <v>335</v>
      </c>
      <c r="I117" s="80"/>
      <c r="J117" s="85"/>
    </row>
    <row r="118" spans="1:10" x14ac:dyDescent="0.25">
      <c r="A118" s="52">
        <v>91</v>
      </c>
      <c r="B118" s="51" t="s">
        <v>563</v>
      </c>
      <c r="C118" s="51" t="s">
        <v>564</v>
      </c>
      <c r="D118" s="51" t="s">
        <v>309</v>
      </c>
      <c r="E118" s="51" t="s">
        <v>310</v>
      </c>
      <c r="F118" s="51">
        <v>2</v>
      </c>
      <c r="G118" s="51">
        <v>604</v>
      </c>
      <c r="H118" s="51" t="s">
        <v>565</v>
      </c>
      <c r="I118" s="67"/>
      <c r="J118" s="86"/>
    </row>
    <row r="119" spans="1:10" ht="28.5" x14ac:dyDescent="0.25">
      <c r="A119" s="52">
        <v>92</v>
      </c>
      <c r="B119" s="73" t="s">
        <v>566</v>
      </c>
      <c r="C119" s="73" t="s">
        <v>567</v>
      </c>
      <c r="D119" s="73" t="s">
        <v>314</v>
      </c>
      <c r="E119" s="73" t="s">
        <v>315</v>
      </c>
      <c r="F119" s="73">
        <v>80</v>
      </c>
      <c r="G119" s="73">
        <v>606</v>
      </c>
      <c r="H119" s="73" t="s">
        <v>335</v>
      </c>
      <c r="I119" s="80"/>
      <c r="J119" s="85"/>
    </row>
    <row r="120" spans="1:10" ht="28.5" x14ac:dyDescent="0.25">
      <c r="A120" s="52">
        <v>93</v>
      </c>
      <c r="B120" s="51" t="s">
        <v>568</v>
      </c>
      <c r="C120" s="51" t="s">
        <v>569</v>
      </c>
      <c r="D120" s="51" t="s">
        <v>314</v>
      </c>
      <c r="E120" s="51" t="s">
        <v>315</v>
      </c>
      <c r="F120" s="51">
        <v>35</v>
      </c>
      <c r="G120" s="51">
        <v>686</v>
      </c>
      <c r="H120" s="51" t="s">
        <v>335</v>
      </c>
      <c r="I120" s="67"/>
      <c r="J120" s="86"/>
    </row>
    <row r="121" spans="1:10" x14ac:dyDescent="0.25">
      <c r="A121" s="52">
        <v>94</v>
      </c>
      <c r="B121" s="73" t="s">
        <v>570</v>
      </c>
      <c r="C121" s="73" t="s">
        <v>571</v>
      </c>
      <c r="D121" s="73" t="s">
        <v>314</v>
      </c>
      <c r="E121" s="73" t="s">
        <v>315</v>
      </c>
      <c r="F121" s="73">
        <v>50</v>
      </c>
      <c r="G121" s="73">
        <v>721</v>
      </c>
      <c r="H121" s="73" t="s">
        <v>335</v>
      </c>
      <c r="I121" s="80"/>
      <c r="J121" s="85"/>
    </row>
    <row r="122" spans="1:10" x14ac:dyDescent="0.25">
      <c r="A122" s="52">
        <v>95</v>
      </c>
      <c r="B122" s="51" t="s">
        <v>572</v>
      </c>
      <c r="C122" s="51" t="s">
        <v>573</v>
      </c>
      <c r="D122" s="51" t="s">
        <v>314</v>
      </c>
      <c r="E122" s="51" t="s">
        <v>315</v>
      </c>
      <c r="F122" s="51">
        <v>11</v>
      </c>
      <c r="G122" s="51">
        <v>771</v>
      </c>
      <c r="H122" s="51" t="s">
        <v>335</v>
      </c>
      <c r="I122" s="67"/>
      <c r="J122" s="86"/>
    </row>
    <row r="123" spans="1:10" ht="28.5" x14ac:dyDescent="0.25">
      <c r="A123" s="52">
        <v>96</v>
      </c>
      <c r="B123" s="73" t="s">
        <v>574</v>
      </c>
      <c r="C123" s="73" t="s">
        <v>575</v>
      </c>
      <c r="D123" s="73" t="s">
        <v>314</v>
      </c>
      <c r="E123" s="73" t="s">
        <v>315</v>
      </c>
      <c r="F123" s="73">
        <v>35</v>
      </c>
      <c r="G123" s="73">
        <v>782</v>
      </c>
      <c r="H123" s="73" t="s">
        <v>335</v>
      </c>
      <c r="I123" s="80"/>
      <c r="J123" s="85"/>
    </row>
    <row r="124" spans="1:10" x14ac:dyDescent="0.25">
      <c r="A124" s="52">
        <v>97</v>
      </c>
      <c r="B124" s="51" t="s">
        <v>576</v>
      </c>
      <c r="C124" s="51" t="s">
        <v>577</v>
      </c>
      <c r="D124" s="51" t="s">
        <v>314</v>
      </c>
      <c r="E124" s="51" t="s">
        <v>315</v>
      </c>
      <c r="F124" s="51">
        <v>35</v>
      </c>
      <c r="G124" s="51">
        <v>817</v>
      </c>
      <c r="H124" s="51" t="s">
        <v>335</v>
      </c>
      <c r="I124" s="67"/>
      <c r="J124" s="86"/>
    </row>
    <row r="125" spans="1:10" ht="28.5" x14ac:dyDescent="0.25">
      <c r="A125" s="155">
        <v>98</v>
      </c>
      <c r="B125" s="157" t="s">
        <v>578</v>
      </c>
      <c r="C125" s="73" t="s">
        <v>579</v>
      </c>
      <c r="D125" s="157" t="s">
        <v>314</v>
      </c>
      <c r="E125" s="157" t="s">
        <v>310</v>
      </c>
      <c r="F125" s="157" t="s">
        <v>415</v>
      </c>
      <c r="G125" s="157">
        <v>852</v>
      </c>
      <c r="H125" s="73" t="s">
        <v>582</v>
      </c>
      <c r="I125" s="148">
        <v>139</v>
      </c>
      <c r="J125" s="146"/>
    </row>
    <row r="126" spans="1:10" ht="28.5" x14ac:dyDescent="0.25">
      <c r="A126" s="179"/>
      <c r="B126" s="178"/>
      <c r="C126" s="73" t="s">
        <v>580</v>
      </c>
      <c r="D126" s="178"/>
      <c r="E126" s="178"/>
      <c r="F126" s="178"/>
      <c r="G126" s="178"/>
      <c r="H126" s="73" t="s">
        <v>583</v>
      </c>
      <c r="I126" s="177"/>
      <c r="J126" s="170"/>
    </row>
    <row r="127" spans="1:10" ht="28.5" x14ac:dyDescent="0.25">
      <c r="A127" s="156"/>
      <c r="B127" s="158"/>
      <c r="C127" s="73" t="s">
        <v>581</v>
      </c>
      <c r="D127" s="158"/>
      <c r="E127" s="158"/>
      <c r="F127" s="158"/>
      <c r="G127" s="158"/>
      <c r="H127" s="73"/>
      <c r="I127" s="149"/>
      <c r="J127" s="147"/>
    </row>
    <row r="128" spans="1:10" ht="28.5" x14ac:dyDescent="0.25">
      <c r="A128" s="72">
        <v>99</v>
      </c>
      <c r="B128" s="51" t="s">
        <v>584</v>
      </c>
      <c r="C128" s="58" t="s">
        <v>585</v>
      </c>
      <c r="D128" s="51" t="s">
        <v>314</v>
      </c>
      <c r="E128" s="51" t="s">
        <v>315</v>
      </c>
      <c r="F128" s="51">
        <v>3</v>
      </c>
      <c r="G128" s="51">
        <v>867</v>
      </c>
      <c r="H128" s="51" t="s">
        <v>335</v>
      </c>
      <c r="I128" s="67"/>
      <c r="J128" s="86"/>
    </row>
    <row r="129" spans="1:10" x14ac:dyDescent="0.25">
      <c r="A129" s="155">
        <v>100</v>
      </c>
      <c r="B129" s="157" t="s">
        <v>586</v>
      </c>
      <c r="C129" s="73" t="s">
        <v>587</v>
      </c>
      <c r="D129" s="157" t="s">
        <v>314</v>
      </c>
      <c r="E129" s="157" t="s">
        <v>315</v>
      </c>
      <c r="F129" s="157">
        <v>1</v>
      </c>
      <c r="G129" s="157">
        <v>870</v>
      </c>
      <c r="H129" s="73" t="s">
        <v>588</v>
      </c>
      <c r="I129" s="148"/>
      <c r="J129" s="146"/>
    </row>
    <row r="130" spans="1:10" x14ac:dyDescent="0.25">
      <c r="A130" s="179"/>
      <c r="B130" s="178"/>
      <c r="C130" s="73"/>
      <c r="D130" s="178"/>
      <c r="E130" s="178"/>
      <c r="F130" s="178"/>
      <c r="G130" s="178"/>
      <c r="H130" s="73"/>
      <c r="I130" s="177"/>
      <c r="J130" s="170"/>
    </row>
    <row r="131" spans="1:10" x14ac:dyDescent="0.25">
      <c r="A131" s="179"/>
      <c r="B131" s="158"/>
      <c r="C131" s="73"/>
      <c r="D131" s="158"/>
      <c r="E131" s="158"/>
      <c r="F131" s="158"/>
      <c r="G131" s="158"/>
      <c r="H131" s="73" t="s">
        <v>589</v>
      </c>
      <c r="I131" s="149"/>
      <c r="J131" s="147"/>
    </row>
    <row r="132" spans="1:10" x14ac:dyDescent="0.25">
      <c r="A132" s="179"/>
      <c r="B132" s="157"/>
      <c r="C132" s="73"/>
      <c r="D132" s="157"/>
      <c r="E132" s="157"/>
      <c r="F132" s="157"/>
      <c r="G132" s="157"/>
      <c r="H132" s="73" t="s">
        <v>590</v>
      </c>
      <c r="I132" s="148"/>
      <c r="J132" s="146"/>
    </row>
    <row r="133" spans="1:10" x14ac:dyDescent="0.25">
      <c r="A133" s="156"/>
      <c r="B133" s="178"/>
      <c r="C133" s="73"/>
      <c r="D133" s="178"/>
      <c r="E133" s="178"/>
      <c r="F133" s="178"/>
      <c r="G133" s="178"/>
      <c r="H133" s="73" t="s">
        <v>591</v>
      </c>
      <c r="I133" s="177"/>
      <c r="J133" s="170"/>
    </row>
    <row r="134" spans="1:10" ht="28.5" x14ac:dyDescent="0.25">
      <c r="A134" s="155" t="s">
        <v>592</v>
      </c>
      <c r="B134" s="165" t="s">
        <v>578</v>
      </c>
      <c r="C134" s="76" t="s">
        <v>593</v>
      </c>
      <c r="D134" s="165" t="s">
        <v>314</v>
      </c>
      <c r="E134" s="165" t="s">
        <v>310</v>
      </c>
      <c r="F134" s="165" t="s">
        <v>415</v>
      </c>
      <c r="G134" s="165">
        <v>871</v>
      </c>
      <c r="H134" s="51" t="s">
        <v>582</v>
      </c>
      <c r="I134" s="151"/>
      <c r="J134" s="145"/>
    </row>
    <row r="135" spans="1:10" ht="28.5" x14ac:dyDescent="0.25">
      <c r="A135" s="156"/>
      <c r="B135" s="167"/>
      <c r="C135" s="76" t="s">
        <v>594</v>
      </c>
      <c r="D135" s="167"/>
      <c r="E135" s="167"/>
      <c r="F135" s="167"/>
      <c r="G135" s="167"/>
      <c r="H135" s="51" t="s">
        <v>583</v>
      </c>
      <c r="I135" s="169"/>
      <c r="J135" s="160"/>
    </row>
    <row r="136" spans="1:10" ht="28.5" x14ac:dyDescent="0.25">
      <c r="A136" s="72">
        <v>102</v>
      </c>
      <c r="B136" s="73" t="s">
        <v>584</v>
      </c>
      <c r="C136" s="73" t="s">
        <v>595</v>
      </c>
      <c r="D136" s="73" t="s">
        <v>314</v>
      </c>
      <c r="E136" s="73" t="s">
        <v>315</v>
      </c>
      <c r="F136" s="73">
        <v>3</v>
      </c>
      <c r="G136" s="73">
        <v>886</v>
      </c>
      <c r="H136" s="73" t="s">
        <v>335</v>
      </c>
      <c r="I136" s="80"/>
      <c r="J136" s="85"/>
    </row>
    <row r="137" spans="1:10" x14ac:dyDescent="0.25">
      <c r="A137" s="155">
        <v>103</v>
      </c>
      <c r="B137" s="165" t="s">
        <v>586</v>
      </c>
      <c r="C137" s="162" t="s">
        <v>596</v>
      </c>
      <c r="D137" s="165" t="s">
        <v>314</v>
      </c>
      <c r="E137" s="165" t="s">
        <v>315</v>
      </c>
      <c r="F137" s="165">
        <v>1</v>
      </c>
      <c r="G137" s="165">
        <v>889</v>
      </c>
      <c r="H137" s="51" t="s">
        <v>588</v>
      </c>
      <c r="I137" s="151"/>
      <c r="J137" s="145"/>
    </row>
    <row r="138" spans="1:10" x14ac:dyDescent="0.25">
      <c r="A138" s="179"/>
      <c r="B138" s="166"/>
      <c r="C138" s="163"/>
      <c r="D138" s="166"/>
      <c r="E138" s="166"/>
      <c r="F138" s="166"/>
      <c r="G138" s="166"/>
      <c r="H138" s="51"/>
      <c r="I138" s="168"/>
      <c r="J138" s="159"/>
    </row>
    <row r="139" spans="1:10" x14ac:dyDescent="0.25">
      <c r="A139" s="179"/>
      <c r="B139" s="166"/>
      <c r="C139" s="163"/>
      <c r="D139" s="166"/>
      <c r="E139" s="166"/>
      <c r="F139" s="166"/>
      <c r="G139" s="166"/>
      <c r="H139" s="51" t="s">
        <v>589</v>
      </c>
      <c r="I139" s="168"/>
      <c r="J139" s="159"/>
    </row>
    <row r="140" spans="1:10" x14ac:dyDescent="0.25">
      <c r="A140" s="179"/>
      <c r="B140" s="166"/>
      <c r="C140" s="163"/>
      <c r="D140" s="166"/>
      <c r="E140" s="166"/>
      <c r="F140" s="166"/>
      <c r="G140" s="166"/>
      <c r="H140" s="51" t="s">
        <v>590</v>
      </c>
      <c r="I140" s="168"/>
      <c r="J140" s="159"/>
    </row>
    <row r="141" spans="1:10" x14ac:dyDescent="0.25">
      <c r="A141" s="156"/>
      <c r="B141" s="167"/>
      <c r="C141" s="164"/>
      <c r="D141" s="167"/>
      <c r="E141" s="167"/>
      <c r="F141" s="167"/>
      <c r="G141" s="167"/>
      <c r="H141" s="51" t="s">
        <v>591</v>
      </c>
      <c r="I141" s="169"/>
      <c r="J141" s="160"/>
    </row>
    <row r="142" spans="1:10" ht="28.5" x14ac:dyDescent="0.25">
      <c r="A142" s="155" t="s">
        <v>597</v>
      </c>
      <c r="B142" s="157" t="s">
        <v>578</v>
      </c>
      <c r="C142" s="73" t="s">
        <v>598</v>
      </c>
      <c r="D142" s="157" t="s">
        <v>314</v>
      </c>
      <c r="E142" s="157" t="s">
        <v>310</v>
      </c>
      <c r="F142" s="157" t="s">
        <v>415</v>
      </c>
      <c r="G142" s="157">
        <v>890</v>
      </c>
      <c r="H142" s="73" t="s">
        <v>599</v>
      </c>
      <c r="I142" s="148"/>
      <c r="J142" s="146"/>
    </row>
    <row r="143" spans="1:10" ht="28.5" x14ac:dyDescent="0.25">
      <c r="A143" s="156"/>
      <c r="B143" s="158"/>
      <c r="C143" s="73" t="s">
        <v>599</v>
      </c>
      <c r="D143" s="158"/>
      <c r="E143" s="158"/>
      <c r="F143" s="158"/>
      <c r="G143" s="158"/>
      <c r="H143" s="73"/>
      <c r="I143" s="149"/>
      <c r="J143" s="147"/>
    </row>
    <row r="144" spans="1:10" ht="28.5" x14ac:dyDescent="0.25">
      <c r="A144" s="72">
        <v>105</v>
      </c>
      <c r="B144" s="51" t="s">
        <v>584</v>
      </c>
      <c r="C144" s="76" t="s">
        <v>600</v>
      </c>
      <c r="D144" s="51" t="s">
        <v>314</v>
      </c>
      <c r="E144" s="51" t="s">
        <v>315</v>
      </c>
      <c r="F144" s="51">
        <v>3</v>
      </c>
      <c r="G144" s="51">
        <v>905</v>
      </c>
      <c r="H144" s="51" t="s">
        <v>335</v>
      </c>
      <c r="I144" s="67"/>
      <c r="J144" s="86"/>
    </row>
    <row r="145" spans="1:10" x14ac:dyDescent="0.25">
      <c r="A145" s="155">
        <v>106</v>
      </c>
      <c r="B145" s="157" t="s">
        <v>586</v>
      </c>
      <c r="C145" s="157" t="s">
        <v>601</v>
      </c>
      <c r="D145" s="157" t="s">
        <v>314</v>
      </c>
      <c r="E145" s="157" t="s">
        <v>315</v>
      </c>
      <c r="F145" s="157">
        <v>1</v>
      </c>
      <c r="G145" s="157">
        <v>908</v>
      </c>
      <c r="H145" s="73" t="s">
        <v>588</v>
      </c>
      <c r="I145" s="148"/>
      <c r="J145" s="146"/>
    </row>
    <row r="146" spans="1:10" x14ac:dyDescent="0.25">
      <c r="A146" s="179"/>
      <c r="B146" s="178"/>
      <c r="C146" s="178"/>
      <c r="D146" s="178"/>
      <c r="E146" s="178"/>
      <c r="F146" s="178"/>
      <c r="G146" s="178"/>
      <c r="H146" s="73"/>
      <c r="I146" s="177"/>
      <c r="J146" s="170"/>
    </row>
    <row r="147" spans="1:10" x14ac:dyDescent="0.25">
      <c r="A147" s="179"/>
      <c r="B147" s="178"/>
      <c r="C147" s="178"/>
      <c r="D147" s="178"/>
      <c r="E147" s="178"/>
      <c r="F147" s="178"/>
      <c r="G147" s="178"/>
      <c r="H147" s="73" t="s">
        <v>589</v>
      </c>
      <c r="I147" s="177"/>
      <c r="J147" s="170"/>
    </row>
    <row r="148" spans="1:10" x14ac:dyDescent="0.25">
      <c r="A148" s="179"/>
      <c r="B148" s="178"/>
      <c r="C148" s="178"/>
      <c r="D148" s="178"/>
      <c r="E148" s="178"/>
      <c r="F148" s="178"/>
      <c r="G148" s="178"/>
      <c r="H148" s="73" t="s">
        <v>590</v>
      </c>
      <c r="I148" s="177"/>
      <c r="J148" s="170"/>
    </row>
    <row r="149" spans="1:10" x14ac:dyDescent="0.25">
      <c r="A149" s="156"/>
      <c r="B149" s="158"/>
      <c r="C149" s="158"/>
      <c r="D149" s="158"/>
      <c r="E149" s="158"/>
      <c r="F149" s="158"/>
      <c r="G149" s="158"/>
      <c r="H149" s="73" t="s">
        <v>591</v>
      </c>
      <c r="I149" s="149"/>
      <c r="J149" s="147"/>
    </row>
    <row r="150" spans="1:10" ht="28.5" x14ac:dyDescent="0.25">
      <c r="A150" s="155" t="s">
        <v>602</v>
      </c>
      <c r="B150" s="165" t="s">
        <v>578</v>
      </c>
      <c r="C150" s="76" t="s">
        <v>603</v>
      </c>
      <c r="D150" s="165" t="s">
        <v>314</v>
      </c>
      <c r="E150" s="165" t="s">
        <v>310</v>
      </c>
      <c r="F150" s="165" t="s">
        <v>415</v>
      </c>
      <c r="G150" s="165">
        <v>909</v>
      </c>
      <c r="H150" s="51" t="s">
        <v>582</v>
      </c>
      <c r="I150" s="151"/>
      <c r="J150" s="145"/>
    </row>
    <row r="151" spans="1:10" ht="28.5" x14ac:dyDescent="0.25">
      <c r="A151" s="156"/>
      <c r="B151" s="167"/>
      <c r="C151" s="76" t="s">
        <v>604</v>
      </c>
      <c r="D151" s="167"/>
      <c r="E151" s="167"/>
      <c r="F151" s="167"/>
      <c r="G151" s="167"/>
      <c r="H151" s="51" t="s">
        <v>583</v>
      </c>
      <c r="I151" s="169"/>
      <c r="J151" s="160"/>
    </row>
    <row r="152" spans="1:10" ht="28.5" x14ac:dyDescent="0.25">
      <c r="A152" s="72">
        <v>108</v>
      </c>
      <c r="B152" s="73" t="s">
        <v>584</v>
      </c>
      <c r="C152" s="73" t="s">
        <v>605</v>
      </c>
      <c r="D152" s="73" t="s">
        <v>314</v>
      </c>
      <c r="E152" s="73" t="s">
        <v>315</v>
      </c>
      <c r="F152" s="73">
        <v>3</v>
      </c>
      <c r="G152" s="73">
        <v>924</v>
      </c>
      <c r="H152" s="73" t="s">
        <v>335</v>
      </c>
      <c r="I152" s="80"/>
      <c r="J152" s="85"/>
    </row>
    <row r="153" spans="1:10" x14ac:dyDescent="0.25">
      <c r="A153" s="155">
        <v>109</v>
      </c>
      <c r="B153" s="165" t="s">
        <v>586</v>
      </c>
      <c r="C153" s="162" t="s">
        <v>606</v>
      </c>
      <c r="D153" s="165" t="s">
        <v>314</v>
      </c>
      <c r="E153" s="165" t="s">
        <v>315</v>
      </c>
      <c r="F153" s="165">
        <v>1</v>
      </c>
      <c r="G153" s="165">
        <v>927</v>
      </c>
      <c r="H153" s="51" t="s">
        <v>588</v>
      </c>
      <c r="I153" s="151"/>
      <c r="J153" s="145"/>
    </row>
    <row r="154" spans="1:10" x14ac:dyDescent="0.25">
      <c r="A154" s="179"/>
      <c r="B154" s="166"/>
      <c r="C154" s="163"/>
      <c r="D154" s="166"/>
      <c r="E154" s="166"/>
      <c r="F154" s="166"/>
      <c r="G154" s="166"/>
      <c r="H154" s="51"/>
      <c r="I154" s="168"/>
      <c r="J154" s="159"/>
    </row>
    <row r="155" spans="1:10" x14ac:dyDescent="0.25">
      <c r="A155" s="179"/>
      <c r="B155" s="166"/>
      <c r="C155" s="163"/>
      <c r="D155" s="166"/>
      <c r="E155" s="166"/>
      <c r="F155" s="166"/>
      <c r="G155" s="166"/>
      <c r="H155" s="51" t="s">
        <v>589</v>
      </c>
      <c r="I155" s="168"/>
      <c r="J155" s="159"/>
    </row>
    <row r="156" spans="1:10" x14ac:dyDescent="0.25">
      <c r="A156" s="179"/>
      <c r="B156" s="166"/>
      <c r="C156" s="163"/>
      <c r="D156" s="166"/>
      <c r="E156" s="166"/>
      <c r="F156" s="166"/>
      <c r="G156" s="166"/>
      <c r="H156" s="51" t="s">
        <v>590</v>
      </c>
      <c r="I156" s="168"/>
      <c r="J156" s="159"/>
    </row>
    <row r="157" spans="1:10" x14ac:dyDescent="0.25">
      <c r="A157" s="156"/>
      <c r="B157" s="167"/>
      <c r="C157" s="164"/>
      <c r="D157" s="167"/>
      <c r="E157" s="167"/>
      <c r="F157" s="167"/>
      <c r="G157" s="167"/>
      <c r="H157" s="51" t="s">
        <v>591</v>
      </c>
      <c r="I157" s="169"/>
      <c r="J157" s="160"/>
    </row>
    <row r="158" spans="1:10" ht="28.5" x14ac:dyDescent="0.25">
      <c r="A158" s="155" t="s">
        <v>607</v>
      </c>
      <c r="B158" s="157" t="s">
        <v>578</v>
      </c>
      <c r="C158" s="73" t="s">
        <v>608</v>
      </c>
      <c r="D158" s="157" t="s">
        <v>314</v>
      </c>
      <c r="E158" s="157" t="s">
        <v>310</v>
      </c>
      <c r="F158" s="157" t="s">
        <v>415</v>
      </c>
      <c r="G158" s="157">
        <v>928</v>
      </c>
      <c r="H158" s="73" t="s">
        <v>582</v>
      </c>
      <c r="I158" s="148"/>
      <c r="J158" s="146"/>
    </row>
    <row r="159" spans="1:10" ht="28.5" x14ac:dyDescent="0.25">
      <c r="A159" s="156"/>
      <c r="B159" s="158"/>
      <c r="C159" s="73" t="s">
        <v>609</v>
      </c>
      <c r="D159" s="158"/>
      <c r="E159" s="158"/>
      <c r="F159" s="158"/>
      <c r="G159" s="158"/>
      <c r="H159" s="73" t="s">
        <v>583</v>
      </c>
      <c r="I159" s="149"/>
      <c r="J159" s="147"/>
    </row>
    <row r="160" spans="1:10" ht="28.5" x14ac:dyDescent="0.25">
      <c r="A160" s="72">
        <v>111</v>
      </c>
      <c r="B160" s="51" t="s">
        <v>584</v>
      </c>
      <c r="C160" s="76" t="s">
        <v>610</v>
      </c>
      <c r="D160" s="51" t="s">
        <v>314</v>
      </c>
      <c r="E160" s="51" t="s">
        <v>315</v>
      </c>
      <c r="F160" s="51">
        <v>3</v>
      </c>
      <c r="G160" s="51">
        <v>943</v>
      </c>
      <c r="H160" s="51" t="s">
        <v>335</v>
      </c>
      <c r="I160" s="67"/>
      <c r="J160" s="86"/>
    </row>
    <row r="161" spans="1:10" x14ac:dyDescent="0.25">
      <c r="A161" s="155">
        <v>112</v>
      </c>
      <c r="B161" s="157" t="s">
        <v>586</v>
      </c>
      <c r="C161" s="157" t="s">
        <v>611</v>
      </c>
      <c r="D161" s="157" t="s">
        <v>314</v>
      </c>
      <c r="E161" s="157" t="s">
        <v>315</v>
      </c>
      <c r="F161" s="157">
        <v>1</v>
      </c>
      <c r="G161" s="157">
        <v>946</v>
      </c>
      <c r="H161" s="73" t="s">
        <v>588</v>
      </c>
      <c r="I161" s="148"/>
      <c r="J161" s="146"/>
    </row>
    <row r="162" spans="1:10" x14ac:dyDescent="0.25">
      <c r="A162" s="179"/>
      <c r="B162" s="178"/>
      <c r="C162" s="178"/>
      <c r="D162" s="178"/>
      <c r="E162" s="178"/>
      <c r="F162" s="178"/>
      <c r="G162" s="178"/>
      <c r="H162" s="73"/>
      <c r="I162" s="177"/>
      <c r="J162" s="170"/>
    </row>
    <row r="163" spans="1:10" x14ac:dyDescent="0.25">
      <c r="A163" s="179"/>
      <c r="B163" s="178"/>
      <c r="C163" s="178"/>
      <c r="D163" s="178"/>
      <c r="E163" s="178"/>
      <c r="F163" s="178"/>
      <c r="G163" s="178"/>
      <c r="H163" s="73" t="s">
        <v>589</v>
      </c>
      <c r="I163" s="177"/>
      <c r="J163" s="170"/>
    </row>
    <row r="164" spans="1:10" x14ac:dyDescent="0.25">
      <c r="A164" s="179"/>
      <c r="B164" s="178"/>
      <c r="C164" s="178"/>
      <c r="D164" s="178"/>
      <c r="E164" s="178"/>
      <c r="F164" s="178"/>
      <c r="G164" s="178"/>
      <c r="H164" s="73" t="s">
        <v>590</v>
      </c>
      <c r="I164" s="177"/>
      <c r="J164" s="170"/>
    </row>
    <row r="165" spans="1:10" x14ac:dyDescent="0.25">
      <c r="A165" s="156"/>
      <c r="B165" s="158"/>
      <c r="C165" s="158"/>
      <c r="D165" s="158"/>
      <c r="E165" s="158"/>
      <c r="F165" s="158"/>
      <c r="G165" s="158"/>
      <c r="H165" s="73" t="s">
        <v>591</v>
      </c>
      <c r="I165" s="149"/>
      <c r="J165" s="147"/>
    </row>
    <row r="166" spans="1:10" ht="28.5" x14ac:dyDescent="0.25">
      <c r="A166" s="155" t="s">
        <v>612</v>
      </c>
      <c r="B166" s="165" t="s">
        <v>578</v>
      </c>
      <c r="C166" s="76" t="s">
        <v>613</v>
      </c>
      <c r="D166" s="165" t="s">
        <v>314</v>
      </c>
      <c r="E166" s="165" t="s">
        <v>310</v>
      </c>
      <c r="F166" s="165" t="s">
        <v>415</v>
      </c>
      <c r="G166" s="165">
        <v>947</v>
      </c>
      <c r="H166" s="51" t="s">
        <v>582</v>
      </c>
      <c r="I166" s="151"/>
      <c r="J166" s="145"/>
    </row>
    <row r="167" spans="1:10" ht="28.5" x14ac:dyDescent="0.25">
      <c r="A167" s="156"/>
      <c r="B167" s="167"/>
      <c r="C167" s="76" t="s">
        <v>614</v>
      </c>
      <c r="D167" s="167"/>
      <c r="E167" s="167"/>
      <c r="F167" s="167"/>
      <c r="G167" s="167"/>
      <c r="H167" s="51" t="s">
        <v>583</v>
      </c>
      <c r="I167" s="169"/>
      <c r="J167" s="160"/>
    </row>
    <row r="168" spans="1:10" ht="28.5" x14ac:dyDescent="0.25">
      <c r="A168" s="72">
        <v>114</v>
      </c>
      <c r="B168" s="73" t="s">
        <v>584</v>
      </c>
      <c r="C168" s="73" t="s">
        <v>615</v>
      </c>
      <c r="D168" s="73" t="s">
        <v>314</v>
      </c>
      <c r="E168" s="73" t="s">
        <v>315</v>
      </c>
      <c r="F168" s="73">
        <v>3</v>
      </c>
      <c r="G168" s="73">
        <v>962</v>
      </c>
      <c r="H168" s="73" t="s">
        <v>335</v>
      </c>
      <c r="I168" s="80"/>
      <c r="J168" s="85"/>
    </row>
    <row r="169" spans="1:10" x14ac:dyDescent="0.25">
      <c r="A169" s="155">
        <v>115</v>
      </c>
      <c r="B169" s="165" t="s">
        <v>586</v>
      </c>
      <c r="C169" s="162" t="s">
        <v>616</v>
      </c>
      <c r="D169" s="165" t="s">
        <v>314</v>
      </c>
      <c r="E169" s="165" t="s">
        <v>315</v>
      </c>
      <c r="F169" s="165">
        <v>1</v>
      </c>
      <c r="G169" s="165">
        <v>965</v>
      </c>
      <c r="H169" s="51" t="s">
        <v>588</v>
      </c>
      <c r="I169" s="151"/>
      <c r="J169" s="145"/>
    </row>
    <row r="170" spans="1:10" x14ac:dyDescent="0.25">
      <c r="A170" s="179"/>
      <c r="B170" s="166"/>
      <c r="C170" s="163"/>
      <c r="D170" s="166"/>
      <c r="E170" s="166"/>
      <c r="F170" s="166"/>
      <c r="G170" s="166"/>
      <c r="H170" s="51"/>
      <c r="I170" s="168"/>
      <c r="J170" s="159"/>
    </row>
    <row r="171" spans="1:10" x14ac:dyDescent="0.25">
      <c r="A171" s="179"/>
      <c r="B171" s="166"/>
      <c r="C171" s="163"/>
      <c r="D171" s="166"/>
      <c r="E171" s="166"/>
      <c r="F171" s="166"/>
      <c r="G171" s="166"/>
      <c r="H171" s="51" t="s">
        <v>589</v>
      </c>
      <c r="I171" s="168"/>
      <c r="J171" s="159"/>
    </row>
    <row r="172" spans="1:10" x14ac:dyDescent="0.25">
      <c r="A172" s="179"/>
      <c r="B172" s="166"/>
      <c r="C172" s="163"/>
      <c r="D172" s="166"/>
      <c r="E172" s="166"/>
      <c r="F172" s="166"/>
      <c r="G172" s="166"/>
      <c r="H172" s="51" t="s">
        <v>590</v>
      </c>
      <c r="I172" s="168"/>
      <c r="J172" s="159"/>
    </row>
    <row r="173" spans="1:10" x14ac:dyDescent="0.25">
      <c r="A173" s="156"/>
      <c r="B173" s="167"/>
      <c r="C173" s="164"/>
      <c r="D173" s="167"/>
      <c r="E173" s="167"/>
      <c r="F173" s="167"/>
      <c r="G173" s="167"/>
      <c r="H173" s="51" t="s">
        <v>591</v>
      </c>
      <c r="I173" s="169"/>
      <c r="J173" s="160"/>
    </row>
    <row r="174" spans="1:10" ht="28.5" x14ac:dyDescent="0.25">
      <c r="A174" s="155" t="s">
        <v>617</v>
      </c>
      <c r="B174" s="157" t="s">
        <v>578</v>
      </c>
      <c r="C174" s="73" t="s">
        <v>618</v>
      </c>
      <c r="D174" s="157" t="s">
        <v>314</v>
      </c>
      <c r="E174" s="157" t="s">
        <v>310</v>
      </c>
      <c r="F174" s="157" t="s">
        <v>415</v>
      </c>
      <c r="G174" s="157">
        <v>966</v>
      </c>
      <c r="H174" s="73" t="s">
        <v>582</v>
      </c>
      <c r="I174" s="148"/>
      <c r="J174" s="146"/>
    </row>
    <row r="175" spans="1:10" ht="28.5" x14ac:dyDescent="0.25">
      <c r="A175" s="156"/>
      <c r="B175" s="158"/>
      <c r="C175" s="73" t="s">
        <v>619</v>
      </c>
      <c r="D175" s="158"/>
      <c r="E175" s="158"/>
      <c r="F175" s="158"/>
      <c r="G175" s="158"/>
      <c r="H175" s="73" t="s">
        <v>583</v>
      </c>
      <c r="I175" s="149"/>
      <c r="J175" s="147"/>
    </row>
    <row r="176" spans="1:10" ht="28.5" x14ac:dyDescent="0.25">
      <c r="A176" s="72">
        <v>117</v>
      </c>
      <c r="B176" s="51" t="s">
        <v>584</v>
      </c>
      <c r="C176" s="76" t="s">
        <v>620</v>
      </c>
      <c r="D176" s="51" t="s">
        <v>314</v>
      </c>
      <c r="E176" s="51" t="s">
        <v>315</v>
      </c>
      <c r="F176" s="51">
        <v>3</v>
      </c>
      <c r="G176" s="51">
        <v>981</v>
      </c>
      <c r="H176" s="51" t="s">
        <v>335</v>
      </c>
      <c r="I176" s="67"/>
      <c r="J176" s="86"/>
    </row>
    <row r="177" spans="1:10" x14ac:dyDescent="0.25">
      <c r="A177" s="155">
        <v>118</v>
      </c>
      <c r="B177" s="157" t="s">
        <v>586</v>
      </c>
      <c r="C177" s="157" t="s">
        <v>621</v>
      </c>
      <c r="D177" s="157" t="s">
        <v>314</v>
      </c>
      <c r="E177" s="157" t="s">
        <v>315</v>
      </c>
      <c r="F177" s="157">
        <v>1</v>
      </c>
      <c r="G177" s="157">
        <v>984</v>
      </c>
      <c r="H177" s="73" t="s">
        <v>588</v>
      </c>
      <c r="I177" s="148"/>
      <c r="J177" s="146"/>
    </row>
    <row r="178" spans="1:10" x14ac:dyDescent="0.25">
      <c r="A178" s="179"/>
      <c r="B178" s="178"/>
      <c r="C178" s="178"/>
      <c r="D178" s="178"/>
      <c r="E178" s="178"/>
      <c r="F178" s="178"/>
      <c r="G178" s="178"/>
      <c r="H178" s="73"/>
      <c r="I178" s="177"/>
      <c r="J178" s="170"/>
    </row>
    <row r="179" spans="1:10" x14ac:dyDescent="0.25">
      <c r="A179" s="179"/>
      <c r="B179" s="178"/>
      <c r="C179" s="178"/>
      <c r="D179" s="178"/>
      <c r="E179" s="178"/>
      <c r="F179" s="178"/>
      <c r="G179" s="178"/>
      <c r="H179" s="73" t="s">
        <v>589</v>
      </c>
      <c r="I179" s="177"/>
      <c r="J179" s="170"/>
    </row>
    <row r="180" spans="1:10" x14ac:dyDescent="0.25">
      <c r="A180" s="179"/>
      <c r="B180" s="178"/>
      <c r="C180" s="178"/>
      <c r="D180" s="178"/>
      <c r="E180" s="178"/>
      <c r="F180" s="178"/>
      <c r="G180" s="178"/>
      <c r="H180" s="73" t="s">
        <v>590</v>
      </c>
      <c r="I180" s="177"/>
      <c r="J180" s="170"/>
    </row>
    <row r="181" spans="1:10" x14ac:dyDescent="0.25">
      <c r="A181" s="156"/>
      <c r="B181" s="158"/>
      <c r="C181" s="158"/>
      <c r="D181" s="158"/>
      <c r="E181" s="158"/>
      <c r="F181" s="158"/>
      <c r="G181" s="158"/>
      <c r="H181" s="73" t="s">
        <v>591</v>
      </c>
      <c r="I181" s="149"/>
      <c r="J181" s="147"/>
    </row>
    <row r="182" spans="1:10" ht="28.5" x14ac:dyDescent="0.25">
      <c r="A182" s="155" t="s">
        <v>622</v>
      </c>
      <c r="B182" s="165" t="s">
        <v>578</v>
      </c>
      <c r="C182" s="76" t="s">
        <v>623</v>
      </c>
      <c r="D182" s="165" t="s">
        <v>314</v>
      </c>
      <c r="E182" s="165" t="s">
        <v>310</v>
      </c>
      <c r="F182" s="165" t="s">
        <v>415</v>
      </c>
      <c r="G182" s="165">
        <v>985</v>
      </c>
      <c r="H182" s="51" t="s">
        <v>582</v>
      </c>
      <c r="I182" s="151"/>
      <c r="J182" s="145"/>
    </row>
    <row r="183" spans="1:10" ht="28.5" x14ac:dyDescent="0.25">
      <c r="A183" s="156"/>
      <c r="B183" s="167"/>
      <c r="C183" s="76" t="s">
        <v>624</v>
      </c>
      <c r="D183" s="167"/>
      <c r="E183" s="167"/>
      <c r="F183" s="167"/>
      <c r="G183" s="167"/>
      <c r="H183" s="51" t="s">
        <v>583</v>
      </c>
      <c r="I183" s="169"/>
      <c r="J183" s="160"/>
    </row>
    <row r="184" spans="1:10" ht="28.5" x14ac:dyDescent="0.25">
      <c r="A184" s="72">
        <v>120</v>
      </c>
      <c r="B184" s="73" t="s">
        <v>584</v>
      </c>
      <c r="C184" s="73" t="s">
        <v>625</v>
      </c>
      <c r="D184" s="73" t="s">
        <v>314</v>
      </c>
      <c r="E184" s="73" t="s">
        <v>315</v>
      </c>
      <c r="F184" s="73">
        <v>3</v>
      </c>
      <c r="G184" s="73">
        <v>1000</v>
      </c>
      <c r="H184" s="73" t="s">
        <v>335</v>
      </c>
      <c r="I184" s="80"/>
      <c r="J184" s="85"/>
    </row>
    <row r="185" spans="1:10" x14ac:dyDescent="0.25">
      <c r="A185" s="155">
        <v>121</v>
      </c>
      <c r="B185" s="165" t="s">
        <v>586</v>
      </c>
      <c r="C185" s="162" t="s">
        <v>626</v>
      </c>
      <c r="D185" s="165" t="s">
        <v>314</v>
      </c>
      <c r="E185" s="165" t="s">
        <v>315</v>
      </c>
      <c r="F185" s="165">
        <v>1</v>
      </c>
      <c r="G185" s="165">
        <v>1003</v>
      </c>
      <c r="H185" s="51" t="s">
        <v>588</v>
      </c>
      <c r="I185" s="151"/>
      <c r="J185" s="145"/>
    </row>
    <row r="186" spans="1:10" x14ac:dyDescent="0.25">
      <c r="A186" s="179"/>
      <c r="B186" s="166"/>
      <c r="C186" s="163"/>
      <c r="D186" s="166"/>
      <c r="E186" s="166"/>
      <c r="F186" s="166"/>
      <c r="G186" s="166"/>
      <c r="H186" s="51"/>
      <c r="I186" s="168"/>
      <c r="J186" s="159"/>
    </row>
    <row r="187" spans="1:10" x14ac:dyDescent="0.25">
      <c r="A187" s="179"/>
      <c r="B187" s="166"/>
      <c r="C187" s="163"/>
      <c r="D187" s="166"/>
      <c r="E187" s="166"/>
      <c r="F187" s="166"/>
      <c r="G187" s="166"/>
      <c r="H187" s="51" t="s">
        <v>589</v>
      </c>
      <c r="I187" s="168"/>
      <c r="J187" s="159"/>
    </row>
    <row r="188" spans="1:10" x14ac:dyDescent="0.25">
      <c r="A188" s="179"/>
      <c r="B188" s="166"/>
      <c r="C188" s="163"/>
      <c r="D188" s="166"/>
      <c r="E188" s="166"/>
      <c r="F188" s="166"/>
      <c r="G188" s="166"/>
      <c r="H188" s="51" t="s">
        <v>590</v>
      </c>
      <c r="I188" s="168"/>
      <c r="J188" s="159"/>
    </row>
    <row r="189" spans="1:10" x14ac:dyDescent="0.25">
      <c r="A189" s="156"/>
      <c r="B189" s="167"/>
      <c r="C189" s="164"/>
      <c r="D189" s="167"/>
      <c r="E189" s="167"/>
      <c r="F189" s="167"/>
      <c r="G189" s="167"/>
      <c r="H189" s="51" t="s">
        <v>591</v>
      </c>
      <c r="I189" s="169"/>
      <c r="J189" s="160"/>
    </row>
    <row r="190" spans="1:10" ht="28.5" x14ac:dyDescent="0.25">
      <c r="A190" s="155" t="s">
        <v>627</v>
      </c>
      <c r="B190" s="157" t="s">
        <v>578</v>
      </c>
      <c r="C190" s="73" t="s">
        <v>628</v>
      </c>
      <c r="D190" s="157" t="s">
        <v>314</v>
      </c>
      <c r="E190" s="157" t="s">
        <v>310</v>
      </c>
      <c r="F190" s="157" t="s">
        <v>415</v>
      </c>
      <c r="G190" s="157">
        <v>1004</v>
      </c>
      <c r="H190" s="73" t="s">
        <v>582</v>
      </c>
      <c r="I190" s="148"/>
      <c r="J190" s="146"/>
    </row>
    <row r="191" spans="1:10" ht="42.75" x14ac:dyDescent="0.25">
      <c r="A191" s="156"/>
      <c r="B191" s="158"/>
      <c r="C191" s="73" t="s">
        <v>629</v>
      </c>
      <c r="D191" s="158"/>
      <c r="E191" s="158"/>
      <c r="F191" s="158"/>
      <c r="G191" s="158"/>
      <c r="H191" s="73" t="s">
        <v>583</v>
      </c>
      <c r="I191" s="149"/>
      <c r="J191" s="147"/>
    </row>
    <row r="192" spans="1:10" ht="28.5" x14ac:dyDescent="0.25">
      <c r="A192" s="72">
        <v>123</v>
      </c>
      <c r="B192" s="51" t="s">
        <v>584</v>
      </c>
      <c r="C192" s="76" t="s">
        <v>630</v>
      </c>
      <c r="D192" s="51" t="s">
        <v>314</v>
      </c>
      <c r="E192" s="51" t="s">
        <v>315</v>
      </c>
      <c r="F192" s="51">
        <v>3</v>
      </c>
      <c r="G192" s="51">
        <v>1019</v>
      </c>
      <c r="H192" s="51" t="s">
        <v>335</v>
      </c>
      <c r="I192" s="67"/>
      <c r="J192" s="86"/>
    </row>
    <row r="193" spans="1:10" x14ac:dyDescent="0.25">
      <c r="A193" s="155">
        <v>124</v>
      </c>
      <c r="B193" s="157" t="s">
        <v>586</v>
      </c>
      <c r="C193" s="157" t="s">
        <v>631</v>
      </c>
      <c r="D193" s="157" t="s">
        <v>314</v>
      </c>
      <c r="E193" s="157" t="s">
        <v>315</v>
      </c>
      <c r="F193" s="157">
        <v>1</v>
      </c>
      <c r="G193" s="157">
        <v>1022</v>
      </c>
      <c r="H193" s="73" t="s">
        <v>588</v>
      </c>
      <c r="I193" s="148"/>
      <c r="J193" s="146"/>
    </row>
    <row r="194" spans="1:10" x14ac:dyDescent="0.25">
      <c r="A194" s="179"/>
      <c r="B194" s="178"/>
      <c r="C194" s="178"/>
      <c r="D194" s="178"/>
      <c r="E194" s="178"/>
      <c r="F194" s="178"/>
      <c r="G194" s="178"/>
      <c r="H194" s="73"/>
      <c r="I194" s="177"/>
      <c r="J194" s="170"/>
    </row>
    <row r="195" spans="1:10" x14ac:dyDescent="0.25">
      <c r="A195" s="179"/>
      <c r="B195" s="178"/>
      <c r="C195" s="178"/>
      <c r="D195" s="178"/>
      <c r="E195" s="178"/>
      <c r="F195" s="178"/>
      <c r="G195" s="178"/>
      <c r="H195" s="73" t="s">
        <v>589</v>
      </c>
      <c r="I195" s="177"/>
      <c r="J195" s="170"/>
    </row>
    <row r="196" spans="1:10" x14ac:dyDescent="0.25">
      <c r="A196" s="179"/>
      <c r="B196" s="178"/>
      <c r="C196" s="178"/>
      <c r="D196" s="178"/>
      <c r="E196" s="178"/>
      <c r="F196" s="178"/>
      <c r="G196" s="178"/>
      <c r="H196" s="73" t="s">
        <v>590</v>
      </c>
      <c r="I196" s="177"/>
      <c r="J196" s="170"/>
    </row>
    <row r="197" spans="1:10" x14ac:dyDescent="0.25">
      <c r="A197" s="156"/>
      <c r="B197" s="158"/>
      <c r="C197" s="158"/>
      <c r="D197" s="158"/>
      <c r="E197" s="158"/>
      <c r="F197" s="158"/>
      <c r="G197" s="158"/>
      <c r="H197" s="73" t="s">
        <v>591</v>
      </c>
      <c r="I197" s="149"/>
      <c r="J197" s="147"/>
    </row>
    <row r="198" spans="1:10" x14ac:dyDescent="0.25">
      <c r="A198" s="52" t="s">
        <v>632</v>
      </c>
      <c r="B198" s="51" t="s">
        <v>480</v>
      </c>
      <c r="C198" s="51" t="s">
        <v>480</v>
      </c>
      <c r="D198" s="51" t="s">
        <v>314</v>
      </c>
      <c r="E198" s="51" t="s">
        <v>315</v>
      </c>
      <c r="F198" s="51">
        <v>2</v>
      </c>
      <c r="G198" s="51">
        <v>1023</v>
      </c>
      <c r="H198" s="51" t="s">
        <v>335</v>
      </c>
      <c r="I198" s="67"/>
      <c r="J198" s="86"/>
    </row>
    <row r="199" spans="1:10" x14ac:dyDescent="0.25">
      <c r="A199" s="155">
        <v>126</v>
      </c>
      <c r="B199" s="157" t="s">
        <v>633</v>
      </c>
      <c r="C199" s="157" t="s">
        <v>634</v>
      </c>
      <c r="D199" s="157" t="s">
        <v>314</v>
      </c>
      <c r="E199" s="157" t="s">
        <v>315</v>
      </c>
      <c r="F199" s="157">
        <v>1</v>
      </c>
      <c r="G199" s="157">
        <v>1025</v>
      </c>
      <c r="H199" s="73" t="s">
        <v>635</v>
      </c>
      <c r="I199" s="148">
        <v>448</v>
      </c>
      <c r="J199" s="146"/>
    </row>
    <row r="200" spans="1:10" x14ac:dyDescent="0.25">
      <c r="A200" s="179"/>
      <c r="B200" s="178"/>
      <c r="C200" s="178"/>
      <c r="D200" s="178"/>
      <c r="E200" s="178"/>
      <c r="F200" s="178"/>
      <c r="G200" s="178"/>
      <c r="H200" s="73" t="s">
        <v>636</v>
      </c>
      <c r="I200" s="177"/>
      <c r="J200" s="170"/>
    </row>
    <row r="201" spans="1:10" x14ac:dyDescent="0.25">
      <c r="A201" s="179"/>
      <c r="B201" s="178"/>
      <c r="C201" s="178"/>
      <c r="D201" s="178"/>
      <c r="E201" s="178"/>
      <c r="F201" s="178"/>
      <c r="G201" s="178"/>
      <c r="H201" s="73" t="s">
        <v>637</v>
      </c>
      <c r="I201" s="177"/>
      <c r="J201" s="170"/>
    </row>
    <row r="202" spans="1:10" x14ac:dyDescent="0.25">
      <c r="A202" s="179"/>
      <c r="B202" s="178"/>
      <c r="C202" s="178"/>
      <c r="D202" s="178"/>
      <c r="E202" s="178"/>
      <c r="F202" s="178"/>
      <c r="G202" s="178"/>
      <c r="H202" s="73" t="s">
        <v>638</v>
      </c>
      <c r="I202" s="177"/>
      <c r="J202" s="170"/>
    </row>
    <row r="203" spans="1:10" x14ac:dyDescent="0.25">
      <c r="A203" s="156"/>
      <c r="B203" s="158"/>
      <c r="C203" s="158"/>
      <c r="D203" s="158"/>
      <c r="E203" s="158"/>
      <c r="F203" s="158"/>
      <c r="G203" s="158"/>
      <c r="H203" s="73" t="s">
        <v>639</v>
      </c>
      <c r="I203" s="149"/>
      <c r="J203" s="147"/>
    </row>
    <row r="204" spans="1:10" ht="28.5" x14ac:dyDescent="0.25">
      <c r="A204" s="52">
        <v>127</v>
      </c>
      <c r="B204" s="51" t="s">
        <v>640</v>
      </c>
      <c r="C204" s="51" t="s">
        <v>641</v>
      </c>
      <c r="D204" s="51" t="s">
        <v>314</v>
      </c>
      <c r="E204" s="51" t="s">
        <v>315</v>
      </c>
      <c r="F204" s="51">
        <v>11</v>
      </c>
      <c r="G204" s="51">
        <v>1026</v>
      </c>
      <c r="H204" s="51" t="s">
        <v>642</v>
      </c>
      <c r="I204" s="67"/>
      <c r="J204" s="86"/>
    </row>
    <row r="205" spans="1:10" x14ac:dyDescent="0.25">
      <c r="A205" s="152">
        <v>128</v>
      </c>
      <c r="B205" s="157" t="s">
        <v>643</v>
      </c>
      <c r="C205" s="157" t="s">
        <v>644</v>
      </c>
      <c r="D205" s="157" t="s">
        <v>314</v>
      </c>
      <c r="E205" s="157" t="s">
        <v>315</v>
      </c>
      <c r="F205" s="157">
        <v>1</v>
      </c>
      <c r="G205" s="157">
        <v>1037</v>
      </c>
      <c r="H205" s="73" t="s">
        <v>645</v>
      </c>
      <c r="I205" s="148"/>
      <c r="J205" s="146"/>
    </row>
    <row r="206" spans="1:10" x14ac:dyDescent="0.25">
      <c r="A206" s="153"/>
      <c r="B206" s="178"/>
      <c r="C206" s="178"/>
      <c r="D206" s="178"/>
      <c r="E206" s="178"/>
      <c r="F206" s="178"/>
      <c r="G206" s="178"/>
      <c r="H206" s="73" t="s">
        <v>646</v>
      </c>
      <c r="I206" s="177"/>
      <c r="J206" s="170"/>
    </row>
    <row r="207" spans="1:10" x14ac:dyDescent="0.25">
      <c r="A207" s="153"/>
      <c r="B207" s="178"/>
      <c r="C207" s="178"/>
      <c r="D207" s="178"/>
      <c r="E207" s="178"/>
      <c r="F207" s="178"/>
      <c r="G207" s="178"/>
      <c r="H207" s="73" t="s">
        <v>647</v>
      </c>
      <c r="I207" s="177"/>
      <c r="J207" s="170"/>
    </row>
    <row r="208" spans="1:10" x14ac:dyDescent="0.25">
      <c r="A208" s="154"/>
      <c r="B208" s="178"/>
      <c r="C208" s="178"/>
      <c r="D208" s="178"/>
      <c r="E208" s="178"/>
      <c r="F208" s="178"/>
      <c r="G208" s="178"/>
      <c r="H208" s="73" t="s">
        <v>648</v>
      </c>
      <c r="I208" s="177"/>
      <c r="J208" s="170"/>
    </row>
    <row r="209" spans="1:10" ht="28.5" x14ac:dyDescent="0.25">
      <c r="A209" s="52">
        <v>129</v>
      </c>
      <c r="B209" s="51" t="s">
        <v>649</v>
      </c>
      <c r="C209" s="51" t="s">
        <v>650</v>
      </c>
      <c r="D209" s="51" t="s">
        <v>314</v>
      </c>
      <c r="E209" s="51" t="s">
        <v>310</v>
      </c>
      <c r="F209" s="51">
        <v>4</v>
      </c>
      <c r="G209" s="51">
        <v>1038</v>
      </c>
      <c r="H209" s="51" t="s">
        <v>651</v>
      </c>
      <c r="I209" s="67"/>
      <c r="J209" s="86"/>
    </row>
    <row r="210" spans="1:10" ht="28.5" x14ac:dyDescent="0.25">
      <c r="A210" s="52">
        <v>130</v>
      </c>
      <c r="B210" s="77" t="s">
        <v>652</v>
      </c>
      <c r="C210" s="77" t="s">
        <v>653</v>
      </c>
      <c r="D210" s="77" t="s">
        <v>314</v>
      </c>
      <c r="E210" s="77" t="s">
        <v>548</v>
      </c>
      <c r="F210" s="77" t="s">
        <v>654</v>
      </c>
      <c r="G210" s="77">
        <v>1042</v>
      </c>
      <c r="H210" s="73" t="s">
        <v>655</v>
      </c>
      <c r="I210" s="82"/>
      <c r="J210" s="88"/>
    </row>
    <row r="211" spans="1:10" ht="28.5" x14ac:dyDescent="0.25">
      <c r="A211" s="52">
        <v>131</v>
      </c>
      <c r="B211" s="51" t="s">
        <v>656</v>
      </c>
      <c r="C211" s="51" t="s">
        <v>657</v>
      </c>
      <c r="D211" s="51" t="s">
        <v>314</v>
      </c>
      <c r="E211" s="51" t="s">
        <v>315</v>
      </c>
      <c r="F211" s="51">
        <v>1</v>
      </c>
      <c r="G211" s="51">
        <v>1060</v>
      </c>
      <c r="H211" s="51" t="s">
        <v>658</v>
      </c>
      <c r="I211" s="67"/>
      <c r="J211" s="86"/>
    </row>
    <row r="212" spans="1:10" ht="28.5" x14ac:dyDescent="0.25">
      <c r="A212" s="72">
        <v>132</v>
      </c>
      <c r="B212" s="73" t="s">
        <v>659</v>
      </c>
      <c r="C212" s="73" t="s">
        <v>660</v>
      </c>
      <c r="D212" s="73" t="s">
        <v>314</v>
      </c>
      <c r="E212" s="73" t="s">
        <v>548</v>
      </c>
      <c r="F212" s="73" t="s">
        <v>654</v>
      </c>
      <c r="G212" s="73">
        <v>1061</v>
      </c>
      <c r="H212" s="73" t="s">
        <v>509</v>
      </c>
      <c r="I212" s="80" t="s">
        <v>845</v>
      </c>
      <c r="J212" s="85"/>
    </row>
    <row r="213" spans="1:10" ht="28.5" x14ac:dyDescent="0.25">
      <c r="A213" s="72">
        <v>133</v>
      </c>
      <c r="B213" s="51" t="s">
        <v>661</v>
      </c>
      <c r="C213" s="76" t="s">
        <v>662</v>
      </c>
      <c r="D213" s="51" t="s">
        <v>314</v>
      </c>
      <c r="E213" s="51" t="s">
        <v>315</v>
      </c>
      <c r="F213" s="51">
        <v>1</v>
      </c>
      <c r="G213" s="51">
        <v>1079</v>
      </c>
      <c r="H213" s="51" t="s">
        <v>509</v>
      </c>
      <c r="I213" s="67">
        <v>139</v>
      </c>
      <c r="J213" s="86"/>
    </row>
    <row r="214" spans="1:10" x14ac:dyDescent="0.25">
      <c r="A214" s="52">
        <v>134</v>
      </c>
      <c r="B214" s="73" t="s">
        <v>480</v>
      </c>
      <c r="C214" s="73" t="s">
        <v>480</v>
      </c>
      <c r="D214" s="73" t="s">
        <v>314</v>
      </c>
      <c r="E214" s="73" t="s">
        <v>315</v>
      </c>
      <c r="F214" s="73">
        <v>12</v>
      </c>
      <c r="G214" s="73">
        <v>1080</v>
      </c>
      <c r="H214" s="73" t="s">
        <v>335</v>
      </c>
      <c r="I214" s="80"/>
      <c r="J214" s="85"/>
    </row>
    <row r="215" spans="1:10" x14ac:dyDescent="0.25">
      <c r="A215" s="72">
        <v>135</v>
      </c>
      <c r="B215" s="51" t="s">
        <v>663</v>
      </c>
      <c r="C215" s="76" t="s">
        <v>664</v>
      </c>
      <c r="D215" s="51" t="s">
        <v>314</v>
      </c>
      <c r="E215" s="51" t="s">
        <v>310</v>
      </c>
      <c r="F215" s="51" t="s">
        <v>665</v>
      </c>
      <c r="G215" s="51">
        <v>1092</v>
      </c>
      <c r="H215" s="51" t="s">
        <v>335</v>
      </c>
      <c r="I215" s="67"/>
      <c r="J215" s="86" t="s">
        <v>692</v>
      </c>
    </row>
    <row r="216" spans="1:10" x14ac:dyDescent="0.25">
      <c r="A216" s="72">
        <v>136</v>
      </c>
      <c r="B216" s="73" t="s">
        <v>666</v>
      </c>
      <c r="C216" s="73" t="s">
        <v>667</v>
      </c>
      <c r="D216" s="73" t="s">
        <v>314</v>
      </c>
      <c r="E216" s="73" t="s">
        <v>310</v>
      </c>
      <c r="F216" s="73" t="s">
        <v>668</v>
      </c>
      <c r="G216" s="73">
        <v>1104</v>
      </c>
      <c r="H216" s="73" t="s">
        <v>669</v>
      </c>
      <c r="I216" s="80">
        <v>6</v>
      </c>
      <c r="J216" s="85" t="s">
        <v>690</v>
      </c>
    </row>
    <row r="217" spans="1:10" x14ac:dyDescent="0.25">
      <c r="A217" s="52">
        <v>137</v>
      </c>
      <c r="B217" s="51" t="s">
        <v>480</v>
      </c>
      <c r="C217" s="51" t="s">
        <v>480</v>
      </c>
      <c r="D217" s="51" t="s">
        <v>314</v>
      </c>
      <c r="E217" s="51" t="s">
        <v>315</v>
      </c>
      <c r="F217" s="51">
        <v>19</v>
      </c>
      <c r="G217" s="51">
        <v>1122</v>
      </c>
      <c r="H217" s="51" t="s">
        <v>335</v>
      </c>
      <c r="I217" s="67"/>
      <c r="J217" s="86"/>
    </row>
    <row r="218" spans="1:10" ht="28.5" x14ac:dyDescent="0.25">
      <c r="A218" s="155">
        <v>138</v>
      </c>
      <c r="B218" s="157" t="s">
        <v>670</v>
      </c>
      <c r="C218" s="157" t="s">
        <v>335</v>
      </c>
      <c r="D218" s="157" t="s">
        <v>314</v>
      </c>
      <c r="E218" s="157" t="s">
        <v>310</v>
      </c>
      <c r="F218" s="157" t="s">
        <v>671</v>
      </c>
      <c r="G218" s="157">
        <v>1141</v>
      </c>
      <c r="H218" s="73" t="s">
        <v>672</v>
      </c>
      <c r="I218" s="148">
        <v>12</v>
      </c>
      <c r="J218" s="146" t="s">
        <v>694</v>
      </c>
    </row>
    <row r="219" spans="1:10" x14ac:dyDescent="0.25">
      <c r="A219" s="179"/>
      <c r="B219" s="178"/>
      <c r="C219" s="178"/>
      <c r="D219" s="178"/>
      <c r="E219" s="178"/>
      <c r="F219" s="178"/>
      <c r="G219" s="178"/>
      <c r="H219" s="73" t="s">
        <v>673</v>
      </c>
      <c r="I219" s="177"/>
      <c r="J219" s="170"/>
    </row>
    <row r="220" spans="1:10" x14ac:dyDescent="0.25">
      <c r="A220" s="156"/>
      <c r="B220" s="158"/>
      <c r="C220" s="158"/>
      <c r="D220" s="158"/>
      <c r="E220" s="158"/>
      <c r="F220" s="158"/>
      <c r="G220" s="158"/>
      <c r="H220" s="73" t="s">
        <v>674</v>
      </c>
      <c r="I220" s="149"/>
      <c r="J220" s="147"/>
    </row>
    <row r="221" spans="1:10" ht="28.5" x14ac:dyDescent="0.25">
      <c r="A221" s="72">
        <v>139</v>
      </c>
      <c r="B221" s="51" t="s">
        <v>675</v>
      </c>
      <c r="C221" s="51" t="s">
        <v>335</v>
      </c>
      <c r="D221" s="51" t="s">
        <v>314</v>
      </c>
      <c r="E221" s="51" t="s">
        <v>315</v>
      </c>
      <c r="F221" s="51">
        <v>1</v>
      </c>
      <c r="G221" s="51">
        <v>1159</v>
      </c>
      <c r="H221" s="51" t="s">
        <v>676</v>
      </c>
      <c r="I221" s="67"/>
      <c r="J221" s="86"/>
    </row>
    <row r="222" spans="1:10" ht="15.75" thickBot="1" x14ac:dyDescent="0.3">
      <c r="A222" s="53">
        <v>140</v>
      </c>
      <c r="B222" s="78" t="s">
        <v>480</v>
      </c>
      <c r="C222" s="78" t="s">
        <v>480</v>
      </c>
      <c r="D222" s="78" t="s">
        <v>314</v>
      </c>
      <c r="E222" s="78" t="s">
        <v>315</v>
      </c>
      <c r="F222" s="78">
        <v>377</v>
      </c>
      <c r="G222" s="78">
        <v>1160</v>
      </c>
      <c r="H222" s="78" t="s">
        <v>335</v>
      </c>
      <c r="I222" s="83"/>
      <c r="J222" s="89"/>
    </row>
    <row r="224" spans="1:10" x14ac:dyDescent="0.25">
      <c r="B224" s="95" t="s">
        <v>777</v>
      </c>
      <c r="C224" s="95" t="s">
        <v>807</v>
      </c>
      <c r="D224" s="96"/>
      <c r="E224" s="95" t="s">
        <v>806</v>
      </c>
      <c r="F224" s="97">
        <v>11</v>
      </c>
      <c r="G224" s="97">
        <v>1160</v>
      </c>
      <c r="I224" s="54" t="s">
        <v>847</v>
      </c>
      <c r="J224" t="s">
        <v>835</v>
      </c>
    </row>
    <row r="225" spans="2:10" x14ac:dyDescent="0.25">
      <c r="B225" s="95" t="s">
        <v>778</v>
      </c>
      <c r="C225" s="95" t="s">
        <v>808</v>
      </c>
      <c r="D225" s="96"/>
      <c r="E225" s="95" t="s">
        <v>806</v>
      </c>
      <c r="F225" s="97">
        <v>11</v>
      </c>
      <c r="G225" s="97">
        <v>1171</v>
      </c>
      <c r="I225" s="54">
        <v>448</v>
      </c>
      <c r="J225" t="s">
        <v>836</v>
      </c>
    </row>
    <row r="226" spans="2:10" x14ac:dyDescent="0.25">
      <c r="B226" s="95" t="s">
        <v>779</v>
      </c>
      <c r="C226" s="95" t="s">
        <v>809</v>
      </c>
      <c r="D226" s="96"/>
      <c r="E226" s="95" t="s">
        <v>681</v>
      </c>
      <c r="F226" s="97">
        <v>2</v>
      </c>
      <c r="G226" s="97">
        <v>1182</v>
      </c>
      <c r="I226" s="54" t="s">
        <v>846</v>
      </c>
      <c r="J226" s="100" t="s">
        <v>838</v>
      </c>
    </row>
    <row r="227" spans="2:10" x14ac:dyDescent="0.25">
      <c r="B227" s="95" t="s">
        <v>780</v>
      </c>
      <c r="C227" s="95" t="s">
        <v>810</v>
      </c>
      <c r="D227" s="96"/>
      <c r="E227" s="95" t="s">
        <v>806</v>
      </c>
      <c r="F227" s="97">
        <v>11</v>
      </c>
      <c r="G227" s="97">
        <v>1184</v>
      </c>
      <c r="I227" s="54" t="s">
        <v>848</v>
      </c>
    </row>
    <row r="228" spans="2:10" x14ac:dyDescent="0.25">
      <c r="B228" s="95" t="s">
        <v>781</v>
      </c>
      <c r="C228" s="95" t="s">
        <v>811</v>
      </c>
      <c r="D228" s="96"/>
      <c r="E228" s="95" t="s">
        <v>806</v>
      </c>
      <c r="F228" s="97">
        <v>8</v>
      </c>
      <c r="G228" s="97">
        <v>1195</v>
      </c>
    </row>
    <row r="229" spans="2:10" x14ac:dyDescent="0.25">
      <c r="B229" s="95" t="s">
        <v>782</v>
      </c>
      <c r="C229" s="95" t="s">
        <v>812</v>
      </c>
      <c r="D229" s="96"/>
      <c r="E229" s="95" t="s">
        <v>806</v>
      </c>
      <c r="F229" s="97">
        <v>35</v>
      </c>
      <c r="G229" s="97">
        <v>1203</v>
      </c>
      <c r="I229" s="54" t="s">
        <v>851</v>
      </c>
    </row>
    <row r="230" spans="2:10" x14ac:dyDescent="0.25">
      <c r="B230" s="95" t="s">
        <v>783</v>
      </c>
      <c r="C230" s="95" t="s">
        <v>813</v>
      </c>
      <c r="D230" s="96"/>
      <c r="E230" s="95" t="s">
        <v>806</v>
      </c>
      <c r="F230" s="97">
        <v>11</v>
      </c>
      <c r="G230" s="97">
        <v>1238</v>
      </c>
      <c r="I230" s="54" t="s">
        <v>849</v>
      </c>
      <c r="J230" t="s">
        <v>834</v>
      </c>
    </row>
    <row r="231" spans="2:10" x14ac:dyDescent="0.25">
      <c r="B231" s="95" t="s">
        <v>784</v>
      </c>
      <c r="C231" s="95" t="s">
        <v>814</v>
      </c>
      <c r="D231" s="96"/>
      <c r="E231" s="95" t="s">
        <v>806</v>
      </c>
      <c r="F231" s="97">
        <v>8</v>
      </c>
      <c r="G231" s="97">
        <v>1249</v>
      </c>
    </row>
    <row r="232" spans="2:10" ht="45" x14ac:dyDescent="0.25">
      <c r="B232" s="95" t="s">
        <v>785</v>
      </c>
      <c r="C232" s="95" t="s">
        <v>815</v>
      </c>
      <c r="D232" s="96"/>
      <c r="E232" s="95" t="s">
        <v>806</v>
      </c>
      <c r="F232" s="97">
        <v>35</v>
      </c>
      <c r="G232" s="97">
        <v>1257</v>
      </c>
      <c r="I232" s="105" t="s">
        <v>853</v>
      </c>
    </row>
    <row r="233" spans="2:10" x14ac:dyDescent="0.25">
      <c r="B233" s="95" t="s">
        <v>786</v>
      </c>
      <c r="C233" s="95" t="s">
        <v>810</v>
      </c>
      <c r="D233" s="96"/>
      <c r="E233" s="95" t="s">
        <v>806</v>
      </c>
      <c r="F233" s="97">
        <v>11</v>
      </c>
      <c r="G233" s="97">
        <v>1292</v>
      </c>
      <c r="J233" t="s">
        <v>681</v>
      </c>
    </row>
    <row r="234" spans="2:10" x14ac:dyDescent="0.25">
      <c r="B234" s="95" t="s">
        <v>787</v>
      </c>
      <c r="C234" s="95" t="s">
        <v>816</v>
      </c>
      <c r="D234" s="96"/>
      <c r="E234" s="95" t="s">
        <v>806</v>
      </c>
      <c r="F234" s="97">
        <v>35</v>
      </c>
      <c r="G234" s="97">
        <v>1303</v>
      </c>
      <c r="I234" s="54" t="s">
        <v>852</v>
      </c>
    </row>
    <row r="235" spans="2:10" x14ac:dyDescent="0.25">
      <c r="B235" s="95" t="s">
        <v>788</v>
      </c>
      <c r="C235" s="95" t="s">
        <v>817</v>
      </c>
      <c r="D235" s="96"/>
      <c r="E235" s="95" t="s">
        <v>806</v>
      </c>
      <c r="F235" s="97">
        <v>11</v>
      </c>
      <c r="G235" s="97">
        <v>1338</v>
      </c>
      <c r="I235" s="54" t="s">
        <v>850</v>
      </c>
      <c r="J235" t="s">
        <v>837</v>
      </c>
    </row>
    <row r="236" spans="2:10" x14ac:dyDescent="0.25">
      <c r="B236" s="95" t="s">
        <v>789</v>
      </c>
      <c r="C236" s="95" t="s">
        <v>818</v>
      </c>
      <c r="D236" s="96"/>
      <c r="E236" s="95" t="s">
        <v>806</v>
      </c>
      <c r="F236" s="97">
        <v>35</v>
      </c>
      <c r="G236" s="97">
        <v>1349</v>
      </c>
    </row>
    <row r="237" spans="2:10" x14ac:dyDescent="0.25">
      <c r="B237" s="95" t="s">
        <v>790</v>
      </c>
      <c r="C237" s="95" t="s">
        <v>819</v>
      </c>
      <c r="D237" s="96"/>
      <c r="E237" s="95" t="s">
        <v>681</v>
      </c>
      <c r="F237" s="97">
        <v>4</v>
      </c>
      <c r="G237" s="97">
        <v>1384</v>
      </c>
    </row>
    <row r="238" spans="2:10" x14ac:dyDescent="0.25">
      <c r="B238" s="95" t="s">
        <v>791</v>
      </c>
      <c r="C238" s="95" t="s">
        <v>820</v>
      </c>
      <c r="D238" s="96"/>
      <c r="E238" s="95" t="s">
        <v>681</v>
      </c>
      <c r="F238" s="97">
        <v>4</v>
      </c>
      <c r="G238" s="97">
        <v>1388</v>
      </c>
    </row>
    <row r="239" spans="2:10" x14ac:dyDescent="0.25">
      <c r="B239" s="95" t="s">
        <v>792</v>
      </c>
      <c r="C239" s="95" t="s">
        <v>821</v>
      </c>
      <c r="D239" s="96"/>
      <c r="E239" s="95" t="s">
        <v>681</v>
      </c>
      <c r="F239" s="97">
        <v>4</v>
      </c>
      <c r="G239" s="97">
        <v>1392</v>
      </c>
    </row>
    <row r="240" spans="2:10" x14ac:dyDescent="0.25">
      <c r="B240" s="95" t="s">
        <v>793</v>
      </c>
      <c r="C240" s="95" t="s">
        <v>822</v>
      </c>
      <c r="D240" s="96"/>
      <c r="E240" s="95" t="s">
        <v>681</v>
      </c>
      <c r="F240" s="97">
        <v>7</v>
      </c>
      <c r="G240" s="97">
        <v>1396</v>
      </c>
    </row>
    <row r="241" spans="2:10" x14ac:dyDescent="0.25">
      <c r="B241" s="95" t="s">
        <v>794</v>
      </c>
      <c r="C241" s="95" t="s">
        <v>807</v>
      </c>
      <c r="D241" s="96"/>
      <c r="E241" s="95" t="s">
        <v>806</v>
      </c>
      <c r="F241" s="97">
        <v>11</v>
      </c>
      <c r="G241" s="97">
        <v>1403</v>
      </c>
      <c r="J241" s="100" t="s">
        <v>839</v>
      </c>
    </row>
    <row r="242" spans="2:10" x14ac:dyDescent="0.25">
      <c r="B242" s="95" t="s">
        <v>795</v>
      </c>
      <c r="C242" s="95" t="s">
        <v>823</v>
      </c>
      <c r="D242" s="96"/>
      <c r="E242" s="95" t="s">
        <v>806</v>
      </c>
      <c r="F242" s="97">
        <v>11</v>
      </c>
      <c r="G242" s="97">
        <v>1414</v>
      </c>
    </row>
    <row r="243" spans="2:10" x14ac:dyDescent="0.25">
      <c r="B243" s="95" t="s">
        <v>796</v>
      </c>
      <c r="C243" s="95" t="s">
        <v>824</v>
      </c>
      <c r="D243" s="96"/>
      <c r="E243" s="95" t="s">
        <v>681</v>
      </c>
      <c r="F243" s="97">
        <v>1</v>
      </c>
      <c r="G243" s="97">
        <v>1425</v>
      </c>
    </row>
    <row r="244" spans="2:10" x14ac:dyDescent="0.25">
      <c r="B244" s="95" t="s">
        <v>797</v>
      </c>
      <c r="C244" s="95" t="s">
        <v>825</v>
      </c>
      <c r="D244" s="96"/>
      <c r="E244" s="95" t="s">
        <v>681</v>
      </c>
      <c r="F244" s="97">
        <v>1</v>
      </c>
      <c r="G244" s="97">
        <v>1426</v>
      </c>
    </row>
    <row r="245" spans="2:10" x14ac:dyDescent="0.25">
      <c r="B245" s="95" t="s">
        <v>798</v>
      </c>
      <c r="C245" s="95" t="s">
        <v>826</v>
      </c>
      <c r="D245" s="96"/>
      <c r="E245" s="95" t="s">
        <v>681</v>
      </c>
      <c r="F245" s="97">
        <v>1</v>
      </c>
      <c r="G245" s="97">
        <v>1427</v>
      </c>
    </row>
    <row r="246" spans="2:10" x14ac:dyDescent="0.25">
      <c r="B246" s="95" t="s">
        <v>799</v>
      </c>
      <c r="C246" s="95" t="s">
        <v>827</v>
      </c>
      <c r="D246" s="96"/>
      <c r="E246" s="95" t="s">
        <v>681</v>
      </c>
      <c r="F246" s="97">
        <v>1</v>
      </c>
      <c r="G246" s="97">
        <v>1428</v>
      </c>
    </row>
    <row r="247" spans="2:10" x14ac:dyDescent="0.25">
      <c r="B247" s="95" t="s">
        <v>800</v>
      </c>
      <c r="C247" s="95" t="s">
        <v>828</v>
      </c>
      <c r="D247" s="96"/>
      <c r="E247" s="95" t="s">
        <v>681</v>
      </c>
      <c r="F247" s="97">
        <v>1</v>
      </c>
      <c r="G247" s="97">
        <v>1429</v>
      </c>
    </row>
    <row r="248" spans="2:10" x14ac:dyDescent="0.25">
      <c r="B248" s="95" t="s">
        <v>801</v>
      </c>
      <c r="C248" s="98" t="s">
        <v>829</v>
      </c>
      <c r="D248" s="96"/>
      <c r="E248" s="95" t="s">
        <v>681</v>
      </c>
      <c r="F248" s="97">
        <v>4</v>
      </c>
      <c r="G248" s="97">
        <v>1430</v>
      </c>
    </row>
    <row r="249" spans="2:10" x14ac:dyDescent="0.25">
      <c r="B249" s="95" t="s">
        <v>802</v>
      </c>
      <c r="C249" s="95" t="s">
        <v>830</v>
      </c>
      <c r="D249" s="96"/>
      <c r="E249" s="95" t="s">
        <v>806</v>
      </c>
      <c r="F249" s="97">
        <v>30</v>
      </c>
      <c r="G249" s="97">
        <v>1434</v>
      </c>
    </row>
    <row r="250" spans="2:10" x14ac:dyDescent="0.25">
      <c r="B250" s="95" t="s">
        <v>803</v>
      </c>
      <c r="C250" s="95" t="s">
        <v>831</v>
      </c>
      <c r="D250" s="96"/>
      <c r="E250" s="95" t="s">
        <v>681</v>
      </c>
      <c r="F250" s="97">
        <v>2</v>
      </c>
      <c r="G250" s="97">
        <v>1464</v>
      </c>
    </row>
    <row r="251" spans="2:10" x14ac:dyDescent="0.25">
      <c r="B251" s="95" t="s">
        <v>804</v>
      </c>
      <c r="C251" s="95" t="s">
        <v>832</v>
      </c>
      <c r="D251" s="96"/>
      <c r="E251" s="95" t="s">
        <v>681</v>
      </c>
      <c r="F251" s="97">
        <v>1</v>
      </c>
      <c r="G251" s="97">
        <v>1466</v>
      </c>
    </row>
    <row r="252" spans="2:10" x14ac:dyDescent="0.25">
      <c r="B252" s="95" t="s">
        <v>805</v>
      </c>
      <c r="C252" s="99" t="s">
        <v>833</v>
      </c>
      <c r="D252" s="96"/>
      <c r="E252" s="95" t="s">
        <v>806</v>
      </c>
      <c r="F252" s="97">
        <v>13</v>
      </c>
      <c r="G252" s="97">
        <v>1467</v>
      </c>
    </row>
    <row r="253" spans="2:10" x14ac:dyDescent="0.25">
      <c r="B253" s="95" t="s">
        <v>480</v>
      </c>
      <c r="C253" s="95"/>
      <c r="D253" s="96"/>
      <c r="E253" s="95" t="s">
        <v>806</v>
      </c>
      <c r="F253" s="97">
        <v>57</v>
      </c>
      <c r="G253" s="97">
        <v>1480</v>
      </c>
    </row>
  </sheetData>
  <mergeCells count="254">
    <mergeCell ref="I132:I133"/>
    <mergeCell ref="J132:J133"/>
    <mergeCell ref="I190:I191"/>
    <mergeCell ref="J190:J191"/>
    <mergeCell ref="D190:D191"/>
    <mergeCell ref="E190:E191"/>
    <mergeCell ref="F190:F191"/>
    <mergeCell ref="G190:G191"/>
    <mergeCell ref="B132:B133"/>
    <mergeCell ref="D132:D133"/>
    <mergeCell ref="E132:E133"/>
    <mergeCell ref="F132:F133"/>
    <mergeCell ref="G132:G133"/>
    <mergeCell ref="E185:E189"/>
    <mergeCell ref="F185:F189"/>
    <mergeCell ref="G185:G189"/>
    <mergeCell ref="I185:I189"/>
    <mergeCell ref="J185:J189"/>
    <mergeCell ref="J177:J181"/>
    <mergeCell ref="D182:D183"/>
    <mergeCell ref="E182:E183"/>
    <mergeCell ref="F182:F183"/>
    <mergeCell ref="G182:G183"/>
    <mergeCell ref="I182:I183"/>
    <mergeCell ref="G113:G114"/>
    <mergeCell ref="I113:I114"/>
    <mergeCell ref="J113:J114"/>
    <mergeCell ref="B129:B131"/>
    <mergeCell ref="D129:D131"/>
    <mergeCell ref="E129:E131"/>
    <mergeCell ref="F129:F131"/>
    <mergeCell ref="G129:G131"/>
    <mergeCell ref="I129:I131"/>
    <mergeCell ref="J129:J131"/>
    <mergeCell ref="B113:B114"/>
    <mergeCell ref="C113:C114"/>
    <mergeCell ref="D113:D114"/>
    <mergeCell ref="E113:E114"/>
    <mergeCell ref="F113:F114"/>
    <mergeCell ref="G125:G127"/>
    <mergeCell ref="I125:I127"/>
    <mergeCell ref="J125:J127"/>
    <mergeCell ref="J205:J208"/>
    <mergeCell ref="D218:D220"/>
    <mergeCell ref="E218:E220"/>
    <mergeCell ref="F218:F220"/>
    <mergeCell ref="G218:G220"/>
    <mergeCell ref="I218:I220"/>
    <mergeCell ref="J218:J220"/>
    <mergeCell ref="D205:D208"/>
    <mergeCell ref="E205:E208"/>
    <mergeCell ref="F205:F208"/>
    <mergeCell ref="G205:G208"/>
    <mergeCell ref="I205:I208"/>
    <mergeCell ref="J193:J197"/>
    <mergeCell ref="D199:D203"/>
    <mergeCell ref="E199:E203"/>
    <mergeCell ref="F199:F203"/>
    <mergeCell ref="G199:G203"/>
    <mergeCell ref="I199:I203"/>
    <mergeCell ref="J199:J203"/>
    <mergeCell ref="D193:D197"/>
    <mergeCell ref="E193:E197"/>
    <mergeCell ref="F193:F197"/>
    <mergeCell ref="G193:G197"/>
    <mergeCell ref="I193:I197"/>
    <mergeCell ref="J182:J183"/>
    <mergeCell ref="D177:D181"/>
    <mergeCell ref="E177:E181"/>
    <mergeCell ref="F177:F181"/>
    <mergeCell ref="G177:G181"/>
    <mergeCell ref="I177:I181"/>
    <mergeCell ref="J169:J173"/>
    <mergeCell ref="D174:D175"/>
    <mergeCell ref="E174:E175"/>
    <mergeCell ref="F174:F175"/>
    <mergeCell ref="G174:G175"/>
    <mergeCell ref="I174:I175"/>
    <mergeCell ref="J174:J175"/>
    <mergeCell ref="D169:D173"/>
    <mergeCell ref="E169:E173"/>
    <mergeCell ref="F169:F173"/>
    <mergeCell ref="G169:G173"/>
    <mergeCell ref="I169:I173"/>
    <mergeCell ref="J161:J165"/>
    <mergeCell ref="D166:D167"/>
    <mergeCell ref="E166:E167"/>
    <mergeCell ref="F166:F167"/>
    <mergeCell ref="G166:G167"/>
    <mergeCell ref="I166:I167"/>
    <mergeCell ref="J166:J167"/>
    <mergeCell ref="D161:D165"/>
    <mergeCell ref="E161:E165"/>
    <mergeCell ref="F161:F165"/>
    <mergeCell ref="G161:G165"/>
    <mergeCell ref="I161:I165"/>
    <mergeCell ref="J153:J157"/>
    <mergeCell ref="J150:J151"/>
    <mergeCell ref="D158:D159"/>
    <mergeCell ref="E158:E159"/>
    <mergeCell ref="F158:F159"/>
    <mergeCell ref="G158:G159"/>
    <mergeCell ref="I158:I159"/>
    <mergeCell ref="J158:J159"/>
    <mergeCell ref="D153:D157"/>
    <mergeCell ref="E153:E157"/>
    <mergeCell ref="F153:F157"/>
    <mergeCell ref="G153:G157"/>
    <mergeCell ref="I153:I157"/>
    <mergeCell ref="J145:J149"/>
    <mergeCell ref="D150:D151"/>
    <mergeCell ref="E150:E151"/>
    <mergeCell ref="F150:F151"/>
    <mergeCell ref="G150:G151"/>
    <mergeCell ref="I150:I151"/>
    <mergeCell ref="D145:D149"/>
    <mergeCell ref="E145:E149"/>
    <mergeCell ref="F145:F149"/>
    <mergeCell ref="G145:G149"/>
    <mergeCell ref="I145:I149"/>
    <mergeCell ref="D142:D143"/>
    <mergeCell ref="J142:J143"/>
    <mergeCell ref="I142:I143"/>
    <mergeCell ref="G142:G143"/>
    <mergeCell ref="F142:F143"/>
    <mergeCell ref="E142:E143"/>
    <mergeCell ref="E134:E135"/>
    <mergeCell ref="I134:I135"/>
    <mergeCell ref="J134:J135"/>
    <mergeCell ref="D137:D141"/>
    <mergeCell ref="E137:E141"/>
    <mergeCell ref="F137:F141"/>
    <mergeCell ref="G137:G141"/>
    <mergeCell ref="I137:I141"/>
    <mergeCell ref="J137:J141"/>
    <mergeCell ref="D134:D135"/>
    <mergeCell ref="B142:B143"/>
    <mergeCell ref="C137:C141"/>
    <mergeCell ref="B137:B141"/>
    <mergeCell ref="B134:B135"/>
    <mergeCell ref="A134:A135"/>
    <mergeCell ref="B153:B157"/>
    <mergeCell ref="C153:C157"/>
    <mergeCell ref="B150:B151"/>
    <mergeCell ref="B145:B149"/>
    <mergeCell ref="C145:C149"/>
    <mergeCell ref="A142:A143"/>
    <mergeCell ref="A145:A149"/>
    <mergeCell ref="A150:A151"/>
    <mergeCell ref="A153:A157"/>
    <mergeCell ref="B166:B167"/>
    <mergeCell ref="B161:B165"/>
    <mergeCell ref="C161:C165"/>
    <mergeCell ref="A158:A159"/>
    <mergeCell ref="B158:B159"/>
    <mergeCell ref="B177:B181"/>
    <mergeCell ref="C177:C181"/>
    <mergeCell ref="B174:B175"/>
    <mergeCell ref="B169:B173"/>
    <mergeCell ref="C169:C173"/>
    <mergeCell ref="A161:A165"/>
    <mergeCell ref="B190:B191"/>
    <mergeCell ref="B185:B189"/>
    <mergeCell ref="C185:C189"/>
    <mergeCell ref="D185:D189"/>
    <mergeCell ref="B182:B183"/>
    <mergeCell ref="B218:B220"/>
    <mergeCell ref="C218:C220"/>
    <mergeCell ref="B199:B203"/>
    <mergeCell ref="C199:C203"/>
    <mergeCell ref="B193:B197"/>
    <mergeCell ref="C193:C197"/>
    <mergeCell ref="B205:B208"/>
    <mergeCell ref="C205:C208"/>
    <mergeCell ref="A190:A191"/>
    <mergeCell ref="A193:A197"/>
    <mergeCell ref="A199:A203"/>
    <mergeCell ref="A205:A208"/>
    <mergeCell ref="A218:A220"/>
    <mergeCell ref="A166:A167"/>
    <mergeCell ref="A169:A173"/>
    <mergeCell ref="A174:A175"/>
    <mergeCell ref="A177:A181"/>
    <mergeCell ref="A185:A189"/>
    <mergeCell ref="A182:A183"/>
    <mergeCell ref="A129:A133"/>
    <mergeCell ref="A137:A141"/>
    <mergeCell ref="G134:G135"/>
    <mergeCell ref="F134:F135"/>
    <mergeCell ref="A125:A127"/>
    <mergeCell ref="B125:B127"/>
    <mergeCell ref="D125:D127"/>
    <mergeCell ref="E125:E127"/>
    <mergeCell ref="F125:F127"/>
    <mergeCell ref="F98:F99"/>
    <mergeCell ref="G98:G99"/>
    <mergeCell ref="I98:I99"/>
    <mergeCell ref="J98:J99"/>
    <mergeCell ref="A100:A103"/>
    <mergeCell ref="B100:B103"/>
    <mergeCell ref="C100:C103"/>
    <mergeCell ref="D100:D103"/>
    <mergeCell ref="E100:E103"/>
    <mergeCell ref="F100:F103"/>
    <mergeCell ref="G100:G103"/>
    <mergeCell ref="I100:I103"/>
    <mergeCell ref="J100:J103"/>
    <mergeCell ref="A98:A99"/>
    <mergeCell ref="B98:B99"/>
    <mergeCell ref="C98:C99"/>
    <mergeCell ref="D98:D99"/>
    <mergeCell ref="E98:E99"/>
    <mergeCell ref="A51:A55"/>
    <mergeCell ref="B51:B55"/>
    <mergeCell ref="C51:C55"/>
    <mergeCell ref="D51:D55"/>
    <mergeCell ref="E51:E55"/>
    <mergeCell ref="A79:A83"/>
    <mergeCell ref="B79:B83"/>
    <mergeCell ref="C79:C83"/>
    <mergeCell ref="D79:D83"/>
    <mergeCell ref="E79:E83"/>
    <mergeCell ref="A70:A72"/>
    <mergeCell ref="B70:B72"/>
    <mergeCell ref="C70:C72"/>
    <mergeCell ref="D70:D72"/>
    <mergeCell ref="J51:J55"/>
    <mergeCell ref="I79:I83"/>
    <mergeCell ref="J79:J83"/>
    <mergeCell ref="C34:C39"/>
    <mergeCell ref="B34:B39"/>
    <mergeCell ref="F51:F55"/>
    <mergeCell ref="G51:G55"/>
    <mergeCell ref="I51:I55"/>
    <mergeCell ref="J70:J72"/>
    <mergeCell ref="F79:F83"/>
    <mergeCell ref="G79:G83"/>
    <mergeCell ref="I34:I39"/>
    <mergeCell ref="J34:J39"/>
    <mergeCell ref="I70:I72"/>
    <mergeCell ref="E70:E72"/>
    <mergeCell ref="F70:F72"/>
    <mergeCell ref="G70:G72"/>
    <mergeCell ref="J3:J4"/>
    <mergeCell ref="J32:J33"/>
    <mergeCell ref="I7:I8"/>
    <mergeCell ref="I3:I4"/>
    <mergeCell ref="I32:I33"/>
    <mergeCell ref="A34:A39"/>
    <mergeCell ref="A32:A33"/>
    <mergeCell ref="A7:A8"/>
    <mergeCell ref="B7:B8"/>
    <mergeCell ref="C7:C8"/>
    <mergeCell ref="J7:J8"/>
  </mergeCells>
  <pageMargins left="0.7" right="0.7" top="0.75" bottom="0.75" header="0.3" footer="0.3"/>
  <pageSetup paperSize="9" orientation="portrait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85" zoomScaleNormal="85" workbookViewId="0">
      <selection activeCell="A3" sqref="A3"/>
    </sheetView>
  </sheetViews>
  <sheetFormatPr defaultColWidth="11.42578125" defaultRowHeight="15" x14ac:dyDescent="0.25"/>
  <cols>
    <col min="1" max="1" width="32.28515625" customWidth="1"/>
    <col min="2" max="2" width="9.7109375" bestFit="1" customWidth="1"/>
    <col min="3" max="3" width="8.42578125" bestFit="1" customWidth="1"/>
    <col min="4" max="4" width="9.5703125" bestFit="1" customWidth="1"/>
    <col min="5" max="5" width="22" bestFit="1" customWidth="1"/>
    <col min="6" max="6" width="54.85546875" bestFit="1" customWidth="1"/>
  </cols>
  <sheetData>
    <row r="1" spans="1:6" ht="45.75" thickBo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ht="15.75" thickBot="1" x14ac:dyDescent="0.3">
      <c r="A2" s="180" t="s">
        <v>6</v>
      </c>
      <c r="B2" s="181"/>
      <c r="C2" s="181"/>
      <c r="D2" s="181"/>
      <c r="E2" s="181"/>
      <c r="F2" s="182"/>
    </row>
    <row r="3" spans="1:6" ht="29.25" thickBot="1" x14ac:dyDescent="0.3">
      <c r="A3" s="14" t="s">
        <v>7</v>
      </c>
      <c r="B3" s="1">
        <v>8</v>
      </c>
      <c r="C3" s="1" t="s">
        <v>8</v>
      </c>
      <c r="D3" s="1" t="s">
        <v>8</v>
      </c>
      <c r="E3" s="2" t="s">
        <v>9</v>
      </c>
      <c r="F3" s="26" t="s">
        <v>10</v>
      </c>
    </row>
    <row r="4" spans="1:6" ht="29.25" thickBot="1" x14ac:dyDescent="0.3">
      <c r="A4" s="14" t="s">
        <v>11</v>
      </c>
      <c r="B4" s="1">
        <v>9</v>
      </c>
      <c r="C4" s="1" t="s">
        <v>8</v>
      </c>
      <c r="D4" s="1" t="s">
        <v>8</v>
      </c>
      <c r="E4" s="3"/>
      <c r="F4" s="26" t="s">
        <v>13</v>
      </c>
    </row>
    <row r="5" spans="1:6" ht="15.75" thickBot="1" x14ac:dyDescent="0.3">
      <c r="A5" s="14" t="s">
        <v>14</v>
      </c>
      <c r="B5" s="1">
        <v>35</v>
      </c>
      <c r="C5" s="1" t="s">
        <v>8</v>
      </c>
      <c r="D5" s="1" t="s">
        <v>8</v>
      </c>
      <c r="E5" s="2" t="s">
        <v>15</v>
      </c>
      <c r="F5" s="27" t="s">
        <v>16</v>
      </c>
    </row>
    <row r="6" spans="1:6" ht="15.75" thickBot="1" x14ac:dyDescent="0.3">
      <c r="A6" s="14" t="s">
        <v>17</v>
      </c>
      <c r="B6" s="1">
        <v>34</v>
      </c>
      <c r="C6" s="1" t="s">
        <v>8</v>
      </c>
      <c r="D6" s="1" t="s">
        <v>8</v>
      </c>
      <c r="E6" s="3" t="s">
        <v>18</v>
      </c>
      <c r="F6" s="27"/>
    </row>
    <row r="7" spans="1:6" ht="29.25" thickBot="1" x14ac:dyDescent="0.3">
      <c r="A7" s="14" t="s">
        <v>19</v>
      </c>
      <c r="B7" s="1">
        <v>49</v>
      </c>
      <c r="C7" s="1" t="s">
        <v>8</v>
      </c>
      <c r="D7" s="1" t="s">
        <v>8</v>
      </c>
      <c r="E7" s="3" t="s">
        <v>20</v>
      </c>
      <c r="F7" s="27" t="s">
        <v>21</v>
      </c>
    </row>
    <row r="8" spans="1:6" ht="29.25" thickBot="1" x14ac:dyDescent="0.3">
      <c r="A8" s="14" t="s">
        <v>22</v>
      </c>
      <c r="B8" s="1">
        <v>56</v>
      </c>
      <c r="C8" s="1" t="s">
        <v>8</v>
      </c>
      <c r="D8" s="1" t="s">
        <v>8</v>
      </c>
      <c r="E8" s="2" t="s">
        <v>23</v>
      </c>
      <c r="F8" s="27" t="s">
        <v>24</v>
      </c>
    </row>
    <row r="9" spans="1:6" ht="43.5" thickBot="1" x14ac:dyDescent="0.3">
      <c r="A9" s="15" t="s">
        <v>25</v>
      </c>
      <c r="B9" s="16">
        <v>52</v>
      </c>
      <c r="C9" s="16" t="s">
        <v>8</v>
      </c>
      <c r="D9" s="16" t="s">
        <v>8</v>
      </c>
      <c r="E9" s="17" t="s">
        <v>26</v>
      </c>
      <c r="F9" s="28" t="s">
        <v>27</v>
      </c>
    </row>
    <row r="10" spans="1:6" ht="15.75" thickBot="1" x14ac:dyDescent="0.3">
      <c r="A10" s="14" t="s">
        <v>28</v>
      </c>
      <c r="B10" s="1"/>
      <c r="C10" s="1"/>
      <c r="D10" s="1"/>
      <c r="E10" s="2"/>
      <c r="F10" s="26"/>
    </row>
    <row r="11" spans="1:6" ht="43.5" thickBot="1" x14ac:dyDescent="0.3">
      <c r="A11" s="14" t="s">
        <v>29</v>
      </c>
      <c r="B11" s="1">
        <v>664</v>
      </c>
      <c r="C11" s="1" t="s">
        <v>8</v>
      </c>
      <c r="D11" s="1" t="s">
        <v>8</v>
      </c>
      <c r="E11" s="3" t="s">
        <v>30</v>
      </c>
      <c r="F11" s="26" t="s">
        <v>31</v>
      </c>
    </row>
    <row r="12" spans="1:6" ht="29.25" thickBot="1" x14ac:dyDescent="0.3">
      <c r="A12" s="14" t="s">
        <v>32</v>
      </c>
      <c r="B12" s="1">
        <v>772</v>
      </c>
      <c r="C12" s="1" t="s">
        <v>33</v>
      </c>
      <c r="D12" s="1" t="s">
        <v>34</v>
      </c>
      <c r="E12" s="2" t="s">
        <v>35</v>
      </c>
      <c r="F12" s="27" t="s">
        <v>36</v>
      </c>
    </row>
    <row r="13" spans="1:6" ht="15.75" thickBot="1" x14ac:dyDescent="0.3">
      <c r="A13" s="14" t="s">
        <v>37</v>
      </c>
      <c r="B13" s="1">
        <v>666</v>
      </c>
      <c r="C13" s="1" t="s">
        <v>8</v>
      </c>
      <c r="D13" s="1" t="s">
        <v>8</v>
      </c>
      <c r="E13" s="3" t="s">
        <v>38</v>
      </c>
      <c r="F13" s="27" t="s">
        <v>695</v>
      </c>
    </row>
    <row r="14" spans="1:6" ht="15.75" thickBot="1" x14ac:dyDescent="0.3">
      <c r="A14" s="14"/>
      <c r="B14" s="1"/>
      <c r="C14" s="1"/>
      <c r="D14" s="1"/>
      <c r="E14" s="3" t="s">
        <v>40</v>
      </c>
      <c r="F14" s="27"/>
    </row>
    <row r="15" spans="1:6" ht="43.5" thickBot="1" x14ac:dyDescent="0.3">
      <c r="A15" s="14" t="s">
        <v>58</v>
      </c>
      <c r="B15" s="1">
        <v>60</v>
      </c>
      <c r="C15" s="1" t="s">
        <v>8</v>
      </c>
      <c r="D15" s="1" t="s">
        <v>8</v>
      </c>
      <c r="E15" s="2" t="s">
        <v>26</v>
      </c>
      <c r="F15" s="27" t="s">
        <v>59</v>
      </c>
    </row>
    <row r="16" spans="1:6" ht="15.75" thickBot="1" x14ac:dyDescent="0.3">
      <c r="A16" s="15" t="s">
        <v>125</v>
      </c>
      <c r="B16" s="16">
        <v>167</v>
      </c>
      <c r="C16" s="16" t="s">
        <v>45</v>
      </c>
      <c r="D16" s="16" t="s">
        <v>8</v>
      </c>
      <c r="E16" s="17" t="s">
        <v>696</v>
      </c>
      <c r="F16" s="28" t="s">
        <v>697</v>
      </c>
    </row>
    <row r="17" spans="1:6" ht="29.25" thickBot="1" x14ac:dyDescent="0.3">
      <c r="A17" s="14" t="s">
        <v>107</v>
      </c>
      <c r="B17" s="1">
        <v>54</v>
      </c>
      <c r="C17" s="1" t="s">
        <v>8</v>
      </c>
      <c r="D17" s="1" t="s">
        <v>8</v>
      </c>
      <c r="E17" s="2" t="s">
        <v>108</v>
      </c>
      <c r="F17" s="26" t="s">
        <v>109</v>
      </c>
    </row>
    <row r="18" spans="1:6" ht="15.75" thickBot="1" x14ac:dyDescent="0.3">
      <c r="A18" s="14"/>
      <c r="B18" s="1"/>
      <c r="C18" s="1"/>
      <c r="D18" s="1"/>
      <c r="E18" s="3" t="s">
        <v>110</v>
      </c>
      <c r="F18" s="26"/>
    </row>
    <row r="19" spans="1:6" ht="72" thickBot="1" x14ac:dyDescent="0.3">
      <c r="A19" s="14" t="s">
        <v>132</v>
      </c>
      <c r="B19" s="1">
        <v>80</v>
      </c>
      <c r="C19" s="1" t="s">
        <v>8</v>
      </c>
      <c r="D19" s="1" t="s">
        <v>8</v>
      </c>
      <c r="E19" s="2" t="s">
        <v>698</v>
      </c>
      <c r="F19" s="27" t="s">
        <v>699</v>
      </c>
    </row>
    <row r="20" spans="1:6" ht="15.75" thickBot="1" x14ac:dyDescent="0.3">
      <c r="A20" s="14" t="s">
        <v>137</v>
      </c>
      <c r="B20" s="1">
        <v>75</v>
      </c>
      <c r="C20" s="1" t="s">
        <v>8</v>
      </c>
      <c r="D20" s="1" t="s">
        <v>8</v>
      </c>
      <c r="E20" s="3" t="s">
        <v>138</v>
      </c>
      <c r="F20" s="27" t="s">
        <v>682</v>
      </c>
    </row>
    <row r="21" spans="1:6" ht="29.25" thickBot="1" x14ac:dyDescent="0.3">
      <c r="A21" s="14" t="s">
        <v>150</v>
      </c>
      <c r="B21" s="1">
        <v>79</v>
      </c>
      <c r="C21" s="1" t="s">
        <v>8</v>
      </c>
      <c r="D21" s="1" t="s">
        <v>8</v>
      </c>
      <c r="E21" s="3" t="s">
        <v>151</v>
      </c>
      <c r="F21" s="27" t="s">
        <v>700</v>
      </c>
    </row>
    <row r="22" spans="1:6" ht="29.25" thickBot="1" x14ac:dyDescent="0.3">
      <c r="A22" s="14" t="s">
        <v>169</v>
      </c>
      <c r="B22" s="1">
        <v>6</v>
      </c>
      <c r="C22" s="1" t="s">
        <v>8</v>
      </c>
      <c r="D22" s="1" t="s">
        <v>8</v>
      </c>
      <c r="E22" s="2" t="s">
        <v>701</v>
      </c>
      <c r="F22" s="27" t="s">
        <v>702</v>
      </c>
    </row>
    <row r="23" spans="1:6" ht="86.25" thickBot="1" x14ac:dyDescent="0.3">
      <c r="A23" s="15" t="s">
        <v>172</v>
      </c>
      <c r="B23" s="16">
        <v>15</v>
      </c>
      <c r="C23" s="16" t="s">
        <v>45</v>
      </c>
      <c r="D23" s="16" t="s">
        <v>8</v>
      </c>
      <c r="E23" s="17" t="s">
        <v>703</v>
      </c>
      <c r="F23" s="28" t="s">
        <v>704</v>
      </c>
    </row>
    <row r="24" spans="1:6" ht="15.75" thickBot="1" x14ac:dyDescent="0.3">
      <c r="A24" s="14" t="s">
        <v>185</v>
      </c>
      <c r="B24" s="1">
        <v>64</v>
      </c>
      <c r="C24" s="1" t="s">
        <v>45</v>
      </c>
      <c r="D24" s="1" t="s">
        <v>8</v>
      </c>
      <c r="E24" s="2" t="s">
        <v>138</v>
      </c>
      <c r="F24" s="26" t="s">
        <v>186</v>
      </c>
    </row>
    <row r="25" spans="1:6" ht="86.25" thickBot="1" x14ac:dyDescent="0.3">
      <c r="A25" s="14" t="s">
        <v>188</v>
      </c>
      <c r="B25" s="1">
        <v>119</v>
      </c>
      <c r="C25" s="1" t="s">
        <v>45</v>
      </c>
      <c r="D25" s="1" t="s">
        <v>8</v>
      </c>
      <c r="E25" s="3" t="s">
        <v>189</v>
      </c>
      <c r="F25" s="26" t="s">
        <v>705</v>
      </c>
    </row>
    <row r="26" spans="1:6" ht="86.25" thickBot="1" x14ac:dyDescent="0.3">
      <c r="A26" s="14" t="s">
        <v>191</v>
      </c>
      <c r="B26" s="1">
        <v>120</v>
      </c>
      <c r="C26" s="1" t="s">
        <v>45</v>
      </c>
      <c r="D26" s="1" t="s">
        <v>8</v>
      </c>
      <c r="E26" s="2" t="s">
        <v>173</v>
      </c>
      <c r="F26" s="27" t="s">
        <v>706</v>
      </c>
    </row>
    <row r="27" spans="1:6" ht="15.75" thickBot="1" x14ac:dyDescent="0.3">
      <c r="A27" s="14" t="s">
        <v>295</v>
      </c>
      <c r="B27" s="1"/>
      <c r="C27" s="1"/>
      <c r="D27" s="1"/>
      <c r="E27" s="3"/>
      <c r="F27" s="27"/>
    </row>
    <row r="28" spans="1:6" ht="29.25" thickBot="1" x14ac:dyDescent="0.3">
      <c r="A28" s="14" t="s">
        <v>296</v>
      </c>
      <c r="B28" s="1">
        <v>10</v>
      </c>
      <c r="C28" s="1" t="s">
        <v>8</v>
      </c>
      <c r="D28" s="1" t="s">
        <v>8</v>
      </c>
      <c r="E28" s="3"/>
      <c r="F28" s="27" t="s">
        <v>707</v>
      </c>
    </row>
  </sheetData>
  <mergeCells count="1">
    <mergeCell ref="A2:F2"/>
  </mergeCells>
  <pageMargins left="0.7" right="0.7" top="0.75" bottom="0.75" header="0.3" footer="0.3"/>
  <customProperties>
    <customPr name="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F26" sqref="A26:F26"/>
    </sheetView>
  </sheetViews>
  <sheetFormatPr defaultColWidth="11.42578125" defaultRowHeight="15" x14ac:dyDescent="0.25"/>
  <cols>
    <col min="1" max="1" width="16.140625" customWidth="1"/>
    <col min="5" max="5" width="24" bestFit="1" customWidth="1"/>
    <col min="6" max="6" width="55.42578125" customWidth="1"/>
  </cols>
  <sheetData>
    <row r="1" spans="1:6" ht="30.75" thickBo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</row>
    <row r="2" spans="1:6" ht="15.75" thickBot="1" x14ac:dyDescent="0.3">
      <c r="A2" s="184" t="s">
        <v>6</v>
      </c>
      <c r="B2" s="185"/>
      <c r="C2" s="185"/>
      <c r="D2" s="185"/>
      <c r="E2" s="185"/>
      <c r="F2" s="186"/>
    </row>
    <row r="3" spans="1:6" ht="29.25" thickBot="1" x14ac:dyDescent="0.3">
      <c r="A3" s="62" t="s">
        <v>7</v>
      </c>
      <c r="B3" s="62">
        <v>8</v>
      </c>
      <c r="C3" s="62" t="s">
        <v>8</v>
      </c>
      <c r="D3" s="62" t="s">
        <v>8</v>
      </c>
      <c r="E3" s="62" t="s">
        <v>708</v>
      </c>
      <c r="F3" s="62" t="s">
        <v>10</v>
      </c>
    </row>
    <row r="4" spans="1:6" ht="29.25" thickBot="1" x14ac:dyDescent="0.3">
      <c r="A4" s="62" t="s">
        <v>11</v>
      </c>
      <c r="B4" s="62">
        <v>9</v>
      </c>
      <c r="C4" s="62" t="s">
        <v>8</v>
      </c>
      <c r="D4" s="62" t="s">
        <v>8</v>
      </c>
      <c r="E4" s="62" t="s">
        <v>12</v>
      </c>
      <c r="F4" s="62" t="s">
        <v>13</v>
      </c>
    </row>
    <row r="5" spans="1:6" ht="15.75" thickBot="1" x14ac:dyDescent="0.3">
      <c r="A5" s="62" t="s">
        <v>14</v>
      </c>
      <c r="B5" s="62">
        <v>35</v>
      </c>
      <c r="C5" s="62" t="s">
        <v>8</v>
      </c>
      <c r="D5" s="62" t="s">
        <v>8</v>
      </c>
      <c r="E5" s="62" t="s">
        <v>709</v>
      </c>
      <c r="F5" s="62" t="s">
        <v>16</v>
      </c>
    </row>
    <row r="6" spans="1:6" ht="29.25" thickBot="1" x14ac:dyDescent="0.3">
      <c r="A6" s="62" t="s">
        <v>19</v>
      </c>
      <c r="B6" s="62">
        <v>49</v>
      </c>
      <c r="C6" s="62" t="s">
        <v>8</v>
      </c>
      <c r="D6" s="62" t="s">
        <v>8</v>
      </c>
      <c r="E6" s="62" t="s">
        <v>710</v>
      </c>
      <c r="F6" s="62" t="s">
        <v>711</v>
      </c>
    </row>
    <row r="7" spans="1:6" ht="29.25" thickBot="1" x14ac:dyDescent="0.3">
      <c r="A7" s="62" t="s">
        <v>712</v>
      </c>
      <c r="B7" s="62">
        <v>56</v>
      </c>
      <c r="C7" s="62" t="s">
        <v>8</v>
      </c>
      <c r="D7" s="62" t="s">
        <v>8</v>
      </c>
      <c r="E7" s="62" t="s">
        <v>713</v>
      </c>
      <c r="F7" s="62" t="s">
        <v>714</v>
      </c>
    </row>
    <row r="8" spans="1:6" ht="29.25" thickBot="1" x14ac:dyDescent="0.3">
      <c r="A8" s="62" t="s">
        <v>17</v>
      </c>
      <c r="B8" s="62">
        <v>34</v>
      </c>
      <c r="C8" s="62" t="s">
        <v>8</v>
      </c>
      <c r="D8" s="62" t="s">
        <v>8</v>
      </c>
      <c r="E8" s="62" t="s">
        <v>715</v>
      </c>
      <c r="F8" s="62" t="s">
        <v>716</v>
      </c>
    </row>
    <row r="9" spans="1:6" ht="29.25" thickBot="1" x14ac:dyDescent="0.3">
      <c r="A9" s="62" t="s">
        <v>25</v>
      </c>
      <c r="B9" s="62">
        <v>52</v>
      </c>
      <c r="C9" s="62" t="s">
        <v>8</v>
      </c>
      <c r="D9" s="62" t="s">
        <v>8</v>
      </c>
      <c r="E9" s="62" t="s">
        <v>717</v>
      </c>
      <c r="F9" s="62" t="s">
        <v>718</v>
      </c>
    </row>
    <row r="10" spans="1:6" ht="15.75" thickBot="1" x14ac:dyDescent="0.3">
      <c r="A10" s="183" t="s">
        <v>28</v>
      </c>
      <c r="B10" s="183"/>
      <c r="C10" s="183"/>
      <c r="D10" s="183"/>
      <c r="E10" s="183"/>
      <c r="F10" s="183"/>
    </row>
    <row r="11" spans="1:6" ht="29.25" thickBot="1" x14ac:dyDescent="0.3">
      <c r="A11" s="62" t="s">
        <v>29</v>
      </c>
      <c r="B11" s="62">
        <v>664</v>
      </c>
      <c r="C11" s="62" t="s">
        <v>8</v>
      </c>
      <c r="D11" s="62" t="s">
        <v>8</v>
      </c>
      <c r="E11" s="62" t="s">
        <v>719</v>
      </c>
      <c r="F11" s="62" t="s">
        <v>720</v>
      </c>
    </row>
    <row r="12" spans="1:6" ht="43.5" thickBot="1" x14ac:dyDescent="0.3">
      <c r="A12" s="62" t="s">
        <v>32</v>
      </c>
      <c r="B12" s="62">
        <v>772</v>
      </c>
      <c r="C12" s="62" t="s">
        <v>33</v>
      </c>
      <c r="D12" s="62" t="s">
        <v>34</v>
      </c>
      <c r="E12" s="62" t="s">
        <v>721</v>
      </c>
      <c r="F12" s="62" t="s">
        <v>722</v>
      </c>
    </row>
    <row r="13" spans="1:6" ht="15.75" thickBot="1" x14ac:dyDescent="0.3">
      <c r="A13" s="187" t="s">
        <v>37</v>
      </c>
      <c r="B13" s="187">
        <v>666</v>
      </c>
      <c r="C13" s="187" t="s">
        <v>8</v>
      </c>
      <c r="D13" s="187" t="s">
        <v>8</v>
      </c>
      <c r="E13" s="62" t="s">
        <v>38</v>
      </c>
      <c r="F13" s="62"/>
    </row>
    <row r="14" spans="1:6" ht="29.25" thickBot="1" x14ac:dyDescent="0.3">
      <c r="A14" s="187"/>
      <c r="B14" s="187"/>
      <c r="C14" s="187"/>
      <c r="D14" s="187"/>
      <c r="E14" s="62" t="s">
        <v>723</v>
      </c>
      <c r="F14" s="62" t="s">
        <v>724</v>
      </c>
    </row>
    <row r="15" spans="1:6" ht="15.75" thickBot="1" x14ac:dyDescent="0.3">
      <c r="A15" s="187"/>
      <c r="B15" s="187"/>
      <c r="C15" s="187"/>
      <c r="D15" s="187"/>
      <c r="E15" s="62" t="s">
        <v>40</v>
      </c>
      <c r="F15" s="62" t="s">
        <v>725</v>
      </c>
    </row>
    <row r="16" spans="1:6" ht="15.75" thickBot="1" x14ac:dyDescent="0.3">
      <c r="A16" s="62" t="s">
        <v>41</v>
      </c>
      <c r="B16" s="62">
        <v>773</v>
      </c>
      <c r="C16" s="62" t="s">
        <v>8</v>
      </c>
      <c r="D16" s="62" t="s">
        <v>8</v>
      </c>
      <c r="E16" s="62" t="s">
        <v>85</v>
      </c>
      <c r="F16" s="62" t="s">
        <v>716</v>
      </c>
    </row>
    <row r="17" spans="1:6" ht="15.75" thickBot="1" x14ac:dyDescent="0.3">
      <c r="A17" s="62" t="s">
        <v>48</v>
      </c>
      <c r="B17" s="62">
        <v>665</v>
      </c>
      <c r="C17" s="62" t="s">
        <v>8</v>
      </c>
      <c r="D17" s="62" t="s">
        <v>8</v>
      </c>
      <c r="E17" s="62" t="s">
        <v>726</v>
      </c>
      <c r="F17" s="62" t="s">
        <v>716</v>
      </c>
    </row>
    <row r="18" spans="1:6" ht="29.25" thickBot="1" x14ac:dyDescent="0.3">
      <c r="A18" s="62" t="s">
        <v>51</v>
      </c>
      <c r="B18" s="62">
        <v>70</v>
      </c>
      <c r="C18" s="62" t="s">
        <v>45</v>
      </c>
      <c r="D18" s="63" t="s">
        <v>8</v>
      </c>
      <c r="E18" s="62" t="s">
        <v>727</v>
      </c>
      <c r="F18" s="62" t="s">
        <v>728</v>
      </c>
    </row>
    <row r="19" spans="1:6" ht="29.25" thickBot="1" x14ac:dyDescent="0.3">
      <c r="A19" s="62" t="s">
        <v>55</v>
      </c>
      <c r="B19" s="62">
        <v>467</v>
      </c>
      <c r="C19" s="62" t="s">
        <v>45</v>
      </c>
      <c r="D19" s="62" t="s">
        <v>8</v>
      </c>
      <c r="E19" s="62" t="s">
        <v>719</v>
      </c>
      <c r="F19" s="62" t="s">
        <v>729</v>
      </c>
    </row>
    <row r="20" spans="1:6" ht="29.25" thickBot="1" x14ac:dyDescent="0.3">
      <c r="A20" s="62" t="s">
        <v>58</v>
      </c>
      <c r="B20" s="62">
        <v>60</v>
      </c>
      <c r="C20" s="62" t="s">
        <v>8</v>
      </c>
      <c r="D20" s="62" t="s">
        <v>8</v>
      </c>
      <c r="E20" s="62" t="s">
        <v>730</v>
      </c>
      <c r="F20" s="62" t="s">
        <v>731</v>
      </c>
    </row>
    <row r="21" spans="1:6" ht="15.75" thickBot="1" x14ac:dyDescent="0.3">
      <c r="A21" s="62" t="s">
        <v>137</v>
      </c>
      <c r="B21" s="62">
        <v>75</v>
      </c>
      <c r="C21" s="62" t="s">
        <v>8</v>
      </c>
      <c r="D21" s="62" t="s">
        <v>8</v>
      </c>
      <c r="E21" s="62" t="s">
        <v>138</v>
      </c>
      <c r="F21" s="62" t="s">
        <v>682</v>
      </c>
    </row>
    <row r="22" spans="1:6" ht="15.75" thickBot="1" x14ac:dyDescent="0.3">
      <c r="A22" s="62"/>
      <c r="B22" s="62">
        <v>55</v>
      </c>
      <c r="C22" s="62" t="s">
        <v>8</v>
      </c>
      <c r="D22" s="62" t="s">
        <v>8</v>
      </c>
      <c r="E22" s="62" t="s">
        <v>732</v>
      </c>
      <c r="F22" s="62" t="s">
        <v>716</v>
      </c>
    </row>
    <row r="23" spans="1:6" ht="15.75" thickBot="1" x14ac:dyDescent="0.3">
      <c r="A23" s="62" t="s">
        <v>733</v>
      </c>
      <c r="B23" s="62">
        <v>873</v>
      </c>
      <c r="C23" s="62" t="s">
        <v>8</v>
      </c>
      <c r="D23" s="62" t="s">
        <v>8</v>
      </c>
      <c r="E23" s="62" t="s">
        <v>138</v>
      </c>
      <c r="F23" s="62" t="s">
        <v>734</v>
      </c>
    </row>
    <row r="24" spans="1:6" ht="15.75" thickBot="1" x14ac:dyDescent="0.3">
      <c r="A24" s="62" t="s">
        <v>735</v>
      </c>
      <c r="B24" s="62">
        <v>711</v>
      </c>
      <c r="C24" s="62" t="s">
        <v>8</v>
      </c>
      <c r="D24" s="62" t="s">
        <v>8</v>
      </c>
      <c r="E24" s="62" t="s">
        <v>736</v>
      </c>
      <c r="F24" s="62" t="s">
        <v>716</v>
      </c>
    </row>
    <row r="25" spans="1:6" ht="15.75" thickBot="1" x14ac:dyDescent="0.3">
      <c r="A25" s="62" t="s">
        <v>737</v>
      </c>
      <c r="B25" s="62">
        <v>555</v>
      </c>
      <c r="C25" s="62" t="s">
        <v>8</v>
      </c>
      <c r="D25" s="62" t="s">
        <v>8</v>
      </c>
      <c r="E25" s="62" t="s">
        <v>736</v>
      </c>
      <c r="F25" s="62" t="s">
        <v>716</v>
      </c>
    </row>
    <row r="26" spans="1:6" ht="43.5" thickBot="1" x14ac:dyDescent="0.3">
      <c r="A26" s="62" t="s">
        <v>132</v>
      </c>
      <c r="B26" s="62">
        <v>80</v>
      </c>
      <c r="C26" s="62" t="s">
        <v>8</v>
      </c>
      <c r="D26" s="62" t="s">
        <v>8</v>
      </c>
      <c r="E26" s="62" t="s">
        <v>738</v>
      </c>
      <c r="F26" s="62" t="s">
        <v>739</v>
      </c>
    </row>
    <row r="27" spans="1:6" ht="15.75" thickBot="1" x14ac:dyDescent="0.3">
      <c r="A27" s="62" t="s">
        <v>107</v>
      </c>
      <c r="B27" s="62">
        <v>54</v>
      </c>
      <c r="C27" s="62" t="s">
        <v>8</v>
      </c>
      <c r="D27" s="62" t="s">
        <v>8</v>
      </c>
      <c r="E27" s="62" t="s">
        <v>740</v>
      </c>
      <c r="F27" s="62" t="s">
        <v>716</v>
      </c>
    </row>
    <row r="28" spans="1:6" ht="15.75" thickBot="1" x14ac:dyDescent="0.3">
      <c r="A28" s="62" t="s">
        <v>139</v>
      </c>
      <c r="B28" s="62">
        <v>862</v>
      </c>
      <c r="C28" s="62" t="s">
        <v>8</v>
      </c>
      <c r="D28" s="62" t="s">
        <v>8</v>
      </c>
      <c r="E28" s="62" t="s">
        <v>140</v>
      </c>
      <c r="F28" s="62" t="s">
        <v>716</v>
      </c>
    </row>
    <row r="29" spans="1:6" ht="29.25" thickBot="1" x14ac:dyDescent="0.3">
      <c r="A29" s="62" t="s">
        <v>142</v>
      </c>
      <c r="B29" s="62">
        <v>528</v>
      </c>
      <c r="C29" s="62" t="s">
        <v>8</v>
      </c>
      <c r="D29" s="62" t="s">
        <v>8</v>
      </c>
      <c r="E29" s="62" t="s">
        <v>741</v>
      </c>
      <c r="F29" s="62" t="s">
        <v>716</v>
      </c>
    </row>
    <row r="30" spans="1:6" ht="29.25" thickBot="1" x14ac:dyDescent="0.3">
      <c r="A30" s="62" t="s">
        <v>146</v>
      </c>
      <c r="B30" s="62">
        <v>863</v>
      </c>
      <c r="C30" s="62" t="s">
        <v>8</v>
      </c>
      <c r="D30" s="62" t="s">
        <v>8</v>
      </c>
      <c r="E30" s="62" t="s">
        <v>140</v>
      </c>
      <c r="F30" s="62" t="s">
        <v>716</v>
      </c>
    </row>
    <row r="31" spans="1:6" ht="29.25" thickBot="1" x14ac:dyDescent="0.3">
      <c r="A31" s="62" t="s">
        <v>150</v>
      </c>
      <c r="B31" s="62">
        <v>79</v>
      </c>
      <c r="C31" s="62" t="s">
        <v>8</v>
      </c>
      <c r="D31" s="62" t="s">
        <v>8</v>
      </c>
      <c r="E31" s="62" t="s">
        <v>742</v>
      </c>
      <c r="F31" s="62" t="s">
        <v>743</v>
      </c>
    </row>
    <row r="32" spans="1:6" ht="15.75" thickBot="1" x14ac:dyDescent="0.3">
      <c r="A32" s="62" t="s">
        <v>169</v>
      </c>
      <c r="B32" s="62">
        <v>6</v>
      </c>
      <c r="C32" s="62" t="s">
        <v>8</v>
      </c>
      <c r="D32" s="62" t="s">
        <v>8</v>
      </c>
      <c r="E32" s="62" t="s">
        <v>736</v>
      </c>
      <c r="F32" s="62" t="s">
        <v>716</v>
      </c>
    </row>
    <row r="33" spans="1:6" ht="72" thickBot="1" x14ac:dyDescent="0.3">
      <c r="A33" s="62" t="s">
        <v>178</v>
      </c>
      <c r="B33" s="62">
        <v>58</v>
      </c>
      <c r="C33" s="62" t="s">
        <v>33</v>
      </c>
      <c r="D33" s="62" t="s">
        <v>8</v>
      </c>
      <c r="E33" s="62"/>
      <c r="F33" s="11" t="s">
        <v>744</v>
      </c>
    </row>
    <row r="34" spans="1:6" ht="29.25" thickBot="1" x14ac:dyDescent="0.3">
      <c r="A34" s="62" t="s">
        <v>179</v>
      </c>
      <c r="B34" s="62">
        <v>381</v>
      </c>
      <c r="C34" s="62" t="s">
        <v>8</v>
      </c>
      <c r="D34" s="62" t="s">
        <v>8</v>
      </c>
      <c r="E34" s="62" t="s">
        <v>183</v>
      </c>
      <c r="F34" s="62" t="s">
        <v>745</v>
      </c>
    </row>
    <row r="35" spans="1:6" ht="29.25" thickBot="1" x14ac:dyDescent="0.3">
      <c r="A35" s="62" t="s">
        <v>182</v>
      </c>
      <c r="B35" s="62">
        <v>118</v>
      </c>
      <c r="C35" s="62" t="s">
        <v>8</v>
      </c>
      <c r="D35" s="62" t="s">
        <v>8</v>
      </c>
      <c r="E35" s="62" t="s">
        <v>183</v>
      </c>
      <c r="F35" s="62" t="s">
        <v>745</v>
      </c>
    </row>
    <row r="36" spans="1:6" ht="15.75" thickBot="1" x14ac:dyDescent="0.3">
      <c r="A36" s="183" t="s">
        <v>746</v>
      </c>
      <c r="B36" s="183"/>
      <c r="C36" s="183"/>
      <c r="D36" s="183"/>
      <c r="E36" s="183"/>
      <c r="F36" s="183"/>
    </row>
    <row r="37" spans="1:6" ht="29.25" thickBot="1" x14ac:dyDescent="0.3">
      <c r="A37" s="62" t="s">
        <v>296</v>
      </c>
      <c r="B37" s="62">
        <v>10</v>
      </c>
      <c r="C37" s="62" t="s">
        <v>8</v>
      </c>
      <c r="D37" s="62" t="s">
        <v>8</v>
      </c>
      <c r="E37" s="62" t="s">
        <v>12</v>
      </c>
      <c r="F37" s="3" t="s">
        <v>707</v>
      </c>
    </row>
    <row r="38" spans="1:6" x14ac:dyDescent="0.25">
      <c r="A38" s="13"/>
      <c r="B38" s="13"/>
      <c r="C38" s="13"/>
      <c r="D38" s="13"/>
      <c r="E38" s="13"/>
      <c r="F38" s="13"/>
    </row>
    <row r="39" spans="1:6" x14ac:dyDescent="0.25">
      <c r="A39" s="13"/>
      <c r="B39" s="13"/>
      <c r="C39" s="13"/>
      <c r="D39" s="13"/>
      <c r="E39" s="13"/>
      <c r="F39" s="13"/>
    </row>
    <row r="40" spans="1:6" x14ac:dyDescent="0.25">
      <c r="A40" s="13"/>
      <c r="B40" s="13"/>
      <c r="C40" s="13"/>
      <c r="D40" s="13"/>
      <c r="E40" s="13"/>
      <c r="F40" s="13"/>
    </row>
    <row r="41" spans="1:6" x14ac:dyDescent="0.25">
      <c r="A41" s="64" t="s">
        <v>747</v>
      </c>
      <c r="B41" s="65"/>
      <c r="C41" s="13"/>
      <c r="D41" s="13"/>
      <c r="E41" s="13"/>
      <c r="F41" s="13"/>
    </row>
    <row r="42" spans="1:6" x14ac:dyDescent="0.25">
      <c r="A42" s="66" t="s">
        <v>748</v>
      </c>
      <c r="B42" s="65" t="s">
        <v>749</v>
      </c>
      <c r="C42" s="65"/>
      <c r="D42" s="13"/>
      <c r="E42" s="13"/>
      <c r="F42" s="13"/>
    </row>
    <row r="43" spans="1:6" x14ac:dyDescent="0.25">
      <c r="A43" s="66"/>
      <c r="B43" s="65" t="s">
        <v>750</v>
      </c>
      <c r="C43" s="65"/>
      <c r="D43" s="13"/>
      <c r="E43" s="13"/>
      <c r="F43" s="13"/>
    </row>
    <row r="44" spans="1:6" x14ac:dyDescent="0.25">
      <c r="A44" s="66"/>
      <c r="B44" s="65" t="s">
        <v>751</v>
      </c>
      <c r="C44" s="65"/>
      <c r="D44" s="13"/>
      <c r="E44" s="13"/>
      <c r="F44" s="13"/>
    </row>
    <row r="45" spans="1:6" x14ac:dyDescent="0.25">
      <c r="A45" s="66"/>
      <c r="B45" s="65" t="s">
        <v>752</v>
      </c>
      <c r="C45" s="65"/>
      <c r="D45" s="13"/>
      <c r="E45" s="13"/>
      <c r="F45" s="13"/>
    </row>
    <row r="46" spans="1:6" x14ac:dyDescent="0.25">
      <c r="A46" s="66"/>
      <c r="B46" s="65" t="s">
        <v>753</v>
      </c>
      <c r="C46" s="65"/>
      <c r="D46" s="13"/>
      <c r="E46" s="13"/>
      <c r="F46" s="13"/>
    </row>
    <row r="47" spans="1:6" x14ac:dyDescent="0.25">
      <c r="A47" s="66"/>
      <c r="B47" s="65" t="s">
        <v>754</v>
      </c>
      <c r="C47" s="65"/>
      <c r="D47" s="13"/>
      <c r="E47" s="13"/>
      <c r="F47" s="13"/>
    </row>
    <row r="48" spans="1:6" x14ac:dyDescent="0.25">
      <c r="A48" s="66"/>
      <c r="B48" s="65" t="s">
        <v>755</v>
      </c>
      <c r="C48" s="65"/>
      <c r="D48" s="13"/>
      <c r="E48" s="13"/>
      <c r="F48" s="13"/>
    </row>
    <row r="49" spans="1:6" x14ac:dyDescent="0.25">
      <c r="A49" s="66"/>
      <c r="B49" s="65" t="s">
        <v>756</v>
      </c>
      <c r="C49" s="65"/>
      <c r="D49" s="13"/>
      <c r="E49" s="13"/>
      <c r="F49" s="13"/>
    </row>
    <row r="50" spans="1:6" x14ac:dyDescent="0.25">
      <c r="A50" s="66"/>
      <c r="B50" s="65" t="s">
        <v>757</v>
      </c>
      <c r="C50" s="65"/>
      <c r="D50" s="13"/>
      <c r="E50" s="13"/>
      <c r="F50" s="13"/>
    </row>
    <row r="51" spans="1:6" x14ac:dyDescent="0.25">
      <c r="A51" s="66"/>
      <c r="B51" s="65" t="s">
        <v>758</v>
      </c>
      <c r="C51" s="65"/>
      <c r="D51" s="13"/>
      <c r="E51" s="13"/>
      <c r="F51" s="13"/>
    </row>
    <row r="52" spans="1:6" x14ac:dyDescent="0.25">
      <c r="A52" s="66"/>
      <c r="B52" s="65" t="s">
        <v>759</v>
      </c>
      <c r="C52" s="65"/>
      <c r="D52" s="13"/>
      <c r="E52" s="13"/>
      <c r="F52" s="13"/>
    </row>
    <row r="53" spans="1:6" x14ac:dyDescent="0.25">
      <c r="A53" s="66"/>
      <c r="B53" s="65" t="s">
        <v>760</v>
      </c>
      <c r="C53" s="65"/>
      <c r="D53" s="13"/>
      <c r="E53" s="13"/>
      <c r="F53" s="13"/>
    </row>
    <row r="54" spans="1:6" x14ac:dyDescent="0.25">
      <c r="A54" s="66"/>
      <c r="B54" s="65" t="s">
        <v>761</v>
      </c>
      <c r="C54" s="65"/>
      <c r="D54" s="13"/>
      <c r="E54" s="13"/>
      <c r="F54" s="13"/>
    </row>
    <row r="55" spans="1:6" x14ac:dyDescent="0.25">
      <c r="A55" s="66" t="s">
        <v>762</v>
      </c>
      <c r="B55" s="65" t="s">
        <v>763</v>
      </c>
      <c r="C55" s="65"/>
      <c r="D55" s="13"/>
      <c r="E55" s="13"/>
      <c r="F55" s="13"/>
    </row>
    <row r="56" spans="1:6" x14ac:dyDescent="0.25">
      <c r="A56" s="66"/>
      <c r="B56" s="65" t="s">
        <v>764</v>
      </c>
      <c r="C56" s="65"/>
      <c r="D56" s="13"/>
      <c r="E56" s="13"/>
      <c r="F56" s="13"/>
    </row>
    <row r="57" spans="1:6" x14ac:dyDescent="0.25">
      <c r="A57" s="66"/>
      <c r="B57" s="65" t="s">
        <v>765</v>
      </c>
      <c r="C57" s="65"/>
      <c r="D57" s="13"/>
      <c r="E57" s="13"/>
      <c r="F57" s="13"/>
    </row>
    <row r="58" spans="1:6" x14ac:dyDescent="0.25">
      <c r="A58" s="66"/>
      <c r="B58" s="65" t="s">
        <v>766</v>
      </c>
      <c r="C58" s="65"/>
      <c r="D58" s="13"/>
      <c r="E58" s="13"/>
      <c r="F58" s="13"/>
    </row>
    <row r="59" spans="1:6" x14ac:dyDescent="0.25">
      <c r="A59" s="66"/>
      <c r="B59" s="65" t="s">
        <v>767</v>
      </c>
      <c r="C59" s="65"/>
      <c r="D59" s="13"/>
      <c r="E59" s="13"/>
      <c r="F59" s="13"/>
    </row>
    <row r="60" spans="1:6" x14ac:dyDescent="0.25">
      <c r="A60" s="66" t="s">
        <v>768</v>
      </c>
      <c r="B60" s="65" t="s">
        <v>769</v>
      </c>
      <c r="C60" s="65"/>
      <c r="D60" s="13"/>
      <c r="E60" s="13"/>
      <c r="F60" s="13"/>
    </row>
    <row r="61" spans="1:6" x14ac:dyDescent="0.25">
      <c r="A61" s="65"/>
      <c r="B61" s="65" t="s">
        <v>770</v>
      </c>
      <c r="C61" s="65"/>
      <c r="D61" s="13"/>
      <c r="E61" s="13"/>
      <c r="F61" s="13"/>
    </row>
    <row r="62" spans="1:6" x14ac:dyDescent="0.25">
      <c r="A62" s="13"/>
      <c r="B62" s="13"/>
      <c r="C62" s="13"/>
      <c r="D62" s="13"/>
      <c r="E62" s="13"/>
      <c r="F62" s="13"/>
    </row>
    <row r="63" spans="1:6" x14ac:dyDescent="0.25">
      <c r="A63" s="13"/>
      <c r="B63" s="13"/>
      <c r="C63" s="13"/>
      <c r="D63" s="13"/>
      <c r="E63" s="13"/>
      <c r="F63" s="13"/>
    </row>
    <row r="64" spans="1:6" x14ac:dyDescent="0.25">
      <c r="A64" s="13"/>
      <c r="B64" s="13"/>
      <c r="C64" s="13"/>
      <c r="D64" s="13"/>
      <c r="E64" s="13"/>
      <c r="F64" s="13"/>
    </row>
    <row r="65" spans="1:6" x14ac:dyDescent="0.25">
      <c r="A65" s="13"/>
      <c r="B65" s="13"/>
      <c r="C65" s="13"/>
      <c r="D65" s="13"/>
      <c r="E65" s="13"/>
      <c r="F65" s="13"/>
    </row>
  </sheetData>
  <mergeCells count="7">
    <mergeCell ref="A36:F36"/>
    <mergeCell ref="A2:F2"/>
    <mergeCell ref="A10:F10"/>
    <mergeCell ref="A13:A15"/>
    <mergeCell ref="B13:B15"/>
    <mergeCell ref="C13:C15"/>
    <mergeCell ref="D13:D15"/>
  </mergeCells>
  <pageMargins left="0.7" right="0.7" top="0.75" bottom="0.75" header="0.3" footer="0.3"/>
  <customProperties>
    <customPr name="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4"/>
  <sheetViews>
    <sheetView workbookViewId="0"/>
  </sheetViews>
  <sheetFormatPr defaultColWidth="11.42578125" defaultRowHeight="15" x14ac:dyDescent="0.25"/>
  <sheetData>
    <row r="1" spans="1:256" x14ac:dyDescent="0.25">
      <c r="A1" t="s">
        <v>691</v>
      </c>
      <c r="F1" t="e">
        <f>'Equity or FI trade'!A:A*"$GJ|!%"</f>
        <v>#VALUE!</v>
      </c>
      <c r="G1" t="e">
        <f>'Equity or FI trade'!B:B*"$GJ|!&amp;"</f>
        <v>#VALUE!</v>
      </c>
      <c r="H1" t="e">
        <f>'Equity or FI trade'!C:C*"$GJ|!'"</f>
        <v>#VALUE!</v>
      </c>
      <c r="I1" t="e">
        <f>'Equity or FI trade'!D:D*"$GJ|!("</f>
        <v>#VALUE!</v>
      </c>
      <c r="J1" t="e">
        <f>'Equity or FI trade'!E:E*"$GJ|!)"</f>
        <v>#VALUE!</v>
      </c>
      <c r="K1" t="e">
        <f>'Equity or FI trade'!F:F*"$GJ|!."</f>
        <v>#VALUE!</v>
      </c>
      <c r="L1" t="e">
        <f>'Equity or FI trade'!G:G*"$GJ|!/"</f>
        <v>#VALUE!</v>
      </c>
      <c r="M1" t="e">
        <f>'Equity or FI trade'!H:H*"$GJ|!0"</f>
        <v>#VALUE!</v>
      </c>
      <c r="N1" t="e">
        <f>'Equity or FI trade'!I:I*"$GJ|!1"</f>
        <v>#VALUE!</v>
      </c>
      <c r="O1" t="e">
        <f>'Equity or FI trade'!J:J*"$GJ|!2"</f>
        <v>#VALUE!</v>
      </c>
      <c r="P1" t="e">
        <f>'Equity or FI trade'!K:K*"$GJ|!3"</f>
        <v>#VALUE!</v>
      </c>
      <c r="Q1" t="e">
        <f>'Equity or FI trade'!L:L*"$GJ|!4"</f>
        <v>#VALUE!</v>
      </c>
      <c r="R1" t="e">
        <f>'Equity or FI trade'!M:M*"$GJ|!5"</f>
        <v>#VALUE!</v>
      </c>
      <c r="S1" t="e">
        <f>'Equity or FI trade'!N:N*"$GJ|!6"</f>
        <v>#VALUE!</v>
      </c>
      <c r="T1" t="e">
        <f>'Equity or FI trade'!O:O*"$GJ|!7"</f>
        <v>#VALUE!</v>
      </c>
      <c r="U1" t="e">
        <f>'Equity or FI trade'!P:P*"$GJ|!8"</f>
        <v>#VALUE!</v>
      </c>
      <c r="V1" t="e">
        <f>'Equity or FI trade'!Q:Q*"$GJ|!9"</f>
        <v>#VALUE!</v>
      </c>
      <c r="W1" t="e">
        <f>'Equity or FI trade'!R:R*"$GJ|!:"</f>
        <v>#VALUE!</v>
      </c>
      <c r="X1" t="e">
        <f>'Equity or FI trade'!S:S*"$GJ|!;"</f>
        <v>#VALUE!</v>
      </c>
      <c r="Y1" t="e">
        <f>'Equity or FI trade'!T:T*"$GJ|!&lt;"</f>
        <v>#VALUE!</v>
      </c>
      <c r="Z1" t="e">
        <f>'Equity or FI trade'!U:U*"$GJ|!="</f>
        <v>#VALUE!</v>
      </c>
      <c r="AA1" t="e">
        <f>'Equity or FI trade'!V:V*"$GJ|!&gt;"</f>
        <v>#VALUE!</v>
      </c>
      <c r="AB1" t="e">
        <f>'Equity or FI trade'!W:W*"$GJ|!?"</f>
        <v>#VALUE!</v>
      </c>
      <c r="AC1" t="e">
        <f>'Equity or FI trade'!X:X*"$GJ|!@"</f>
        <v>#VALUE!</v>
      </c>
      <c r="AD1" t="e">
        <f>'Equity or FI trade'!Y:Y*"$GJ|!A"</f>
        <v>#VALUE!</v>
      </c>
      <c r="AE1" t="e">
        <f>'Equity or FI trade'!Z:Z*"$GJ|!B"</f>
        <v>#VALUE!</v>
      </c>
      <c r="AF1" t="e">
        <f>'Equity or FI trade'!AA:AA*"$GJ|!C"</f>
        <v>#VALUE!</v>
      </c>
      <c r="AG1" t="e">
        <f>'Equity or FI trade'!AB:AB*"$GJ|!D"</f>
        <v>#VALUE!</v>
      </c>
      <c r="AH1" t="e">
        <f>'Equity or FI trade'!AC:AC*"$GJ|!E"</f>
        <v>#VALUE!</v>
      </c>
      <c r="AI1" t="e">
        <f>'Equity or FI trade'!AD:AD*"$GJ|!F"</f>
        <v>#VALUE!</v>
      </c>
      <c r="AJ1" t="e">
        <f>'Equity or FI trade'!AE:AE*"$GJ|!G"</f>
        <v>#VALUE!</v>
      </c>
      <c r="AK1" t="e">
        <f>'Equity or FI trade'!AF:AF*"$GJ|!H"</f>
        <v>#VALUE!</v>
      </c>
      <c r="AL1" t="e">
        <f>'Equity or FI trade'!AG:AG*"$GJ|!I"</f>
        <v>#VALUE!</v>
      </c>
      <c r="AM1" t="e">
        <f>'Equity or FI trade'!AH:AH*"$GJ|!J"</f>
        <v>#VALUE!</v>
      </c>
      <c r="AN1" t="e">
        <f>'Equity or FI trade'!AI:AI*"$GJ|!K"</f>
        <v>#VALUE!</v>
      </c>
      <c r="AO1" t="e">
        <f>'Equity or FI trade'!AJ:AJ*"$GJ|!L"</f>
        <v>#VALUE!</v>
      </c>
      <c r="AP1" t="e">
        <f>'Equity or FI trade'!AK:AK*"$GJ|!M"</f>
        <v>#VALUE!</v>
      </c>
      <c r="AQ1" t="e">
        <f>'Equity or FI trade'!AL:AL*"$GJ|!N"</f>
        <v>#VALUE!</v>
      </c>
      <c r="AR1" t="e">
        <f>'Equity or FI trade'!AM:AM*"$GJ|!O"</f>
        <v>#VALUE!</v>
      </c>
      <c r="AS1" t="e">
        <f>'Equity or FI trade'!AN:AN*"$GJ|!P"</f>
        <v>#VALUE!</v>
      </c>
      <c r="AT1" t="e">
        <f>'Equity or FI trade'!AO:AO*"$GJ|!Q"</f>
        <v>#VALUE!</v>
      </c>
      <c r="AU1" t="e">
        <f>'Equity or FI trade'!AP:AP*"$GJ|!R"</f>
        <v>#VALUE!</v>
      </c>
      <c r="AV1" t="e">
        <f>'Equity or FI trade'!AQ:AQ*"$GJ|!S"</f>
        <v>#VALUE!</v>
      </c>
      <c r="AW1" t="e">
        <f>'Equity or FI trade'!AR:AR*"$GJ|!T"</f>
        <v>#VALUE!</v>
      </c>
      <c r="AX1" t="e">
        <f>'Equity or FI trade'!AS:AS*"$GJ|!U"</f>
        <v>#VALUE!</v>
      </c>
      <c r="AY1" t="e">
        <f>'Equity or FI trade'!AT:AT*"$GJ|!V"</f>
        <v>#VALUE!</v>
      </c>
      <c r="AZ1" t="e">
        <f>'Equity or FI trade'!AU:AU*"$GJ|!W"</f>
        <v>#VALUE!</v>
      </c>
      <c r="BA1" t="e">
        <f>'Equity or FI trade'!AV:AV*"$GJ|!X"</f>
        <v>#VALUE!</v>
      </c>
      <c r="BB1" t="e">
        <f>'Equity or FI trade'!AW:AW*"$GJ|!Y"</f>
        <v>#VALUE!</v>
      </c>
      <c r="BC1" t="e">
        <f>'Equity or FI trade'!AX:AX*"$GJ|!Z"</f>
        <v>#VALUE!</v>
      </c>
      <c r="BD1" t="e">
        <f>'Equity or FI trade'!AY:AY*"$GJ|!["</f>
        <v>#VALUE!</v>
      </c>
      <c r="BE1" t="e">
        <f>'Equity or FI trade'!AZ:AZ*"$GJ|!\"</f>
        <v>#VALUE!</v>
      </c>
      <c r="BF1" t="e">
        <f>'Equity or FI trade'!BA:BA*"$GJ|!]"</f>
        <v>#VALUE!</v>
      </c>
      <c r="BG1" t="e">
        <f>'Equity or FI trade'!BB:BB*"$GJ|!^"</f>
        <v>#VALUE!</v>
      </c>
      <c r="BH1" t="e">
        <f>'Equity or FI trade'!BC:BC*"$GJ|!_"</f>
        <v>#VALUE!</v>
      </c>
      <c r="BI1" t="e">
        <f>'Equity or FI trade'!BD:BD*"$GJ|!`"</f>
        <v>#VALUE!</v>
      </c>
      <c r="BJ1" t="e">
        <f>'Equity or FI trade'!BE:BE*"$GJ|!a"</f>
        <v>#VALUE!</v>
      </c>
      <c r="BK1" t="e">
        <f>'Equity or FI trade'!BF:BF*"$GJ|!b"</f>
        <v>#VALUE!</v>
      </c>
      <c r="BL1" t="e">
        <f>'Equity or FI trade'!1:1-"$GJ|!c"</f>
        <v>#VALUE!</v>
      </c>
      <c r="BM1" t="e">
        <f>'Equity or FI trade'!2:2-"$GJ|!d"</f>
        <v>#VALUE!</v>
      </c>
      <c r="BN1" t="e">
        <f>'Equity or FI trade'!3:3-"$GJ|!e"</f>
        <v>#VALUE!</v>
      </c>
      <c r="BO1" t="e">
        <f>'Equity or FI trade'!4:4-"$GJ|!f"</f>
        <v>#VALUE!</v>
      </c>
      <c r="BP1" t="e">
        <f>'Equity or FI trade'!5:5-"$GJ|!g"</f>
        <v>#VALUE!</v>
      </c>
      <c r="BQ1" t="e">
        <f>'Equity or FI trade'!6:6-"$GJ|!h"</f>
        <v>#VALUE!</v>
      </c>
      <c r="BR1" t="e">
        <f>'Equity or FI trade'!7:7-"$GJ|!i"</f>
        <v>#VALUE!</v>
      </c>
      <c r="BS1" t="e">
        <f>'Equity or FI trade'!8:8-"$GJ|!j"</f>
        <v>#VALUE!</v>
      </c>
      <c r="BT1" t="e">
        <f>'Equity or FI trade'!9:9-"$GJ|!k"</f>
        <v>#VALUE!</v>
      </c>
      <c r="BU1" t="e">
        <f>'Equity or FI trade'!10:10-"$GJ|!l"</f>
        <v>#VALUE!</v>
      </c>
      <c r="BV1" t="e">
        <f>'Equity or FI trade'!11:11-"$GJ|!m"</f>
        <v>#VALUE!</v>
      </c>
      <c r="BW1" t="e">
        <f>'Equity or FI trade'!12:12-"$GJ|!n"</f>
        <v>#VALUE!</v>
      </c>
      <c r="BX1" t="e">
        <f>'Equity or FI trade'!13:13-"$GJ|!o"</f>
        <v>#VALUE!</v>
      </c>
      <c r="BY1" t="e">
        <f>'Equity or FI trade'!14:14-"$GJ|!p"</f>
        <v>#VALUE!</v>
      </c>
      <c r="BZ1" t="e">
        <f>'Equity or FI trade'!15:15-"$GJ|!q"</f>
        <v>#VALUE!</v>
      </c>
      <c r="CA1" t="e">
        <f>'Equity or FI trade'!16:16-"$GJ|!r"</f>
        <v>#VALUE!</v>
      </c>
      <c r="CB1" t="e">
        <f>'Equity or FI trade'!17:17-"$GJ|!s"</f>
        <v>#VALUE!</v>
      </c>
      <c r="CC1" t="e">
        <f>'Equity or FI trade'!18:18-"$GJ|!t"</f>
        <v>#VALUE!</v>
      </c>
      <c r="CD1" t="e">
        <f>'Equity or FI trade'!19:19-"$GJ|!u"</f>
        <v>#VALUE!</v>
      </c>
      <c r="CE1" t="e">
        <f>'Equity or FI trade'!20:20-"$GJ|!v"</f>
        <v>#VALUE!</v>
      </c>
      <c r="CF1" t="e">
        <f>'Equity or FI trade'!21:21-"$GJ|!w"</f>
        <v>#VALUE!</v>
      </c>
      <c r="CG1" t="e">
        <f>'Equity or FI trade'!22:22-"$GJ|!x"</f>
        <v>#VALUE!</v>
      </c>
      <c r="CH1" t="e">
        <f>'Equity or FI trade'!23:23-"$GJ|!y"</f>
        <v>#VALUE!</v>
      </c>
      <c r="CI1" t="e">
        <f>'Equity or FI trade'!24:24-"$GJ|!z"</f>
        <v>#VALUE!</v>
      </c>
      <c r="CJ1" t="e">
        <f>'Equity or FI trade'!25:25-"$GJ|!{"</f>
        <v>#VALUE!</v>
      </c>
      <c r="CK1" t="e">
        <f>'Equity or FI trade'!26:26-"$GJ|!|"</f>
        <v>#VALUE!</v>
      </c>
      <c r="CL1" t="e">
        <f>'Equity or FI trade'!27:27-"$GJ|!}"</f>
        <v>#VALUE!</v>
      </c>
      <c r="CM1" t="e">
        <f>'Equity or FI trade'!28:28-"$GJ|!~"</f>
        <v>#VALUE!</v>
      </c>
      <c r="CN1" t="e">
        <f>'Equity or FI trade'!29:29-"$GJ|!$#"</f>
        <v>#VALUE!</v>
      </c>
      <c r="CO1" t="e">
        <f>'Equity or FI trade'!30:30-"$GJ|!$$"</f>
        <v>#VALUE!</v>
      </c>
      <c r="CP1" t="e">
        <f>'Equity or FI trade'!31:31-"$GJ|!$%"</f>
        <v>#VALUE!</v>
      </c>
      <c r="CQ1" t="e">
        <f>'Equity or FI trade'!32:32-"$GJ|!$&amp;"</f>
        <v>#VALUE!</v>
      </c>
      <c r="CR1" t="e">
        <f>'Equity or FI trade'!33:33-"$GJ|!$'"</f>
        <v>#VALUE!</v>
      </c>
      <c r="CS1" t="e">
        <f>'Equity or FI trade'!34:34-"$GJ|!$("</f>
        <v>#VALUE!</v>
      </c>
      <c r="CT1" t="e">
        <f>'Equity or FI trade'!35:35-"$GJ|!$)"</f>
        <v>#VALUE!</v>
      </c>
      <c r="CU1" t="e">
        <f>'Equity or FI trade'!36:36-"$GJ|!$."</f>
        <v>#VALUE!</v>
      </c>
      <c r="CV1" t="e">
        <f>'Equity or FI trade'!37:37-"$GJ|!$/"</f>
        <v>#VALUE!</v>
      </c>
      <c r="CW1" t="e">
        <f>'Equity or FI trade'!38:38-"$GJ|!$0"</f>
        <v>#VALUE!</v>
      </c>
      <c r="CX1" t="e">
        <f>'Equity or FI trade'!39:39-"$GJ|!$1"</f>
        <v>#VALUE!</v>
      </c>
      <c r="CY1" t="e">
        <f>'Equity or FI trade'!40:40-"$GJ|!$2"</f>
        <v>#VALUE!</v>
      </c>
      <c r="CZ1" t="e">
        <f>'Equity or FI trade'!41:41-"$GJ|!$3"</f>
        <v>#VALUE!</v>
      </c>
      <c r="DA1" t="e">
        <f>'Equity or FI trade'!42:42-"$GJ|!$4"</f>
        <v>#VALUE!</v>
      </c>
      <c r="DB1" t="e">
        <f>'Equity or FI trade'!43:43-"$GJ|!$5"</f>
        <v>#VALUE!</v>
      </c>
      <c r="DC1" t="e">
        <f>'Equity or FI trade'!44:44-"$GJ|!$6"</f>
        <v>#VALUE!</v>
      </c>
      <c r="DD1" t="e">
        <f>'Equity or FI trade'!45:45-"$GJ|!$7"</f>
        <v>#VALUE!</v>
      </c>
      <c r="DE1" t="e">
        <f>'Equity or FI trade'!46:46-"$GJ|!$8"</f>
        <v>#VALUE!</v>
      </c>
      <c r="DF1" t="e">
        <f>'Equity or FI trade'!47:47-"$GJ|!$9"</f>
        <v>#VALUE!</v>
      </c>
      <c r="DG1" t="e">
        <f>'Equity or FI trade'!48:48-"$GJ|!$:"</f>
        <v>#VALUE!</v>
      </c>
      <c r="DH1" t="e">
        <f>'Equity or FI trade'!49:49-"$GJ|!$;"</f>
        <v>#VALUE!</v>
      </c>
      <c r="DI1" t="e">
        <f>'Equity or FI trade'!50:50-"$GJ|!$&lt;"</f>
        <v>#VALUE!</v>
      </c>
      <c r="DJ1" t="e">
        <f>'Equity or FI trade'!51:51-"$GJ|!$="</f>
        <v>#VALUE!</v>
      </c>
      <c r="DK1" t="e">
        <f>'Equity or FI trade'!52:52-"$GJ|!$&gt;"</f>
        <v>#VALUE!</v>
      </c>
      <c r="DL1" t="e">
        <f>'Equity or FI trade'!53:53-"$GJ|!$?"</f>
        <v>#VALUE!</v>
      </c>
      <c r="DM1" t="e">
        <f>'Equity or FI trade'!54:54-"$GJ|!$@"</f>
        <v>#VALUE!</v>
      </c>
      <c r="DN1" t="e">
        <f>'Equity or FI trade'!55:55-"$GJ|!$A"</f>
        <v>#VALUE!</v>
      </c>
      <c r="DO1" t="e">
        <f>'Equity or FI trade'!56:56-"$GJ|!$B"</f>
        <v>#VALUE!</v>
      </c>
      <c r="DP1" t="e">
        <f>'Equity or FI trade'!57:57-"$GJ|!$C"</f>
        <v>#VALUE!</v>
      </c>
      <c r="DQ1" t="e">
        <f>'Equity or FI trade'!58:58-"$GJ|!$D"</f>
        <v>#VALUE!</v>
      </c>
      <c r="DR1" t="e">
        <f>'Equity or FI trade'!59:59-"$GJ|!$E"</f>
        <v>#VALUE!</v>
      </c>
      <c r="DS1" t="e">
        <f>'Equity or FI trade'!60:60-"$GJ|!$F"</f>
        <v>#VALUE!</v>
      </c>
      <c r="DT1" t="e">
        <f>'Equity or FI trade'!61:61-"$GJ|!$G"</f>
        <v>#VALUE!</v>
      </c>
      <c r="DU1" t="e">
        <f>'Equity or FI trade'!62:62-"$GJ|!$H"</f>
        <v>#VALUE!</v>
      </c>
      <c r="DV1" t="e">
        <f>'Equity or FI trade'!63:63-"$GJ|!$I"</f>
        <v>#VALUE!</v>
      </c>
      <c r="DW1" t="e">
        <f>'Equity or FI trade'!64:64-"$GJ|!$J"</f>
        <v>#VALUE!</v>
      </c>
      <c r="DX1" t="e">
        <f>'Equity or FI trade'!65:65-"$GJ|!$K"</f>
        <v>#VALUE!</v>
      </c>
      <c r="DY1" t="e">
        <f>'Equity or FI trade'!66:66-"$GJ|!$L"</f>
        <v>#VALUE!</v>
      </c>
      <c r="DZ1" t="e">
        <f>'Equity or FI trade'!67:67-"$GJ|!$M"</f>
        <v>#VALUE!</v>
      </c>
      <c r="EA1" t="e">
        <f>'Equity or FI trade'!68:68-"$GJ|!$N"</f>
        <v>#VALUE!</v>
      </c>
      <c r="EB1" t="e">
        <f>'Equity or FI trade'!69:69-"$GJ|!$O"</f>
        <v>#VALUE!</v>
      </c>
      <c r="EC1" t="e">
        <f>'Equity or FI trade'!70:70-"$GJ|!$P"</f>
        <v>#VALUE!</v>
      </c>
      <c r="ED1" t="e">
        <f>'Equity or FI trade'!71:71-"$GJ|!$Q"</f>
        <v>#VALUE!</v>
      </c>
      <c r="EE1" t="e">
        <f>'Equity or FI trade'!72:72-"$GJ|!$R"</f>
        <v>#VALUE!</v>
      </c>
      <c r="EF1" t="e">
        <f>'Equity or FI trade'!73:73-"$GJ|!$S"</f>
        <v>#VALUE!</v>
      </c>
      <c r="EG1" t="e">
        <f>'Equity or FI trade'!74:74-"$GJ|!$T"</f>
        <v>#VALUE!</v>
      </c>
      <c r="EH1" t="e">
        <f>'Equity or FI trade'!75:75-"$GJ|!$U"</f>
        <v>#VALUE!</v>
      </c>
      <c r="EI1" t="e">
        <f>'Equity or FI trade'!76:76-"$GJ|!$V"</f>
        <v>#VALUE!</v>
      </c>
      <c r="EJ1" t="e">
        <f>'Equity or FI trade'!77:77-"$GJ|!$W"</f>
        <v>#VALUE!</v>
      </c>
      <c r="EK1" t="e">
        <f>'Equity or FI trade'!78:78-"$GJ|!$X"</f>
        <v>#VALUE!</v>
      </c>
      <c r="EL1" t="e">
        <f>'Equity or FI trade'!79:79-"$GJ|!$Y"</f>
        <v>#VALUE!</v>
      </c>
      <c r="EM1" t="e">
        <f>'Equity or FI trade'!80:80-"$GJ|!$Z"</f>
        <v>#VALUE!</v>
      </c>
      <c r="EN1" t="e">
        <f>'Equity or FI trade'!81:81-"$GJ|!$["</f>
        <v>#VALUE!</v>
      </c>
      <c r="EO1" t="e">
        <f>'Equity or FI trade'!82:82-"$GJ|!$\"</f>
        <v>#VALUE!</v>
      </c>
      <c r="EP1" t="e">
        <f>'Equity or FI trade'!83:83-"$GJ|!$]"</f>
        <v>#VALUE!</v>
      </c>
      <c r="EQ1" t="e">
        <f>'Equity or FI trade'!84:84-"$GJ|!$^"</f>
        <v>#VALUE!</v>
      </c>
      <c r="ER1" t="e">
        <f>'Equity or FI trade'!85:85-"$GJ|!$_"</f>
        <v>#VALUE!</v>
      </c>
      <c r="ES1" t="e">
        <f>'Equity or FI trade'!86:86-"$GJ|!$`"</f>
        <v>#VALUE!</v>
      </c>
      <c r="ET1" t="e">
        <f>'Equity or FI trade'!87:87-"$GJ|!$a"</f>
        <v>#VALUE!</v>
      </c>
      <c r="EU1" t="e">
        <f>'Equity or FI trade'!88:88-"$GJ|!$b"</f>
        <v>#VALUE!</v>
      </c>
      <c r="EV1" t="e">
        <f>'Equity or FI trade'!89:89-"$GJ|!$c"</f>
        <v>#VALUE!</v>
      </c>
      <c r="EW1" t="e">
        <f>'Equity or FI trade'!90:90-"$GJ|!$d"</f>
        <v>#VALUE!</v>
      </c>
      <c r="EX1" t="e">
        <f>'Equity or FI trade'!91:91-"$GJ|!$e"</f>
        <v>#VALUE!</v>
      </c>
      <c r="EY1" t="e">
        <f>'Equity or FI trade'!92:92-"$GJ|!$f"</f>
        <v>#VALUE!</v>
      </c>
      <c r="EZ1" t="e">
        <f>'Equity or FI trade'!93:93-"$GJ|!$g"</f>
        <v>#VALUE!</v>
      </c>
      <c r="FA1" t="e">
        <f>'Equity or FI trade'!94:94-"$GJ|!$h"</f>
        <v>#VALUE!</v>
      </c>
      <c r="FB1" t="e">
        <f>'Equity or FI trade'!95:95-"$GJ|!$i"</f>
        <v>#VALUE!</v>
      </c>
      <c r="FC1" t="e">
        <f>'Equity or FI trade'!96:96-"$GJ|!$j"</f>
        <v>#VALUE!</v>
      </c>
      <c r="FD1" t="e">
        <f>'Equity or FI trade'!97:97-"$GJ|!$k"</f>
        <v>#VALUE!</v>
      </c>
      <c r="FE1" t="e">
        <f>'Equity or FI trade'!98:98-"$GJ|!$l"</f>
        <v>#VALUE!</v>
      </c>
      <c r="FF1" t="e">
        <f>'Equity or FI trade'!99:99-"$GJ|!$m"</f>
        <v>#VALUE!</v>
      </c>
      <c r="FG1" t="e">
        <f>'Equity or FI trade'!100:100-"$GJ|!$n"</f>
        <v>#VALUE!</v>
      </c>
      <c r="FH1" t="e">
        <f>'Equity or FI trade'!101:101-"$GJ|!$o"</f>
        <v>#VALUE!</v>
      </c>
      <c r="FI1" t="e">
        <f>'Equity or FI trade'!102:102-"$GJ|!$p"</f>
        <v>#VALUE!</v>
      </c>
      <c r="FJ1" t="e">
        <f>'Equity or FI trade'!103:103-"$GJ|!$q"</f>
        <v>#VALUE!</v>
      </c>
      <c r="FK1" t="e">
        <f>'Equity or FI trade'!104:104-"$GJ|!$r"</f>
        <v>#VALUE!</v>
      </c>
      <c r="FL1" t="e">
        <f>'Equity or FI trade'!105:105-"$GJ|!$s"</f>
        <v>#VALUE!</v>
      </c>
      <c r="FM1" t="e">
        <f>'Equity or FI trade'!106:106-"$GJ|!$t"</f>
        <v>#VALUE!</v>
      </c>
      <c r="FN1" t="e">
        <f>'Equity or FI trade'!107:107-"$GJ|!$u"</f>
        <v>#VALUE!</v>
      </c>
      <c r="FO1" t="e">
        <f>'Equity or FI trade'!108:108-"$GJ|!$v"</f>
        <v>#VALUE!</v>
      </c>
      <c r="FP1" t="e">
        <f>'Equity or FI trade'!109:109-"$GJ|!$w"</f>
        <v>#VALUE!</v>
      </c>
      <c r="FQ1" t="e">
        <f>'Equity or FI trade'!110:110-"$GJ|!$x"</f>
        <v>#VALUE!</v>
      </c>
      <c r="FR1" t="e">
        <f>'Equity or FI trade'!111:111-"$GJ|!$y"</f>
        <v>#VALUE!</v>
      </c>
      <c r="FS1" t="e">
        <f>'Equity or FI trade'!112:112-"$GJ|!$z"</f>
        <v>#VALUE!</v>
      </c>
      <c r="FT1" t="e">
        <f>'Equity or FI trade'!113:113-"$GJ|!${"</f>
        <v>#VALUE!</v>
      </c>
      <c r="FU1" t="e">
        <f>'Equity or FI trade'!114:114-"$GJ|!$|"</f>
        <v>#VALUE!</v>
      </c>
      <c r="FV1" t="e">
        <f>'Equity or FI trade'!115:115-"$GJ|!$}"</f>
        <v>#VALUE!</v>
      </c>
      <c r="FW1" t="e">
        <f>'Equity or FI trade'!116:116-"$GJ|!$~"</f>
        <v>#VALUE!</v>
      </c>
      <c r="FX1" t="e">
        <f>'Equity or FI trade'!117:117-"$GJ|!%#"</f>
        <v>#VALUE!</v>
      </c>
      <c r="FY1" t="e">
        <f>'Equity or FI trade'!118:118-"$GJ|!%$"</f>
        <v>#VALUE!</v>
      </c>
      <c r="FZ1" t="e">
        <f>'Equity or FI trade'!119:119-"$GJ|!%%"</f>
        <v>#VALUE!</v>
      </c>
      <c r="GA1" t="e">
        <f>'Equity or FI trade'!120:120-"$GJ|!%&amp;"</f>
        <v>#VALUE!</v>
      </c>
      <c r="GB1" t="e">
        <f>'Equity or FI trade'!121:121-"$GJ|!%'"</f>
        <v>#VALUE!</v>
      </c>
      <c r="GC1" t="e">
        <f>'Equity or FI trade'!122:122-"$GJ|!%("</f>
        <v>#VALUE!</v>
      </c>
      <c r="GD1" t="e">
        <f>'Equity or FI trade'!123:123-"$GJ|!%)"</f>
        <v>#VALUE!</v>
      </c>
      <c r="GE1" t="e">
        <f>'Equity or FI trade'!124:124-"$GJ|!%."</f>
        <v>#VALUE!</v>
      </c>
      <c r="GF1" t="e">
        <f>'Equity or FI trade'!125:125-"$GJ|!%/"</f>
        <v>#VALUE!</v>
      </c>
      <c r="GG1" t="e">
        <f>'Equity or FI trade'!126:126-"$GJ|!%0"</f>
        <v>#VALUE!</v>
      </c>
      <c r="GH1" t="e">
        <f>'Equity or FI trade'!127:127-"$GJ|!%1"</f>
        <v>#VALUE!</v>
      </c>
      <c r="GI1" t="e">
        <f>'Equity or FI trade'!128:128-"$GJ|!%2"</f>
        <v>#VALUE!</v>
      </c>
      <c r="GJ1" t="e">
        <f>'Equity or FI trade'!129:129-"$GJ|!%3"</f>
        <v>#VALUE!</v>
      </c>
      <c r="GK1" t="e">
        <f>'Equity or FI trade'!130:130-"$GJ|!%4"</f>
        <v>#VALUE!</v>
      </c>
      <c r="GL1" t="e">
        <f>'Equity or FI trade'!131:131-"$GJ|!%5"</f>
        <v>#VALUE!</v>
      </c>
      <c r="GM1" t="e">
        <f>'Equity or FI trade'!132:132-"$GJ|!%6"</f>
        <v>#VALUE!</v>
      </c>
      <c r="GN1" t="e">
        <f>'Equity or FI trade'!133:133-"$GJ|!%7"</f>
        <v>#VALUE!</v>
      </c>
      <c r="GO1" t="e">
        <f>'Equity or FI trade'!134:134-"$GJ|!%8"</f>
        <v>#VALUE!</v>
      </c>
      <c r="GP1" t="e">
        <f>'Equity or FI trade'!135:135-"$GJ|!%9"</f>
        <v>#VALUE!</v>
      </c>
      <c r="GQ1" t="e">
        <f>'Equity or FI trade'!136:136-"$GJ|!%:"</f>
        <v>#VALUE!</v>
      </c>
      <c r="GR1" t="e">
        <f>'Equity or FI trade'!137:137-"$GJ|!%;"</f>
        <v>#VALUE!</v>
      </c>
      <c r="GS1" t="e">
        <f>'Equity or FI trade'!138:138-"$GJ|!%&lt;"</f>
        <v>#VALUE!</v>
      </c>
      <c r="GT1" t="e">
        <f>'Equity or FI trade'!139:139-"$GJ|!%="</f>
        <v>#VALUE!</v>
      </c>
      <c r="GU1" t="e">
        <f>'Equity or FI trade'!140:140-"$GJ|!%&gt;"</f>
        <v>#VALUE!</v>
      </c>
      <c r="GV1" t="e">
        <f>'Equity or FI trade'!141:141-"$GJ|!%?"</f>
        <v>#VALUE!</v>
      </c>
      <c r="GW1" t="e">
        <f>'Equity or FI trade'!142:142-"$GJ|!%@"</f>
        <v>#VALUE!</v>
      </c>
      <c r="GX1" t="e">
        <f>'Equity or FI trade'!143:143-"$GJ|!%A"</f>
        <v>#VALUE!</v>
      </c>
      <c r="GY1" t="e">
        <f>'Equity or FI trade'!144:144-"$GJ|!%B"</f>
        <v>#VALUE!</v>
      </c>
      <c r="GZ1" t="e">
        <f>'Equity or FI trade'!145:145-"$GJ|!%C"</f>
        <v>#VALUE!</v>
      </c>
      <c r="HA1" t="e">
        <f>'Equity or FI trade'!146:146-"$GJ|!%D"</f>
        <v>#VALUE!</v>
      </c>
      <c r="HB1" t="e">
        <f>'Equity or FI trade'!147:147-"$GJ|!%E"</f>
        <v>#VALUE!</v>
      </c>
      <c r="HC1" t="e">
        <f>'Equity or FI trade'!148:148-"$GJ|!%F"</f>
        <v>#VALUE!</v>
      </c>
      <c r="HD1" t="e">
        <f>'Equity or FI trade'!149:149-"$GJ|!%G"</f>
        <v>#VALUE!</v>
      </c>
      <c r="HE1" t="e">
        <f>'Equity or FI trade'!150:150-"$GJ|!%H"</f>
        <v>#VALUE!</v>
      </c>
      <c r="HF1" t="e">
        <f>'Equity or FI trade'!151:151-"$GJ|!%I"</f>
        <v>#VALUE!</v>
      </c>
      <c r="HG1" t="e">
        <f>'Equity or FI trade'!152:152-"$GJ|!%J"</f>
        <v>#VALUE!</v>
      </c>
      <c r="HH1" t="e">
        <f>'Equity or FI trade'!153:153-"$GJ|!%K"</f>
        <v>#VALUE!</v>
      </c>
      <c r="HI1" t="e">
        <f>'Equity or FI trade'!154:154-"$GJ|!%L"</f>
        <v>#VALUE!</v>
      </c>
      <c r="HJ1" t="e">
        <f>'Equity or FI trade'!155:155-"$GJ|!%M"</f>
        <v>#VALUE!</v>
      </c>
      <c r="HK1" t="e">
        <f>'Equity or FI trade'!156:156-"$GJ|!%N"</f>
        <v>#VALUE!</v>
      </c>
      <c r="HL1" t="e">
        <f>'Equity or FI trade'!157:157-"$GJ|!%O"</f>
        <v>#VALUE!</v>
      </c>
      <c r="HM1" t="e">
        <f>'Equity or FI trade'!158:158-"$GJ|!%P"</f>
        <v>#VALUE!</v>
      </c>
      <c r="HN1" t="e">
        <f>'Equity or FI trade'!159:159-"$GJ|!%Q"</f>
        <v>#VALUE!</v>
      </c>
      <c r="HO1" t="e">
        <f>'Equity or FI trade'!160:160-"$GJ|!%R"</f>
        <v>#VALUE!</v>
      </c>
      <c r="HP1" t="e">
        <f>'Equity or FI trade'!161:161-"$GJ|!%S"</f>
        <v>#VALUE!</v>
      </c>
      <c r="HQ1" t="e">
        <f>'Equity or FI trade'!162:162-"$GJ|!%T"</f>
        <v>#VALUE!</v>
      </c>
      <c r="HR1" t="e">
        <f>'Equity or FI trade'!163:163-"$GJ|!%U"</f>
        <v>#VALUE!</v>
      </c>
      <c r="HS1" t="e">
        <f>'Equity or FI trade'!164:164-"$GJ|!%V"</f>
        <v>#VALUE!</v>
      </c>
      <c r="HT1" t="e">
        <f>'Equity or FI trade'!165:165-"$GJ|!%W"</f>
        <v>#VALUE!</v>
      </c>
      <c r="HU1" t="e">
        <f>'Equity or FI trade'!166:166-"$GJ|!%X"</f>
        <v>#VALUE!</v>
      </c>
      <c r="HV1" t="e">
        <f>'Equity or FI trade'!167:167-"$GJ|!%Y"</f>
        <v>#VALUE!</v>
      </c>
      <c r="HW1" t="e">
        <f>'Equity or FI trade'!168:168-"$GJ|!%Z"</f>
        <v>#VALUE!</v>
      </c>
      <c r="HX1" t="e">
        <f>'Equity or FI trade'!169:169-"$GJ|!%["</f>
        <v>#VALUE!</v>
      </c>
      <c r="HY1" t="e">
        <f>'Equity or FI trade'!170:170-"$GJ|!%\"</f>
        <v>#VALUE!</v>
      </c>
      <c r="HZ1" t="e">
        <f>'Equity or FI trade'!171:171-"$GJ|!%]"</f>
        <v>#VALUE!</v>
      </c>
      <c r="IA1" t="e">
        <f>'Equity or FI trade'!172:172-"$GJ|!%^"</f>
        <v>#VALUE!</v>
      </c>
      <c r="IB1" t="e">
        <f>'Equity or FI trade'!173:173-"$GJ|!%_"</f>
        <v>#VALUE!</v>
      </c>
      <c r="IC1" t="e">
        <f>'Equity or FI trade'!174:174-"$GJ|!%`"</f>
        <v>#VALUE!</v>
      </c>
      <c r="ID1" t="e">
        <f>'Equity or FI trade'!175:175-"$GJ|!%a"</f>
        <v>#VALUE!</v>
      </c>
      <c r="IE1" t="e">
        <f>'Equity or FI trade'!176:176-"$GJ|!%b"</f>
        <v>#VALUE!</v>
      </c>
      <c r="IF1" t="e">
        <f>'Equity or FI trade'!177:177-"$GJ|!%c"</f>
        <v>#VALUE!</v>
      </c>
      <c r="IG1" t="e">
        <f>'Equity or FI trade'!178:178-"$GJ|!%d"</f>
        <v>#VALUE!</v>
      </c>
      <c r="IH1" t="e">
        <f>'Equity or FI trade'!179:179-"$GJ|!%e"</f>
        <v>#VALUE!</v>
      </c>
      <c r="II1" t="e">
        <f>'Equity or FI trade'!180:180-"$GJ|!%f"</f>
        <v>#VALUE!</v>
      </c>
      <c r="IJ1" t="e">
        <f>'Equity or FI trade'!181:181-"$GJ|!%g"</f>
        <v>#VALUE!</v>
      </c>
      <c r="IK1" t="e">
        <f>'Equity or FI trade'!182:182-"$GJ|!%h"</f>
        <v>#VALUE!</v>
      </c>
      <c r="IL1" t="e">
        <f>'Equity or FI trade'!183:183-"$GJ|!%i"</f>
        <v>#VALUE!</v>
      </c>
      <c r="IM1" t="e">
        <f>'Equity or FI trade'!184:184-"$GJ|!%j"</f>
        <v>#VALUE!</v>
      </c>
      <c r="IN1" t="e">
        <f>'Equity or FI trade'!185:185-"$GJ|!%k"</f>
        <v>#VALUE!</v>
      </c>
      <c r="IO1" t="e">
        <f>'Equity or FI trade'!186:186-"$GJ|!%l"</f>
        <v>#VALUE!</v>
      </c>
      <c r="IP1" t="e">
        <f>'Equity or FI trade'!187:187-"$GJ|!%m"</f>
        <v>#VALUE!</v>
      </c>
      <c r="IQ1" t="e">
        <f>'Equity or FI trade'!188:188-"$GJ|!%n"</f>
        <v>#VALUE!</v>
      </c>
      <c r="IR1" t="e">
        <f>'Equity or FI trade'!189:189-"$GJ|!%o"</f>
        <v>#VALUE!</v>
      </c>
      <c r="IS1" t="e">
        <f>'Equity or FI trade'!190:190-"$GJ|!%p"</f>
        <v>#VALUE!</v>
      </c>
      <c r="IT1" t="e">
        <f>'Equity or FI trade'!191:191-"$GJ|!%q"</f>
        <v>#VALUE!</v>
      </c>
      <c r="IU1" t="e">
        <f>'Equity or FI trade'!192:192-"$GJ|!%r"</f>
        <v>#VALUE!</v>
      </c>
      <c r="IV1" t="e">
        <f>'Equity or FI trade'!193:193-"$GJ|!%s"</f>
        <v>#VALUE!</v>
      </c>
    </row>
    <row r="2" spans="1:256" x14ac:dyDescent="0.25">
      <c r="A2" t="s">
        <v>840</v>
      </c>
      <c r="F2" t="e">
        <f>'Equity or FI trade'!194:194-"$GJ|!%t"</f>
        <v>#VALUE!</v>
      </c>
      <c r="G2" t="e">
        <f>'Equity or FI trade'!195:195-"$GJ|!%u"</f>
        <v>#VALUE!</v>
      </c>
      <c r="H2" t="e">
        <f>'Equity or FI trade'!196:196-"$GJ|!%v"</f>
        <v>#VALUE!</v>
      </c>
      <c r="I2" t="e">
        <f>'Equity or FI trade'!197:197-"$GJ|!%w"</f>
        <v>#VALUE!</v>
      </c>
      <c r="J2" t="e">
        <f>'Equity or FI trade'!198:198-"$GJ|!%x"</f>
        <v>#VALUE!</v>
      </c>
      <c r="K2" t="e">
        <f>'Equity or FI trade'!199:199-"$GJ|!%y"</f>
        <v>#VALUE!</v>
      </c>
      <c r="L2" t="e">
        <f>'Equity or FI trade'!200:200-"$GJ|!%z"</f>
        <v>#VALUE!</v>
      </c>
      <c r="M2" t="e">
        <f>'Equity or FI trade'!201:201-"$GJ|!%{"</f>
        <v>#VALUE!</v>
      </c>
      <c r="N2" t="e">
        <f>'Equity or FI trade'!202:202-"$GJ|!%|"</f>
        <v>#VALUE!</v>
      </c>
      <c r="O2" t="e">
        <f>'Equity or FI trade'!203:203-"$GJ|!%}"</f>
        <v>#VALUE!</v>
      </c>
      <c r="P2" t="e">
        <f>'Equity or FI trade'!204:204-"$GJ|!%~"</f>
        <v>#VALUE!</v>
      </c>
      <c r="Q2" t="e">
        <f>'Equity or FI trade'!205:205-"$GJ|!&amp;#"</f>
        <v>#VALUE!</v>
      </c>
      <c r="R2" t="e">
        <f>'Equity or FI trade'!206:206-"$GJ|!&amp;$"</f>
        <v>#VALUE!</v>
      </c>
      <c r="S2" t="e">
        <f>'Equity or FI trade'!207:207-"$GJ|!&amp;%"</f>
        <v>#VALUE!</v>
      </c>
      <c r="T2" t="e">
        <f>'Equity or FI trade'!208:208-"$GJ|!&amp;&amp;"</f>
        <v>#VALUE!</v>
      </c>
      <c r="U2" t="e">
        <f>'Equity or FI trade'!209:209-"$GJ|!&amp;'"</f>
        <v>#VALUE!</v>
      </c>
      <c r="V2" t="e">
        <f>'Equity or FI trade'!210:210-"$GJ|!&amp;("</f>
        <v>#VALUE!</v>
      </c>
      <c r="W2" t="e">
        <f>'Equity or FI trade'!211:211-"$GJ|!&amp;)"</f>
        <v>#VALUE!</v>
      </c>
      <c r="X2" t="e">
        <f>'Equity or FI trade'!212:212-"$GJ|!&amp;."</f>
        <v>#VALUE!</v>
      </c>
      <c r="Y2" t="e">
        <f>'Equity or FI trade'!213:213-"$GJ|!&amp;/"</f>
        <v>#VALUE!</v>
      </c>
      <c r="Z2" t="e">
        <f>'Equity or FI trade'!214:214-"$GJ|!&amp;0"</f>
        <v>#VALUE!</v>
      </c>
      <c r="AA2" t="e">
        <f>'Equity or FI trade'!215:215-"$GJ|!&amp;1"</f>
        <v>#VALUE!</v>
      </c>
      <c r="AB2" t="e">
        <f>'Equity or FI trade'!216:216-"$GJ|!&amp;2"</f>
        <v>#VALUE!</v>
      </c>
      <c r="AC2" t="e">
        <f>'Equity or FI trade'!217:217-"$GJ|!&amp;3"</f>
        <v>#VALUE!</v>
      </c>
      <c r="AD2" t="e">
        <f>'Equity or FI trade'!218:218-"$GJ|!&amp;4"</f>
        <v>#VALUE!</v>
      </c>
      <c r="AE2" t="e">
        <f>'Equity or FI trade'!219:219-"$GJ|!&amp;5"</f>
        <v>#VALUE!</v>
      </c>
      <c r="AF2" t="e">
        <f>'Equity or FI trade'!220:220-"$GJ|!&amp;6"</f>
        <v>#VALUE!</v>
      </c>
      <c r="AG2" t="e">
        <f>'Equity or FI trade'!221:221-"$GJ|!&amp;7"</f>
        <v>#VALUE!</v>
      </c>
      <c r="AH2" t="e">
        <f>'Equity or FI trade'!222:222-"$GJ|!&amp;8"</f>
        <v>#VALUE!</v>
      </c>
      <c r="AI2" t="e">
        <f>'Equity or FI trade'!223:223-"$GJ|!&amp;9"</f>
        <v>#VALUE!</v>
      </c>
      <c r="AJ2" t="e">
        <f>'Equity or FI trade'!224:224-"$GJ|!&amp;:"</f>
        <v>#VALUE!</v>
      </c>
      <c r="AK2" t="e">
        <f>'Equity or FI trade'!225:225-"$GJ|!&amp;;"</f>
        <v>#VALUE!</v>
      </c>
      <c r="AL2" t="e">
        <f>'Equity or FI trade'!226:226-"$GJ|!&amp;&lt;"</f>
        <v>#VALUE!</v>
      </c>
      <c r="AM2" t="e">
        <f>'Equity or FI trade'!227:227-"$GJ|!&amp;="</f>
        <v>#VALUE!</v>
      </c>
      <c r="AN2" t="e">
        <f>'Equity or FI trade'!228:228-"$GJ|!&amp;&gt;"</f>
        <v>#VALUE!</v>
      </c>
      <c r="AO2" t="e">
        <f>'Equity or FI trade'!229:229-"$GJ|!&amp;?"</f>
        <v>#VALUE!</v>
      </c>
      <c r="AP2" t="e">
        <f>'Equity or FI trade'!230:230-"$GJ|!&amp;@"</f>
        <v>#VALUE!</v>
      </c>
      <c r="AQ2" t="e">
        <f>'Equity or FI trade'!231:231-"$GJ|!&amp;A"</f>
        <v>#VALUE!</v>
      </c>
      <c r="AR2" t="e">
        <f>'Equity or FI trade'!232:232-"$GJ|!&amp;B"</f>
        <v>#VALUE!</v>
      </c>
      <c r="AS2" t="e">
        <f>'Equity or FI trade'!233:233-"$GJ|!&amp;C"</f>
        <v>#VALUE!</v>
      </c>
      <c r="AT2" t="e">
        <f>'Equity or FI trade'!234:234-"$GJ|!&amp;D"</f>
        <v>#VALUE!</v>
      </c>
      <c r="AU2" t="e">
        <f>'Equity or FI trade'!235:235-"$GJ|!&amp;E"</f>
        <v>#VALUE!</v>
      </c>
      <c r="AV2" t="e">
        <f>'Equity or FI trade'!236:236-"$GJ|!&amp;F"</f>
        <v>#VALUE!</v>
      </c>
      <c r="AW2" t="e">
        <f>'Equity or FI trade'!237:237-"$GJ|!&amp;G"</f>
        <v>#VALUE!</v>
      </c>
      <c r="AX2" t="e">
        <f>'Equity or FI trade'!238:238-"$GJ|!&amp;H"</f>
        <v>#VALUE!</v>
      </c>
      <c r="AY2" t="e">
        <f>'Equity or FI trade'!239:239-"$GJ|!&amp;I"</f>
        <v>#VALUE!</v>
      </c>
      <c r="AZ2" t="e">
        <f>'Equity or FI trade'!240:240-"$GJ|!&amp;J"</f>
        <v>#VALUE!</v>
      </c>
      <c r="BA2" t="e">
        <f>'Equity or FI trade'!241:241-"$GJ|!&amp;K"</f>
        <v>#VALUE!</v>
      </c>
      <c r="BB2" t="e">
        <f>'Equity or FI trade'!242:242-"$GJ|!&amp;L"</f>
        <v>#VALUE!</v>
      </c>
      <c r="BC2" t="e">
        <f>'Equity or FI trade'!243:243-"$GJ|!&amp;M"</f>
        <v>#VALUE!</v>
      </c>
      <c r="BD2" t="e">
        <f>'Equity or FI trade'!244:244-"$GJ|!&amp;N"</f>
        <v>#VALUE!</v>
      </c>
      <c r="BE2" t="e">
        <f>'Equity or FI trade'!245:245-"$GJ|!&amp;O"</f>
        <v>#VALUE!</v>
      </c>
      <c r="BF2" t="e">
        <f>'Equity or FI trade'!246:246-"$GJ|!&amp;P"</f>
        <v>#VALUE!</v>
      </c>
      <c r="BG2" t="e">
        <f>'Equity or FI trade'!247:247-"$GJ|!&amp;Q"</f>
        <v>#VALUE!</v>
      </c>
      <c r="BH2" t="e">
        <f>'Equity or FI trade'!248:248-"$GJ|!&amp;R"</f>
        <v>#VALUE!</v>
      </c>
      <c r="BI2" t="e">
        <f>'Equity or FI trade'!249:249-"$GJ|!&amp;S"</f>
        <v>#VALUE!</v>
      </c>
      <c r="BJ2" t="e">
        <f>'Equity or FI trade'!250:250-"$GJ|!&amp;T"</f>
        <v>#VALUE!</v>
      </c>
      <c r="BK2" t="e">
        <f>'Equity or FI trade'!251:251-"$GJ|!&amp;U"</f>
        <v>#VALUE!</v>
      </c>
      <c r="BL2" t="e">
        <f>'Equity or FI trade'!252:252-"$GJ|!&amp;V"</f>
        <v>#VALUE!</v>
      </c>
      <c r="BM2" t="e">
        <f>'Equity or FI trade'!253:253-"$GJ|!&amp;W"</f>
        <v>#VALUE!</v>
      </c>
      <c r="BN2" t="e">
        <f>'Equity or FI trade'!254:254-"$GJ|!&amp;X"</f>
        <v>#VALUE!</v>
      </c>
      <c r="BO2" t="e">
        <f>'Equity or FI trade'!255:255-"$GJ|!&amp;Y"</f>
        <v>#VALUE!</v>
      </c>
      <c r="BP2" t="e">
        <f>'Equity or FI trade'!256:256-"$GJ|!&amp;Z"</f>
        <v>#VALUE!</v>
      </c>
      <c r="BQ2" t="e">
        <f>'Equity or FI trade'!257:257-"$GJ|!&amp;["</f>
        <v>#VALUE!</v>
      </c>
      <c r="BR2" t="e">
        <f>'Equity or FI trade'!258:258-"$GJ|!&amp;\"</f>
        <v>#VALUE!</v>
      </c>
      <c r="BS2" t="e">
        <f>'Equity or FI trade'!259:259-"$GJ|!&amp;]"</f>
        <v>#VALUE!</v>
      </c>
      <c r="BT2" t="e">
        <f>'Equity or FI trade'!260:260-"$GJ|!&amp;^"</f>
        <v>#VALUE!</v>
      </c>
      <c r="BU2" t="e">
        <f>'Equity or FI trade'!261:261-"$GJ|!&amp;_"</f>
        <v>#VALUE!</v>
      </c>
      <c r="BV2" t="e">
        <f>'Equity or FI trade'!262:262-"$GJ|!&amp;`"</f>
        <v>#VALUE!</v>
      </c>
      <c r="BW2" t="e">
        <f>'Equity or FI trade'!263:263-"$GJ|!&amp;a"</f>
        <v>#VALUE!</v>
      </c>
      <c r="BX2" t="e">
        <f>'Equity or FI trade'!264:264-"$GJ|!&amp;b"</f>
        <v>#VALUE!</v>
      </c>
      <c r="BY2" t="e">
        <f>'Equity or FI trade'!265:265-"$GJ|!&amp;c"</f>
        <v>#VALUE!</v>
      </c>
      <c r="BZ2" t="e">
        <f>'Equity or FI trade'!266:266-"$GJ|!&amp;d"</f>
        <v>#VALUE!</v>
      </c>
      <c r="CA2" t="e">
        <f>'Equity or FI trade'!267:267-"$GJ|!&amp;e"</f>
        <v>#VALUE!</v>
      </c>
      <c r="CB2" t="e">
        <f>'Equity or FI trade'!268:268-"$GJ|!&amp;f"</f>
        <v>#VALUE!</v>
      </c>
      <c r="CC2" t="e">
        <f>'Equity or FI trade'!269:269-"$GJ|!&amp;g"</f>
        <v>#VALUE!</v>
      </c>
      <c r="CD2" t="e">
        <f>'Equity or FI trade'!270:270-"$GJ|!&amp;h"</f>
        <v>#VALUE!</v>
      </c>
      <c r="CE2" t="e">
        <f>'Equity or FI trade'!271:271-"$GJ|!&amp;i"</f>
        <v>#VALUE!</v>
      </c>
      <c r="CF2" t="e">
        <f>'Equity or FI trade'!272:272-"$GJ|!&amp;j"</f>
        <v>#VALUE!</v>
      </c>
      <c r="CG2" t="e">
        <f>'Equity or FI trade'!273:273-"$GJ|!&amp;k"</f>
        <v>#VALUE!</v>
      </c>
      <c r="CH2" t="e">
        <f>'Equity or FI trade'!274:274-"$GJ|!&amp;l"</f>
        <v>#VALUE!</v>
      </c>
      <c r="CI2" t="e">
        <f>'Equity or FI trade'!275:275-"$GJ|!&amp;m"</f>
        <v>#VALUE!</v>
      </c>
      <c r="CJ2" t="e">
        <f>'Equity or FI trade'!276:276-"$GJ|!&amp;n"</f>
        <v>#VALUE!</v>
      </c>
      <c r="CK2" t="e">
        <f>'Equity or FI trade'!277:277-"$GJ|!&amp;o"</f>
        <v>#VALUE!</v>
      </c>
      <c r="CL2" t="e">
        <f>'Equity or FI trade'!278:278-"$GJ|!&amp;p"</f>
        <v>#VALUE!</v>
      </c>
      <c r="CM2" t="e">
        <f>'Equity or FI trade'!279:279-"$GJ|!&amp;q"</f>
        <v>#VALUE!</v>
      </c>
      <c r="CN2" t="e">
        <f>'Equity or FI trade'!280:280-"$GJ|!&amp;r"</f>
        <v>#VALUE!</v>
      </c>
      <c r="CO2" t="e">
        <f>'Equity or FI trade'!281:281-"$GJ|!&amp;s"</f>
        <v>#VALUE!</v>
      </c>
      <c r="CP2" t="e">
        <f>'Equity or FI trade'!282:282-"$GJ|!&amp;t"</f>
        <v>#VALUE!</v>
      </c>
      <c r="CQ2" t="e">
        <f>'Equity or FI trade'!283:283-"$GJ|!&amp;u"</f>
        <v>#VALUE!</v>
      </c>
      <c r="CR2" t="e">
        <f>'Equity or FI trade'!284:284-"$GJ|!&amp;v"</f>
        <v>#VALUE!</v>
      </c>
      <c r="CS2" t="e">
        <f>'Equity or FI trade'!285:285-"$GJ|!&amp;w"</f>
        <v>#VALUE!</v>
      </c>
      <c r="CT2" t="e">
        <f>'Equity or FI trade'!286:286-"$GJ|!&amp;x"</f>
        <v>#VALUE!</v>
      </c>
      <c r="CU2" t="e">
        <f>'Equity or FI trade'!287:287-"$GJ|!&amp;y"</f>
        <v>#VALUE!</v>
      </c>
      <c r="CV2" t="e">
        <f>'Equity or FI trade'!288:288-"$GJ|!&amp;z"</f>
        <v>#VALUE!</v>
      </c>
      <c r="CW2" t="e">
        <f>'Equity or FI trade'!289:289-"$GJ|!&amp;{"</f>
        <v>#VALUE!</v>
      </c>
      <c r="CX2" t="e">
        <f>'Equity or FI trade'!290:290-"$GJ|!&amp;|"</f>
        <v>#VALUE!</v>
      </c>
      <c r="CY2" t="e">
        <f>'Equity or FI trade'!291:291-"$GJ|!&amp;}"</f>
        <v>#VALUE!</v>
      </c>
      <c r="CZ2" t="e">
        <f>'Equity or FI trade'!292:292-"$GJ|!&amp;~"</f>
        <v>#VALUE!</v>
      </c>
      <c r="DA2" t="e">
        <f>'Equity or FI trade'!293:293-"$GJ|!'#"</f>
        <v>#VALUE!</v>
      </c>
      <c r="DB2" t="e">
        <f>'Equity or FI trade'!294:294-"$GJ|!'$"</f>
        <v>#VALUE!</v>
      </c>
      <c r="DC2" t="e">
        <f>'Equity or FI trade'!295:295-"$GJ|!'%"</f>
        <v>#VALUE!</v>
      </c>
      <c r="DD2" t="e">
        <f>'Equity or FI trade'!296:296-"$GJ|!'&amp;"</f>
        <v>#VALUE!</v>
      </c>
      <c r="DE2" t="e">
        <f>'Equity or FI trade'!297:297-"$GJ|!''"</f>
        <v>#VALUE!</v>
      </c>
      <c r="DF2" t="e">
        <f>'Equity or FI trade'!298:298-"$GJ|!'("</f>
        <v>#VALUE!</v>
      </c>
      <c r="DG2" t="e">
        <f>'Equity or FI trade'!299:299-"$GJ|!')"</f>
        <v>#VALUE!</v>
      </c>
      <c r="DH2" t="e">
        <f>'Equity or FI trade'!300:300-"$GJ|!'."</f>
        <v>#VALUE!</v>
      </c>
      <c r="DI2" t="e">
        <f>'Equity or FI trade'!301:301-"$GJ|!'/"</f>
        <v>#VALUE!</v>
      </c>
      <c r="DJ2" t="e">
        <f>'Equity or FI trade'!302:302-"$GJ|!'0"</f>
        <v>#VALUE!</v>
      </c>
      <c r="DK2" t="e">
        <f>'Equity or FI trade'!303:303-"$GJ|!'1"</f>
        <v>#VALUE!</v>
      </c>
      <c r="DL2" t="e">
        <f>'Equity or FI trade'!304:304-"$GJ|!'2"</f>
        <v>#VALUE!</v>
      </c>
      <c r="DM2" t="e">
        <f>'Equity or FI trade'!305:305-"$GJ|!'3"</f>
        <v>#VALUE!</v>
      </c>
      <c r="DN2" t="e">
        <f>'Equity or FI trade'!306:306-"$GJ|!'4"</f>
        <v>#VALUE!</v>
      </c>
      <c r="DO2" t="e">
        <f>'Equity or FI trade'!307:307-"$GJ|!'5"</f>
        <v>#VALUE!</v>
      </c>
      <c r="DP2" t="e">
        <f>'Equity or FI trade'!308:308-"$GJ|!'6"</f>
        <v>#VALUE!</v>
      </c>
      <c r="DQ2" t="e">
        <f>'Equity or FI trade'!309:309-"$GJ|!'7"</f>
        <v>#VALUE!</v>
      </c>
      <c r="DR2" t="e">
        <f>'Equity or FI trade'!310:310-"$GJ|!'8"</f>
        <v>#VALUE!</v>
      </c>
      <c r="DS2" t="e">
        <f>'Equity or FI trade'!311:311-"$GJ|!'9"</f>
        <v>#VALUE!</v>
      </c>
      <c r="DT2" t="e">
        <f>'Equity or FI trade'!312:312-"$GJ|!':"</f>
        <v>#VALUE!</v>
      </c>
      <c r="DU2" t="e">
        <f>'Equity or FI trade'!313:313-"$GJ|!';"</f>
        <v>#VALUE!</v>
      </c>
      <c r="DV2" t="e">
        <f>'Equity or FI trade'!314:314-"$GJ|!'&lt;"</f>
        <v>#VALUE!</v>
      </c>
      <c r="DW2" t="e">
        <f>'Equity or FI trade'!315:315-"$GJ|!'="</f>
        <v>#VALUE!</v>
      </c>
      <c r="DX2" t="e">
        <f>'Equity or FI trade'!316:316-"$GJ|!'&gt;"</f>
        <v>#VALUE!</v>
      </c>
      <c r="DY2" t="e">
        <f>'Equity or FI trade'!317:317-"$GJ|!'?"</f>
        <v>#VALUE!</v>
      </c>
      <c r="DZ2" t="e">
        <f>'Equity or FI trade'!318:318-"$GJ|!'@"</f>
        <v>#VALUE!</v>
      </c>
      <c r="EA2" t="e">
        <f>'Equity or FI trade'!319:319-"$GJ|!'A"</f>
        <v>#VALUE!</v>
      </c>
      <c r="EB2" t="e">
        <f>'Equity or FI trade'!320:320-"$GJ|!'B"</f>
        <v>#VALUE!</v>
      </c>
      <c r="EC2" t="e">
        <f>'Equity or FI trade'!321:321-"$GJ|!'C"</f>
        <v>#VALUE!</v>
      </c>
      <c r="ED2" t="e">
        <f>'Equity or FI trade'!322:322-"$GJ|!'D"</f>
        <v>#VALUE!</v>
      </c>
      <c r="EE2" t="e">
        <f>'Equity or FI trade'!323:323-"$GJ|!'E"</f>
        <v>#VALUE!</v>
      </c>
      <c r="EF2" t="e">
        <f>'Equity or FI trade'!324:324-"$GJ|!'F"</f>
        <v>#VALUE!</v>
      </c>
      <c r="EG2" t="e">
        <f>'Equity or FI trade'!325:325-"$GJ|!'G"</f>
        <v>#VALUE!</v>
      </c>
      <c r="EH2" t="e">
        <f>'Equity or FI trade'!326:326-"$GJ|!'H"</f>
        <v>#VALUE!</v>
      </c>
      <c r="EI2" t="e">
        <f>'Equity or FI trade'!327:327-"$GJ|!'I"</f>
        <v>#VALUE!</v>
      </c>
      <c r="EJ2" t="e">
        <f>'Equity or FI trade'!328:328-"$GJ|!'J"</f>
        <v>#VALUE!</v>
      </c>
      <c r="EK2" t="e">
        <f>'Equity or FI trade'!329:329-"$GJ|!'K"</f>
        <v>#VALUE!</v>
      </c>
      <c r="EL2" t="e">
        <f>'Equity or FI trade'!330:330-"$GJ|!'L"</f>
        <v>#VALUE!</v>
      </c>
      <c r="EM2" t="e">
        <f>'Equity or FI trade'!331:331-"$GJ|!'M"</f>
        <v>#VALUE!</v>
      </c>
      <c r="EN2" t="e">
        <f>'Equity or FI trade'!332:332-"$GJ|!'N"</f>
        <v>#VALUE!</v>
      </c>
      <c r="EO2" t="e">
        <f>'Equity or FI trade'!333:333-"$GJ|!'O"</f>
        <v>#VALUE!</v>
      </c>
      <c r="EP2" t="e">
        <f>'Equity or FI trade'!334:334-"$GJ|!'P"</f>
        <v>#VALUE!</v>
      </c>
      <c r="EQ2" t="e">
        <f>'Equity or FI trade'!335:335-"$GJ|!'Q"</f>
        <v>#VALUE!</v>
      </c>
      <c r="ER2" t="e">
        <f>'Equity or FI trade'!336:336-"$GJ|!'R"</f>
        <v>#VALUE!</v>
      </c>
      <c r="ES2" t="e">
        <f>'Equity or FI trade'!337:337-"$GJ|!'S"</f>
        <v>#VALUE!</v>
      </c>
      <c r="ET2" t="e">
        <f>'Equity or FI trade'!338:338-"$GJ|!'T"</f>
        <v>#VALUE!</v>
      </c>
      <c r="EU2" t="e">
        <f>'Equity or FI trade'!339:339-"$GJ|!'U"</f>
        <v>#VALUE!</v>
      </c>
      <c r="EV2" t="e">
        <f>'Equity or FI trade'!340:340-"$GJ|!'V"</f>
        <v>#VALUE!</v>
      </c>
      <c r="EW2" t="e">
        <f>'Equity or FI trade'!341:341-"$GJ|!'W"</f>
        <v>#VALUE!</v>
      </c>
      <c r="EX2" t="e">
        <f>'Equity or FI trade'!342:342-"$GJ|!'X"</f>
        <v>#VALUE!</v>
      </c>
      <c r="EY2" t="e">
        <f>'Equity or FI trade'!343:343-"$GJ|!'Y"</f>
        <v>#VALUE!</v>
      </c>
      <c r="EZ2" t="e">
        <f>'Equity or FI trade'!344:344-"$GJ|!'Z"</f>
        <v>#VALUE!</v>
      </c>
      <c r="FA2" t="e">
        <f>'Equity or FI trade'!345:345-"$GJ|!'["</f>
        <v>#VALUE!</v>
      </c>
      <c r="FB2" t="e">
        <f>'Equity or FI trade'!346:346-"$GJ|!'\"</f>
        <v>#VALUE!</v>
      </c>
      <c r="FC2" t="e">
        <f>'Equity or FI trade'!347:347-"$GJ|!']"</f>
        <v>#VALUE!</v>
      </c>
      <c r="FD2" t="e">
        <f>'Equity or FI trade'!348:348-"$GJ|!'^"</f>
        <v>#VALUE!</v>
      </c>
      <c r="FE2" t="e">
        <f>'Equity or FI trade'!349:349-"$GJ|!'_"</f>
        <v>#VALUE!</v>
      </c>
      <c r="FF2" t="e">
        <f>'Equity or FI trade'!350:350-"$GJ|!'`"</f>
        <v>#VALUE!</v>
      </c>
      <c r="FG2" t="e">
        <f>'Equity or FI trade'!351:351-"$GJ|!'a"</f>
        <v>#VALUE!</v>
      </c>
      <c r="FH2" t="e">
        <f>'Equity or FI trade'!352:352-"$GJ|!'b"</f>
        <v>#VALUE!</v>
      </c>
      <c r="FI2" t="e">
        <f>'Equity or FI trade'!353:353-"$GJ|!'c"</f>
        <v>#VALUE!</v>
      </c>
      <c r="FJ2" t="e">
        <f>'Equity or FI trade'!354:354-"$GJ|!'d"</f>
        <v>#VALUE!</v>
      </c>
      <c r="FK2" t="e">
        <f>'Equity or FI trade'!355:355-"$GJ|!'e"</f>
        <v>#VALUE!</v>
      </c>
      <c r="FL2" t="e">
        <f>'Equity or FI trade'!356:356-"$GJ|!'f"</f>
        <v>#VALUE!</v>
      </c>
      <c r="FM2" t="e">
        <f>'Equity or FI trade'!357:357-"$GJ|!'g"</f>
        <v>#VALUE!</v>
      </c>
      <c r="FN2" t="e">
        <f>'Equity or FI trade'!358:358-"$GJ|!'h"</f>
        <v>#VALUE!</v>
      </c>
      <c r="FO2" t="e">
        <f>'Equity or FI trade'!359:359-"$GJ|!'i"</f>
        <v>#VALUE!</v>
      </c>
      <c r="FP2" t="e">
        <f>'Equity or FI trade'!360:360-"$GJ|!'j"</f>
        <v>#VALUE!</v>
      </c>
      <c r="FQ2" t="e">
        <f>'Equity or FI trade'!361:361-"$GJ|!'k"</f>
        <v>#VALUE!</v>
      </c>
      <c r="FR2" t="e">
        <f>'Equity or FI trade'!362:362-"$GJ|!'l"</f>
        <v>#VALUE!</v>
      </c>
      <c r="FS2" t="e">
        <f>'Equity or FI trade'!363:363-"$GJ|!'m"</f>
        <v>#VALUE!</v>
      </c>
      <c r="FT2" t="e">
        <f>'Equity or FI trade'!364:364-"$GJ|!'n"</f>
        <v>#VALUE!</v>
      </c>
      <c r="FU2" t="e">
        <f>'Equity or FI trade'!365:365-"$GJ|!'o"</f>
        <v>#VALUE!</v>
      </c>
      <c r="FV2" t="e">
        <f>'Equity or FI trade'!366:366-"$GJ|!'p"</f>
        <v>#VALUE!</v>
      </c>
      <c r="FW2" t="e">
        <f>'Equity or FI trade'!367:367-"$GJ|!'q"</f>
        <v>#VALUE!</v>
      </c>
      <c r="FX2" t="e">
        <f>'Equity or FI trade'!368:368-"$GJ|!'r"</f>
        <v>#VALUE!</v>
      </c>
      <c r="FY2" t="e">
        <f>'Equity or FI trade'!369:369-"$GJ|!'s"</f>
        <v>#VALUE!</v>
      </c>
      <c r="FZ2" t="e">
        <f>'Equity or FI trade'!370:370-"$GJ|!'t"</f>
        <v>#VALUE!</v>
      </c>
      <c r="GA2" t="e">
        <f>'Equity or FI trade'!371:371-"$GJ|!'u"</f>
        <v>#VALUE!</v>
      </c>
      <c r="GB2" t="e">
        <f>'Equity or FI trade'!372:372-"$GJ|!'v"</f>
        <v>#VALUE!</v>
      </c>
      <c r="GC2" t="e">
        <f>'Equity or FI trade'!373:373-"$GJ|!'w"</f>
        <v>#VALUE!</v>
      </c>
      <c r="GD2" t="e">
        <f>'Equity or FI trade'!374:374-"$GJ|!'x"</f>
        <v>#VALUE!</v>
      </c>
      <c r="GE2" t="e">
        <f>'Equity or FI trade'!375:375-"$GJ|!'y"</f>
        <v>#VALUE!</v>
      </c>
      <c r="GF2" t="e">
        <f>'Equity or FI trade'!376:376-"$GJ|!'z"</f>
        <v>#VALUE!</v>
      </c>
      <c r="GG2" t="e">
        <f>'Equity or FI trade'!377:377-"$GJ|!'{"</f>
        <v>#VALUE!</v>
      </c>
      <c r="GH2" t="e">
        <f>'Equity or FI trade'!378:378-"$GJ|!'|"</f>
        <v>#VALUE!</v>
      </c>
      <c r="GI2" t="e">
        <f>'Equity or FI trade'!379:379-"$GJ|!'}"</f>
        <v>#VALUE!</v>
      </c>
      <c r="GJ2" t="e">
        <f>'Equity or FI trade'!380:380-"$GJ|!'~"</f>
        <v>#VALUE!</v>
      </c>
      <c r="GK2" t="e">
        <f>'Equity or FI trade'!381:381-"$GJ|!(#"</f>
        <v>#VALUE!</v>
      </c>
      <c r="GL2" t="e">
        <f>'Equity or FI trade'!382:382-"$GJ|!($"</f>
        <v>#VALUE!</v>
      </c>
      <c r="GM2" t="e">
        <f>'Equity or FI trade'!383:383-"$GJ|!(%"</f>
        <v>#VALUE!</v>
      </c>
      <c r="GN2" t="e">
        <f>'Equity or FI trade'!384:384-"$GJ|!(&amp;"</f>
        <v>#VALUE!</v>
      </c>
      <c r="GO2" t="e">
        <f>'Equity or FI trade'!385:385-"$GJ|!('"</f>
        <v>#VALUE!</v>
      </c>
      <c r="GP2" t="e">
        <f>'Equity or FI trade'!386:386-"$GJ|!(("</f>
        <v>#VALUE!</v>
      </c>
      <c r="GQ2" t="e">
        <f>'Equity or FI trade'!387:387-"$GJ|!()"</f>
        <v>#VALUE!</v>
      </c>
      <c r="GR2" t="e">
        <f>'Equity or FI trade'!388:388-"$GJ|!(."</f>
        <v>#VALUE!</v>
      </c>
      <c r="GS2" t="e">
        <f>'Equity or FI trade'!389:389-"$GJ|!(/"</f>
        <v>#VALUE!</v>
      </c>
      <c r="GT2" t="e">
        <f>'Equity or FI trade'!390:390-"$GJ|!(0"</f>
        <v>#VALUE!</v>
      </c>
      <c r="GU2" t="e">
        <f>'Equity or FI trade'!391:391-"$GJ|!(1"</f>
        <v>#VALUE!</v>
      </c>
      <c r="GV2" t="e">
        <f>'Equity or FI trade'!392:392-"$GJ|!(2"</f>
        <v>#VALUE!</v>
      </c>
      <c r="GW2" t="e">
        <f>'Equity or FI trade'!393:393-"$GJ|!(3"</f>
        <v>#VALUE!</v>
      </c>
      <c r="GX2" t="e">
        <f>'Equity or FI trade'!394:394-"$GJ|!(4"</f>
        <v>#VALUE!</v>
      </c>
      <c r="GY2" t="e">
        <f>'Equity or FI trade'!395:395-"$GJ|!(5"</f>
        <v>#VALUE!</v>
      </c>
      <c r="GZ2" t="e">
        <f>'Equity or FI trade'!396:396-"$GJ|!(6"</f>
        <v>#VALUE!</v>
      </c>
      <c r="HA2" t="e">
        <f>'Equity or FI trade'!397:397-"$GJ|!(7"</f>
        <v>#VALUE!</v>
      </c>
      <c r="HB2" t="e">
        <f>'Equity or FI trade'!398:398-"$GJ|!(8"</f>
        <v>#VALUE!</v>
      </c>
      <c r="HC2" t="e">
        <f>'Equity or FI trade'!399:399-"$GJ|!(9"</f>
        <v>#VALUE!</v>
      </c>
      <c r="HD2" t="e">
        <f>'Equity or FI trade'!400:400-"$GJ|!(:"</f>
        <v>#VALUE!</v>
      </c>
      <c r="HE2" t="e">
        <f>'Equity or FI trade'!401:401-"$GJ|!(;"</f>
        <v>#VALUE!</v>
      </c>
      <c r="HF2" t="e">
        <f>'Equity or FI trade'!402:402-"$GJ|!(&lt;"</f>
        <v>#VALUE!</v>
      </c>
      <c r="HG2" t="e">
        <f>'Equity or FI trade'!403:403-"$GJ|!(="</f>
        <v>#VALUE!</v>
      </c>
      <c r="HH2" t="e">
        <f>'Equity or FI trade'!404:404-"$GJ|!(&gt;"</f>
        <v>#VALUE!</v>
      </c>
      <c r="HI2" t="e">
        <f>'Equity or FI trade'!405:405-"$GJ|!(?"</f>
        <v>#VALUE!</v>
      </c>
      <c r="HJ2" t="e">
        <f>'Equity or FI trade'!406:406-"$GJ|!(@"</f>
        <v>#VALUE!</v>
      </c>
      <c r="HK2" t="e">
        <f>'Equity or FI trade'!A1+"$GJ|!(A"</f>
        <v>#VALUE!</v>
      </c>
      <c r="HL2" t="e">
        <f>'Equity or FI trade'!B1+"$GJ|!(B"</f>
        <v>#VALUE!</v>
      </c>
      <c r="HM2" t="e">
        <f>'Equity or FI trade'!C1+"$GJ|!(C"</f>
        <v>#VALUE!</v>
      </c>
      <c r="HN2" t="e">
        <f>'Equity or FI trade'!D1+"$GJ|!(D"</f>
        <v>#VALUE!</v>
      </c>
      <c r="HO2" t="e">
        <f>'Equity or FI trade'!E1+"$GJ|!(E"</f>
        <v>#VALUE!</v>
      </c>
      <c r="HP2" t="e">
        <f>'Equity or FI trade'!F1+"$GJ|!(F"</f>
        <v>#VALUE!</v>
      </c>
      <c r="HQ2" t="e">
        <f>'Equity or FI trade'!G1+"$GJ|!(G"</f>
        <v>#VALUE!</v>
      </c>
      <c r="HR2" t="e">
        <f>'Equity or FI trade'!H1+"$GJ|!(H"</f>
        <v>#VALUE!</v>
      </c>
      <c r="HS2" t="e">
        <f>'Equity or FI trade'!A2+"$GJ|!(I"</f>
        <v>#VALUE!</v>
      </c>
      <c r="HT2" t="e">
        <f>'Equity or FI trade'!B2+"$GJ|!(J"</f>
        <v>#VALUE!</v>
      </c>
      <c r="HU2" t="e">
        <f>'Equity or FI trade'!C2+"$GJ|!(K"</f>
        <v>#VALUE!</v>
      </c>
      <c r="HV2" t="e">
        <f>'Equity or FI trade'!D2+"$GJ|!(L"</f>
        <v>#VALUE!</v>
      </c>
      <c r="HW2" t="e">
        <f>'Equity or FI trade'!E2+"$GJ|!(M"</f>
        <v>#VALUE!</v>
      </c>
      <c r="HX2" t="e">
        <f>'Equity or FI trade'!F2+"$GJ|!(N"</f>
        <v>#VALUE!</v>
      </c>
      <c r="HY2" t="e">
        <f>'Equity or FI trade'!G2+"$GJ|!(O"</f>
        <v>#VALUE!</v>
      </c>
      <c r="HZ2" t="e">
        <f>'Equity or FI trade'!A3+"$GJ|!(P"</f>
        <v>#VALUE!</v>
      </c>
      <c r="IA2" t="e">
        <f>'Equity or FI trade'!B3+"$GJ|!(Q"</f>
        <v>#VALUE!</v>
      </c>
      <c r="IB2" t="e">
        <f>'Equity or FI trade'!C3+"$GJ|!(R"</f>
        <v>#VALUE!</v>
      </c>
      <c r="IC2" t="e">
        <f>'Equity or FI trade'!D3+"$GJ|!(S"</f>
        <v>#VALUE!</v>
      </c>
      <c r="ID2" t="e">
        <f>'Equity or FI trade'!E3+"$GJ|!(T"</f>
        <v>#VALUE!</v>
      </c>
      <c r="IE2" t="e">
        <f>'Equity or FI trade'!F3+"$GJ|!(U"</f>
        <v>#VALUE!</v>
      </c>
      <c r="IF2" t="e">
        <f>'Equity or FI trade'!G3+"$GJ|!(V"</f>
        <v>#VALUE!</v>
      </c>
      <c r="IG2" t="e">
        <f>'Equity or FI trade'!A4+"$GJ|!(W"</f>
        <v>#VALUE!</v>
      </c>
      <c r="IH2" t="e">
        <f>'Equity or FI trade'!B4+"$GJ|!(X"</f>
        <v>#VALUE!</v>
      </c>
      <c r="II2" t="e">
        <f>'Equity or FI trade'!C4+"$GJ|!(Y"</f>
        <v>#VALUE!</v>
      </c>
      <c r="IJ2" t="e">
        <f>'Equity or FI trade'!D4+"$GJ|!(Z"</f>
        <v>#VALUE!</v>
      </c>
      <c r="IK2" t="e">
        <f>'Equity or FI trade'!E4+"$GJ|!(["</f>
        <v>#VALUE!</v>
      </c>
      <c r="IL2" t="e">
        <f>'Equity or FI trade'!F4+"$GJ|!(\"</f>
        <v>#VALUE!</v>
      </c>
      <c r="IM2" t="e">
        <f>'Equity or FI trade'!G4+"$GJ|!(]"</f>
        <v>#VALUE!</v>
      </c>
      <c r="IN2" t="e">
        <f>'Equity or FI trade'!A5+"$GJ|!(^"</f>
        <v>#VALUE!</v>
      </c>
      <c r="IO2" t="e">
        <f>'Equity or FI trade'!B5+"$GJ|!(_"</f>
        <v>#VALUE!</v>
      </c>
      <c r="IP2" t="e">
        <f>'Equity or FI trade'!C5+"$GJ|!(`"</f>
        <v>#VALUE!</v>
      </c>
      <c r="IQ2" t="e">
        <f>'Equity or FI trade'!D5+"$GJ|!(a"</f>
        <v>#VALUE!</v>
      </c>
      <c r="IR2" t="e">
        <f>'Equity or FI trade'!E5+"$GJ|!(b"</f>
        <v>#VALUE!</v>
      </c>
      <c r="IS2" t="e">
        <f>'Equity or FI trade'!F5+"$GJ|!(c"</f>
        <v>#VALUE!</v>
      </c>
      <c r="IT2" t="e">
        <f>'Equity or FI trade'!G5+"$GJ|!(d"</f>
        <v>#VALUE!</v>
      </c>
      <c r="IU2" t="e">
        <f>'Equity or FI trade'!A6+"$GJ|!(e"</f>
        <v>#VALUE!</v>
      </c>
      <c r="IV2" t="e">
        <f>'Equity or FI trade'!B6+"$GJ|!(f"</f>
        <v>#VALUE!</v>
      </c>
    </row>
    <row r="3" spans="1:256" x14ac:dyDescent="0.25">
      <c r="A3" t="s">
        <v>841</v>
      </c>
      <c r="F3" t="e">
        <f>'Equity or FI trade'!C6+"$GJ|!(g"</f>
        <v>#VALUE!</v>
      </c>
      <c r="G3" t="e">
        <f>'Equity or FI trade'!D6+"$GJ|!(h"</f>
        <v>#VALUE!</v>
      </c>
      <c r="H3" t="e">
        <f>'Equity or FI trade'!E6+"$GJ|!(i"</f>
        <v>#VALUE!</v>
      </c>
      <c r="I3" t="e">
        <f>'Equity or FI trade'!F6+"$GJ|!(j"</f>
        <v>#VALUE!</v>
      </c>
      <c r="J3" t="e">
        <f>'Equity or FI trade'!G6+"$GJ|!(k"</f>
        <v>#VALUE!</v>
      </c>
      <c r="K3" t="e">
        <f>'Equity or FI trade'!A7+"$GJ|!(l"</f>
        <v>#VALUE!</v>
      </c>
      <c r="L3" t="e">
        <f>'Equity or FI trade'!B7+"$GJ|!(m"</f>
        <v>#VALUE!</v>
      </c>
      <c r="M3" t="e">
        <f>'Equity or FI trade'!C7+"$GJ|!(n"</f>
        <v>#VALUE!</v>
      </c>
      <c r="N3" t="e">
        <f>'Equity or FI trade'!D7+"$GJ|!(o"</f>
        <v>#VALUE!</v>
      </c>
      <c r="O3" t="e">
        <f>'Equity or FI trade'!E7+"$GJ|!(p"</f>
        <v>#VALUE!</v>
      </c>
      <c r="P3" t="e">
        <f>'Equity or FI trade'!F7+"$GJ|!(q"</f>
        <v>#VALUE!</v>
      </c>
      <c r="Q3" t="e">
        <f>'Equity or FI trade'!G7+"$GJ|!(r"</f>
        <v>#VALUE!</v>
      </c>
      <c r="R3" t="e">
        <f>'Equity or FI trade'!A8+"$GJ|!(s"</f>
        <v>#VALUE!</v>
      </c>
      <c r="S3" t="e">
        <f>'Equity or FI trade'!B8+"$GJ|!(t"</f>
        <v>#VALUE!</v>
      </c>
      <c r="T3" t="e">
        <f>'Equity or FI trade'!C8+"$GJ|!(u"</f>
        <v>#VALUE!</v>
      </c>
      <c r="U3" t="e">
        <f>'Equity or FI trade'!D8+"$GJ|!(v"</f>
        <v>#VALUE!</v>
      </c>
      <c r="V3" t="e">
        <f>'Equity or FI trade'!E8+"$GJ|!(w"</f>
        <v>#VALUE!</v>
      </c>
      <c r="W3" t="e">
        <f>'Equity or FI trade'!F8+"$GJ|!(x"</f>
        <v>#VALUE!</v>
      </c>
      <c r="X3" t="e">
        <f>'Equity or FI trade'!G8+"$GJ|!(y"</f>
        <v>#VALUE!</v>
      </c>
      <c r="Y3" t="e">
        <f>'Equity or FI trade'!A9+"$GJ|!(z"</f>
        <v>#VALUE!</v>
      </c>
      <c r="Z3" t="e">
        <f>'Equity or FI trade'!B9+"$GJ|!({"</f>
        <v>#VALUE!</v>
      </c>
      <c r="AA3" t="e">
        <f>'Equity or FI trade'!C9+"$GJ|!(|"</f>
        <v>#VALUE!</v>
      </c>
      <c r="AB3" t="e">
        <f>'Equity or FI trade'!D9+"$GJ|!(}"</f>
        <v>#VALUE!</v>
      </c>
      <c r="AC3" t="e">
        <f>'Equity or FI trade'!E9+"$GJ|!(~"</f>
        <v>#VALUE!</v>
      </c>
      <c r="AD3" t="e">
        <f>'Equity or FI trade'!F9+"$GJ|!)#"</f>
        <v>#VALUE!</v>
      </c>
      <c r="AE3" t="e">
        <f>'Equity or FI trade'!G9+"$GJ|!)$"</f>
        <v>#VALUE!</v>
      </c>
      <c r="AF3" t="e">
        <f>'Equity or FI trade'!A10+"$GJ|!)%"</f>
        <v>#VALUE!</v>
      </c>
      <c r="AG3" t="e">
        <f>'Equity or FI trade'!B10+"$GJ|!)&amp;"</f>
        <v>#VALUE!</v>
      </c>
      <c r="AH3" t="e">
        <f>'Equity or FI trade'!C10+"$GJ|!)'"</f>
        <v>#VALUE!</v>
      </c>
      <c r="AI3" t="e">
        <f>'Equity or FI trade'!D10+"$GJ|!)("</f>
        <v>#VALUE!</v>
      </c>
      <c r="AJ3" t="e">
        <f>'Equity or FI trade'!E10+"$GJ|!))"</f>
        <v>#VALUE!</v>
      </c>
      <c r="AK3" t="e">
        <f>'Equity or FI trade'!F10+"$GJ|!)."</f>
        <v>#VALUE!</v>
      </c>
      <c r="AL3" t="e">
        <f>'Equity or FI trade'!G10+"$GJ|!)/"</f>
        <v>#VALUE!</v>
      </c>
      <c r="AM3" t="e">
        <f>'Equity or FI trade'!A11+"$GJ|!)0"</f>
        <v>#VALUE!</v>
      </c>
      <c r="AN3" t="e">
        <f>'Equity or FI trade'!B11+"$GJ|!)1"</f>
        <v>#VALUE!</v>
      </c>
      <c r="AO3" t="e">
        <f>'Equity or FI trade'!C11+"$GJ|!)2"</f>
        <v>#VALUE!</v>
      </c>
      <c r="AP3" t="e">
        <f>'Equity or FI trade'!D11+"$GJ|!)3"</f>
        <v>#VALUE!</v>
      </c>
      <c r="AQ3" t="e">
        <f>'Equity or FI trade'!E11+"$GJ|!)4"</f>
        <v>#VALUE!</v>
      </c>
      <c r="AR3" t="e">
        <f>'Equity or FI trade'!F11+"$GJ|!)5"</f>
        <v>#VALUE!</v>
      </c>
      <c r="AS3" t="e">
        <f>'Equity or FI trade'!G11+"$GJ|!)6"</f>
        <v>#VALUE!</v>
      </c>
      <c r="AT3" t="e">
        <f>'Equity or FI trade'!H11+"$GJ|!)7"</f>
        <v>#VALUE!</v>
      </c>
      <c r="AU3" t="e">
        <f>'Equity or FI trade'!A12+"$GJ|!)8"</f>
        <v>#VALUE!</v>
      </c>
      <c r="AV3" t="e">
        <f>'Equity or FI trade'!B12+"$GJ|!)9"</f>
        <v>#VALUE!</v>
      </c>
      <c r="AW3" t="e">
        <f>'Equity or FI trade'!C12+"$GJ|!):"</f>
        <v>#VALUE!</v>
      </c>
      <c r="AX3" t="e">
        <f>'Equity or FI trade'!D12+"$GJ|!);"</f>
        <v>#VALUE!</v>
      </c>
      <c r="AY3" t="e">
        <f>'Equity or FI trade'!E12+"$GJ|!)&lt;"</f>
        <v>#VALUE!</v>
      </c>
      <c r="AZ3" t="e">
        <f>'Equity or FI trade'!F12+"$GJ|!)="</f>
        <v>#VALUE!</v>
      </c>
      <c r="BA3" t="e">
        <f>'Equity or FI trade'!G12+"$GJ|!)&gt;"</f>
        <v>#VALUE!</v>
      </c>
      <c r="BB3" t="e">
        <f>'Equity or FI trade'!A13+"$GJ|!)?"</f>
        <v>#VALUE!</v>
      </c>
      <c r="BC3" t="e">
        <f>'Equity or FI trade'!B13+"$GJ|!)@"</f>
        <v>#VALUE!</v>
      </c>
      <c r="BD3" t="e">
        <f>'Equity or FI trade'!C13+"$GJ|!)A"</f>
        <v>#VALUE!</v>
      </c>
      <c r="BE3" t="e">
        <f>'Equity or FI trade'!D13+"$GJ|!)B"</f>
        <v>#VALUE!</v>
      </c>
      <c r="BF3" t="e">
        <f>'Equity or FI trade'!E13+"$GJ|!)C"</f>
        <v>#VALUE!</v>
      </c>
      <c r="BG3" t="e">
        <f>'Equity or FI trade'!F13+"$GJ|!)D"</f>
        <v>#VALUE!</v>
      </c>
      <c r="BH3" t="e">
        <f>'Equity or FI trade'!G13+"$GJ|!)E"</f>
        <v>#VALUE!</v>
      </c>
      <c r="BI3" t="e">
        <f>'Equity or FI trade'!A14+"$GJ|!)F"</f>
        <v>#VALUE!</v>
      </c>
      <c r="BJ3" t="e">
        <f>'Equity or FI trade'!B14+"$GJ|!)G"</f>
        <v>#VALUE!</v>
      </c>
      <c r="BK3" t="e">
        <f>'Equity or FI trade'!C14+"$GJ|!)H"</f>
        <v>#VALUE!</v>
      </c>
      <c r="BL3" t="e">
        <f>'Equity or FI trade'!D14+"$GJ|!)I"</f>
        <v>#VALUE!</v>
      </c>
      <c r="BM3" t="e">
        <f>'Equity or FI trade'!E14+"$GJ|!)J"</f>
        <v>#VALUE!</v>
      </c>
      <c r="BN3" t="e">
        <f>'Equity or FI trade'!F14+"$GJ|!)K"</f>
        <v>#VALUE!</v>
      </c>
      <c r="BO3" t="e">
        <f>'Equity or FI trade'!G14+"$GJ|!)L"</f>
        <v>#VALUE!</v>
      </c>
      <c r="BP3" t="e">
        <f>'Equity or FI trade'!A15+"$GJ|!)M"</f>
        <v>#VALUE!</v>
      </c>
      <c r="BQ3" t="e">
        <f>'Equity or FI trade'!B15+"$GJ|!)N"</f>
        <v>#VALUE!</v>
      </c>
      <c r="BR3" t="e">
        <f>'Equity or FI trade'!C15+"$GJ|!)O"</f>
        <v>#VALUE!</v>
      </c>
      <c r="BS3" t="e">
        <f>'Equity or FI trade'!D15+"$GJ|!)P"</f>
        <v>#VALUE!</v>
      </c>
      <c r="BT3" t="e">
        <f>'Equity or FI trade'!E15+"$GJ|!)Q"</f>
        <v>#VALUE!</v>
      </c>
      <c r="BU3" t="e">
        <f>'Equity or FI trade'!F15+"$GJ|!)R"</f>
        <v>#VALUE!</v>
      </c>
      <c r="BV3" t="e">
        <f>'Equity or FI trade'!G15+"$GJ|!)S"</f>
        <v>#VALUE!</v>
      </c>
      <c r="BW3" t="e">
        <f>'Equity or FI trade'!A16+"$GJ|!)T"</f>
        <v>#VALUE!</v>
      </c>
      <c r="BX3" t="e">
        <f>'Equity or FI trade'!B16+"$GJ|!)U"</f>
        <v>#VALUE!</v>
      </c>
      <c r="BY3" t="e">
        <f>'Equity or FI trade'!C16+"$GJ|!)V"</f>
        <v>#VALUE!</v>
      </c>
      <c r="BZ3" t="e">
        <f>'Equity or FI trade'!D16+"$GJ|!)W"</f>
        <v>#VALUE!</v>
      </c>
      <c r="CA3" t="e">
        <f>'Equity or FI trade'!E16+"$GJ|!)X"</f>
        <v>#VALUE!</v>
      </c>
      <c r="CB3" t="e">
        <f>'Equity or FI trade'!F16+"$GJ|!)Y"</f>
        <v>#VALUE!</v>
      </c>
      <c r="CC3" t="e">
        <f>'Equity or FI trade'!G16+"$GJ|!)Z"</f>
        <v>#VALUE!</v>
      </c>
      <c r="CD3" t="e">
        <f>'Equity or FI trade'!A17+"$GJ|!)["</f>
        <v>#VALUE!</v>
      </c>
      <c r="CE3" t="e">
        <f>'Equity or FI trade'!B17+"$GJ|!)\"</f>
        <v>#VALUE!</v>
      </c>
      <c r="CF3" t="e">
        <f>'Equity or FI trade'!C17+"$GJ|!)]"</f>
        <v>#VALUE!</v>
      </c>
      <c r="CG3" t="e">
        <f>'Equity or FI trade'!D17+"$GJ|!)^"</f>
        <v>#VALUE!</v>
      </c>
      <c r="CH3" t="e">
        <f>'Equity or FI trade'!E17+"$GJ|!)_"</f>
        <v>#VALUE!</v>
      </c>
      <c r="CI3" t="e">
        <f>'Equity or FI trade'!F17+"$GJ|!)`"</f>
        <v>#VALUE!</v>
      </c>
      <c r="CJ3" t="e">
        <f>'Equity or FI trade'!G17+"$GJ|!)a"</f>
        <v>#VALUE!</v>
      </c>
      <c r="CK3" t="e">
        <f>'Equity or FI trade'!A18+"$GJ|!)b"</f>
        <v>#VALUE!</v>
      </c>
      <c r="CL3" t="e">
        <f>'Equity or FI trade'!B18+"$GJ|!)c"</f>
        <v>#VALUE!</v>
      </c>
      <c r="CM3" t="e">
        <f>'Equity or FI trade'!C18+"$GJ|!)d"</f>
        <v>#VALUE!</v>
      </c>
      <c r="CN3" t="e">
        <f>'Equity or FI trade'!D18+"$GJ|!)e"</f>
        <v>#VALUE!</v>
      </c>
      <c r="CO3" t="e">
        <f>'Equity or FI trade'!E18+"$GJ|!)f"</f>
        <v>#VALUE!</v>
      </c>
      <c r="CP3" t="e">
        <f>'Equity or FI trade'!F18+"$GJ|!)g"</f>
        <v>#VALUE!</v>
      </c>
      <c r="CQ3" t="e">
        <f>'Equity or FI trade'!G18+"$GJ|!)h"</f>
        <v>#VALUE!</v>
      </c>
      <c r="CR3" t="e">
        <f>'Equity or FI trade'!A19+"$GJ|!)i"</f>
        <v>#VALUE!</v>
      </c>
      <c r="CS3" t="e">
        <f>'Equity or FI trade'!B19+"$GJ|!)j"</f>
        <v>#VALUE!</v>
      </c>
      <c r="CT3" t="e">
        <f>'Equity or FI trade'!C19+"$GJ|!)k"</f>
        <v>#VALUE!</v>
      </c>
      <c r="CU3" t="e">
        <f>'Equity or FI trade'!D19+"$GJ|!)l"</f>
        <v>#VALUE!</v>
      </c>
      <c r="CV3" t="e">
        <f>'Equity or FI trade'!E19+"$GJ|!)m"</f>
        <v>#VALUE!</v>
      </c>
      <c r="CW3" t="e">
        <f>'Equity or FI trade'!F19+"$GJ|!)n"</f>
        <v>#VALUE!</v>
      </c>
      <c r="CX3" t="e">
        <f>'Equity or FI trade'!G19+"$GJ|!)o"</f>
        <v>#VALUE!</v>
      </c>
      <c r="CY3" t="e">
        <f>'Equity or FI trade'!A20+"$GJ|!)p"</f>
        <v>#VALUE!</v>
      </c>
      <c r="CZ3" t="e">
        <f>'Equity or FI trade'!B20+"$GJ|!)q"</f>
        <v>#VALUE!</v>
      </c>
      <c r="DA3" t="e">
        <f>'Equity or FI trade'!C20+"$GJ|!)r"</f>
        <v>#VALUE!</v>
      </c>
      <c r="DB3" t="e">
        <f>'Equity or FI trade'!D20+"$GJ|!)s"</f>
        <v>#VALUE!</v>
      </c>
      <c r="DC3" t="e">
        <f>'Equity or FI trade'!E20+"$GJ|!)t"</f>
        <v>#VALUE!</v>
      </c>
      <c r="DD3" t="e">
        <f>'Equity or FI trade'!F20+"$GJ|!)u"</f>
        <v>#VALUE!</v>
      </c>
      <c r="DE3" t="e">
        <f>'Equity or FI trade'!G20+"$GJ|!)v"</f>
        <v>#VALUE!</v>
      </c>
      <c r="DF3" t="e">
        <f>'Equity or FI trade'!A21+"$GJ|!)w"</f>
        <v>#VALUE!</v>
      </c>
      <c r="DG3" t="e">
        <f>'Equity or FI trade'!B21+"$GJ|!)x"</f>
        <v>#VALUE!</v>
      </c>
      <c r="DH3" t="e">
        <f>'Equity or FI trade'!C21+"$GJ|!)y"</f>
        <v>#VALUE!</v>
      </c>
      <c r="DI3" t="e">
        <f>'Equity or FI trade'!D21+"$GJ|!)z"</f>
        <v>#VALUE!</v>
      </c>
      <c r="DJ3" t="e">
        <f>'Equity or FI trade'!E21+"$GJ|!){"</f>
        <v>#VALUE!</v>
      </c>
      <c r="DK3" t="e">
        <f>'Equity or FI trade'!F21+"$GJ|!)|"</f>
        <v>#VALUE!</v>
      </c>
      <c r="DL3" t="e">
        <f>'Equity or FI trade'!G21+"$GJ|!)}"</f>
        <v>#VALUE!</v>
      </c>
      <c r="DM3" t="e">
        <f>'Equity or FI trade'!A22+"$GJ|!)~"</f>
        <v>#VALUE!</v>
      </c>
      <c r="DN3" t="e">
        <f>'Equity or FI trade'!B22+"$GJ|!.#"</f>
        <v>#VALUE!</v>
      </c>
      <c r="DO3" t="e">
        <f>'Equity or FI trade'!C22+"$GJ|!.$"</f>
        <v>#VALUE!</v>
      </c>
      <c r="DP3" t="e">
        <f>'Equity or FI trade'!D22+"$GJ|!.%"</f>
        <v>#VALUE!</v>
      </c>
      <c r="DQ3" t="e">
        <f>'Equity or FI trade'!E22+"$GJ|!.&amp;"</f>
        <v>#VALUE!</v>
      </c>
      <c r="DR3" t="e">
        <f>'Equity or FI trade'!F22+"$GJ|!.'"</f>
        <v>#VALUE!</v>
      </c>
      <c r="DS3" t="e">
        <f>'Equity or FI trade'!G22+"$GJ|!.("</f>
        <v>#VALUE!</v>
      </c>
      <c r="DT3" t="e">
        <f>'Equity or FI trade'!A23+"$GJ|!.)"</f>
        <v>#VALUE!</v>
      </c>
      <c r="DU3" t="e">
        <f>'Equity or FI trade'!B23+"$GJ|!.."</f>
        <v>#VALUE!</v>
      </c>
      <c r="DV3" t="e">
        <f>'Equity or FI trade'!C23+"$GJ|!./"</f>
        <v>#VALUE!</v>
      </c>
      <c r="DW3" t="e">
        <f>'Equity or FI trade'!D23+"$GJ|!.0"</f>
        <v>#VALUE!</v>
      </c>
      <c r="DX3" t="e">
        <f>'Equity or FI trade'!E23+"$GJ|!.1"</f>
        <v>#VALUE!</v>
      </c>
      <c r="DY3" t="e">
        <f>'Equity or FI trade'!F23+"$GJ|!.2"</f>
        <v>#VALUE!</v>
      </c>
      <c r="DZ3" t="e">
        <f>'Equity or FI trade'!G23+"$GJ|!.3"</f>
        <v>#VALUE!</v>
      </c>
      <c r="EA3" t="e">
        <f>'Equity or FI trade'!A24+"$GJ|!.4"</f>
        <v>#VALUE!</v>
      </c>
      <c r="EB3" t="e">
        <f>'Equity or FI trade'!B24+"$GJ|!.5"</f>
        <v>#VALUE!</v>
      </c>
      <c r="EC3" t="e">
        <f>'Equity or FI trade'!C24+"$GJ|!.6"</f>
        <v>#VALUE!</v>
      </c>
      <c r="ED3" t="e">
        <f>'Equity or FI trade'!D24+"$GJ|!.7"</f>
        <v>#VALUE!</v>
      </c>
      <c r="EE3" t="e">
        <f>'Equity or FI trade'!E24+"$GJ|!.8"</f>
        <v>#VALUE!</v>
      </c>
      <c r="EF3" t="e">
        <f>'Equity or FI trade'!F24+"$GJ|!.9"</f>
        <v>#VALUE!</v>
      </c>
      <c r="EG3" t="e">
        <f>'Equity or FI trade'!G24+"$GJ|!.:"</f>
        <v>#VALUE!</v>
      </c>
      <c r="EH3" t="e">
        <f>'Equity or FI trade'!A25+"$GJ|!.;"</f>
        <v>#VALUE!</v>
      </c>
      <c r="EI3" t="e">
        <f>'Equity or FI trade'!B25+"$GJ|!.&lt;"</f>
        <v>#VALUE!</v>
      </c>
      <c r="EJ3" t="e">
        <f>'Equity or FI trade'!C25+"$GJ|!.="</f>
        <v>#VALUE!</v>
      </c>
      <c r="EK3" t="e">
        <f>'Equity or FI trade'!D25+"$GJ|!.&gt;"</f>
        <v>#VALUE!</v>
      </c>
      <c r="EL3" t="e">
        <f>'Equity or FI trade'!E25+"$GJ|!.?"</f>
        <v>#VALUE!</v>
      </c>
      <c r="EM3" t="e">
        <f>'Equity or FI trade'!F25+"$GJ|!.@"</f>
        <v>#VALUE!</v>
      </c>
      <c r="EN3" t="e">
        <f>'Equity or FI trade'!G25+"$GJ|!.A"</f>
        <v>#VALUE!</v>
      </c>
      <c r="EO3" t="e">
        <f>'Equity or FI trade'!A26+"$GJ|!.B"</f>
        <v>#VALUE!</v>
      </c>
      <c r="EP3" t="e">
        <f>'Equity or FI trade'!B26+"$GJ|!.C"</f>
        <v>#VALUE!</v>
      </c>
      <c r="EQ3" t="e">
        <f>'Equity or FI trade'!C26+"$GJ|!.D"</f>
        <v>#VALUE!</v>
      </c>
      <c r="ER3" t="e">
        <f>'Equity or FI trade'!D26+"$GJ|!.E"</f>
        <v>#VALUE!</v>
      </c>
      <c r="ES3" t="e">
        <f>'Equity or FI trade'!E26+"$GJ|!.F"</f>
        <v>#VALUE!</v>
      </c>
      <c r="ET3" t="e">
        <f>'Equity or FI trade'!F26+"$GJ|!.G"</f>
        <v>#VALUE!</v>
      </c>
      <c r="EU3" t="e">
        <f>'Equity or FI trade'!G26+"$GJ|!.H"</f>
        <v>#VALUE!</v>
      </c>
      <c r="EV3" t="e">
        <f>'Equity or FI trade'!A27+"$GJ|!.I"</f>
        <v>#VALUE!</v>
      </c>
      <c r="EW3" t="e">
        <f>'Equity or FI trade'!B27+"$GJ|!.J"</f>
        <v>#VALUE!</v>
      </c>
      <c r="EX3" t="e">
        <f>'Equity or FI trade'!C27+"$GJ|!.K"</f>
        <v>#VALUE!</v>
      </c>
      <c r="EY3" t="e">
        <f>'Equity or FI trade'!D27+"$GJ|!.L"</f>
        <v>#VALUE!</v>
      </c>
      <c r="EZ3" t="e">
        <f>'Equity or FI trade'!E27+"$GJ|!.M"</f>
        <v>#VALUE!</v>
      </c>
      <c r="FA3" t="e">
        <f>'Equity or FI trade'!F27+"$GJ|!.N"</f>
        <v>#VALUE!</v>
      </c>
      <c r="FB3" t="e">
        <f>'Equity or FI trade'!G27+"$GJ|!.O"</f>
        <v>#VALUE!</v>
      </c>
      <c r="FC3" t="e">
        <f>'Equity or FI trade'!A28+"$GJ|!.P"</f>
        <v>#VALUE!</v>
      </c>
      <c r="FD3" t="e">
        <f>'Equity or FI trade'!B28+"$GJ|!.Q"</f>
        <v>#VALUE!</v>
      </c>
      <c r="FE3" t="e">
        <f>'Equity or FI trade'!C28+"$GJ|!.R"</f>
        <v>#VALUE!</v>
      </c>
      <c r="FF3" t="e">
        <f>'Equity or FI trade'!D28+"$GJ|!.S"</f>
        <v>#VALUE!</v>
      </c>
      <c r="FG3" t="e">
        <f>'Equity or FI trade'!E28+"$GJ|!.T"</f>
        <v>#VALUE!</v>
      </c>
      <c r="FH3" t="e">
        <f>'Equity or FI trade'!F28+"$GJ|!.U"</f>
        <v>#VALUE!</v>
      </c>
      <c r="FI3" t="e">
        <f>'Equity or FI trade'!G28+"$GJ|!.V"</f>
        <v>#VALUE!</v>
      </c>
      <c r="FJ3" t="e">
        <f>'Equity or FI trade'!A29+"$GJ|!.W"</f>
        <v>#VALUE!</v>
      </c>
      <c r="FK3" t="e">
        <f>'Equity or FI trade'!B29+"$GJ|!.X"</f>
        <v>#VALUE!</v>
      </c>
      <c r="FL3" t="e">
        <f>'Equity or FI trade'!C29+"$GJ|!.Y"</f>
        <v>#VALUE!</v>
      </c>
      <c r="FM3" t="e">
        <f>'Equity or FI trade'!D29+"$GJ|!.Z"</f>
        <v>#VALUE!</v>
      </c>
      <c r="FN3" t="e">
        <f>'Equity or FI trade'!E29+"$GJ|!.["</f>
        <v>#VALUE!</v>
      </c>
      <c r="FO3" t="e">
        <f>'Equity or FI trade'!F29+"$GJ|!.\"</f>
        <v>#VALUE!</v>
      </c>
      <c r="FP3" t="e">
        <f>'Equity or FI trade'!G29+"$GJ|!.]"</f>
        <v>#VALUE!</v>
      </c>
      <c r="FQ3" t="e">
        <f>'Equity or FI trade'!A30+"$GJ|!.^"</f>
        <v>#VALUE!</v>
      </c>
      <c r="FR3" t="e">
        <f>'Equity or FI trade'!B30+"$GJ|!._"</f>
        <v>#VALUE!</v>
      </c>
      <c r="FS3" t="e">
        <f>'Equity or FI trade'!C30+"$GJ|!.`"</f>
        <v>#VALUE!</v>
      </c>
      <c r="FT3" t="e">
        <f>'Equity or FI trade'!D30+"$GJ|!.a"</f>
        <v>#VALUE!</v>
      </c>
      <c r="FU3" t="e">
        <f>'Equity or FI trade'!E30+"$GJ|!.b"</f>
        <v>#VALUE!</v>
      </c>
      <c r="FV3" t="e">
        <f>'Equity or FI trade'!F30+"$GJ|!.c"</f>
        <v>#VALUE!</v>
      </c>
      <c r="FW3" t="e">
        <f>'Equity or FI trade'!G30+"$GJ|!.d"</f>
        <v>#VALUE!</v>
      </c>
      <c r="FX3" t="e">
        <f>'Equity or FI trade'!A31+"$GJ|!.e"</f>
        <v>#VALUE!</v>
      </c>
      <c r="FY3" t="e">
        <f>'Equity or FI trade'!B31+"$GJ|!.f"</f>
        <v>#VALUE!</v>
      </c>
      <c r="FZ3" t="e">
        <f>'Equity or FI trade'!C31+"$GJ|!.g"</f>
        <v>#VALUE!</v>
      </c>
      <c r="GA3" t="e">
        <f>'Equity or FI trade'!D31+"$GJ|!.h"</f>
        <v>#VALUE!</v>
      </c>
      <c r="GB3" t="e">
        <f>'Equity or FI trade'!E31+"$GJ|!.i"</f>
        <v>#VALUE!</v>
      </c>
      <c r="GC3" t="e">
        <f>'Equity or FI trade'!F31+"$GJ|!.j"</f>
        <v>#VALUE!</v>
      </c>
      <c r="GD3" t="e">
        <f>'Equity or FI trade'!G31+"$GJ|!.k"</f>
        <v>#VALUE!</v>
      </c>
      <c r="GE3" t="e">
        <f>'Equity or FI trade'!A32+"$GJ|!.l"</f>
        <v>#VALUE!</v>
      </c>
      <c r="GF3" t="e">
        <f>'Equity or FI trade'!B32+"$GJ|!.m"</f>
        <v>#VALUE!</v>
      </c>
      <c r="GG3" t="e">
        <f>'Equity or FI trade'!C32+"$GJ|!.n"</f>
        <v>#VALUE!</v>
      </c>
      <c r="GH3" t="e">
        <f>'Equity or FI trade'!D32+"$GJ|!.o"</f>
        <v>#VALUE!</v>
      </c>
      <c r="GI3" t="e">
        <f>'Equity or FI trade'!E32+"$GJ|!.p"</f>
        <v>#VALUE!</v>
      </c>
      <c r="GJ3" t="e">
        <f>'Equity or FI trade'!F32+"$GJ|!.q"</f>
        <v>#VALUE!</v>
      </c>
      <c r="GK3" t="e">
        <f>'Equity or FI trade'!G32+"$GJ|!.r"</f>
        <v>#VALUE!</v>
      </c>
      <c r="GL3" t="e">
        <f>'Equity or FI trade'!A33+"$GJ|!.s"</f>
        <v>#VALUE!</v>
      </c>
      <c r="GM3" t="e">
        <f>'Equity or FI trade'!B33+"$GJ|!.t"</f>
        <v>#VALUE!</v>
      </c>
      <c r="GN3" t="e">
        <f>'Equity or FI trade'!C33+"$GJ|!.u"</f>
        <v>#VALUE!</v>
      </c>
      <c r="GO3" t="e">
        <f>'Equity or FI trade'!D33+"$GJ|!.v"</f>
        <v>#VALUE!</v>
      </c>
      <c r="GP3" t="e">
        <f>'Equity or FI trade'!E33+"$GJ|!.w"</f>
        <v>#VALUE!</v>
      </c>
      <c r="GQ3" t="e">
        <f>'Equity or FI trade'!F33+"$GJ|!.x"</f>
        <v>#VALUE!</v>
      </c>
      <c r="GR3" t="e">
        <f>'Equity or FI trade'!G33+"$GJ|!.y"</f>
        <v>#VALUE!</v>
      </c>
      <c r="GS3" t="e">
        <f>'Equity or FI trade'!A34+"$GJ|!.z"</f>
        <v>#VALUE!</v>
      </c>
      <c r="GT3" t="e">
        <f>'Equity or FI trade'!B34+"$GJ|!.{"</f>
        <v>#VALUE!</v>
      </c>
      <c r="GU3" t="e">
        <f>'Equity or FI trade'!C34+"$GJ|!.|"</f>
        <v>#VALUE!</v>
      </c>
      <c r="GV3" t="e">
        <f>'Equity or FI trade'!D34+"$GJ|!.}"</f>
        <v>#VALUE!</v>
      </c>
      <c r="GW3" t="e">
        <f>'Equity or FI trade'!E34+"$GJ|!.~"</f>
        <v>#VALUE!</v>
      </c>
      <c r="GX3" t="e">
        <f>'Equity or FI trade'!F34+"$GJ|!/#"</f>
        <v>#VALUE!</v>
      </c>
      <c r="GY3" t="e">
        <f>'Equity or FI trade'!G34+"$GJ|!/$"</f>
        <v>#VALUE!</v>
      </c>
      <c r="GZ3" t="e">
        <f>'Equity or FI trade'!A35+"$GJ|!/%"</f>
        <v>#VALUE!</v>
      </c>
      <c r="HA3" t="e">
        <f>'Equity or FI trade'!B35+"$GJ|!/&amp;"</f>
        <v>#VALUE!</v>
      </c>
      <c r="HB3" t="e">
        <f>'Equity or FI trade'!C35+"$GJ|!/'"</f>
        <v>#VALUE!</v>
      </c>
      <c r="HC3" t="e">
        <f>'Equity or FI trade'!D35+"$GJ|!/("</f>
        <v>#VALUE!</v>
      </c>
      <c r="HD3" t="e">
        <f>'Equity or FI trade'!E35+"$GJ|!/)"</f>
        <v>#VALUE!</v>
      </c>
      <c r="HE3" t="e">
        <f>'Equity or FI trade'!F35+"$GJ|!/."</f>
        <v>#VALUE!</v>
      </c>
      <c r="HF3" t="e">
        <f>'Equity or FI trade'!G35+"$GJ|!//"</f>
        <v>#VALUE!</v>
      </c>
      <c r="HG3" t="e">
        <f>'Equity or FI trade'!A36+"$GJ|!/0"</f>
        <v>#VALUE!</v>
      </c>
      <c r="HH3" t="e">
        <f>'Equity or FI trade'!B36+"$GJ|!/1"</f>
        <v>#VALUE!</v>
      </c>
      <c r="HI3" t="e">
        <f>'Equity or FI trade'!C36+"$GJ|!/2"</f>
        <v>#VALUE!</v>
      </c>
      <c r="HJ3" t="e">
        <f>'Equity or FI trade'!D36+"$GJ|!/3"</f>
        <v>#VALUE!</v>
      </c>
      <c r="HK3" t="e">
        <f>'Equity or FI trade'!E36+"$GJ|!/4"</f>
        <v>#VALUE!</v>
      </c>
      <c r="HL3" t="e">
        <f>'Equity or FI trade'!F36+"$GJ|!/5"</f>
        <v>#VALUE!</v>
      </c>
      <c r="HM3" t="e">
        <f>'Equity or FI trade'!G36+"$GJ|!/6"</f>
        <v>#VALUE!</v>
      </c>
      <c r="HN3" t="e">
        <f>'Equity or FI trade'!A37+"$GJ|!/7"</f>
        <v>#VALUE!</v>
      </c>
      <c r="HO3" t="e">
        <f>'Equity or FI trade'!B37+"$GJ|!/8"</f>
        <v>#VALUE!</v>
      </c>
      <c r="HP3" t="e">
        <f>'Equity or FI trade'!C37+"$GJ|!/9"</f>
        <v>#VALUE!</v>
      </c>
      <c r="HQ3" t="e">
        <f>'Equity or FI trade'!D37+"$GJ|!/:"</f>
        <v>#VALUE!</v>
      </c>
      <c r="HR3" t="e">
        <f>'Equity or FI trade'!E37+"$GJ|!/;"</f>
        <v>#VALUE!</v>
      </c>
      <c r="HS3" t="e">
        <f>'Equity or FI trade'!F37+"$GJ|!/&lt;"</f>
        <v>#VALUE!</v>
      </c>
      <c r="HT3" t="e">
        <f>'Equity or FI trade'!G37+"$GJ|!/="</f>
        <v>#VALUE!</v>
      </c>
      <c r="HU3" t="e">
        <f>'Equity or FI trade'!A38+"$GJ|!/&gt;"</f>
        <v>#VALUE!</v>
      </c>
      <c r="HV3" t="e">
        <f>'Equity or FI trade'!B38+"$GJ|!/?"</f>
        <v>#VALUE!</v>
      </c>
      <c r="HW3" t="e">
        <f>'Equity or FI trade'!C38+"$GJ|!/@"</f>
        <v>#VALUE!</v>
      </c>
      <c r="HX3" t="e">
        <f>'Equity or FI trade'!D38+"$GJ|!/A"</f>
        <v>#VALUE!</v>
      </c>
      <c r="HY3" t="e">
        <f>'Equity or FI trade'!E38+"$GJ|!/B"</f>
        <v>#VALUE!</v>
      </c>
      <c r="HZ3" t="e">
        <f>'Equity or FI trade'!F38+"$GJ|!/C"</f>
        <v>#VALUE!</v>
      </c>
      <c r="IA3" t="e">
        <f>'Equity or FI trade'!G38+"$GJ|!/D"</f>
        <v>#VALUE!</v>
      </c>
      <c r="IB3" t="e">
        <f>'Equity or FI trade'!A39+"$GJ|!/E"</f>
        <v>#VALUE!</v>
      </c>
      <c r="IC3" t="e">
        <f>'Equity or FI trade'!B39+"$GJ|!/F"</f>
        <v>#VALUE!</v>
      </c>
      <c r="ID3" t="e">
        <f>'Equity or FI trade'!C39+"$GJ|!/G"</f>
        <v>#VALUE!</v>
      </c>
      <c r="IE3" t="e">
        <f>'Equity or FI trade'!D39+"$GJ|!/H"</f>
        <v>#VALUE!</v>
      </c>
      <c r="IF3" t="e">
        <f>'Equity or FI trade'!E39+"$GJ|!/I"</f>
        <v>#VALUE!</v>
      </c>
      <c r="IG3" t="e">
        <f>'Equity or FI trade'!F39+"$GJ|!/J"</f>
        <v>#VALUE!</v>
      </c>
      <c r="IH3" t="e">
        <f>'Equity or FI trade'!G39+"$GJ|!/K"</f>
        <v>#VALUE!</v>
      </c>
      <c r="II3" t="e">
        <f>'Equity or FI trade'!A40+"$GJ|!/L"</f>
        <v>#VALUE!</v>
      </c>
      <c r="IJ3" t="e">
        <f>'Equity or FI trade'!B40+"$GJ|!/M"</f>
        <v>#VALUE!</v>
      </c>
      <c r="IK3" t="e">
        <f>'Equity or FI trade'!C40+"$GJ|!/N"</f>
        <v>#VALUE!</v>
      </c>
      <c r="IL3" t="e">
        <f>'Equity or FI trade'!D40+"$GJ|!/O"</f>
        <v>#VALUE!</v>
      </c>
      <c r="IM3" t="e">
        <f>'Equity or FI trade'!E40+"$GJ|!/P"</f>
        <v>#VALUE!</v>
      </c>
      <c r="IN3" t="e">
        <f>'Equity or FI trade'!F40+"$GJ|!/Q"</f>
        <v>#VALUE!</v>
      </c>
      <c r="IO3" t="e">
        <f>'Equity or FI trade'!G40+"$GJ|!/R"</f>
        <v>#VALUE!</v>
      </c>
      <c r="IP3" t="e">
        <f>'Equity or FI trade'!A41+"$GJ|!/S"</f>
        <v>#VALUE!</v>
      </c>
      <c r="IQ3" t="e">
        <f>'Equity or FI trade'!B41+"$GJ|!/T"</f>
        <v>#VALUE!</v>
      </c>
      <c r="IR3" t="e">
        <f>'Equity or FI trade'!C41+"$GJ|!/U"</f>
        <v>#VALUE!</v>
      </c>
      <c r="IS3" t="e">
        <f>'Equity or FI trade'!D41+"$GJ|!/V"</f>
        <v>#VALUE!</v>
      </c>
      <c r="IT3" t="e">
        <f>'Equity or FI trade'!E41+"$GJ|!/W"</f>
        <v>#VALUE!</v>
      </c>
      <c r="IU3" t="e">
        <f>'Equity or FI trade'!F41+"$GJ|!/X"</f>
        <v>#VALUE!</v>
      </c>
      <c r="IV3" t="e">
        <f>'Equity or FI trade'!G41+"$GJ|!/Y"</f>
        <v>#VALUE!</v>
      </c>
    </row>
    <row r="4" spans="1:256" x14ac:dyDescent="0.25">
      <c r="A4" t="s">
        <v>854</v>
      </c>
      <c r="F4" t="e">
        <f>'Equity or FI trade'!A42+"$GJ|!/Z"</f>
        <v>#VALUE!</v>
      </c>
      <c r="G4" t="e">
        <f>'Equity or FI trade'!B42+"$GJ|!/["</f>
        <v>#VALUE!</v>
      </c>
      <c r="H4" t="e">
        <f>'Equity or FI trade'!C42+"$GJ|!/\"</f>
        <v>#VALUE!</v>
      </c>
      <c r="I4" t="e">
        <f>'Equity or FI trade'!D42+"$GJ|!/]"</f>
        <v>#VALUE!</v>
      </c>
      <c r="J4" t="e">
        <f>'Equity or FI trade'!E42+"$GJ|!/^"</f>
        <v>#VALUE!</v>
      </c>
      <c r="K4" t="e">
        <f>'Equity or FI trade'!F42+"$GJ|!/_"</f>
        <v>#VALUE!</v>
      </c>
      <c r="L4" t="e">
        <f>'Equity or FI trade'!G42+"$GJ|!/`"</f>
        <v>#VALUE!</v>
      </c>
      <c r="M4" t="e">
        <f>'Equity or FI trade'!A43+"$GJ|!/a"</f>
        <v>#VALUE!</v>
      </c>
      <c r="N4" t="e">
        <f>'Equity or FI trade'!B43+"$GJ|!/b"</f>
        <v>#VALUE!</v>
      </c>
      <c r="O4" t="e">
        <f>'Equity or FI trade'!C43+"$GJ|!/c"</f>
        <v>#VALUE!</v>
      </c>
      <c r="P4" t="e">
        <f>'Equity or FI trade'!D43+"$GJ|!/d"</f>
        <v>#VALUE!</v>
      </c>
      <c r="Q4" t="e">
        <f>'Equity or FI trade'!E43+"$GJ|!/e"</f>
        <v>#VALUE!</v>
      </c>
      <c r="R4" t="e">
        <f>'Equity or FI trade'!F43+"$GJ|!/f"</f>
        <v>#VALUE!</v>
      </c>
      <c r="S4" t="e">
        <f>'Equity or FI trade'!G43+"$GJ|!/g"</f>
        <v>#VALUE!</v>
      </c>
      <c r="T4" t="e">
        <f>'Equity or FI trade'!A44+"$GJ|!/h"</f>
        <v>#VALUE!</v>
      </c>
      <c r="U4" t="e">
        <f>'Equity or FI trade'!B44+"$GJ|!/i"</f>
        <v>#VALUE!</v>
      </c>
      <c r="V4" t="e">
        <f>'Equity or FI trade'!C44+"$GJ|!/j"</f>
        <v>#VALUE!</v>
      </c>
      <c r="W4" t="e">
        <f>'Equity or FI trade'!D44+"$GJ|!/k"</f>
        <v>#VALUE!</v>
      </c>
      <c r="X4" t="e">
        <f>'Equity or FI trade'!E44+"$GJ|!/l"</f>
        <v>#VALUE!</v>
      </c>
      <c r="Y4" t="e">
        <f>'Equity or FI trade'!F44+"$GJ|!/m"</f>
        <v>#VALUE!</v>
      </c>
      <c r="Z4" t="e">
        <f>'Equity or FI trade'!G44+"$GJ|!/n"</f>
        <v>#VALUE!</v>
      </c>
      <c r="AA4" t="e">
        <f>'Equity or FI trade'!A45+"$GJ|!/o"</f>
        <v>#VALUE!</v>
      </c>
      <c r="AB4" t="e">
        <f>'Equity or FI trade'!B45+"$GJ|!/p"</f>
        <v>#VALUE!</v>
      </c>
      <c r="AC4" t="e">
        <f>'Equity or FI trade'!C45+"$GJ|!/q"</f>
        <v>#VALUE!</v>
      </c>
      <c r="AD4" t="e">
        <f>'Equity or FI trade'!D45+"$GJ|!/r"</f>
        <v>#VALUE!</v>
      </c>
      <c r="AE4" t="e">
        <f>'Equity or FI trade'!E45+"$GJ|!/s"</f>
        <v>#VALUE!</v>
      </c>
      <c r="AF4" t="e">
        <f>'Equity or FI trade'!F45+"$GJ|!/t"</f>
        <v>#VALUE!</v>
      </c>
      <c r="AG4" t="e">
        <f>'Equity or FI trade'!G45+"$GJ|!/u"</f>
        <v>#VALUE!</v>
      </c>
      <c r="AH4" t="e">
        <f>'Equity or FI trade'!A46+"$GJ|!/v"</f>
        <v>#VALUE!</v>
      </c>
      <c r="AI4" t="e">
        <f>'Equity or FI trade'!B46+"$GJ|!/w"</f>
        <v>#VALUE!</v>
      </c>
      <c r="AJ4" t="e">
        <f>'Equity or FI trade'!C46+"$GJ|!/x"</f>
        <v>#VALUE!</v>
      </c>
      <c r="AK4" t="e">
        <f>'Equity or FI trade'!D46+"$GJ|!/y"</f>
        <v>#VALUE!</v>
      </c>
      <c r="AL4" t="e">
        <f>'Equity or FI trade'!E46+"$GJ|!/z"</f>
        <v>#VALUE!</v>
      </c>
      <c r="AM4" t="e">
        <f>'Equity or FI trade'!F46+"$GJ|!/{"</f>
        <v>#VALUE!</v>
      </c>
      <c r="AN4" t="e">
        <f>'Equity or FI trade'!G46+"$GJ|!/|"</f>
        <v>#VALUE!</v>
      </c>
      <c r="AO4" t="e">
        <f>'Equity or FI trade'!A47+"$GJ|!/}"</f>
        <v>#VALUE!</v>
      </c>
      <c r="AP4" t="e">
        <f>'Equity or FI trade'!B47+"$GJ|!/~"</f>
        <v>#VALUE!</v>
      </c>
      <c r="AQ4" t="e">
        <f>'Equity or FI trade'!C47+"$GJ|!0#"</f>
        <v>#VALUE!</v>
      </c>
      <c r="AR4" t="e">
        <f>'Equity or FI trade'!D47+"$GJ|!0$"</f>
        <v>#VALUE!</v>
      </c>
      <c r="AS4" t="e">
        <f>'Equity or FI trade'!E47+"$GJ|!0%"</f>
        <v>#VALUE!</v>
      </c>
      <c r="AT4" t="e">
        <f>'Equity or FI trade'!F47+"$GJ|!0&amp;"</f>
        <v>#VALUE!</v>
      </c>
      <c r="AU4" t="e">
        <f>'Equity or FI trade'!G47+"$GJ|!0'"</f>
        <v>#VALUE!</v>
      </c>
      <c r="AV4" t="e">
        <f>'Equity or FI trade'!A48+"$GJ|!0("</f>
        <v>#VALUE!</v>
      </c>
      <c r="AW4" t="e">
        <f>'Equity or FI trade'!B48+"$GJ|!0)"</f>
        <v>#VALUE!</v>
      </c>
      <c r="AX4" t="e">
        <f>'Equity or FI trade'!C48+"$GJ|!0."</f>
        <v>#VALUE!</v>
      </c>
      <c r="AY4" t="e">
        <f>'Equity or FI trade'!D48+"$GJ|!0/"</f>
        <v>#VALUE!</v>
      </c>
      <c r="AZ4" t="e">
        <f>'Equity or FI trade'!E48+"$GJ|!00"</f>
        <v>#VALUE!</v>
      </c>
      <c r="BA4" t="e">
        <f>'Equity or FI trade'!F48+"$GJ|!01"</f>
        <v>#VALUE!</v>
      </c>
      <c r="BB4" t="e">
        <f>'Equity or FI trade'!G48+"$GJ|!02"</f>
        <v>#VALUE!</v>
      </c>
      <c r="BC4" t="e">
        <f>'Equity or FI trade'!A49+"$GJ|!03"</f>
        <v>#VALUE!</v>
      </c>
      <c r="BD4" t="e">
        <f>'Equity or FI trade'!B49+"$GJ|!04"</f>
        <v>#VALUE!</v>
      </c>
      <c r="BE4" t="e">
        <f>'Equity or FI trade'!C49+"$GJ|!05"</f>
        <v>#VALUE!</v>
      </c>
      <c r="BF4" t="e">
        <f>'Equity or FI trade'!D49+"$GJ|!06"</f>
        <v>#VALUE!</v>
      </c>
      <c r="BG4" t="e">
        <f>'Equity or FI trade'!E49+"$GJ|!07"</f>
        <v>#VALUE!</v>
      </c>
      <c r="BH4" t="e">
        <f>'Equity or FI trade'!F49+"$GJ|!08"</f>
        <v>#VALUE!</v>
      </c>
      <c r="BI4" t="e">
        <f>'Equity or FI trade'!G49+"$GJ|!09"</f>
        <v>#VALUE!</v>
      </c>
      <c r="BJ4" t="e">
        <f>'Equity or FI trade'!A50+"$GJ|!0:"</f>
        <v>#VALUE!</v>
      </c>
      <c r="BK4" t="e">
        <f>'Equity or FI trade'!B50+"$GJ|!0;"</f>
        <v>#VALUE!</v>
      </c>
      <c r="BL4" t="e">
        <f>'Equity or FI trade'!C50+"$GJ|!0&lt;"</f>
        <v>#VALUE!</v>
      </c>
      <c r="BM4" t="e">
        <f>'Equity or FI trade'!D50+"$GJ|!0="</f>
        <v>#VALUE!</v>
      </c>
      <c r="BN4" t="e">
        <f>'Equity or FI trade'!E50+"$GJ|!0&gt;"</f>
        <v>#VALUE!</v>
      </c>
      <c r="BO4" t="e">
        <f>'Equity or FI trade'!F50+"$GJ|!0?"</f>
        <v>#VALUE!</v>
      </c>
      <c r="BP4" t="e">
        <f>'Equity or FI trade'!G50+"$GJ|!0@"</f>
        <v>#VALUE!</v>
      </c>
      <c r="BQ4" t="e">
        <f>'Equity or FI trade'!A51+"$GJ|!0A"</f>
        <v>#VALUE!</v>
      </c>
      <c r="BR4" t="e">
        <f>'Equity or FI trade'!B51+"$GJ|!0B"</f>
        <v>#VALUE!</v>
      </c>
      <c r="BS4" t="e">
        <f>'Equity or FI trade'!C51+"$GJ|!0C"</f>
        <v>#VALUE!</v>
      </c>
      <c r="BT4" t="e">
        <f>'Equity or FI trade'!D51+"$GJ|!0D"</f>
        <v>#VALUE!</v>
      </c>
      <c r="BU4" t="e">
        <f>'Equity or FI trade'!E51+"$GJ|!0E"</f>
        <v>#VALUE!</v>
      </c>
      <c r="BV4" t="e">
        <f>'Equity or FI trade'!F51+"$GJ|!0F"</f>
        <v>#VALUE!</v>
      </c>
      <c r="BW4" t="e">
        <f>'Equity or FI trade'!G51+"$GJ|!0G"</f>
        <v>#VALUE!</v>
      </c>
      <c r="BX4" t="e">
        <f>'Equity or FI trade'!A52+"$GJ|!0H"</f>
        <v>#VALUE!</v>
      </c>
      <c r="BY4" t="e">
        <f>'Equity or FI trade'!B52+"$GJ|!0I"</f>
        <v>#VALUE!</v>
      </c>
      <c r="BZ4" t="e">
        <f>'Equity or FI trade'!C52+"$GJ|!0J"</f>
        <v>#VALUE!</v>
      </c>
      <c r="CA4" t="e">
        <f>'Equity or FI trade'!D52+"$GJ|!0K"</f>
        <v>#VALUE!</v>
      </c>
      <c r="CB4" t="e">
        <f>'Equity or FI trade'!E52+"$GJ|!0L"</f>
        <v>#VALUE!</v>
      </c>
      <c r="CC4" t="e">
        <f>'Equity or FI trade'!F52+"$GJ|!0M"</f>
        <v>#VALUE!</v>
      </c>
      <c r="CD4" t="e">
        <f>'Equity or FI trade'!G52+"$GJ|!0N"</f>
        <v>#VALUE!</v>
      </c>
      <c r="CE4" t="e">
        <f>'Equity or FI trade'!A53+"$GJ|!0O"</f>
        <v>#VALUE!</v>
      </c>
      <c r="CF4" t="e">
        <f>'Equity or FI trade'!B53+"$GJ|!0P"</f>
        <v>#VALUE!</v>
      </c>
      <c r="CG4" t="e">
        <f>'Equity or FI trade'!C53+"$GJ|!0Q"</f>
        <v>#VALUE!</v>
      </c>
      <c r="CH4" t="e">
        <f>'Equity or FI trade'!D53+"$GJ|!0R"</f>
        <v>#VALUE!</v>
      </c>
      <c r="CI4" t="e">
        <f>'Equity or FI trade'!E53+"$GJ|!0S"</f>
        <v>#VALUE!</v>
      </c>
      <c r="CJ4" t="e">
        <f>'Equity or FI trade'!F53+"$GJ|!0T"</f>
        <v>#VALUE!</v>
      </c>
      <c r="CK4" t="e">
        <f>'Equity or FI trade'!G53+"$GJ|!0U"</f>
        <v>#VALUE!</v>
      </c>
      <c r="CL4" t="e">
        <f>'Equity or FI trade'!A54+"$GJ|!0V"</f>
        <v>#VALUE!</v>
      </c>
      <c r="CM4" t="e">
        <f>'Equity or FI trade'!B54+"$GJ|!0W"</f>
        <v>#VALUE!</v>
      </c>
      <c r="CN4" t="e">
        <f>'Equity or FI trade'!C54+"$GJ|!0X"</f>
        <v>#VALUE!</v>
      </c>
      <c r="CO4" t="e">
        <f>'Equity or FI trade'!D54+"$GJ|!0Y"</f>
        <v>#VALUE!</v>
      </c>
      <c r="CP4" t="e">
        <f>'Equity or FI trade'!E54+"$GJ|!0Z"</f>
        <v>#VALUE!</v>
      </c>
      <c r="CQ4" t="e">
        <f>'Equity or FI trade'!F54+"$GJ|!0["</f>
        <v>#VALUE!</v>
      </c>
      <c r="CR4" t="e">
        <f>'Equity or FI trade'!G54+"$GJ|!0\"</f>
        <v>#VALUE!</v>
      </c>
      <c r="CS4" t="e">
        <f>'Equity or FI trade'!A55+"$GJ|!0]"</f>
        <v>#VALUE!</v>
      </c>
      <c r="CT4" t="e">
        <f>'Equity or FI trade'!B55+"$GJ|!0^"</f>
        <v>#VALUE!</v>
      </c>
      <c r="CU4" t="e">
        <f>'Equity or FI trade'!C55+"$GJ|!0_"</f>
        <v>#VALUE!</v>
      </c>
      <c r="CV4" t="e">
        <f>'Equity or FI trade'!D55+"$GJ|!0`"</f>
        <v>#VALUE!</v>
      </c>
      <c r="CW4" t="e">
        <f>'Equity or FI trade'!E55+"$GJ|!0a"</f>
        <v>#VALUE!</v>
      </c>
      <c r="CX4" t="e">
        <f>'Equity or FI trade'!F55+"$GJ|!0b"</f>
        <v>#VALUE!</v>
      </c>
      <c r="CY4" t="e">
        <f>'Equity or FI trade'!G55+"$GJ|!0c"</f>
        <v>#VALUE!</v>
      </c>
      <c r="CZ4" t="e">
        <f>'Equity or FI trade'!A56+"$GJ|!0d"</f>
        <v>#VALUE!</v>
      </c>
      <c r="DA4" t="e">
        <f>'Equity or FI trade'!B56+"$GJ|!0e"</f>
        <v>#VALUE!</v>
      </c>
      <c r="DB4" t="e">
        <f>'Equity or FI trade'!C56+"$GJ|!0f"</f>
        <v>#VALUE!</v>
      </c>
      <c r="DC4" t="e">
        <f>'Equity or FI trade'!D56+"$GJ|!0g"</f>
        <v>#VALUE!</v>
      </c>
      <c r="DD4" t="e">
        <f>'Equity or FI trade'!E56+"$GJ|!0h"</f>
        <v>#VALUE!</v>
      </c>
      <c r="DE4" t="e">
        <f>'Equity or FI trade'!F56+"$GJ|!0i"</f>
        <v>#VALUE!</v>
      </c>
      <c r="DF4" t="e">
        <f>'Equity or FI trade'!G56+"$GJ|!0j"</f>
        <v>#VALUE!</v>
      </c>
      <c r="DG4" t="e">
        <f>'Equity or FI trade'!A57+"$GJ|!0k"</f>
        <v>#VALUE!</v>
      </c>
      <c r="DH4" t="e">
        <f>'Equity or FI trade'!B57+"$GJ|!0l"</f>
        <v>#VALUE!</v>
      </c>
      <c r="DI4" t="e">
        <f>'Equity or FI trade'!C57+"$GJ|!0m"</f>
        <v>#VALUE!</v>
      </c>
      <c r="DJ4" t="e">
        <f>'Equity or FI trade'!D57+"$GJ|!0n"</f>
        <v>#VALUE!</v>
      </c>
      <c r="DK4" t="e">
        <f>'Equity or FI trade'!E57+"$GJ|!0o"</f>
        <v>#VALUE!</v>
      </c>
      <c r="DL4" t="e">
        <f>'Equity or FI trade'!F57+"$GJ|!0p"</f>
        <v>#VALUE!</v>
      </c>
      <c r="DM4" t="e">
        <f>'Equity or FI trade'!G57+"$GJ|!0q"</f>
        <v>#VALUE!</v>
      </c>
      <c r="DN4" t="e">
        <f>'Equity or FI trade'!A58+"$GJ|!0r"</f>
        <v>#VALUE!</v>
      </c>
      <c r="DO4" t="e">
        <f>'Equity or FI trade'!B58+"$GJ|!0s"</f>
        <v>#VALUE!</v>
      </c>
      <c r="DP4" t="e">
        <f>'Equity or FI trade'!C58+"$GJ|!0t"</f>
        <v>#VALUE!</v>
      </c>
      <c r="DQ4" t="e">
        <f>'Equity or FI trade'!D58+"$GJ|!0u"</f>
        <v>#VALUE!</v>
      </c>
      <c r="DR4" t="e">
        <f>'Equity or FI trade'!E58+"$GJ|!0v"</f>
        <v>#VALUE!</v>
      </c>
      <c r="DS4" t="e">
        <f>'Equity or FI trade'!F58+"$GJ|!0w"</f>
        <v>#VALUE!</v>
      </c>
      <c r="DT4" t="e">
        <f>'Equity or FI trade'!G58+"$GJ|!0x"</f>
        <v>#VALUE!</v>
      </c>
      <c r="DU4" t="e">
        <f>'Equity or FI trade'!A59+"$GJ|!0y"</f>
        <v>#VALUE!</v>
      </c>
      <c r="DV4" t="e">
        <f>'Equity or FI trade'!B59+"$GJ|!0z"</f>
        <v>#VALUE!</v>
      </c>
      <c r="DW4" t="e">
        <f>'Equity or FI trade'!C59+"$GJ|!0{"</f>
        <v>#VALUE!</v>
      </c>
      <c r="DX4" t="e">
        <f>'Equity or FI trade'!D59+"$GJ|!0|"</f>
        <v>#VALUE!</v>
      </c>
      <c r="DY4" t="e">
        <f>'Equity or FI trade'!E59+"$GJ|!0}"</f>
        <v>#VALUE!</v>
      </c>
      <c r="DZ4" t="e">
        <f>'Equity or FI trade'!F59+"$GJ|!0~"</f>
        <v>#VALUE!</v>
      </c>
      <c r="EA4" t="e">
        <f>'Equity or FI trade'!G59+"$GJ|!1#"</f>
        <v>#VALUE!</v>
      </c>
      <c r="EB4" t="e">
        <f>'Equity or FI trade'!A60+"$GJ|!1$"</f>
        <v>#VALUE!</v>
      </c>
      <c r="EC4" t="e">
        <f>'Equity or FI trade'!B60+"$GJ|!1%"</f>
        <v>#VALUE!</v>
      </c>
      <c r="ED4" t="e">
        <f>'Equity or FI trade'!C60+"$GJ|!1&amp;"</f>
        <v>#VALUE!</v>
      </c>
      <c r="EE4" t="e">
        <f>'Equity or FI trade'!D60+"$GJ|!1'"</f>
        <v>#VALUE!</v>
      </c>
      <c r="EF4" t="e">
        <f>'Equity or FI trade'!E60+"$GJ|!1("</f>
        <v>#VALUE!</v>
      </c>
      <c r="EG4" t="e">
        <f>'Equity or FI trade'!F60+"$GJ|!1)"</f>
        <v>#VALUE!</v>
      </c>
      <c r="EH4" t="e">
        <f>'Equity or FI trade'!G60+"$GJ|!1."</f>
        <v>#VALUE!</v>
      </c>
      <c r="EI4" t="e">
        <f>'Equity or FI trade'!A61+"$GJ|!1/"</f>
        <v>#VALUE!</v>
      </c>
      <c r="EJ4" t="e">
        <f>'Equity or FI trade'!B61+"$GJ|!10"</f>
        <v>#VALUE!</v>
      </c>
      <c r="EK4" t="e">
        <f>'Equity or FI trade'!C61+"$GJ|!11"</f>
        <v>#VALUE!</v>
      </c>
      <c r="EL4" t="e">
        <f>'Equity or FI trade'!D61+"$GJ|!12"</f>
        <v>#VALUE!</v>
      </c>
      <c r="EM4" t="e">
        <f>'Equity or FI trade'!E61+"$GJ|!13"</f>
        <v>#VALUE!</v>
      </c>
      <c r="EN4" t="e">
        <f>'Equity or FI trade'!F61+"$GJ|!14"</f>
        <v>#VALUE!</v>
      </c>
      <c r="EO4" t="e">
        <f>'Equity or FI trade'!G61+"$GJ|!15"</f>
        <v>#VALUE!</v>
      </c>
      <c r="EP4" t="e">
        <f>'Equity or FI trade'!A62+"$GJ|!16"</f>
        <v>#VALUE!</v>
      </c>
      <c r="EQ4" t="e">
        <f>'Equity or FI trade'!B62+"$GJ|!17"</f>
        <v>#VALUE!</v>
      </c>
      <c r="ER4" t="e">
        <f>'Equity or FI trade'!C62+"$GJ|!18"</f>
        <v>#VALUE!</v>
      </c>
      <c r="ES4" t="e">
        <f>'Equity or FI trade'!D62+"$GJ|!19"</f>
        <v>#VALUE!</v>
      </c>
      <c r="ET4" t="e">
        <f>'Equity or FI trade'!E62+"$GJ|!1:"</f>
        <v>#VALUE!</v>
      </c>
      <c r="EU4" t="e">
        <f>'Equity or FI trade'!F62+"$GJ|!1;"</f>
        <v>#VALUE!</v>
      </c>
      <c r="EV4" t="e">
        <f>'Equity or FI trade'!G62+"$GJ|!1&lt;"</f>
        <v>#VALUE!</v>
      </c>
      <c r="EW4" t="e">
        <f>'Equity or FI trade'!A63+"$GJ|!1="</f>
        <v>#VALUE!</v>
      </c>
      <c r="EX4" t="e">
        <f>'Equity or FI trade'!B63+"$GJ|!1&gt;"</f>
        <v>#VALUE!</v>
      </c>
      <c r="EY4" t="e">
        <f>'Equity or FI trade'!C63+"$GJ|!1?"</f>
        <v>#VALUE!</v>
      </c>
      <c r="EZ4" t="e">
        <f>'Equity or FI trade'!D63+"$GJ|!1@"</f>
        <v>#VALUE!</v>
      </c>
      <c r="FA4" t="e">
        <f>'Equity or FI trade'!E63+"$GJ|!1A"</f>
        <v>#VALUE!</v>
      </c>
      <c r="FB4" t="e">
        <f>'Equity or FI trade'!F63+"$GJ|!1B"</f>
        <v>#VALUE!</v>
      </c>
      <c r="FC4" t="e">
        <f>'Equity or FI trade'!G63+"$GJ|!1C"</f>
        <v>#VALUE!</v>
      </c>
      <c r="FD4" t="e">
        <f>'Equity or FI trade'!A64+"$GJ|!1D"</f>
        <v>#VALUE!</v>
      </c>
      <c r="FE4" t="e">
        <f>'Equity or FI trade'!B64+"$GJ|!1E"</f>
        <v>#VALUE!</v>
      </c>
      <c r="FF4" t="e">
        <f>'Equity or FI trade'!C64+"$GJ|!1F"</f>
        <v>#VALUE!</v>
      </c>
      <c r="FG4" t="e">
        <f>'Equity or FI trade'!D64+"$GJ|!1G"</f>
        <v>#VALUE!</v>
      </c>
      <c r="FH4" t="e">
        <f>'Equity or FI trade'!E64+"$GJ|!1H"</f>
        <v>#VALUE!</v>
      </c>
      <c r="FI4" t="e">
        <f>'Equity or FI trade'!F64+"$GJ|!1I"</f>
        <v>#VALUE!</v>
      </c>
      <c r="FJ4" t="e">
        <f>'Equity or FI trade'!G64+"$GJ|!1J"</f>
        <v>#VALUE!</v>
      </c>
      <c r="FK4" t="e">
        <f>'Equity or FI trade'!A65+"$GJ|!1K"</f>
        <v>#VALUE!</v>
      </c>
      <c r="FL4" t="e">
        <f>'Equity or FI trade'!B65+"$GJ|!1L"</f>
        <v>#VALUE!</v>
      </c>
      <c r="FM4" t="e">
        <f>'Equity or FI trade'!C65+"$GJ|!1M"</f>
        <v>#VALUE!</v>
      </c>
      <c r="FN4" t="e">
        <f>'Equity or FI trade'!D65+"$GJ|!1N"</f>
        <v>#VALUE!</v>
      </c>
      <c r="FO4" t="e">
        <f>'Equity or FI trade'!E65+"$GJ|!1O"</f>
        <v>#VALUE!</v>
      </c>
      <c r="FP4" t="e">
        <f>'Equity or FI trade'!F65+"$GJ|!1P"</f>
        <v>#VALUE!</v>
      </c>
      <c r="FQ4" t="e">
        <f>'Equity or FI trade'!G65+"$GJ|!1Q"</f>
        <v>#VALUE!</v>
      </c>
      <c r="FR4" t="e">
        <f>'Equity or FI trade'!A66+"$GJ|!1R"</f>
        <v>#VALUE!</v>
      </c>
      <c r="FS4" t="e">
        <f>'Equity or FI trade'!B66+"$GJ|!1S"</f>
        <v>#VALUE!</v>
      </c>
      <c r="FT4" t="e">
        <f>'Equity or FI trade'!C66+"$GJ|!1T"</f>
        <v>#VALUE!</v>
      </c>
      <c r="FU4" t="e">
        <f>'Equity or FI trade'!D66+"$GJ|!1U"</f>
        <v>#VALUE!</v>
      </c>
      <c r="FV4" t="e">
        <f>'Equity or FI trade'!E66+"$GJ|!1V"</f>
        <v>#VALUE!</v>
      </c>
      <c r="FW4" t="e">
        <f>'Equity or FI trade'!F66+"$GJ|!1W"</f>
        <v>#VALUE!</v>
      </c>
      <c r="FX4" t="e">
        <f>'Equity or FI trade'!G66+"$GJ|!1X"</f>
        <v>#VALUE!</v>
      </c>
      <c r="FY4" t="e">
        <f>'Equity or FI trade'!A67+"$GJ|!1Y"</f>
        <v>#VALUE!</v>
      </c>
      <c r="FZ4" t="e">
        <f>'Equity or FI trade'!B67+"$GJ|!1Z"</f>
        <v>#VALUE!</v>
      </c>
      <c r="GA4" t="e">
        <f>'Equity or FI trade'!C67+"$GJ|!1["</f>
        <v>#VALUE!</v>
      </c>
      <c r="GB4" t="e">
        <f>'Equity or FI trade'!D67+"$GJ|!1\"</f>
        <v>#VALUE!</v>
      </c>
      <c r="GC4" t="e">
        <f>'Equity or FI trade'!E67+"$GJ|!1]"</f>
        <v>#VALUE!</v>
      </c>
      <c r="GD4" t="e">
        <f>'Equity or FI trade'!F67+"$GJ|!1^"</f>
        <v>#VALUE!</v>
      </c>
      <c r="GE4" t="e">
        <f>'Equity or FI trade'!G67+"$GJ|!1_"</f>
        <v>#VALUE!</v>
      </c>
      <c r="GF4" t="e">
        <f>'Equity or FI trade'!A68+"$GJ|!1`"</f>
        <v>#VALUE!</v>
      </c>
      <c r="GG4" t="e">
        <f>'Equity or FI trade'!B68+"$GJ|!1a"</f>
        <v>#VALUE!</v>
      </c>
      <c r="GH4" t="e">
        <f>'Equity or FI trade'!C68+"$GJ|!1b"</f>
        <v>#VALUE!</v>
      </c>
      <c r="GI4" t="e">
        <f>'Equity or FI trade'!D68+"$GJ|!1c"</f>
        <v>#VALUE!</v>
      </c>
      <c r="GJ4" t="e">
        <f>'Equity or FI trade'!E68+"$GJ|!1d"</f>
        <v>#VALUE!</v>
      </c>
      <c r="GK4" t="e">
        <f>'Equity or FI trade'!F68+"$GJ|!1e"</f>
        <v>#VALUE!</v>
      </c>
      <c r="GL4" t="e">
        <f>'Equity or FI trade'!G68+"$GJ|!1f"</f>
        <v>#VALUE!</v>
      </c>
      <c r="GM4" t="e">
        <f>'Equity or FI trade'!A69+"$GJ|!1g"</f>
        <v>#VALUE!</v>
      </c>
      <c r="GN4" t="e">
        <f>'Equity or FI trade'!B69+"$GJ|!1h"</f>
        <v>#VALUE!</v>
      </c>
      <c r="GO4" t="e">
        <f>'Equity or FI trade'!C69+"$GJ|!1i"</f>
        <v>#VALUE!</v>
      </c>
      <c r="GP4" t="e">
        <f>'Equity or FI trade'!D69+"$GJ|!1j"</f>
        <v>#VALUE!</v>
      </c>
      <c r="GQ4" t="e">
        <f>'Equity or FI trade'!E69+"$GJ|!1k"</f>
        <v>#VALUE!</v>
      </c>
      <c r="GR4" t="e">
        <f>'Equity or FI trade'!F69+"$GJ|!1l"</f>
        <v>#VALUE!</v>
      </c>
      <c r="GS4" t="e">
        <f>'Equity or FI trade'!G69+"$GJ|!1m"</f>
        <v>#VALUE!</v>
      </c>
      <c r="GT4" t="e">
        <f>'Equity or FI trade'!A70+"$GJ|!1n"</f>
        <v>#VALUE!</v>
      </c>
      <c r="GU4" t="e">
        <f>'Equity or FI trade'!B70+"$GJ|!1o"</f>
        <v>#VALUE!</v>
      </c>
      <c r="GV4" t="e">
        <f>'Equity or FI trade'!C70+"$GJ|!1p"</f>
        <v>#VALUE!</v>
      </c>
      <c r="GW4" t="e">
        <f>'Equity or FI trade'!D70+"$GJ|!1q"</f>
        <v>#VALUE!</v>
      </c>
      <c r="GX4" t="e">
        <f>'Equity or FI trade'!E70+"$GJ|!1r"</f>
        <v>#VALUE!</v>
      </c>
      <c r="GY4" t="e">
        <f>'Equity or FI trade'!F70+"$GJ|!1s"</f>
        <v>#VALUE!</v>
      </c>
      <c r="GZ4" t="e">
        <f>'Equity or FI trade'!G70+"$GJ|!1t"</f>
        <v>#VALUE!</v>
      </c>
      <c r="HA4" t="e">
        <f>'Equity or FI trade'!A71+"$GJ|!1u"</f>
        <v>#VALUE!</v>
      </c>
      <c r="HB4" t="e">
        <f>'Equity or FI trade'!B71+"$GJ|!1v"</f>
        <v>#VALUE!</v>
      </c>
      <c r="HC4" t="e">
        <f>'Equity or FI trade'!C71+"$GJ|!1w"</f>
        <v>#VALUE!</v>
      </c>
      <c r="HD4" t="e">
        <f>'Equity or FI trade'!D71+"$GJ|!1x"</f>
        <v>#VALUE!</v>
      </c>
      <c r="HE4" t="e">
        <f>'Equity or FI trade'!E71+"$GJ|!1y"</f>
        <v>#VALUE!</v>
      </c>
      <c r="HF4" t="e">
        <f>'Equity or FI trade'!F71+"$GJ|!1z"</f>
        <v>#VALUE!</v>
      </c>
      <c r="HG4" t="e">
        <f>'Equity or FI trade'!G71+"$GJ|!1{"</f>
        <v>#VALUE!</v>
      </c>
      <c r="HH4" t="e">
        <f>'Equity or FI trade'!A72+"$GJ|!1|"</f>
        <v>#VALUE!</v>
      </c>
      <c r="HI4" t="e">
        <f>'Equity or FI trade'!B72+"$GJ|!1}"</f>
        <v>#VALUE!</v>
      </c>
      <c r="HJ4" t="e">
        <f>'Equity or FI trade'!C72+"$GJ|!1~"</f>
        <v>#VALUE!</v>
      </c>
      <c r="HK4" t="e">
        <f>'Equity or FI trade'!D72+"$GJ|!2#"</f>
        <v>#VALUE!</v>
      </c>
      <c r="HL4" t="e">
        <f>'Equity or FI trade'!E72+"$GJ|!2$"</f>
        <v>#VALUE!</v>
      </c>
      <c r="HM4" t="e">
        <f>'Equity or FI trade'!F72+"$GJ|!2%"</f>
        <v>#VALUE!</v>
      </c>
      <c r="HN4" t="e">
        <f>'Equity or FI trade'!G72+"$GJ|!2&amp;"</f>
        <v>#VALUE!</v>
      </c>
      <c r="HO4" t="e">
        <f>'Equity or FI trade'!A73+"$GJ|!2'"</f>
        <v>#VALUE!</v>
      </c>
      <c r="HP4" t="e">
        <f>'Equity or FI trade'!B73+"$GJ|!2("</f>
        <v>#VALUE!</v>
      </c>
      <c r="HQ4" t="e">
        <f>'Equity or FI trade'!C73+"$GJ|!2)"</f>
        <v>#VALUE!</v>
      </c>
      <c r="HR4" t="e">
        <f>'Equity or FI trade'!D73+"$GJ|!2."</f>
        <v>#VALUE!</v>
      </c>
      <c r="HS4" t="e">
        <f>'Equity or FI trade'!E73+"$GJ|!2/"</f>
        <v>#VALUE!</v>
      </c>
      <c r="HT4" t="e">
        <f>'Equity or FI trade'!F73+"$GJ|!20"</f>
        <v>#VALUE!</v>
      </c>
      <c r="HU4" t="e">
        <f>'Equity or FI trade'!G73+"$GJ|!21"</f>
        <v>#VALUE!</v>
      </c>
      <c r="HV4" t="e">
        <f>'Equity or FI trade'!A74+"$GJ|!22"</f>
        <v>#VALUE!</v>
      </c>
      <c r="HW4" t="e">
        <f>'Equity or FI trade'!B74+"$GJ|!23"</f>
        <v>#VALUE!</v>
      </c>
      <c r="HX4" t="e">
        <f>'Equity or FI trade'!C74+"$GJ|!24"</f>
        <v>#VALUE!</v>
      </c>
      <c r="HY4" t="e">
        <f>'Equity or FI trade'!D74+"$GJ|!25"</f>
        <v>#VALUE!</v>
      </c>
      <c r="HZ4" t="e">
        <f>'Equity or FI trade'!E74+"$GJ|!26"</f>
        <v>#VALUE!</v>
      </c>
      <c r="IA4" t="e">
        <f>'Equity or FI trade'!F74+"$GJ|!27"</f>
        <v>#VALUE!</v>
      </c>
      <c r="IB4" t="e">
        <f>'Equity or FI trade'!G74+"$GJ|!28"</f>
        <v>#VALUE!</v>
      </c>
      <c r="IC4" t="e">
        <f>'Equity or FI trade'!A75+"$GJ|!29"</f>
        <v>#VALUE!</v>
      </c>
      <c r="ID4" t="e">
        <f>'Equity or FI trade'!B75+"$GJ|!2:"</f>
        <v>#VALUE!</v>
      </c>
      <c r="IE4" t="e">
        <f>'Equity or FI trade'!C75+"$GJ|!2;"</f>
        <v>#VALUE!</v>
      </c>
      <c r="IF4" t="e">
        <f>'Equity or FI trade'!D75+"$GJ|!2&lt;"</f>
        <v>#VALUE!</v>
      </c>
      <c r="IG4" t="e">
        <f>'Equity or FI trade'!E75+"$GJ|!2="</f>
        <v>#VALUE!</v>
      </c>
      <c r="IH4" t="e">
        <f>'Equity or FI trade'!F75+"$GJ|!2&gt;"</f>
        <v>#VALUE!</v>
      </c>
      <c r="II4" t="e">
        <f>'Equity or FI trade'!G75+"$GJ|!2?"</f>
        <v>#VALUE!</v>
      </c>
      <c r="IJ4" t="e">
        <f>'Equity or FI trade'!A76+"$GJ|!2@"</f>
        <v>#VALUE!</v>
      </c>
      <c r="IK4" t="e">
        <f>'Equity or FI trade'!B76+"$GJ|!2A"</f>
        <v>#VALUE!</v>
      </c>
      <c r="IL4" t="e">
        <f>'Equity or FI trade'!C76+"$GJ|!2B"</f>
        <v>#VALUE!</v>
      </c>
      <c r="IM4" t="e">
        <f>'Equity or FI trade'!D76+"$GJ|!2C"</f>
        <v>#VALUE!</v>
      </c>
      <c r="IN4" t="e">
        <f>'Equity or FI trade'!E76+"$GJ|!2D"</f>
        <v>#VALUE!</v>
      </c>
      <c r="IO4" t="e">
        <f>'Equity or FI trade'!F76+"$GJ|!2E"</f>
        <v>#VALUE!</v>
      </c>
      <c r="IP4" t="e">
        <f>'Equity or FI trade'!G76+"$GJ|!2F"</f>
        <v>#VALUE!</v>
      </c>
      <c r="IQ4" t="e">
        <f>'Equity or FI trade'!A77+"$GJ|!2G"</f>
        <v>#VALUE!</v>
      </c>
      <c r="IR4" t="e">
        <f>'Equity or FI trade'!B77+"$GJ|!2H"</f>
        <v>#VALUE!</v>
      </c>
      <c r="IS4" t="e">
        <f>'Equity or FI trade'!C77+"$GJ|!2I"</f>
        <v>#VALUE!</v>
      </c>
      <c r="IT4" t="e">
        <f>'Equity or FI trade'!D77+"$GJ|!2J"</f>
        <v>#VALUE!</v>
      </c>
      <c r="IU4" t="e">
        <f>'Equity or FI trade'!E77+"$GJ|!2K"</f>
        <v>#VALUE!</v>
      </c>
      <c r="IV4" t="e">
        <f>'Equity or FI trade'!F77+"$GJ|!2L"</f>
        <v>#VALUE!</v>
      </c>
    </row>
    <row r="5" spans="1:256" x14ac:dyDescent="0.25">
      <c r="A5" t="s">
        <v>855</v>
      </c>
      <c r="F5" t="e">
        <f>'Equity or FI trade'!G77+"$GJ|!2M"</f>
        <v>#VALUE!</v>
      </c>
      <c r="G5" t="e">
        <f>'Equity or FI trade'!A78+"$GJ|!2N"</f>
        <v>#VALUE!</v>
      </c>
      <c r="H5" t="e">
        <f>'Equity or FI trade'!B78+"$GJ|!2O"</f>
        <v>#VALUE!</v>
      </c>
      <c r="I5" t="e">
        <f>'Equity or FI trade'!C78+"$GJ|!2P"</f>
        <v>#VALUE!</v>
      </c>
      <c r="J5" t="e">
        <f>'Equity or FI trade'!D78+"$GJ|!2Q"</f>
        <v>#VALUE!</v>
      </c>
      <c r="K5" t="e">
        <f>'Equity or FI trade'!E78+"$GJ|!2R"</f>
        <v>#VALUE!</v>
      </c>
      <c r="L5" t="e">
        <f>'Equity or FI trade'!F78+"$GJ|!2S"</f>
        <v>#VALUE!</v>
      </c>
      <c r="M5" t="e">
        <f>'Equity or FI trade'!G78+"$GJ|!2T"</f>
        <v>#VALUE!</v>
      </c>
      <c r="N5" t="e">
        <f>'Equity or FI trade'!A79+"$GJ|!2U"</f>
        <v>#VALUE!</v>
      </c>
      <c r="O5" t="e">
        <f>'Equity or FI trade'!B79+"$GJ|!2V"</f>
        <v>#VALUE!</v>
      </c>
      <c r="P5" t="e">
        <f>'Equity or FI trade'!C79+"$GJ|!2W"</f>
        <v>#VALUE!</v>
      </c>
      <c r="Q5" t="e">
        <f>'Equity or FI trade'!D79+"$GJ|!2X"</f>
        <v>#VALUE!</v>
      </c>
      <c r="R5" t="e">
        <f>'Equity or FI trade'!E79+"$GJ|!2Y"</f>
        <v>#VALUE!</v>
      </c>
      <c r="S5" t="e">
        <f>'Equity or FI trade'!F79+"$GJ|!2Z"</f>
        <v>#VALUE!</v>
      </c>
      <c r="T5" t="e">
        <f>'Equity or FI trade'!G79+"$GJ|!2["</f>
        <v>#VALUE!</v>
      </c>
      <c r="U5" t="e">
        <f>'Equity or FI trade'!A80+"$GJ|!2\"</f>
        <v>#VALUE!</v>
      </c>
      <c r="V5" t="e">
        <f>'Equity or FI trade'!B80+"$GJ|!2]"</f>
        <v>#VALUE!</v>
      </c>
      <c r="W5" t="e">
        <f>'Equity or FI trade'!C80+"$GJ|!2^"</f>
        <v>#VALUE!</v>
      </c>
      <c r="X5" t="e">
        <f>'Equity or FI trade'!D80+"$GJ|!2_"</f>
        <v>#VALUE!</v>
      </c>
      <c r="Y5" t="e">
        <f>'Equity or FI trade'!E80+"$GJ|!2`"</f>
        <v>#VALUE!</v>
      </c>
      <c r="Z5" t="e">
        <f>'Equity or FI trade'!F80+"$GJ|!2a"</f>
        <v>#VALUE!</v>
      </c>
      <c r="AA5" t="e">
        <f>'Equity or FI trade'!G80+"$GJ|!2b"</f>
        <v>#VALUE!</v>
      </c>
      <c r="AB5" t="e">
        <f>'Equity or FI trade'!A81+"$GJ|!2c"</f>
        <v>#VALUE!</v>
      </c>
      <c r="AC5" t="e">
        <f>'Equity or FI trade'!B81+"$GJ|!2d"</f>
        <v>#VALUE!</v>
      </c>
      <c r="AD5" t="e">
        <f>'Equity or FI trade'!C81+"$GJ|!2e"</f>
        <v>#VALUE!</v>
      </c>
      <c r="AE5" t="e">
        <f>'Equity or FI trade'!D81+"$GJ|!2f"</f>
        <v>#VALUE!</v>
      </c>
      <c r="AF5" t="e">
        <f>'Equity or FI trade'!E81+"$GJ|!2g"</f>
        <v>#VALUE!</v>
      </c>
      <c r="AG5" t="e">
        <f>'Equity or FI trade'!F81+"$GJ|!2h"</f>
        <v>#VALUE!</v>
      </c>
      <c r="AH5" t="e">
        <f>'Equity or FI trade'!G81+"$GJ|!2i"</f>
        <v>#VALUE!</v>
      </c>
      <c r="AI5" t="e">
        <f>'Equity or FI trade'!A82+"$GJ|!2j"</f>
        <v>#VALUE!</v>
      </c>
      <c r="AJ5" t="e">
        <f>'Equity or FI trade'!B82+"$GJ|!2k"</f>
        <v>#VALUE!</v>
      </c>
      <c r="AK5" t="e">
        <f>'Equity or FI trade'!C82+"$GJ|!2l"</f>
        <v>#VALUE!</v>
      </c>
      <c r="AL5" t="e">
        <f>'Equity or FI trade'!D82+"$GJ|!2m"</f>
        <v>#VALUE!</v>
      </c>
      <c r="AM5" t="e">
        <f>'Equity or FI trade'!E82+"$GJ|!2n"</f>
        <v>#VALUE!</v>
      </c>
      <c r="AN5" t="e">
        <f>'Equity or FI trade'!F82+"$GJ|!2o"</f>
        <v>#VALUE!</v>
      </c>
      <c r="AO5" t="e">
        <f>'Equity or FI trade'!G82+"$GJ|!2p"</f>
        <v>#VALUE!</v>
      </c>
      <c r="AP5" t="e">
        <f>'Equity or FI trade'!A83+"$GJ|!2q"</f>
        <v>#VALUE!</v>
      </c>
      <c r="AQ5" t="e">
        <f>'Equity or FI trade'!B83+"$GJ|!2r"</f>
        <v>#VALUE!</v>
      </c>
      <c r="AR5" t="e">
        <f>'Equity or FI trade'!C83+"$GJ|!2s"</f>
        <v>#VALUE!</v>
      </c>
      <c r="AS5" t="e">
        <f>'Equity or FI trade'!D83+"$GJ|!2t"</f>
        <v>#VALUE!</v>
      </c>
      <c r="AT5" t="e">
        <f>'Equity or FI trade'!E83+"$GJ|!2u"</f>
        <v>#VALUE!</v>
      </c>
      <c r="AU5" t="e">
        <f>'Equity or FI trade'!F83+"$GJ|!2v"</f>
        <v>#VALUE!</v>
      </c>
      <c r="AV5" t="e">
        <f>'Equity or FI trade'!G83+"$GJ|!2w"</f>
        <v>#VALUE!</v>
      </c>
      <c r="AW5" t="e">
        <f>'Equity or FI trade'!A84+"$GJ|!2x"</f>
        <v>#VALUE!</v>
      </c>
      <c r="AX5" t="e">
        <f>'Equity or FI trade'!B84+"$GJ|!2y"</f>
        <v>#VALUE!</v>
      </c>
      <c r="AY5" t="e">
        <f>'Equity or FI trade'!C84+"$GJ|!2z"</f>
        <v>#VALUE!</v>
      </c>
      <c r="AZ5" t="e">
        <f>'Equity or FI trade'!D84+"$GJ|!2{"</f>
        <v>#VALUE!</v>
      </c>
      <c r="BA5" t="e">
        <f>'Equity or FI trade'!E84+"$GJ|!2|"</f>
        <v>#VALUE!</v>
      </c>
      <c r="BB5" t="e">
        <f>'Equity or FI trade'!F84+"$GJ|!2}"</f>
        <v>#VALUE!</v>
      </c>
      <c r="BC5" t="e">
        <f>'Equity or FI trade'!G84+"$GJ|!2~"</f>
        <v>#VALUE!</v>
      </c>
      <c r="BD5" t="e">
        <f>'Equity or FI trade'!A85+"$GJ|!3#"</f>
        <v>#VALUE!</v>
      </c>
      <c r="BE5" t="e">
        <f>'Equity or FI trade'!B85+"$GJ|!3$"</f>
        <v>#VALUE!</v>
      </c>
      <c r="BF5" t="e">
        <f>'Equity or FI trade'!C85+"$GJ|!3%"</f>
        <v>#VALUE!</v>
      </c>
      <c r="BG5" t="e">
        <f>'Equity or FI trade'!D85+"$GJ|!3&amp;"</f>
        <v>#VALUE!</v>
      </c>
      <c r="BH5" t="e">
        <f>'Equity or FI trade'!E85+"$GJ|!3'"</f>
        <v>#VALUE!</v>
      </c>
      <c r="BI5" t="e">
        <f>'Equity or FI trade'!F85+"$GJ|!3("</f>
        <v>#VALUE!</v>
      </c>
      <c r="BJ5" t="e">
        <f>'Equity or FI trade'!G85+"$GJ|!3)"</f>
        <v>#VALUE!</v>
      </c>
      <c r="BK5" t="e">
        <f>'Equity or FI trade'!A86+"$GJ|!3."</f>
        <v>#VALUE!</v>
      </c>
      <c r="BL5" t="e">
        <f>'Equity or FI trade'!B86+"$GJ|!3/"</f>
        <v>#VALUE!</v>
      </c>
      <c r="BM5" t="e">
        <f>'Equity or FI trade'!C86+"$GJ|!30"</f>
        <v>#VALUE!</v>
      </c>
      <c r="BN5" t="e">
        <f>'Equity or FI trade'!D86+"$GJ|!31"</f>
        <v>#VALUE!</v>
      </c>
      <c r="BO5" t="e">
        <f>'Equity or FI trade'!E86+"$GJ|!32"</f>
        <v>#VALUE!</v>
      </c>
      <c r="BP5" t="e">
        <f>'Equity or FI trade'!F86+"$GJ|!33"</f>
        <v>#VALUE!</v>
      </c>
      <c r="BQ5" t="e">
        <f>'Equity or FI trade'!G86+"$GJ|!34"</f>
        <v>#VALUE!</v>
      </c>
      <c r="BR5" t="e">
        <f>'Equity or FI trade'!A87+"$GJ|!35"</f>
        <v>#VALUE!</v>
      </c>
      <c r="BS5" t="e">
        <f>'Equity or FI trade'!B87+"$GJ|!36"</f>
        <v>#VALUE!</v>
      </c>
      <c r="BT5" t="e">
        <f>'Equity or FI trade'!C87+"$GJ|!37"</f>
        <v>#VALUE!</v>
      </c>
      <c r="BU5" t="e">
        <f>'Equity or FI trade'!D87+"$GJ|!38"</f>
        <v>#VALUE!</v>
      </c>
      <c r="BV5" t="e">
        <f>'Equity or FI trade'!E87+"$GJ|!39"</f>
        <v>#VALUE!</v>
      </c>
      <c r="BW5" t="e">
        <f>'Equity or FI trade'!F87+"$GJ|!3:"</f>
        <v>#VALUE!</v>
      </c>
      <c r="BX5" t="e">
        <f>'Equity or FI trade'!G87+"$GJ|!3;"</f>
        <v>#VALUE!</v>
      </c>
      <c r="BY5" t="e">
        <f>'Equity or FI trade'!A88+"$GJ|!3&lt;"</f>
        <v>#VALUE!</v>
      </c>
      <c r="BZ5" t="e">
        <f>'Equity or FI trade'!B88+"$GJ|!3="</f>
        <v>#VALUE!</v>
      </c>
      <c r="CA5" t="e">
        <f>'Equity or FI trade'!C88+"$GJ|!3&gt;"</f>
        <v>#VALUE!</v>
      </c>
      <c r="CB5" t="e">
        <f>'Equity or FI trade'!D88+"$GJ|!3?"</f>
        <v>#VALUE!</v>
      </c>
      <c r="CC5" t="e">
        <f>'Equity or FI trade'!E88+"$GJ|!3@"</f>
        <v>#VALUE!</v>
      </c>
      <c r="CD5" t="e">
        <f>'Equity or FI trade'!F88+"$GJ|!3A"</f>
        <v>#VALUE!</v>
      </c>
      <c r="CE5" t="e">
        <f>'Equity or FI trade'!G88+"$GJ|!3B"</f>
        <v>#VALUE!</v>
      </c>
      <c r="CF5" t="e">
        <f>'Equity or FI trade'!A89+"$GJ|!3C"</f>
        <v>#VALUE!</v>
      </c>
      <c r="CG5" t="e">
        <f>'Equity or FI trade'!B89+"$GJ|!3D"</f>
        <v>#VALUE!</v>
      </c>
      <c r="CH5" t="e">
        <f>'Equity or FI trade'!C89+"$GJ|!3E"</f>
        <v>#VALUE!</v>
      </c>
      <c r="CI5" t="e">
        <f>'Equity or FI trade'!D89+"$GJ|!3F"</f>
        <v>#VALUE!</v>
      </c>
      <c r="CJ5" t="e">
        <f>'Equity or FI trade'!E89+"$GJ|!3G"</f>
        <v>#VALUE!</v>
      </c>
      <c r="CK5" t="e">
        <f>'Equity or FI trade'!F89+"$GJ|!3H"</f>
        <v>#VALUE!</v>
      </c>
      <c r="CL5" t="e">
        <f>'Equity or FI trade'!G89+"$GJ|!3I"</f>
        <v>#VALUE!</v>
      </c>
      <c r="CM5" t="e">
        <f>'Equity or FI trade'!A90+"$GJ|!3J"</f>
        <v>#VALUE!</v>
      </c>
      <c r="CN5" t="e">
        <f>'Equity or FI trade'!B90+"$GJ|!3K"</f>
        <v>#VALUE!</v>
      </c>
      <c r="CO5" t="e">
        <f>'Equity or FI trade'!C90+"$GJ|!3L"</f>
        <v>#VALUE!</v>
      </c>
      <c r="CP5" t="e">
        <f>'Equity or FI trade'!D90+"$GJ|!3M"</f>
        <v>#VALUE!</v>
      </c>
      <c r="CQ5" t="e">
        <f>'Equity or FI trade'!E90+"$GJ|!3N"</f>
        <v>#VALUE!</v>
      </c>
      <c r="CR5" t="e">
        <f>'Equity or FI trade'!F90+"$GJ|!3O"</f>
        <v>#VALUE!</v>
      </c>
      <c r="CS5" t="e">
        <f>'Equity or FI trade'!G90+"$GJ|!3P"</f>
        <v>#VALUE!</v>
      </c>
      <c r="CT5" t="e">
        <f>'Equity or FI trade'!A91+"$GJ|!3Q"</f>
        <v>#VALUE!</v>
      </c>
      <c r="CU5" t="e">
        <f>'Equity or FI trade'!B91+"$GJ|!3R"</f>
        <v>#VALUE!</v>
      </c>
      <c r="CV5" t="e">
        <f>'Equity or FI trade'!C91+"$GJ|!3S"</f>
        <v>#VALUE!</v>
      </c>
      <c r="CW5" t="e">
        <f>'Equity or FI trade'!D91+"$GJ|!3T"</f>
        <v>#VALUE!</v>
      </c>
      <c r="CX5" t="e">
        <f>'Equity or FI trade'!E91+"$GJ|!3U"</f>
        <v>#VALUE!</v>
      </c>
      <c r="CY5" t="e">
        <f>'Equity or FI trade'!F91+"$GJ|!3V"</f>
        <v>#VALUE!</v>
      </c>
      <c r="CZ5" t="e">
        <f>'Equity or FI trade'!G91+"$GJ|!3W"</f>
        <v>#VALUE!</v>
      </c>
      <c r="DA5" t="e">
        <f>'Equity or FI trade'!A92+"$GJ|!3X"</f>
        <v>#VALUE!</v>
      </c>
      <c r="DB5" t="e">
        <f>'Equity or FI trade'!B92+"$GJ|!3Y"</f>
        <v>#VALUE!</v>
      </c>
      <c r="DC5" t="e">
        <f>'Equity or FI trade'!C92+"$GJ|!3Z"</f>
        <v>#VALUE!</v>
      </c>
      <c r="DD5" t="e">
        <f>'Equity or FI trade'!D92+"$GJ|!3["</f>
        <v>#VALUE!</v>
      </c>
      <c r="DE5" t="e">
        <f>'Equity or FI trade'!E92+"$GJ|!3\"</f>
        <v>#VALUE!</v>
      </c>
      <c r="DF5" t="e">
        <f>'Equity or FI trade'!F92+"$GJ|!3]"</f>
        <v>#VALUE!</v>
      </c>
      <c r="DG5" t="e">
        <f>'Equity or FI trade'!G92+"$GJ|!3^"</f>
        <v>#VALUE!</v>
      </c>
      <c r="DH5" t="e">
        <f>'Equity or FI trade'!A93+"$GJ|!3_"</f>
        <v>#VALUE!</v>
      </c>
      <c r="DI5" t="e">
        <f>'Equity or FI trade'!B93+"$GJ|!3`"</f>
        <v>#VALUE!</v>
      </c>
      <c r="DJ5" t="e">
        <f>'Equity or FI trade'!C93+"$GJ|!3a"</f>
        <v>#VALUE!</v>
      </c>
      <c r="DK5" t="e">
        <f>'Equity or FI trade'!D93+"$GJ|!3b"</f>
        <v>#VALUE!</v>
      </c>
      <c r="DL5" t="e">
        <f>'Equity or FI trade'!E93+"$GJ|!3c"</f>
        <v>#VALUE!</v>
      </c>
      <c r="DM5" t="e">
        <f>'Equity or FI trade'!F93+"$GJ|!3d"</f>
        <v>#VALUE!</v>
      </c>
      <c r="DN5" t="e">
        <f>'Equity or FI trade'!G93+"$GJ|!3e"</f>
        <v>#VALUE!</v>
      </c>
      <c r="DO5" t="e">
        <f>'Equity or FI trade'!A94+"$GJ|!3f"</f>
        <v>#VALUE!</v>
      </c>
      <c r="DP5" t="e">
        <f>'Equity or FI trade'!B94+"$GJ|!3g"</f>
        <v>#VALUE!</v>
      </c>
      <c r="DQ5" t="e">
        <f>'Equity or FI trade'!C94+"$GJ|!3h"</f>
        <v>#VALUE!</v>
      </c>
      <c r="DR5" t="e">
        <f>'Equity or FI trade'!D94+"$GJ|!3i"</f>
        <v>#VALUE!</v>
      </c>
      <c r="DS5" t="e">
        <f>'Equity or FI trade'!E94+"$GJ|!3j"</f>
        <v>#VALUE!</v>
      </c>
      <c r="DT5" t="e">
        <f>'Equity or FI trade'!F94+"$GJ|!3k"</f>
        <v>#VALUE!</v>
      </c>
      <c r="DU5" t="e">
        <f>'Equity or FI trade'!G94+"$GJ|!3l"</f>
        <v>#VALUE!</v>
      </c>
      <c r="DV5" t="e">
        <f>'Equity or FI trade'!A95+"$GJ|!3m"</f>
        <v>#VALUE!</v>
      </c>
      <c r="DW5" t="e">
        <f>'Equity or FI trade'!B95+"$GJ|!3n"</f>
        <v>#VALUE!</v>
      </c>
      <c r="DX5" t="e">
        <f>'Equity or FI trade'!C95+"$GJ|!3o"</f>
        <v>#VALUE!</v>
      </c>
      <c r="DY5" t="e">
        <f>'Equity or FI trade'!D95+"$GJ|!3p"</f>
        <v>#VALUE!</v>
      </c>
      <c r="DZ5" t="e">
        <f>'Equity or FI trade'!E95+"$GJ|!3q"</f>
        <v>#VALUE!</v>
      </c>
      <c r="EA5" t="e">
        <f>'Equity or FI trade'!F95+"$GJ|!3r"</f>
        <v>#VALUE!</v>
      </c>
      <c r="EB5" t="e">
        <f>'Equity or FI trade'!G95+"$GJ|!3s"</f>
        <v>#VALUE!</v>
      </c>
      <c r="EC5" t="e">
        <f>'Equity or FI trade'!A96+"$GJ|!3t"</f>
        <v>#VALUE!</v>
      </c>
      <c r="ED5" t="e">
        <f>'Equity or FI trade'!B96+"$GJ|!3u"</f>
        <v>#VALUE!</v>
      </c>
      <c r="EE5" t="e">
        <f>'Equity or FI trade'!C96+"$GJ|!3v"</f>
        <v>#VALUE!</v>
      </c>
      <c r="EF5" t="e">
        <f>'Equity or FI trade'!D96+"$GJ|!3w"</f>
        <v>#VALUE!</v>
      </c>
      <c r="EG5" t="e">
        <f>'Equity or FI trade'!E96+"$GJ|!3x"</f>
        <v>#VALUE!</v>
      </c>
      <c r="EH5" t="e">
        <f>'Equity or FI trade'!F96+"$GJ|!3y"</f>
        <v>#VALUE!</v>
      </c>
      <c r="EI5" t="e">
        <f>'Equity or FI trade'!G96+"$GJ|!3z"</f>
        <v>#VALUE!</v>
      </c>
      <c r="EJ5" t="e">
        <f>'Equity or FI trade'!A97+"$GJ|!3{"</f>
        <v>#VALUE!</v>
      </c>
      <c r="EK5" t="e">
        <f>'Equity or FI trade'!B97+"$GJ|!3|"</f>
        <v>#VALUE!</v>
      </c>
      <c r="EL5" t="e">
        <f>'Equity or FI trade'!C97+"$GJ|!3}"</f>
        <v>#VALUE!</v>
      </c>
      <c r="EM5" t="e">
        <f>'Equity or FI trade'!D97+"$GJ|!3~"</f>
        <v>#VALUE!</v>
      </c>
      <c r="EN5" t="e">
        <f>'Equity or FI trade'!E97+"$GJ|!4#"</f>
        <v>#VALUE!</v>
      </c>
      <c r="EO5" t="e">
        <f>'Equity or FI trade'!F97+"$GJ|!4$"</f>
        <v>#VALUE!</v>
      </c>
      <c r="EP5" t="e">
        <f>'Equity or FI trade'!G97+"$GJ|!4%"</f>
        <v>#VALUE!</v>
      </c>
      <c r="EQ5" t="e">
        <f>'Equity or FI trade'!A98+"$GJ|!4&amp;"</f>
        <v>#VALUE!</v>
      </c>
      <c r="ER5" t="e">
        <f>'Equity or FI trade'!B98+"$GJ|!4'"</f>
        <v>#VALUE!</v>
      </c>
      <c r="ES5" t="e">
        <f>'Equity or FI trade'!C98+"$GJ|!4("</f>
        <v>#VALUE!</v>
      </c>
      <c r="ET5" t="e">
        <f>'Equity or FI trade'!D98+"$GJ|!4)"</f>
        <v>#VALUE!</v>
      </c>
      <c r="EU5" t="e">
        <f>'Equity or FI trade'!E98+"$GJ|!4."</f>
        <v>#VALUE!</v>
      </c>
      <c r="EV5" t="e">
        <f>'Equity or FI trade'!F98+"$GJ|!4/"</f>
        <v>#VALUE!</v>
      </c>
      <c r="EW5" t="e">
        <f>'Equity or FI trade'!G98+"$GJ|!40"</f>
        <v>#VALUE!</v>
      </c>
      <c r="EX5" t="e">
        <f>'Equity or FI trade'!A99+"$GJ|!41"</f>
        <v>#VALUE!</v>
      </c>
      <c r="EY5" t="e">
        <f>'Equity or FI trade'!B99+"$GJ|!42"</f>
        <v>#VALUE!</v>
      </c>
      <c r="EZ5" t="e">
        <f>'Equity or FI trade'!C99+"$GJ|!43"</f>
        <v>#VALUE!</v>
      </c>
      <c r="FA5" t="e">
        <f>'Equity or FI trade'!D99+"$GJ|!44"</f>
        <v>#VALUE!</v>
      </c>
      <c r="FB5" t="e">
        <f>'Equity or FI trade'!E99+"$GJ|!45"</f>
        <v>#VALUE!</v>
      </c>
      <c r="FC5" t="e">
        <f>'Equity or FI trade'!F99+"$GJ|!46"</f>
        <v>#VALUE!</v>
      </c>
      <c r="FD5" t="e">
        <f>'Equity or FI trade'!G99+"$GJ|!47"</f>
        <v>#VALUE!</v>
      </c>
      <c r="FE5" t="e">
        <f>'Equity or FI trade'!A100+"$GJ|!48"</f>
        <v>#VALUE!</v>
      </c>
      <c r="FF5" t="e">
        <f>'Equity or FI trade'!B100+"$GJ|!49"</f>
        <v>#VALUE!</v>
      </c>
      <c r="FG5" t="e">
        <f>'Equity or FI trade'!C100+"$GJ|!4:"</f>
        <v>#VALUE!</v>
      </c>
      <c r="FH5" t="e">
        <f>'Equity or FI trade'!D100+"$GJ|!4;"</f>
        <v>#VALUE!</v>
      </c>
      <c r="FI5" t="e">
        <f>'Equity or FI trade'!E100+"$GJ|!4&lt;"</f>
        <v>#VALUE!</v>
      </c>
      <c r="FJ5" t="e">
        <f>'Equity or FI trade'!F100+"$GJ|!4="</f>
        <v>#VALUE!</v>
      </c>
      <c r="FK5" t="e">
        <f>'Equity or FI trade'!G100+"$GJ|!4&gt;"</f>
        <v>#VALUE!</v>
      </c>
      <c r="FL5" t="e">
        <f>'Equity or FI trade'!A101+"$GJ|!4?"</f>
        <v>#VALUE!</v>
      </c>
      <c r="FM5" t="e">
        <f>'Equity or FI trade'!B101+"$GJ|!4@"</f>
        <v>#VALUE!</v>
      </c>
      <c r="FN5" t="e">
        <f>'Equity or FI trade'!C101+"$GJ|!4A"</f>
        <v>#VALUE!</v>
      </c>
      <c r="FO5" t="e">
        <f>'Equity or FI trade'!D101+"$GJ|!4B"</f>
        <v>#VALUE!</v>
      </c>
      <c r="FP5" t="e">
        <f>'Equity or FI trade'!E101+"$GJ|!4C"</f>
        <v>#VALUE!</v>
      </c>
      <c r="FQ5" t="e">
        <f>'Equity or FI trade'!F101+"$GJ|!4D"</f>
        <v>#VALUE!</v>
      </c>
      <c r="FR5" t="e">
        <f>'Equity or FI trade'!G101+"$GJ|!4E"</f>
        <v>#VALUE!</v>
      </c>
      <c r="FS5" t="e">
        <f>'Equity or FI trade'!A102+"$GJ|!4F"</f>
        <v>#VALUE!</v>
      </c>
      <c r="FT5" t="e">
        <f>'Equity or FI trade'!B102+"$GJ|!4G"</f>
        <v>#VALUE!</v>
      </c>
      <c r="FU5" t="e">
        <f>'Equity or FI trade'!C102+"$GJ|!4H"</f>
        <v>#VALUE!</v>
      </c>
      <c r="FV5" t="e">
        <f>'Equity or FI trade'!D102+"$GJ|!4I"</f>
        <v>#VALUE!</v>
      </c>
      <c r="FW5" t="e">
        <f>'Equity or FI trade'!E102+"$GJ|!4J"</f>
        <v>#VALUE!</v>
      </c>
      <c r="FX5" t="e">
        <f>'Equity or FI trade'!F102+"$GJ|!4K"</f>
        <v>#VALUE!</v>
      </c>
      <c r="FY5" t="e">
        <f>'Equity or FI trade'!G102+"$GJ|!4L"</f>
        <v>#VALUE!</v>
      </c>
      <c r="FZ5" t="e">
        <f>'Equity or FI trade'!A103+"$GJ|!4M"</f>
        <v>#VALUE!</v>
      </c>
      <c r="GA5" t="e">
        <f>'Equity or FI trade'!B103+"$GJ|!4N"</f>
        <v>#VALUE!</v>
      </c>
      <c r="GB5" t="e">
        <f>'Equity or FI trade'!C103+"$GJ|!4O"</f>
        <v>#VALUE!</v>
      </c>
      <c r="GC5" t="e">
        <f>'Equity or FI trade'!D103+"$GJ|!4P"</f>
        <v>#VALUE!</v>
      </c>
      <c r="GD5" t="e">
        <f>'Equity or FI trade'!E103+"$GJ|!4Q"</f>
        <v>#VALUE!</v>
      </c>
      <c r="GE5" t="e">
        <f>'Equity or FI trade'!F103+"$GJ|!4R"</f>
        <v>#VALUE!</v>
      </c>
      <c r="GF5" t="e">
        <f>'Equity or FI trade'!G103+"$GJ|!4S"</f>
        <v>#VALUE!</v>
      </c>
      <c r="GG5" t="e">
        <f>'Equity or FI trade'!A104+"$GJ|!4T"</f>
        <v>#VALUE!</v>
      </c>
      <c r="GH5" t="e">
        <f>'Equity or FI trade'!B104+"$GJ|!4U"</f>
        <v>#VALUE!</v>
      </c>
      <c r="GI5" t="e">
        <f>'Equity or FI trade'!C104+"$GJ|!4V"</f>
        <v>#VALUE!</v>
      </c>
      <c r="GJ5" t="e">
        <f>'Equity or FI trade'!D104+"$GJ|!4W"</f>
        <v>#VALUE!</v>
      </c>
      <c r="GK5" t="e">
        <f>'Equity or FI trade'!E104+"$GJ|!4X"</f>
        <v>#VALUE!</v>
      </c>
      <c r="GL5" t="e">
        <f>'Equity or FI trade'!F104+"$GJ|!4Y"</f>
        <v>#VALUE!</v>
      </c>
      <c r="GM5" t="e">
        <f>'Equity or FI trade'!G104+"$GJ|!4Z"</f>
        <v>#VALUE!</v>
      </c>
      <c r="GN5" t="e">
        <f>'Equity or FI trade'!A105+"$GJ|!4["</f>
        <v>#VALUE!</v>
      </c>
      <c r="GO5" t="e">
        <f>'Equity or FI trade'!B105+"$GJ|!4\"</f>
        <v>#VALUE!</v>
      </c>
      <c r="GP5" t="e">
        <f>'Equity or FI trade'!C105+"$GJ|!4]"</f>
        <v>#VALUE!</v>
      </c>
      <c r="GQ5" t="e">
        <f>'Equity or FI trade'!D105+"$GJ|!4^"</f>
        <v>#VALUE!</v>
      </c>
      <c r="GR5" t="e">
        <f>'Equity or FI trade'!E105+"$GJ|!4_"</f>
        <v>#VALUE!</v>
      </c>
      <c r="GS5" t="e">
        <f>'Equity or FI trade'!F105+"$GJ|!4`"</f>
        <v>#VALUE!</v>
      </c>
      <c r="GT5" t="e">
        <f>'Equity or FI trade'!G105+"$GJ|!4a"</f>
        <v>#VALUE!</v>
      </c>
      <c r="GU5" t="e">
        <f>'Equity or FI trade'!A106+"$GJ|!4b"</f>
        <v>#VALUE!</v>
      </c>
      <c r="GV5" t="e">
        <f>'Equity or FI trade'!B106+"$GJ|!4c"</f>
        <v>#VALUE!</v>
      </c>
      <c r="GW5" t="e">
        <f>'Equity or FI trade'!C106+"$GJ|!4d"</f>
        <v>#VALUE!</v>
      </c>
      <c r="GX5" t="e">
        <f>'Equity or FI trade'!D106+"$GJ|!4e"</f>
        <v>#VALUE!</v>
      </c>
      <c r="GY5" t="e">
        <f>'Equity or FI trade'!E106+"$GJ|!4f"</f>
        <v>#VALUE!</v>
      </c>
      <c r="GZ5" t="e">
        <f>'Equity or FI trade'!F106+"$GJ|!4g"</f>
        <v>#VALUE!</v>
      </c>
      <c r="HA5" t="e">
        <f>'Equity or FI trade'!G106+"$GJ|!4h"</f>
        <v>#VALUE!</v>
      </c>
      <c r="HB5" t="e">
        <f>'Equity or FI trade'!A107+"$GJ|!4i"</f>
        <v>#VALUE!</v>
      </c>
      <c r="HC5" t="e">
        <f>'Equity or FI trade'!B107+"$GJ|!4j"</f>
        <v>#VALUE!</v>
      </c>
      <c r="HD5" t="e">
        <f>'Equity or FI trade'!C107+"$GJ|!4k"</f>
        <v>#VALUE!</v>
      </c>
      <c r="HE5" t="e">
        <f>'Equity or FI trade'!D107+"$GJ|!4l"</f>
        <v>#VALUE!</v>
      </c>
      <c r="HF5" t="e">
        <f>'Equity or FI trade'!E107+"$GJ|!4m"</f>
        <v>#VALUE!</v>
      </c>
      <c r="HG5" t="e">
        <f>'Equity or FI trade'!F107+"$GJ|!4n"</f>
        <v>#VALUE!</v>
      </c>
      <c r="HH5" t="e">
        <f>'Equity or FI trade'!G107+"$GJ|!4o"</f>
        <v>#VALUE!</v>
      </c>
      <c r="HI5" t="e">
        <f>'Equity or FI trade'!A108+"$GJ|!4p"</f>
        <v>#VALUE!</v>
      </c>
      <c r="HJ5" t="e">
        <f>'Equity or FI trade'!B108+"$GJ|!4q"</f>
        <v>#VALUE!</v>
      </c>
      <c r="HK5" t="e">
        <f>'Equity or FI trade'!C108+"$GJ|!4r"</f>
        <v>#VALUE!</v>
      </c>
      <c r="HL5" t="e">
        <f>'Equity or FI trade'!D108+"$GJ|!4s"</f>
        <v>#VALUE!</v>
      </c>
      <c r="HM5" t="e">
        <f>'Equity or FI trade'!E108+"$GJ|!4t"</f>
        <v>#VALUE!</v>
      </c>
      <c r="HN5" t="e">
        <f>'Equity or FI trade'!F108+"$GJ|!4u"</f>
        <v>#VALUE!</v>
      </c>
      <c r="HO5" t="e">
        <f>'Equity or FI trade'!G108+"$GJ|!4v"</f>
        <v>#VALUE!</v>
      </c>
      <c r="HP5" t="e">
        <f>'Equity or FI trade'!A109+"$GJ|!4w"</f>
        <v>#VALUE!</v>
      </c>
      <c r="HQ5" t="e">
        <f>'Equity or FI trade'!B109+"$GJ|!4x"</f>
        <v>#VALUE!</v>
      </c>
      <c r="HR5" t="e">
        <f>'Equity or FI trade'!C109+"$GJ|!4y"</f>
        <v>#VALUE!</v>
      </c>
      <c r="HS5" t="e">
        <f>'Equity or FI trade'!D109+"$GJ|!4z"</f>
        <v>#VALUE!</v>
      </c>
      <c r="HT5" t="e">
        <f>'Equity or FI trade'!E109+"$GJ|!4{"</f>
        <v>#VALUE!</v>
      </c>
      <c r="HU5" t="e">
        <f>'Equity or FI trade'!F109+"$GJ|!4|"</f>
        <v>#VALUE!</v>
      </c>
      <c r="HV5" t="e">
        <f>'Equity or FI trade'!G109+"$GJ|!4}"</f>
        <v>#VALUE!</v>
      </c>
      <c r="HW5" t="e">
        <f>'Equity or FI trade'!A110+"$GJ|!4~"</f>
        <v>#VALUE!</v>
      </c>
      <c r="HX5" t="e">
        <f>'Equity or FI trade'!B110+"$GJ|!5#"</f>
        <v>#VALUE!</v>
      </c>
      <c r="HY5" t="e">
        <f>'Equity or FI trade'!C110+"$GJ|!5$"</f>
        <v>#VALUE!</v>
      </c>
      <c r="HZ5" t="e">
        <f>'Equity or FI trade'!D110+"$GJ|!5%"</f>
        <v>#VALUE!</v>
      </c>
      <c r="IA5" t="e">
        <f>'Equity or FI trade'!E110+"$GJ|!5&amp;"</f>
        <v>#VALUE!</v>
      </c>
      <c r="IB5" t="e">
        <f>'Equity or FI trade'!F110+"$GJ|!5'"</f>
        <v>#VALUE!</v>
      </c>
      <c r="IC5" t="e">
        <f>'Equity or FI trade'!G110+"$GJ|!5("</f>
        <v>#VALUE!</v>
      </c>
      <c r="ID5" t="e">
        <f>'Equity or FI trade'!A111+"$GJ|!5)"</f>
        <v>#VALUE!</v>
      </c>
      <c r="IE5" t="e">
        <f>'Equity or FI trade'!B111+"$GJ|!5."</f>
        <v>#VALUE!</v>
      </c>
      <c r="IF5" t="e">
        <f>'Equity or FI trade'!C111+"$GJ|!5/"</f>
        <v>#VALUE!</v>
      </c>
      <c r="IG5" t="e">
        <f>'Equity or FI trade'!D111+"$GJ|!50"</f>
        <v>#VALUE!</v>
      </c>
      <c r="IH5" t="e">
        <f>'Equity or FI trade'!E111+"$GJ|!51"</f>
        <v>#VALUE!</v>
      </c>
      <c r="II5" t="e">
        <f>'Equity or FI trade'!F111+"$GJ|!52"</f>
        <v>#VALUE!</v>
      </c>
      <c r="IJ5" t="e">
        <f>'Equity or FI trade'!G111+"$GJ|!53"</f>
        <v>#VALUE!</v>
      </c>
      <c r="IK5" t="e">
        <f>'Equity or FI trade'!A112+"$GJ|!54"</f>
        <v>#VALUE!</v>
      </c>
      <c r="IL5" t="e">
        <f>'Equity or FI trade'!B112+"$GJ|!55"</f>
        <v>#VALUE!</v>
      </c>
      <c r="IM5" t="e">
        <f>'Equity or FI trade'!C112+"$GJ|!56"</f>
        <v>#VALUE!</v>
      </c>
      <c r="IN5" t="e">
        <f>'Equity or FI trade'!D112+"$GJ|!57"</f>
        <v>#VALUE!</v>
      </c>
      <c r="IO5" t="e">
        <f>'Equity or FI trade'!E112+"$GJ|!58"</f>
        <v>#VALUE!</v>
      </c>
      <c r="IP5" t="e">
        <f>'Equity or FI trade'!F112+"$GJ|!59"</f>
        <v>#VALUE!</v>
      </c>
      <c r="IQ5" t="e">
        <f>'Equity or FI trade'!G112+"$GJ|!5:"</f>
        <v>#VALUE!</v>
      </c>
      <c r="IR5" t="e">
        <f>'Equity or FI trade'!A113+"$GJ|!5;"</f>
        <v>#VALUE!</v>
      </c>
      <c r="IS5" t="e">
        <f>'Equity or FI trade'!B113+"$GJ|!5&lt;"</f>
        <v>#VALUE!</v>
      </c>
      <c r="IT5" t="e">
        <f>'Equity or FI trade'!C113+"$GJ|!5="</f>
        <v>#VALUE!</v>
      </c>
      <c r="IU5" t="e">
        <f>'Equity or FI trade'!D113+"$GJ|!5&gt;"</f>
        <v>#VALUE!</v>
      </c>
      <c r="IV5" t="e">
        <f>'Equity or FI trade'!E113+"$GJ|!5?"</f>
        <v>#VALUE!</v>
      </c>
    </row>
    <row r="6" spans="1:256" x14ac:dyDescent="0.25">
      <c r="F6" t="e">
        <f>'Equity or FI trade'!F113+"$GJ|!5@"</f>
        <v>#VALUE!</v>
      </c>
      <c r="G6" t="e">
        <f>'Equity or FI trade'!G113+"$GJ|!5A"</f>
        <v>#VALUE!</v>
      </c>
      <c r="H6" t="e">
        <f>'Equity or FI trade'!A114+"$GJ|!5B"</f>
        <v>#VALUE!</v>
      </c>
      <c r="I6" t="e">
        <f>'Equity or FI trade'!B114+"$GJ|!5C"</f>
        <v>#VALUE!</v>
      </c>
      <c r="J6" t="e">
        <f>'Equity or FI trade'!C114+"$GJ|!5D"</f>
        <v>#VALUE!</v>
      </c>
      <c r="K6" t="e">
        <f>'Equity or FI trade'!D114+"$GJ|!5E"</f>
        <v>#VALUE!</v>
      </c>
      <c r="L6" t="e">
        <f>'Equity or FI trade'!E114+"$GJ|!5F"</f>
        <v>#VALUE!</v>
      </c>
      <c r="M6" t="e">
        <f>'Equity or FI trade'!F114+"$GJ|!5G"</f>
        <v>#VALUE!</v>
      </c>
      <c r="N6" t="e">
        <f>'Equity or FI trade'!G114+"$GJ|!5H"</f>
        <v>#VALUE!</v>
      </c>
      <c r="O6" t="e">
        <f>'Equity or FI trade'!A115+"$GJ|!5I"</f>
        <v>#VALUE!</v>
      </c>
      <c r="P6" t="e">
        <f>'Equity or FI trade'!B115+"$GJ|!5J"</f>
        <v>#VALUE!</v>
      </c>
      <c r="Q6" t="e">
        <f>'Equity or FI trade'!C115+"$GJ|!5K"</f>
        <v>#VALUE!</v>
      </c>
      <c r="R6" t="e">
        <f>'Equity or FI trade'!D115+"$GJ|!5L"</f>
        <v>#VALUE!</v>
      </c>
      <c r="S6" t="e">
        <f>'Equity or FI trade'!E115+"$GJ|!5M"</f>
        <v>#VALUE!</v>
      </c>
      <c r="T6" t="e">
        <f>'Equity or FI trade'!F115+"$GJ|!5N"</f>
        <v>#VALUE!</v>
      </c>
      <c r="U6" t="e">
        <f>'Equity or FI trade'!G115+"$GJ|!5O"</f>
        <v>#VALUE!</v>
      </c>
      <c r="V6" t="e">
        <f>'Equity or FI trade'!A116+"$GJ|!5P"</f>
        <v>#VALUE!</v>
      </c>
      <c r="W6" t="e">
        <f>'Equity or FI trade'!B116+"$GJ|!5Q"</f>
        <v>#VALUE!</v>
      </c>
      <c r="X6" t="e">
        <f>'Equity or FI trade'!C116+"$GJ|!5R"</f>
        <v>#VALUE!</v>
      </c>
      <c r="Y6" t="e">
        <f>'Equity or FI trade'!D116+"$GJ|!5S"</f>
        <v>#VALUE!</v>
      </c>
      <c r="Z6" t="e">
        <f>'Equity or FI trade'!E116+"$GJ|!5T"</f>
        <v>#VALUE!</v>
      </c>
      <c r="AA6" t="e">
        <f>'Equity or FI trade'!F116+"$GJ|!5U"</f>
        <v>#VALUE!</v>
      </c>
      <c r="AB6" t="e">
        <f>'Equity or FI trade'!G116+"$GJ|!5V"</f>
        <v>#VALUE!</v>
      </c>
      <c r="AC6" t="e">
        <f>'Equity or FI trade'!A117+"$GJ|!5W"</f>
        <v>#VALUE!</v>
      </c>
      <c r="AD6" t="e">
        <f>'Equity or FI trade'!B117+"$GJ|!5X"</f>
        <v>#VALUE!</v>
      </c>
      <c r="AE6" t="e">
        <f>'Equity or FI trade'!C117+"$GJ|!5Y"</f>
        <v>#VALUE!</v>
      </c>
      <c r="AF6" t="e">
        <f>'Equity or FI trade'!D117+"$GJ|!5Z"</f>
        <v>#VALUE!</v>
      </c>
      <c r="AG6" t="e">
        <f>'Equity or FI trade'!E117+"$GJ|!5["</f>
        <v>#VALUE!</v>
      </c>
      <c r="AH6" t="e">
        <f>'Equity or FI trade'!F117+"$GJ|!5\"</f>
        <v>#VALUE!</v>
      </c>
      <c r="AI6" t="e">
        <f>'Equity or FI trade'!G117+"$GJ|!5]"</f>
        <v>#VALUE!</v>
      </c>
      <c r="AJ6" t="e">
        <f>'Equity or FI trade'!A118+"$GJ|!5^"</f>
        <v>#VALUE!</v>
      </c>
      <c r="AK6" t="e">
        <f>'Equity or FI trade'!B118+"$GJ|!5_"</f>
        <v>#VALUE!</v>
      </c>
      <c r="AL6" t="e">
        <f>'Equity or FI trade'!C118+"$GJ|!5`"</f>
        <v>#VALUE!</v>
      </c>
      <c r="AM6" t="e">
        <f>'Equity or FI trade'!D118+"$GJ|!5a"</f>
        <v>#VALUE!</v>
      </c>
      <c r="AN6" t="e">
        <f>'Equity or FI trade'!E118+"$GJ|!5b"</f>
        <v>#VALUE!</v>
      </c>
      <c r="AO6" t="e">
        <f>'Equity or FI trade'!F118+"$GJ|!5c"</f>
        <v>#VALUE!</v>
      </c>
      <c r="AP6" t="e">
        <f>'Equity or FI trade'!G118+"$GJ|!5d"</f>
        <v>#VALUE!</v>
      </c>
      <c r="AQ6" t="e">
        <f>'Equity or FI trade'!A119+"$GJ|!5e"</f>
        <v>#VALUE!</v>
      </c>
      <c r="AR6" t="e">
        <f>'Equity or FI trade'!B119+"$GJ|!5f"</f>
        <v>#VALUE!</v>
      </c>
      <c r="AS6" t="e">
        <f>'Equity or FI trade'!C119+"$GJ|!5g"</f>
        <v>#VALUE!</v>
      </c>
      <c r="AT6" t="e">
        <f>'Equity or FI trade'!D119+"$GJ|!5h"</f>
        <v>#VALUE!</v>
      </c>
      <c r="AU6" t="e">
        <f>'Equity or FI trade'!E119+"$GJ|!5i"</f>
        <v>#VALUE!</v>
      </c>
      <c r="AV6" t="e">
        <f>'Equity or FI trade'!F119+"$GJ|!5j"</f>
        <v>#VALUE!</v>
      </c>
      <c r="AW6" t="e">
        <f>'Equity or FI trade'!G119+"$GJ|!5k"</f>
        <v>#VALUE!</v>
      </c>
      <c r="AX6" t="e">
        <f>'Equity or FI trade'!A120+"$GJ|!5l"</f>
        <v>#VALUE!</v>
      </c>
      <c r="AY6" t="e">
        <f>'Equity or FI trade'!B120+"$GJ|!5m"</f>
        <v>#VALUE!</v>
      </c>
      <c r="AZ6" t="e">
        <f>'Equity or FI trade'!C120+"$GJ|!5n"</f>
        <v>#VALUE!</v>
      </c>
      <c r="BA6" t="e">
        <f>'Equity or FI trade'!D120+"$GJ|!5o"</f>
        <v>#VALUE!</v>
      </c>
      <c r="BB6" t="e">
        <f>'Equity or FI trade'!E120+"$GJ|!5p"</f>
        <v>#VALUE!</v>
      </c>
      <c r="BC6" t="e">
        <f>'Equity or FI trade'!F120+"$GJ|!5q"</f>
        <v>#VALUE!</v>
      </c>
      <c r="BD6" t="e">
        <f>'Equity or FI trade'!G120+"$GJ|!5r"</f>
        <v>#VALUE!</v>
      </c>
      <c r="BE6" t="e">
        <f>'Equity or FI trade'!A121+"$GJ|!5s"</f>
        <v>#VALUE!</v>
      </c>
      <c r="BF6" t="e">
        <f>'Equity or FI trade'!B121+"$GJ|!5t"</f>
        <v>#VALUE!</v>
      </c>
      <c r="BG6" t="e">
        <f>'Equity or FI trade'!C121+"$GJ|!5u"</f>
        <v>#VALUE!</v>
      </c>
      <c r="BH6" t="e">
        <f>'Equity or FI trade'!D121+"$GJ|!5v"</f>
        <v>#VALUE!</v>
      </c>
      <c r="BI6" t="e">
        <f>'Equity or FI trade'!E121+"$GJ|!5w"</f>
        <v>#VALUE!</v>
      </c>
      <c r="BJ6" t="e">
        <f>'Equity or FI trade'!F121+"$GJ|!5x"</f>
        <v>#VALUE!</v>
      </c>
      <c r="BK6" t="e">
        <f>'Equity or FI trade'!G121+"$GJ|!5y"</f>
        <v>#VALUE!</v>
      </c>
      <c r="BL6" t="e">
        <f>'Equity or FI trade'!A122+"$GJ|!5z"</f>
        <v>#VALUE!</v>
      </c>
      <c r="BM6" t="e">
        <f>'Equity or FI trade'!B122+"$GJ|!5{"</f>
        <v>#VALUE!</v>
      </c>
      <c r="BN6" t="e">
        <f>'Equity or FI trade'!C122+"$GJ|!5|"</f>
        <v>#VALUE!</v>
      </c>
      <c r="BO6" t="e">
        <f>'Equity or FI trade'!D122+"$GJ|!5}"</f>
        <v>#VALUE!</v>
      </c>
      <c r="BP6" t="e">
        <f>'Equity or FI trade'!E122+"$GJ|!5~"</f>
        <v>#VALUE!</v>
      </c>
      <c r="BQ6" t="e">
        <f>'Equity or FI trade'!F122+"$GJ|!6#"</f>
        <v>#VALUE!</v>
      </c>
      <c r="BR6" t="e">
        <f>'Equity or FI trade'!G122+"$GJ|!6$"</f>
        <v>#VALUE!</v>
      </c>
      <c r="BS6" t="e">
        <f>'Equity or FI trade'!A123+"$GJ|!6%"</f>
        <v>#VALUE!</v>
      </c>
      <c r="BT6" t="e">
        <f>'Equity or FI trade'!B123+"$GJ|!6&amp;"</f>
        <v>#VALUE!</v>
      </c>
      <c r="BU6" t="e">
        <f>'Equity or FI trade'!C123+"$GJ|!6'"</f>
        <v>#VALUE!</v>
      </c>
      <c r="BV6" t="e">
        <f>'Equity or FI trade'!D123+"$GJ|!6("</f>
        <v>#VALUE!</v>
      </c>
      <c r="BW6" t="e">
        <f>'Equity or FI trade'!E123+"$GJ|!6)"</f>
        <v>#VALUE!</v>
      </c>
      <c r="BX6" t="e">
        <f>'Equity or FI trade'!F123+"$GJ|!6."</f>
        <v>#VALUE!</v>
      </c>
      <c r="BY6" t="e">
        <f>'Equity or FI trade'!G123+"$GJ|!6/"</f>
        <v>#VALUE!</v>
      </c>
      <c r="BZ6" t="e">
        <f>'Equity or FI trade'!A124+"$GJ|!60"</f>
        <v>#VALUE!</v>
      </c>
      <c r="CA6" t="e">
        <f>'Equity or FI trade'!B124+"$GJ|!61"</f>
        <v>#VALUE!</v>
      </c>
      <c r="CB6" t="e">
        <f>'Equity or FI trade'!C124+"$GJ|!62"</f>
        <v>#VALUE!</v>
      </c>
      <c r="CC6" t="e">
        <f>'Equity or FI trade'!D124+"$GJ|!63"</f>
        <v>#VALUE!</v>
      </c>
      <c r="CD6" t="e">
        <f>'Equity or FI trade'!E124+"$GJ|!64"</f>
        <v>#VALUE!</v>
      </c>
      <c r="CE6" t="e">
        <f>'Equity or FI trade'!F124+"$GJ|!65"</f>
        <v>#VALUE!</v>
      </c>
      <c r="CF6" t="e">
        <f>'Equity or FI trade'!G124+"$GJ|!66"</f>
        <v>#VALUE!</v>
      </c>
      <c r="CG6" t="e">
        <f>'Equity or FI trade'!A125+"$GJ|!67"</f>
        <v>#VALUE!</v>
      </c>
      <c r="CH6" t="e">
        <f>'Equity or FI trade'!B125+"$GJ|!68"</f>
        <v>#VALUE!</v>
      </c>
      <c r="CI6" t="e">
        <f>'Equity or FI trade'!C125+"$GJ|!69"</f>
        <v>#VALUE!</v>
      </c>
      <c r="CJ6" t="e">
        <f>'Equity or FI trade'!D125+"$GJ|!6:"</f>
        <v>#VALUE!</v>
      </c>
      <c r="CK6" t="e">
        <f>'Equity or FI trade'!E125+"$GJ|!6;"</f>
        <v>#VALUE!</v>
      </c>
      <c r="CL6" t="e">
        <f>'Equity or FI trade'!F125+"$GJ|!6&lt;"</f>
        <v>#VALUE!</v>
      </c>
      <c r="CM6" t="e">
        <f>'Equity or FI trade'!G125+"$GJ|!6="</f>
        <v>#VALUE!</v>
      </c>
      <c r="CN6" t="e">
        <f>'Equity or FI trade'!A126+"$GJ|!6&gt;"</f>
        <v>#VALUE!</v>
      </c>
      <c r="CO6" t="e">
        <f>'Equity or FI trade'!B126+"$GJ|!6?"</f>
        <v>#VALUE!</v>
      </c>
      <c r="CP6" t="e">
        <f>'Equity or FI trade'!C126+"$GJ|!6@"</f>
        <v>#VALUE!</v>
      </c>
      <c r="CQ6" t="e">
        <f>'Equity or FI trade'!D126+"$GJ|!6A"</f>
        <v>#VALUE!</v>
      </c>
      <c r="CR6" t="e">
        <f>'Equity or FI trade'!E126+"$GJ|!6B"</f>
        <v>#VALUE!</v>
      </c>
      <c r="CS6" t="e">
        <f>'Equity or FI trade'!F126+"$GJ|!6C"</f>
        <v>#VALUE!</v>
      </c>
      <c r="CT6" t="e">
        <f>'Equity or FI trade'!G126+"$GJ|!6D"</f>
        <v>#VALUE!</v>
      </c>
      <c r="CU6" t="e">
        <f>'Equity or FI trade'!A127+"$GJ|!6E"</f>
        <v>#VALUE!</v>
      </c>
      <c r="CV6" t="e">
        <f>'Equity or FI trade'!B127+"$GJ|!6F"</f>
        <v>#VALUE!</v>
      </c>
      <c r="CW6" t="e">
        <f>'Equity or FI trade'!C127+"$GJ|!6G"</f>
        <v>#VALUE!</v>
      </c>
      <c r="CX6" t="e">
        <f>'Equity or FI trade'!D127+"$GJ|!6H"</f>
        <v>#VALUE!</v>
      </c>
      <c r="CY6" t="e">
        <f>'Equity or FI trade'!E127+"$GJ|!6I"</f>
        <v>#VALUE!</v>
      </c>
      <c r="CZ6" t="e">
        <f>'Equity or FI trade'!F127+"$GJ|!6J"</f>
        <v>#VALUE!</v>
      </c>
      <c r="DA6" t="e">
        <f>'Equity or FI trade'!G127+"$GJ|!6K"</f>
        <v>#VALUE!</v>
      </c>
      <c r="DB6" t="e">
        <f>'Equity or FI trade'!A128+"$GJ|!6L"</f>
        <v>#VALUE!</v>
      </c>
      <c r="DC6" t="e">
        <f>'Equity or FI trade'!B128+"$GJ|!6M"</f>
        <v>#VALUE!</v>
      </c>
      <c r="DD6" t="e">
        <f>'Equity or FI trade'!C128+"$GJ|!6N"</f>
        <v>#VALUE!</v>
      </c>
      <c r="DE6" t="e">
        <f>'Equity or FI trade'!D128+"$GJ|!6O"</f>
        <v>#VALUE!</v>
      </c>
      <c r="DF6" t="e">
        <f>'Equity or FI trade'!E128+"$GJ|!6P"</f>
        <v>#VALUE!</v>
      </c>
      <c r="DG6" t="e">
        <f>'Equity or FI trade'!F128+"$GJ|!6Q"</f>
        <v>#VALUE!</v>
      </c>
      <c r="DH6" t="e">
        <f>'Equity or FI trade'!G128+"$GJ|!6R"</f>
        <v>#VALUE!</v>
      </c>
      <c r="DI6" t="e">
        <f>'Equity or FI trade'!A129+"$GJ|!6S"</f>
        <v>#VALUE!</v>
      </c>
      <c r="DJ6" t="e">
        <f>'Equity or FI trade'!B129+"$GJ|!6T"</f>
        <v>#VALUE!</v>
      </c>
      <c r="DK6" t="e">
        <f>'Equity or FI trade'!C129+"$GJ|!6U"</f>
        <v>#VALUE!</v>
      </c>
      <c r="DL6" t="e">
        <f>'Equity or FI trade'!D129+"$GJ|!6V"</f>
        <v>#VALUE!</v>
      </c>
      <c r="DM6" t="e">
        <f>'Equity or FI trade'!E129+"$GJ|!6W"</f>
        <v>#VALUE!</v>
      </c>
      <c r="DN6" t="e">
        <f>'Equity or FI trade'!F129+"$GJ|!6X"</f>
        <v>#VALUE!</v>
      </c>
      <c r="DO6" t="e">
        <f>'Equity or FI trade'!G129+"$GJ|!6Y"</f>
        <v>#VALUE!</v>
      </c>
      <c r="DP6" t="e">
        <f>'Equity or FI trade'!A130+"$GJ|!6Z"</f>
        <v>#VALUE!</v>
      </c>
      <c r="DQ6" t="e">
        <f>'Equity or FI trade'!B130+"$GJ|!6["</f>
        <v>#VALUE!</v>
      </c>
      <c r="DR6" t="e">
        <f>'Equity or FI trade'!C130+"$GJ|!6\"</f>
        <v>#VALUE!</v>
      </c>
      <c r="DS6" t="e">
        <f>'Equity or FI trade'!D130+"$GJ|!6]"</f>
        <v>#VALUE!</v>
      </c>
      <c r="DT6" t="e">
        <f>'Equity or FI trade'!E130+"$GJ|!6^"</f>
        <v>#VALUE!</v>
      </c>
      <c r="DU6" t="e">
        <f>'Equity or FI trade'!F130+"$GJ|!6_"</f>
        <v>#VALUE!</v>
      </c>
      <c r="DV6" t="e">
        <f>'Equity or FI trade'!G130+"$GJ|!6`"</f>
        <v>#VALUE!</v>
      </c>
      <c r="DW6" t="e">
        <f>'Equity or FI trade'!A131+"$GJ|!6a"</f>
        <v>#VALUE!</v>
      </c>
      <c r="DX6" t="e">
        <f>'Equity or FI trade'!B131+"$GJ|!6b"</f>
        <v>#VALUE!</v>
      </c>
      <c r="DY6" t="e">
        <f>'Equity or FI trade'!C131+"$GJ|!6c"</f>
        <v>#VALUE!</v>
      </c>
      <c r="DZ6" t="e">
        <f>'Equity or FI trade'!D131+"$GJ|!6d"</f>
        <v>#VALUE!</v>
      </c>
      <c r="EA6" t="e">
        <f>'Equity or FI trade'!E131+"$GJ|!6e"</f>
        <v>#VALUE!</v>
      </c>
      <c r="EB6" t="e">
        <f>'Equity or FI trade'!F131+"$GJ|!6f"</f>
        <v>#VALUE!</v>
      </c>
      <c r="EC6" t="e">
        <f>'Equity or FI trade'!G131+"$GJ|!6g"</f>
        <v>#VALUE!</v>
      </c>
      <c r="ED6" t="e">
        <f>'Equity or FI trade'!A132+"$GJ|!6h"</f>
        <v>#VALUE!</v>
      </c>
      <c r="EE6" t="e">
        <f>'Equity or FI trade'!B132+"$GJ|!6i"</f>
        <v>#VALUE!</v>
      </c>
      <c r="EF6" t="e">
        <f>'Equity or FI trade'!C132+"$GJ|!6j"</f>
        <v>#VALUE!</v>
      </c>
      <c r="EG6" t="e">
        <f>'Equity or FI trade'!D132+"$GJ|!6k"</f>
        <v>#VALUE!</v>
      </c>
      <c r="EH6" t="e">
        <f>'Equity or FI trade'!E132+"$GJ|!6l"</f>
        <v>#VALUE!</v>
      </c>
      <c r="EI6" t="e">
        <f>'Equity or FI trade'!F132+"$GJ|!6m"</f>
        <v>#VALUE!</v>
      </c>
      <c r="EJ6" t="e">
        <f>'Equity or FI trade'!G132+"$GJ|!6n"</f>
        <v>#VALUE!</v>
      </c>
      <c r="EK6" t="e">
        <f>'Equity or FI trade'!A133+"$GJ|!6o"</f>
        <v>#VALUE!</v>
      </c>
      <c r="EL6" t="e">
        <f>'Equity or FI trade'!B133+"$GJ|!6p"</f>
        <v>#VALUE!</v>
      </c>
      <c r="EM6" t="e">
        <f>'Equity or FI trade'!C133+"$GJ|!6q"</f>
        <v>#VALUE!</v>
      </c>
      <c r="EN6" t="e">
        <f>'Equity or FI trade'!D133+"$GJ|!6r"</f>
        <v>#VALUE!</v>
      </c>
      <c r="EO6" t="e">
        <f>'Equity or FI trade'!E133+"$GJ|!6s"</f>
        <v>#VALUE!</v>
      </c>
      <c r="EP6" t="e">
        <f>'Equity or FI trade'!F133+"$GJ|!6t"</f>
        <v>#VALUE!</v>
      </c>
      <c r="EQ6" t="e">
        <f>'Equity or FI trade'!G133+"$GJ|!6u"</f>
        <v>#VALUE!</v>
      </c>
      <c r="ER6" t="e">
        <f>'Equity or FI trade'!A134+"$GJ|!6v"</f>
        <v>#VALUE!</v>
      </c>
      <c r="ES6" t="e">
        <f>'Equity or FI trade'!B134+"$GJ|!6w"</f>
        <v>#VALUE!</v>
      </c>
      <c r="ET6" t="e">
        <f>'Equity or FI trade'!C134+"$GJ|!6x"</f>
        <v>#VALUE!</v>
      </c>
      <c r="EU6" t="e">
        <f>'Equity or FI trade'!D134+"$GJ|!6y"</f>
        <v>#VALUE!</v>
      </c>
      <c r="EV6" t="e">
        <f>'Equity or FI trade'!E134+"$GJ|!6z"</f>
        <v>#VALUE!</v>
      </c>
      <c r="EW6" t="e">
        <f>'Equity or FI trade'!F134+"$GJ|!6{"</f>
        <v>#VALUE!</v>
      </c>
      <c r="EX6" t="e">
        <f>'Equity or FI trade'!G134+"$GJ|!6|"</f>
        <v>#VALUE!</v>
      </c>
      <c r="EY6" t="e">
        <f>'Equity or FI trade'!A135+"$GJ|!6}"</f>
        <v>#VALUE!</v>
      </c>
      <c r="EZ6" t="e">
        <f>'Equity or FI trade'!B135+"$GJ|!6~"</f>
        <v>#VALUE!</v>
      </c>
      <c r="FA6" t="e">
        <f>'Equity or FI trade'!C135+"$GJ|!7#"</f>
        <v>#VALUE!</v>
      </c>
      <c r="FB6" t="e">
        <f>'Equity or FI trade'!D135+"$GJ|!7$"</f>
        <v>#VALUE!</v>
      </c>
      <c r="FC6" t="e">
        <f>'Equity or FI trade'!E135+"$GJ|!7%"</f>
        <v>#VALUE!</v>
      </c>
      <c r="FD6" t="e">
        <f>'Equity or FI trade'!F135+"$GJ|!7&amp;"</f>
        <v>#VALUE!</v>
      </c>
      <c r="FE6" t="e">
        <f>'Equity or FI trade'!G135+"$GJ|!7'"</f>
        <v>#VALUE!</v>
      </c>
      <c r="FF6" t="e">
        <f>'Equity or FI trade'!A136+"$GJ|!7("</f>
        <v>#VALUE!</v>
      </c>
      <c r="FG6" t="e">
        <f>'Equity or FI trade'!B136+"$GJ|!7)"</f>
        <v>#VALUE!</v>
      </c>
      <c r="FH6" t="e">
        <f>'Equity or FI trade'!C136+"$GJ|!7."</f>
        <v>#VALUE!</v>
      </c>
      <c r="FI6" t="e">
        <f>'Equity or FI trade'!D136+"$GJ|!7/"</f>
        <v>#VALUE!</v>
      </c>
      <c r="FJ6" t="e">
        <f>'Equity or FI trade'!E136+"$GJ|!70"</f>
        <v>#VALUE!</v>
      </c>
      <c r="FK6" t="e">
        <f>'Equity or FI trade'!F136+"$GJ|!71"</f>
        <v>#VALUE!</v>
      </c>
      <c r="FL6" t="e">
        <f>'Equity or FI trade'!G136+"$GJ|!72"</f>
        <v>#VALUE!</v>
      </c>
      <c r="FM6" t="e">
        <f>'Equity or FI trade'!A137+"$GJ|!73"</f>
        <v>#VALUE!</v>
      </c>
      <c r="FN6" t="e">
        <f>'Equity or FI trade'!B137+"$GJ|!74"</f>
        <v>#VALUE!</v>
      </c>
      <c r="FO6" t="e">
        <f>'Equity or FI trade'!C137+"$GJ|!75"</f>
        <v>#VALUE!</v>
      </c>
      <c r="FP6" t="e">
        <f>'Equity or FI trade'!D137+"$GJ|!76"</f>
        <v>#VALUE!</v>
      </c>
      <c r="FQ6" t="e">
        <f>'Equity or FI trade'!E137+"$GJ|!77"</f>
        <v>#VALUE!</v>
      </c>
      <c r="FR6" t="e">
        <f>'Equity or FI trade'!F137+"$GJ|!78"</f>
        <v>#VALUE!</v>
      </c>
      <c r="FS6" t="e">
        <f>'Equity or FI trade'!G137+"$GJ|!79"</f>
        <v>#VALUE!</v>
      </c>
      <c r="FT6" t="e">
        <f>'Equity or FI trade'!A138+"$GJ|!7:"</f>
        <v>#VALUE!</v>
      </c>
      <c r="FU6" t="e">
        <f>'Equity or FI trade'!B138+"$GJ|!7;"</f>
        <v>#VALUE!</v>
      </c>
      <c r="FV6" t="e">
        <f>'Equity or FI trade'!C138+"$GJ|!7&lt;"</f>
        <v>#VALUE!</v>
      </c>
      <c r="FW6" t="e">
        <f>'Equity or FI trade'!D138+"$GJ|!7="</f>
        <v>#VALUE!</v>
      </c>
      <c r="FX6" t="e">
        <f>'Equity or FI trade'!E138+"$GJ|!7&gt;"</f>
        <v>#VALUE!</v>
      </c>
      <c r="FY6" t="e">
        <f>'Equity or FI trade'!F138+"$GJ|!7?"</f>
        <v>#VALUE!</v>
      </c>
      <c r="FZ6" t="e">
        <f>'Equity or FI trade'!G138+"$GJ|!7@"</f>
        <v>#VALUE!</v>
      </c>
      <c r="GA6" t="e">
        <f>'Equity or FI trade'!A139+"$GJ|!7A"</f>
        <v>#VALUE!</v>
      </c>
      <c r="GB6" t="e">
        <f>'Equity or FI trade'!B139+"$GJ|!7B"</f>
        <v>#VALUE!</v>
      </c>
      <c r="GC6" t="e">
        <f>'Equity or FI trade'!C139+"$GJ|!7C"</f>
        <v>#VALUE!</v>
      </c>
      <c r="GD6" t="e">
        <f>'Equity or FI trade'!D139+"$GJ|!7D"</f>
        <v>#VALUE!</v>
      </c>
      <c r="GE6" t="e">
        <f>'Equity or FI trade'!E139+"$GJ|!7E"</f>
        <v>#VALUE!</v>
      </c>
      <c r="GF6" t="e">
        <f>'Equity or FI trade'!F139+"$GJ|!7F"</f>
        <v>#VALUE!</v>
      </c>
      <c r="GG6" t="e">
        <f>'Equity or FI trade'!G139+"$GJ|!7G"</f>
        <v>#VALUE!</v>
      </c>
      <c r="GH6" t="e">
        <f>'Equity or FI trade'!A140+"$GJ|!7H"</f>
        <v>#VALUE!</v>
      </c>
      <c r="GI6" t="e">
        <f>'Equity or FI trade'!B140+"$GJ|!7I"</f>
        <v>#VALUE!</v>
      </c>
      <c r="GJ6" t="e">
        <f>'Equity or FI trade'!C140+"$GJ|!7J"</f>
        <v>#VALUE!</v>
      </c>
      <c r="GK6" t="e">
        <f>'Equity or FI trade'!D140+"$GJ|!7K"</f>
        <v>#VALUE!</v>
      </c>
      <c r="GL6" t="e">
        <f>'Equity or FI trade'!E140+"$GJ|!7L"</f>
        <v>#VALUE!</v>
      </c>
      <c r="GM6" t="e">
        <f>'Equity or FI trade'!F140+"$GJ|!7M"</f>
        <v>#VALUE!</v>
      </c>
      <c r="GN6" t="e">
        <f>'Equity or FI trade'!G140+"$GJ|!7N"</f>
        <v>#VALUE!</v>
      </c>
      <c r="GO6" t="e">
        <f>'Equity or FI trade'!A141+"$GJ|!7O"</f>
        <v>#VALUE!</v>
      </c>
      <c r="GP6" t="e">
        <f>'Equity or FI trade'!B141+"$GJ|!7P"</f>
        <v>#VALUE!</v>
      </c>
      <c r="GQ6" t="e">
        <f>'Equity or FI trade'!C141+"$GJ|!7Q"</f>
        <v>#VALUE!</v>
      </c>
      <c r="GR6" t="e">
        <f>'Equity or FI trade'!D141+"$GJ|!7R"</f>
        <v>#VALUE!</v>
      </c>
      <c r="GS6" t="e">
        <f>'Equity or FI trade'!E141+"$GJ|!7S"</f>
        <v>#VALUE!</v>
      </c>
      <c r="GT6" t="e">
        <f>'Equity or FI trade'!F141+"$GJ|!7T"</f>
        <v>#VALUE!</v>
      </c>
      <c r="GU6" t="e">
        <f>'Equity or FI trade'!G141+"$GJ|!7U"</f>
        <v>#VALUE!</v>
      </c>
      <c r="GV6" t="e">
        <f>'Equity or FI trade'!A142+"$GJ|!7V"</f>
        <v>#VALUE!</v>
      </c>
      <c r="GW6" t="e">
        <f>'Equity or FI trade'!B142+"$GJ|!7W"</f>
        <v>#VALUE!</v>
      </c>
      <c r="GX6" t="e">
        <f>'Equity or FI trade'!C142+"$GJ|!7X"</f>
        <v>#VALUE!</v>
      </c>
      <c r="GY6" t="e">
        <f>'Equity or FI trade'!D142+"$GJ|!7Y"</f>
        <v>#VALUE!</v>
      </c>
      <c r="GZ6" t="e">
        <f>'Equity or FI trade'!E142+"$GJ|!7Z"</f>
        <v>#VALUE!</v>
      </c>
      <c r="HA6" t="e">
        <f>'Equity or FI trade'!F142+"$GJ|!7["</f>
        <v>#VALUE!</v>
      </c>
      <c r="HB6" t="e">
        <f>'Equity or FI trade'!G142+"$GJ|!7\"</f>
        <v>#VALUE!</v>
      </c>
      <c r="HC6" t="e">
        <f>'Equity or FI trade'!A143+"$GJ|!7]"</f>
        <v>#VALUE!</v>
      </c>
      <c r="HD6" t="e">
        <f>'Equity or FI trade'!B143+"$GJ|!7^"</f>
        <v>#VALUE!</v>
      </c>
      <c r="HE6" t="e">
        <f>'Equity or FI trade'!C143+"$GJ|!7_"</f>
        <v>#VALUE!</v>
      </c>
      <c r="HF6" t="e">
        <f>'Equity or FI trade'!D143+"$GJ|!7`"</f>
        <v>#VALUE!</v>
      </c>
      <c r="HG6" t="e">
        <f>'Equity or FI trade'!E143+"$GJ|!7a"</f>
        <v>#VALUE!</v>
      </c>
      <c r="HH6" t="e">
        <f>'Equity or FI trade'!F143+"$GJ|!7b"</f>
        <v>#VALUE!</v>
      </c>
      <c r="HI6" t="e">
        <f>'Equity or FI trade'!G143+"$GJ|!7c"</f>
        <v>#VALUE!</v>
      </c>
      <c r="HJ6" t="e">
        <f>'Equity or FI trade'!A144+"$GJ|!7d"</f>
        <v>#VALUE!</v>
      </c>
      <c r="HK6" t="e">
        <f>'Equity or FI trade'!B144+"$GJ|!7e"</f>
        <v>#VALUE!</v>
      </c>
      <c r="HL6" t="e">
        <f>'Equity or FI trade'!C144+"$GJ|!7f"</f>
        <v>#VALUE!</v>
      </c>
      <c r="HM6" t="e">
        <f>'Equity or FI trade'!D144+"$GJ|!7g"</f>
        <v>#VALUE!</v>
      </c>
      <c r="HN6" t="e">
        <f>'Equity or FI trade'!E144+"$GJ|!7h"</f>
        <v>#VALUE!</v>
      </c>
      <c r="HO6" t="e">
        <f>'Equity or FI trade'!F144+"$GJ|!7i"</f>
        <v>#VALUE!</v>
      </c>
      <c r="HP6" t="e">
        <f>'Equity or FI trade'!G144+"$GJ|!7j"</f>
        <v>#VALUE!</v>
      </c>
      <c r="HQ6" t="e">
        <f>'Equity or FI trade'!A145+"$GJ|!7k"</f>
        <v>#VALUE!</v>
      </c>
      <c r="HR6" t="e">
        <f>'Equity or FI trade'!B145+"$GJ|!7l"</f>
        <v>#VALUE!</v>
      </c>
      <c r="HS6" t="e">
        <f>'Equity or FI trade'!C145+"$GJ|!7m"</f>
        <v>#VALUE!</v>
      </c>
      <c r="HT6" t="e">
        <f>'Equity or FI trade'!D145+"$GJ|!7n"</f>
        <v>#VALUE!</v>
      </c>
      <c r="HU6" t="e">
        <f>'Equity or FI trade'!E145+"$GJ|!7o"</f>
        <v>#VALUE!</v>
      </c>
      <c r="HV6" t="e">
        <f>'Equity or FI trade'!F145+"$GJ|!7p"</f>
        <v>#VALUE!</v>
      </c>
      <c r="HW6" t="e">
        <f>'Equity or FI trade'!G145+"$GJ|!7q"</f>
        <v>#VALUE!</v>
      </c>
      <c r="HX6" t="e">
        <f>'Equity or FI trade'!A146+"$GJ|!7r"</f>
        <v>#VALUE!</v>
      </c>
      <c r="HY6" t="e">
        <f>'Equity or FI trade'!B146+"$GJ|!7s"</f>
        <v>#VALUE!</v>
      </c>
      <c r="HZ6" t="e">
        <f>'Equity or FI trade'!C146+"$GJ|!7t"</f>
        <v>#VALUE!</v>
      </c>
      <c r="IA6" t="e">
        <f>'Equity or FI trade'!D146+"$GJ|!7u"</f>
        <v>#VALUE!</v>
      </c>
      <c r="IB6" t="e">
        <f>'Equity or FI trade'!E146+"$GJ|!7v"</f>
        <v>#VALUE!</v>
      </c>
      <c r="IC6" t="e">
        <f>'Equity or FI trade'!F146+"$GJ|!7w"</f>
        <v>#VALUE!</v>
      </c>
      <c r="ID6" t="e">
        <f>'Equity or FI trade'!G146+"$GJ|!7x"</f>
        <v>#VALUE!</v>
      </c>
      <c r="IE6" t="e">
        <f>'Equity or FI trade'!A147+"$GJ|!7y"</f>
        <v>#VALUE!</v>
      </c>
      <c r="IF6" t="e">
        <f>'Equity or FI trade'!B147+"$GJ|!7z"</f>
        <v>#VALUE!</v>
      </c>
      <c r="IG6" t="e">
        <f>'Equity or FI trade'!C147+"$GJ|!7{"</f>
        <v>#VALUE!</v>
      </c>
      <c r="IH6" t="e">
        <f>'Equity or FI trade'!D147+"$GJ|!7|"</f>
        <v>#VALUE!</v>
      </c>
      <c r="II6" t="e">
        <f>'Equity or FI trade'!E147+"$GJ|!7}"</f>
        <v>#VALUE!</v>
      </c>
      <c r="IJ6" t="e">
        <f>'Equity or FI trade'!F147+"$GJ|!7~"</f>
        <v>#VALUE!</v>
      </c>
      <c r="IK6" t="e">
        <f>'Equity or FI trade'!G147+"$GJ|!8#"</f>
        <v>#VALUE!</v>
      </c>
      <c r="IL6" t="e">
        <f>'Equity or FI trade'!A148+"$GJ|!8$"</f>
        <v>#VALUE!</v>
      </c>
      <c r="IM6" t="e">
        <f>'Equity or FI trade'!B148+"$GJ|!8%"</f>
        <v>#VALUE!</v>
      </c>
      <c r="IN6" t="e">
        <f>'Equity or FI trade'!C148+"$GJ|!8&amp;"</f>
        <v>#VALUE!</v>
      </c>
      <c r="IO6" t="e">
        <f>'Equity or FI trade'!D148+"$GJ|!8'"</f>
        <v>#VALUE!</v>
      </c>
      <c r="IP6" t="e">
        <f>'Equity or FI trade'!E148+"$GJ|!8("</f>
        <v>#VALUE!</v>
      </c>
      <c r="IQ6" t="e">
        <f>'Equity or FI trade'!F148+"$GJ|!8)"</f>
        <v>#VALUE!</v>
      </c>
      <c r="IR6" t="e">
        <f>'Equity or FI trade'!G148+"$GJ|!8."</f>
        <v>#VALUE!</v>
      </c>
      <c r="IS6" t="e">
        <f>'Equity or FI trade'!A149+"$GJ|!8/"</f>
        <v>#VALUE!</v>
      </c>
      <c r="IT6" t="e">
        <f>'Equity or FI trade'!B149+"$GJ|!80"</f>
        <v>#VALUE!</v>
      </c>
      <c r="IU6" t="e">
        <f>'Equity or FI trade'!C149+"$GJ|!81"</f>
        <v>#VALUE!</v>
      </c>
      <c r="IV6" t="e">
        <f>'Equity or FI trade'!D149+"$GJ|!82"</f>
        <v>#VALUE!</v>
      </c>
    </row>
    <row r="7" spans="1:256" x14ac:dyDescent="0.25">
      <c r="F7" t="e">
        <f>'Equity or FI trade'!E149+"$GJ|!83"</f>
        <v>#VALUE!</v>
      </c>
      <c r="G7" t="e">
        <f>'Equity or FI trade'!F149+"$GJ|!84"</f>
        <v>#VALUE!</v>
      </c>
      <c r="H7" t="e">
        <f>'Equity or FI trade'!G149+"$GJ|!85"</f>
        <v>#VALUE!</v>
      </c>
      <c r="I7" t="e">
        <f>'Equity or FI trade'!A150+"$GJ|!86"</f>
        <v>#VALUE!</v>
      </c>
      <c r="J7" t="e">
        <f>'Equity or FI trade'!B150+"$GJ|!87"</f>
        <v>#VALUE!</v>
      </c>
      <c r="K7" t="e">
        <f>'Equity or FI trade'!C150+"$GJ|!88"</f>
        <v>#VALUE!</v>
      </c>
      <c r="L7" t="e">
        <f>'Equity or FI trade'!D150+"$GJ|!89"</f>
        <v>#VALUE!</v>
      </c>
      <c r="M7" t="e">
        <f>'Equity or FI trade'!E150+"$GJ|!8:"</f>
        <v>#VALUE!</v>
      </c>
      <c r="N7" t="e">
        <f>'Equity or FI trade'!F150+"$GJ|!8;"</f>
        <v>#VALUE!</v>
      </c>
      <c r="O7" t="e">
        <f>'Equity or FI trade'!G150+"$GJ|!8&lt;"</f>
        <v>#VALUE!</v>
      </c>
      <c r="P7" t="e">
        <f>'Equity or FI trade'!A151+"$GJ|!8="</f>
        <v>#VALUE!</v>
      </c>
      <c r="Q7" t="e">
        <f>'Equity or FI trade'!B151+"$GJ|!8&gt;"</f>
        <v>#VALUE!</v>
      </c>
      <c r="R7" t="e">
        <f>'Equity or FI trade'!C151+"$GJ|!8?"</f>
        <v>#VALUE!</v>
      </c>
      <c r="S7" t="e">
        <f>'Equity or FI trade'!D151+"$GJ|!8@"</f>
        <v>#VALUE!</v>
      </c>
      <c r="T7" t="e">
        <f>'Equity or FI trade'!E151+"$GJ|!8A"</f>
        <v>#VALUE!</v>
      </c>
      <c r="U7" t="e">
        <f>'Equity or FI trade'!F151+"$GJ|!8B"</f>
        <v>#VALUE!</v>
      </c>
      <c r="V7" t="e">
        <f>'Equity or FI trade'!G151+"$GJ|!8C"</f>
        <v>#VALUE!</v>
      </c>
      <c r="W7" t="e">
        <f>'Equity or FI trade'!A152+"$GJ|!8D"</f>
        <v>#VALUE!</v>
      </c>
      <c r="X7" t="e">
        <f>'Equity or FI trade'!B152+"$GJ|!8E"</f>
        <v>#VALUE!</v>
      </c>
      <c r="Y7" t="e">
        <f>'Equity or FI trade'!C152+"$GJ|!8F"</f>
        <v>#VALUE!</v>
      </c>
      <c r="Z7" t="e">
        <f>'Equity or FI trade'!D152+"$GJ|!8G"</f>
        <v>#VALUE!</v>
      </c>
      <c r="AA7" t="e">
        <f>'Equity or FI trade'!E152+"$GJ|!8H"</f>
        <v>#VALUE!</v>
      </c>
      <c r="AB7" t="e">
        <f>'Equity or FI trade'!F152+"$GJ|!8I"</f>
        <v>#VALUE!</v>
      </c>
      <c r="AC7" t="e">
        <f>'Equity or FI trade'!G152+"$GJ|!8J"</f>
        <v>#VALUE!</v>
      </c>
      <c r="AD7" t="e">
        <f>'Equity or FI trade'!A153+"$GJ|!8K"</f>
        <v>#VALUE!</v>
      </c>
      <c r="AE7" t="e">
        <f>'Equity or FI trade'!B153+"$GJ|!8L"</f>
        <v>#VALUE!</v>
      </c>
      <c r="AF7" t="e">
        <f>'Equity or FI trade'!C153+"$GJ|!8M"</f>
        <v>#VALUE!</v>
      </c>
      <c r="AG7" t="e">
        <f>'Equity or FI trade'!D153+"$GJ|!8N"</f>
        <v>#VALUE!</v>
      </c>
      <c r="AH7" t="e">
        <f>'Equity or FI trade'!E153+"$GJ|!8O"</f>
        <v>#VALUE!</v>
      </c>
      <c r="AI7" t="e">
        <f>'Equity or FI trade'!F153+"$GJ|!8P"</f>
        <v>#VALUE!</v>
      </c>
      <c r="AJ7" t="e">
        <f>'Equity or FI trade'!G153+"$GJ|!8Q"</f>
        <v>#VALUE!</v>
      </c>
      <c r="AK7" t="e">
        <f>'Equity or FI trade'!A154+"$GJ|!8R"</f>
        <v>#VALUE!</v>
      </c>
      <c r="AL7" t="e">
        <f>'Equity or FI trade'!B154+"$GJ|!8S"</f>
        <v>#VALUE!</v>
      </c>
      <c r="AM7" t="e">
        <f>'Equity or FI trade'!C154+"$GJ|!8T"</f>
        <v>#VALUE!</v>
      </c>
      <c r="AN7" t="e">
        <f>'Equity or FI trade'!D154+"$GJ|!8U"</f>
        <v>#VALUE!</v>
      </c>
      <c r="AO7" t="e">
        <f>'Equity or FI trade'!E154+"$GJ|!8V"</f>
        <v>#VALUE!</v>
      </c>
      <c r="AP7" t="e">
        <f>'Equity or FI trade'!F154+"$GJ|!8W"</f>
        <v>#VALUE!</v>
      </c>
      <c r="AQ7" t="e">
        <f>'Equity or FI trade'!G154+"$GJ|!8X"</f>
        <v>#VALUE!</v>
      </c>
      <c r="AR7" t="e">
        <f>'Equity or FI trade'!A155+"$GJ|!8Y"</f>
        <v>#VALUE!</v>
      </c>
      <c r="AS7" t="e">
        <f>'Equity or FI trade'!B155+"$GJ|!8Z"</f>
        <v>#VALUE!</v>
      </c>
      <c r="AT7" t="e">
        <f>'Equity or FI trade'!C155+"$GJ|!8["</f>
        <v>#VALUE!</v>
      </c>
      <c r="AU7" t="e">
        <f>'Equity or FI trade'!D155+"$GJ|!8\"</f>
        <v>#VALUE!</v>
      </c>
      <c r="AV7" t="e">
        <f>'Equity or FI trade'!E155+"$GJ|!8]"</f>
        <v>#VALUE!</v>
      </c>
      <c r="AW7" t="e">
        <f>'Equity or FI trade'!F155+"$GJ|!8^"</f>
        <v>#VALUE!</v>
      </c>
      <c r="AX7" t="e">
        <f>'Equity or FI trade'!G155+"$GJ|!8_"</f>
        <v>#VALUE!</v>
      </c>
      <c r="AY7" t="e">
        <f>'Equity or FI trade'!A156+"$GJ|!8`"</f>
        <v>#VALUE!</v>
      </c>
      <c r="AZ7" t="e">
        <f>'Equity or FI trade'!B156+"$GJ|!8a"</f>
        <v>#VALUE!</v>
      </c>
      <c r="BA7" t="e">
        <f>'Equity or FI trade'!C156+"$GJ|!8b"</f>
        <v>#VALUE!</v>
      </c>
      <c r="BB7" t="e">
        <f>'Equity or FI trade'!D156+"$GJ|!8c"</f>
        <v>#VALUE!</v>
      </c>
      <c r="BC7" t="e">
        <f>'Equity or FI trade'!E156+"$GJ|!8d"</f>
        <v>#VALUE!</v>
      </c>
      <c r="BD7" t="e">
        <f>'Equity or FI trade'!F156+"$GJ|!8e"</f>
        <v>#VALUE!</v>
      </c>
      <c r="BE7" t="e">
        <f>'Equity or FI trade'!G156+"$GJ|!8f"</f>
        <v>#VALUE!</v>
      </c>
      <c r="BF7" t="e">
        <f>'Equity or FI trade'!A157+"$GJ|!8g"</f>
        <v>#VALUE!</v>
      </c>
      <c r="BG7" t="e">
        <f>'Equity or FI trade'!B157+"$GJ|!8h"</f>
        <v>#VALUE!</v>
      </c>
      <c r="BH7" t="e">
        <f>'Equity or FI trade'!C157+"$GJ|!8i"</f>
        <v>#VALUE!</v>
      </c>
      <c r="BI7" t="e">
        <f>'Equity or FI trade'!D157+"$GJ|!8j"</f>
        <v>#VALUE!</v>
      </c>
      <c r="BJ7" t="e">
        <f>'Equity or FI trade'!E157+"$GJ|!8k"</f>
        <v>#VALUE!</v>
      </c>
      <c r="BK7" t="e">
        <f>'Equity or FI trade'!F157+"$GJ|!8l"</f>
        <v>#VALUE!</v>
      </c>
      <c r="BL7" t="e">
        <f>'Equity or FI trade'!G157+"$GJ|!8m"</f>
        <v>#VALUE!</v>
      </c>
      <c r="BM7" t="e">
        <f>'Equity or FI trade'!A158+"$GJ|!8n"</f>
        <v>#VALUE!</v>
      </c>
      <c r="BN7" t="e">
        <f>'Equity or FI trade'!B158+"$GJ|!8o"</f>
        <v>#VALUE!</v>
      </c>
      <c r="BO7" t="e">
        <f>'Equity or FI trade'!C158+"$GJ|!8p"</f>
        <v>#VALUE!</v>
      </c>
      <c r="BP7" t="e">
        <f>'Equity or FI trade'!D158+"$GJ|!8q"</f>
        <v>#VALUE!</v>
      </c>
      <c r="BQ7" t="e">
        <f>'Equity or FI trade'!E158+"$GJ|!8r"</f>
        <v>#VALUE!</v>
      </c>
      <c r="BR7" t="e">
        <f>'Equity or FI trade'!F158+"$GJ|!8s"</f>
        <v>#VALUE!</v>
      </c>
      <c r="BS7" t="e">
        <f>'Equity or FI trade'!G158+"$GJ|!8t"</f>
        <v>#VALUE!</v>
      </c>
      <c r="BT7" t="e">
        <f>'Equity or FI trade'!A159+"$GJ|!8u"</f>
        <v>#VALUE!</v>
      </c>
      <c r="BU7" t="e">
        <f>'Equity or FI trade'!B159+"$GJ|!8v"</f>
        <v>#VALUE!</v>
      </c>
      <c r="BV7" t="e">
        <f>'Equity or FI trade'!C159+"$GJ|!8w"</f>
        <v>#VALUE!</v>
      </c>
      <c r="BW7" t="e">
        <f>'Equity or FI trade'!D159+"$GJ|!8x"</f>
        <v>#VALUE!</v>
      </c>
      <c r="BX7" t="e">
        <f>'Equity or FI trade'!E159+"$GJ|!8y"</f>
        <v>#VALUE!</v>
      </c>
      <c r="BY7" t="e">
        <f>'Equity or FI trade'!F159+"$GJ|!8z"</f>
        <v>#VALUE!</v>
      </c>
      <c r="BZ7" t="e">
        <f>'Equity or FI trade'!G159+"$GJ|!8{"</f>
        <v>#VALUE!</v>
      </c>
      <c r="CA7" t="e">
        <f>'Equity or FI trade'!A160+"$GJ|!8|"</f>
        <v>#VALUE!</v>
      </c>
      <c r="CB7" t="e">
        <f>'Equity or FI trade'!B160+"$GJ|!8}"</f>
        <v>#VALUE!</v>
      </c>
      <c r="CC7" t="e">
        <f>'Equity or FI trade'!C160+"$GJ|!8~"</f>
        <v>#VALUE!</v>
      </c>
      <c r="CD7" t="e">
        <f>'Equity or FI trade'!D160+"$GJ|!9#"</f>
        <v>#VALUE!</v>
      </c>
      <c r="CE7" t="e">
        <f>'Equity or FI trade'!E160+"$GJ|!9$"</f>
        <v>#VALUE!</v>
      </c>
      <c r="CF7" t="e">
        <f>'Equity or FI trade'!F160+"$GJ|!9%"</f>
        <v>#VALUE!</v>
      </c>
      <c r="CG7" t="e">
        <f>'Equity or FI trade'!G160+"$GJ|!9&amp;"</f>
        <v>#VALUE!</v>
      </c>
      <c r="CH7" t="e">
        <f>'Equity or FI trade'!A161+"$GJ|!9'"</f>
        <v>#VALUE!</v>
      </c>
      <c r="CI7" t="e">
        <f>'Equity or FI trade'!B161+"$GJ|!9("</f>
        <v>#VALUE!</v>
      </c>
      <c r="CJ7" t="e">
        <f>'Equity or FI trade'!C161+"$GJ|!9)"</f>
        <v>#VALUE!</v>
      </c>
      <c r="CK7" t="e">
        <f>'Equity or FI trade'!D161+"$GJ|!9."</f>
        <v>#VALUE!</v>
      </c>
      <c r="CL7" t="e">
        <f>'Equity or FI trade'!E161+"$GJ|!9/"</f>
        <v>#VALUE!</v>
      </c>
      <c r="CM7" t="e">
        <f>'Equity or FI trade'!F161+"$GJ|!90"</f>
        <v>#VALUE!</v>
      </c>
      <c r="CN7" t="e">
        <f>'Equity or FI trade'!G161+"$GJ|!91"</f>
        <v>#VALUE!</v>
      </c>
      <c r="CO7" t="e">
        <f>'Equity or FI trade'!A162+"$GJ|!92"</f>
        <v>#VALUE!</v>
      </c>
      <c r="CP7" t="e">
        <f>'Equity or FI trade'!B162+"$GJ|!93"</f>
        <v>#VALUE!</v>
      </c>
      <c r="CQ7" t="e">
        <f>'Equity or FI trade'!C162+"$GJ|!94"</f>
        <v>#VALUE!</v>
      </c>
      <c r="CR7" t="e">
        <f>'Equity or FI trade'!D162+"$GJ|!95"</f>
        <v>#VALUE!</v>
      </c>
      <c r="CS7" t="e">
        <f>'Equity or FI trade'!E162+"$GJ|!96"</f>
        <v>#VALUE!</v>
      </c>
      <c r="CT7" t="e">
        <f>'Equity or FI trade'!F162+"$GJ|!97"</f>
        <v>#VALUE!</v>
      </c>
      <c r="CU7" t="e">
        <f>'Equity or FI trade'!G162+"$GJ|!98"</f>
        <v>#VALUE!</v>
      </c>
      <c r="CV7" t="e">
        <f>'Equity or FI trade'!A163+"$GJ|!99"</f>
        <v>#VALUE!</v>
      </c>
      <c r="CW7" t="e">
        <f>'Equity or FI trade'!B163+"$GJ|!9:"</f>
        <v>#VALUE!</v>
      </c>
      <c r="CX7" t="e">
        <f>'Equity or FI trade'!C163+"$GJ|!9;"</f>
        <v>#VALUE!</v>
      </c>
      <c r="CY7" t="e">
        <f>'Equity or FI trade'!D163+"$GJ|!9&lt;"</f>
        <v>#VALUE!</v>
      </c>
      <c r="CZ7" t="e">
        <f>'Equity or FI trade'!E163+"$GJ|!9="</f>
        <v>#VALUE!</v>
      </c>
      <c r="DA7" t="e">
        <f>'Equity or FI trade'!F163+"$GJ|!9&gt;"</f>
        <v>#VALUE!</v>
      </c>
      <c r="DB7" t="e">
        <f>'Equity or FI trade'!G163+"$GJ|!9?"</f>
        <v>#VALUE!</v>
      </c>
      <c r="DC7" t="e">
        <f>'Equity or FI trade'!A164+"$GJ|!9@"</f>
        <v>#VALUE!</v>
      </c>
      <c r="DD7" t="e">
        <f>'Equity or FI trade'!B164+"$GJ|!9A"</f>
        <v>#VALUE!</v>
      </c>
      <c r="DE7" t="e">
        <f>'Equity or FI trade'!C164+"$GJ|!9B"</f>
        <v>#VALUE!</v>
      </c>
      <c r="DF7" t="e">
        <f>'Equity or FI trade'!D164+"$GJ|!9C"</f>
        <v>#VALUE!</v>
      </c>
      <c r="DG7" t="e">
        <f>'Equity or FI trade'!E164+"$GJ|!9D"</f>
        <v>#VALUE!</v>
      </c>
      <c r="DH7" t="e">
        <f>'Equity or FI trade'!F164+"$GJ|!9E"</f>
        <v>#VALUE!</v>
      </c>
      <c r="DI7" t="e">
        <f>'Equity or FI trade'!G164+"$GJ|!9F"</f>
        <v>#VALUE!</v>
      </c>
      <c r="DJ7" t="e">
        <f>'Equity or FI trade'!A165+"$GJ|!9G"</f>
        <v>#VALUE!</v>
      </c>
      <c r="DK7" t="e">
        <f>'Equity or FI trade'!B165+"$GJ|!9H"</f>
        <v>#VALUE!</v>
      </c>
      <c r="DL7" t="e">
        <f>'Equity or FI trade'!C165+"$GJ|!9I"</f>
        <v>#VALUE!</v>
      </c>
      <c r="DM7" t="e">
        <f>'Equity or FI trade'!D165+"$GJ|!9J"</f>
        <v>#VALUE!</v>
      </c>
      <c r="DN7" t="e">
        <f>'Equity or FI trade'!E165+"$GJ|!9K"</f>
        <v>#VALUE!</v>
      </c>
      <c r="DO7" t="e">
        <f>'Equity or FI trade'!F165+"$GJ|!9L"</f>
        <v>#VALUE!</v>
      </c>
      <c r="DP7" t="e">
        <f>'Equity or FI trade'!G165+"$GJ|!9M"</f>
        <v>#VALUE!</v>
      </c>
      <c r="DQ7" t="e">
        <f>'Equity or FI trade'!A166+"$GJ|!9N"</f>
        <v>#VALUE!</v>
      </c>
      <c r="DR7" t="e">
        <f>'Equity or FI trade'!B166+"$GJ|!9O"</f>
        <v>#VALUE!</v>
      </c>
      <c r="DS7" t="e">
        <f>'Equity or FI trade'!C166+"$GJ|!9P"</f>
        <v>#VALUE!</v>
      </c>
      <c r="DT7" t="e">
        <f>'Equity or FI trade'!D166+"$GJ|!9Q"</f>
        <v>#VALUE!</v>
      </c>
      <c r="DU7" t="e">
        <f>'Equity or FI trade'!E166+"$GJ|!9R"</f>
        <v>#VALUE!</v>
      </c>
      <c r="DV7" t="e">
        <f>'Equity or FI trade'!F166+"$GJ|!9S"</f>
        <v>#VALUE!</v>
      </c>
      <c r="DW7" t="e">
        <f>'Equity or FI trade'!G166+"$GJ|!9T"</f>
        <v>#VALUE!</v>
      </c>
      <c r="DX7" t="e">
        <f>'Equity or FI trade'!A167+"$GJ|!9U"</f>
        <v>#VALUE!</v>
      </c>
      <c r="DY7" t="e">
        <f>'Equity or FI trade'!B167+"$GJ|!9V"</f>
        <v>#VALUE!</v>
      </c>
      <c r="DZ7" t="e">
        <f>'Equity or FI trade'!C167+"$GJ|!9W"</f>
        <v>#VALUE!</v>
      </c>
      <c r="EA7" t="e">
        <f>'Equity or FI trade'!D167+"$GJ|!9X"</f>
        <v>#VALUE!</v>
      </c>
      <c r="EB7" t="e">
        <f>'Equity or FI trade'!E167+"$GJ|!9Y"</f>
        <v>#VALUE!</v>
      </c>
      <c r="EC7" t="e">
        <f>'Equity or FI trade'!F167+"$GJ|!9Z"</f>
        <v>#VALUE!</v>
      </c>
      <c r="ED7" t="e">
        <f>'Equity or FI trade'!G167+"$GJ|!9["</f>
        <v>#VALUE!</v>
      </c>
      <c r="EE7" t="e">
        <f>'Equity or FI trade'!A168+"$GJ|!9\"</f>
        <v>#VALUE!</v>
      </c>
      <c r="EF7" t="e">
        <f>'Equity or FI trade'!B168+"$GJ|!9]"</f>
        <v>#VALUE!</v>
      </c>
      <c r="EG7" t="e">
        <f>'Equity or FI trade'!C168+"$GJ|!9^"</f>
        <v>#VALUE!</v>
      </c>
      <c r="EH7" t="e">
        <f>'Equity or FI trade'!D168+"$GJ|!9_"</f>
        <v>#VALUE!</v>
      </c>
      <c r="EI7" t="e">
        <f>'Equity or FI trade'!E168+"$GJ|!9`"</f>
        <v>#VALUE!</v>
      </c>
      <c r="EJ7" t="e">
        <f>'Equity or FI trade'!F168+"$GJ|!9a"</f>
        <v>#VALUE!</v>
      </c>
      <c r="EK7" t="e">
        <f>'Equity or FI trade'!G168+"$GJ|!9b"</f>
        <v>#VALUE!</v>
      </c>
      <c r="EL7" t="e">
        <f>'Equity or FI trade'!A169+"$GJ|!9c"</f>
        <v>#VALUE!</v>
      </c>
      <c r="EM7" t="e">
        <f>'Equity or FI trade'!B169+"$GJ|!9d"</f>
        <v>#VALUE!</v>
      </c>
      <c r="EN7" t="e">
        <f>'Equity or FI trade'!C169+"$GJ|!9e"</f>
        <v>#VALUE!</v>
      </c>
      <c r="EO7" t="e">
        <f>'Equity or FI trade'!D169+"$GJ|!9f"</f>
        <v>#VALUE!</v>
      </c>
      <c r="EP7" t="e">
        <f>'Equity or FI trade'!E169+"$GJ|!9g"</f>
        <v>#VALUE!</v>
      </c>
      <c r="EQ7" t="e">
        <f>'Equity or FI trade'!F169+"$GJ|!9h"</f>
        <v>#VALUE!</v>
      </c>
      <c r="ER7" t="e">
        <f>'Equity or FI trade'!G169+"$GJ|!9i"</f>
        <v>#VALUE!</v>
      </c>
      <c r="ES7" t="e">
        <f>'Equity or FI trade'!A170+"$GJ|!9j"</f>
        <v>#VALUE!</v>
      </c>
      <c r="ET7" t="e">
        <f>'Equity or FI trade'!B170+"$GJ|!9k"</f>
        <v>#VALUE!</v>
      </c>
      <c r="EU7" t="e">
        <f>'Equity or FI trade'!C170+"$GJ|!9l"</f>
        <v>#VALUE!</v>
      </c>
      <c r="EV7" t="e">
        <f>'Equity or FI trade'!D170+"$GJ|!9m"</f>
        <v>#VALUE!</v>
      </c>
      <c r="EW7" t="e">
        <f>'Equity or FI trade'!E170+"$GJ|!9n"</f>
        <v>#VALUE!</v>
      </c>
      <c r="EX7" t="e">
        <f>'Equity or FI trade'!F170+"$GJ|!9o"</f>
        <v>#VALUE!</v>
      </c>
      <c r="EY7" t="e">
        <f>'Equity or FI trade'!G170+"$GJ|!9p"</f>
        <v>#VALUE!</v>
      </c>
      <c r="EZ7" t="e">
        <f>'Equity or FI trade'!A171+"$GJ|!9q"</f>
        <v>#VALUE!</v>
      </c>
      <c r="FA7" t="e">
        <f>'Equity or FI trade'!B171+"$GJ|!9r"</f>
        <v>#VALUE!</v>
      </c>
      <c r="FB7" t="e">
        <f>'Equity or FI trade'!C171+"$GJ|!9s"</f>
        <v>#VALUE!</v>
      </c>
      <c r="FC7" t="e">
        <f>'Equity or FI trade'!D171+"$GJ|!9t"</f>
        <v>#VALUE!</v>
      </c>
      <c r="FD7" t="e">
        <f>'Equity or FI trade'!E171+"$GJ|!9u"</f>
        <v>#VALUE!</v>
      </c>
      <c r="FE7" t="e">
        <f>'Equity or FI trade'!F171+"$GJ|!9v"</f>
        <v>#VALUE!</v>
      </c>
      <c r="FF7" t="e">
        <f>'Equity or FI trade'!G171+"$GJ|!9w"</f>
        <v>#VALUE!</v>
      </c>
      <c r="FG7" t="e">
        <f>'Equity or FI trade'!A172+"$GJ|!9x"</f>
        <v>#VALUE!</v>
      </c>
      <c r="FH7" t="e">
        <f>'Equity or FI trade'!B172+"$GJ|!9y"</f>
        <v>#VALUE!</v>
      </c>
      <c r="FI7" t="e">
        <f>'Equity or FI trade'!C172+"$GJ|!9z"</f>
        <v>#VALUE!</v>
      </c>
      <c r="FJ7" t="e">
        <f>'Equity or FI trade'!D172+"$GJ|!9{"</f>
        <v>#VALUE!</v>
      </c>
      <c r="FK7" t="e">
        <f>'Equity or FI trade'!E172+"$GJ|!9|"</f>
        <v>#VALUE!</v>
      </c>
      <c r="FL7" t="e">
        <f>'Equity or FI trade'!F172+"$GJ|!9}"</f>
        <v>#VALUE!</v>
      </c>
      <c r="FM7" t="e">
        <f>'Equity or FI trade'!G172+"$GJ|!9~"</f>
        <v>#VALUE!</v>
      </c>
      <c r="FN7" t="e">
        <f>'Equity or FI trade'!A173+"$GJ|!:#"</f>
        <v>#VALUE!</v>
      </c>
      <c r="FO7" t="e">
        <f>'Equity or FI trade'!B173+"$GJ|!:$"</f>
        <v>#VALUE!</v>
      </c>
      <c r="FP7" t="e">
        <f>'Equity or FI trade'!C173+"$GJ|!:%"</f>
        <v>#VALUE!</v>
      </c>
      <c r="FQ7" t="e">
        <f>'Equity or FI trade'!D173+"$GJ|!:&amp;"</f>
        <v>#VALUE!</v>
      </c>
      <c r="FR7" t="e">
        <f>'Equity or FI trade'!E173+"$GJ|!:'"</f>
        <v>#VALUE!</v>
      </c>
      <c r="FS7" t="e">
        <f>'Equity or FI trade'!F173+"$GJ|!:("</f>
        <v>#VALUE!</v>
      </c>
      <c r="FT7" t="e">
        <f>'Equity or FI trade'!G173+"$GJ|!:)"</f>
        <v>#VALUE!</v>
      </c>
      <c r="FU7" t="e">
        <f>'Equity or FI trade'!A174+"$GJ|!:."</f>
        <v>#VALUE!</v>
      </c>
      <c r="FV7" t="e">
        <f>'Equity or FI trade'!B174+"$GJ|!:/"</f>
        <v>#VALUE!</v>
      </c>
      <c r="FW7" t="e">
        <f>'Equity or FI trade'!C174+"$GJ|!:0"</f>
        <v>#VALUE!</v>
      </c>
      <c r="FX7" t="e">
        <f>'Equity or FI trade'!D174+"$GJ|!:1"</f>
        <v>#VALUE!</v>
      </c>
      <c r="FY7" t="e">
        <f>'Equity or FI trade'!E174+"$GJ|!:2"</f>
        <v>#VALUE!</v>
      </c>
      <c r="FZ7" t="e">
        <f>'Equity or FI trade'!F174+"$GJ|!:3"</f>
        <v>#VALUE!</v>
      </c>
      <c r="GA7" t="e">
        <f>'Equity or FI trade'!G174+"$GJ|!:4"</f>
        <v>#VALUE!</v>
      </c>
      <c r="GB7" t="e">
        <f>'Equity or FI trade'!A175+"$GJ|!:5"</f>
        <v>#VALUE!</v>
      </c>
      <c r="GC7" t="e">
        <f>'Equity or FI trade'!B175+"$GJ|!:6"</f>
        <v>#VALUE!</v>
      </c>
      <c r="GD7" t="e">
        <f>'Equity or FI trade'!C175+"$GJ|!:7"</f>
        <v>#VALUE!</v>
      </c>
      <c r="GE7" t="e">
        <f>'Equity or FI trade'!D175+"$GJ|!:8"</f>
        <v>#VALUE!</v>
      </c>
      <c r="GF7" t="e">
        <f>'Equity or FI trade'!E175+"$GJ|!:9"</f>
        <v>#VALUE!</v>
      </c>
      <c r="GG7" t="e">
        <f>'Equity or FI trade'!F175+"$GJ|!::"</f>
        <v>#VALUE!</v>
      </c>
      <c r="GH7" t="e">
        <f>'Equity or FI trade'!G175+"$GJ|!:;"</f>
        <v>#VALUE!</v>
      </c>
      <c r="GI7" t="e">
        <f>'Equity or FI trade'!A176+"$GJ|!:&lt;"</f>
        <v>#VALUE!</v>
      </c>
      <c r="GJ7" t="e">
        <f>'Equity or FI trade'!B176+"$GJ|!:="</f>
        <v>#VALUE!</v>
      </c>
      <c r="GK7" t="e">
        <f>'Equity or FI trade'!C176+"$GJ|!:&gt;"</f>
        <v>#VALUE!</v>
      </c>
      <c r="GL7" t="e">
        <f>'Equity or FI trade'!D176+"$GJ|!:?"</f>
        <v>#VALUE!</v>
      </c>
      <c r="GM7" t="e">
        <f>'Equity or FI trade'!E176+"$GJ|!:@"</f>
        <v>#VALUE!</v>
      </c>
      <c r="GN7" t="e">
        <f>'Equity or FI trade'!F176+"$GJ|!:A"</f>
        <v>#VALUE!</v>
      </c>
      <c r="GO7" t="e">
        <f>'Equity or FI trade'!G176+"$GJ|!:B"</f>
        <v>#VALUE!</v>
      </c>
      <c r="GP7" t="e">
        <f>'Equity or FI trade'!A177+"$GJ|!:C"</f>
        <v>#VALUE!</v>
      </c>
      <c r="GQ7" t="e">
        <f>'Equity or FI trade'!B177+"$GJ|!:D"</f>
        <v>#VALUE!</v>
      </c>
      <c r="GR7" t="e">
        <f>'Equity or FI trade'!C177+"$GJ|!:E"</f>
        <v>#VALUE!</v>
      </c>
      <c r="GS7" t="e">
        <f>'Equity or FI trade'!D177+"$GJ|!:F"</f>
        <v>#VALUE!</v>
      </c>
      <c r="GT7" t="e">
        <f>'Equity or FI trade'!E177+"$GJ|!:G"</f>
        <v>#VALUE!</v>
      </c>
      <c r="GU7" t="e">
        <f>'Equity or FI trade'!F177+"$GJ|!:H"</f>
        <v>#VALUE!</v>
      </c>
      <c r="GV7" t="e">
        <f>'Equity or FI trade'!G177+"$GJ|!:I"</f>
        <v>#VALUE!</v>
      </c>
      <c r="GW7" t="e">
        <f>'Equity or FI trade'!A178+"$GJ|!:J"</f>
        <v>#VALUE!</v>
      </c>
      <c r="GX7" t="e">
        <f>'Equity or FI trade'!B178+"$GJ|!:K"</f>
        <v>#VALUE!</v>
      </c>
      <c r="GY7" t="e">
        <f>'Equity or FI trade'!C178+"$GJ|!:L"</f>
        <v>#VALUE!</v>
      </c>
      <c r="GZ7" t="e">
        <f>'Equity or FI trade'!D178+"$GJ|!:M"</f>
        <v>#VALUE!</v>
      </c>
      <c r="HA7" t="e">
        <f>'Equity or FI trade'!E178+"$GJ|!:N"</f>
        <v>#VALUE!</v>
      </c>
      <c r="HB7" t="e">
        <f>'Equity or FI trade'!F178+"$GJ|!:O"</f>
        <v>#VALUE!</v>
      </c>
      <c r="HC7" t="e">
        <f>'Equity or FI trade'!G178+"$GJ|!:P"</f>
        <v>#VALUE!</v>
      </c>
      <c r="HD7" t="e">
        <f>'Equity or FI trade'!A179+"$GJ|!:Q"</f>
        <v>#VALUE!</v>
      </c>
      <c r="HE7" t="e">
        <f>'Equity or FI trade'!B179+"$GJ|!:R"</f>
        <v>#VALUE!</v>
      </c>
      <c r="HF7" t="e">
        <f>'Equity or FI trade'!C179+"$GJ|!:S"</f>
        <v>#VALUE!</v>
      </c>
      <c r="HG7" t="e">
        <f>'Equity or FI trade'!D179+"$GJ|!:T"</f>
        <v>#VALUE!</v>
      </c>
      <c r="HH7" t="e">
        <f>'Equity or FI trade'!E179+"$GJ|!:U"</f>
        <v>#VALUE!</v>
      </c>
      <c r="HI7" t="e">
        <f>'Equity or FI trade'!F179+"$GJ|!:V"</f>
        <v>#VALUE!</v>
      </c>
      <c r="HJ7" t="e">
        <f>'Equity or FI trade'!G179+"$GJ|!:W"</f>
        <v>#VALUE!</v>
      </c>
      <c r="HK7" t="e">
        <f>'Equity or FI trade'!A180+"$GJ|!:X"</f>
        <v>#VALUE!</v>
      </c>
      <c r="HL7" t="e">
        <f>'Equity or FI trade'!B180+"$GJ|!:Y"</f>
        <v>#VALUE!</v>
      </c>
      <c r="HM7" t="e">
        <f>'Equity or FI trade'!C180+"$GJ|!:Z"</f>
        <v>#VALUE!</v>
      </c>
      <c r="HN7" t="e">
        <f>'Equity or FI trade'!D180+"$GJ|!:["</f>
        <v>#VALUE!</v>
      </c>
      <c r="HO7" t="e">
        <f>'Equity or FI trade'!E180+"$GJ|!:\"</f>
        <v>#VALUE!</v>
      </c>
      <c r="HP7" t="e">
        <f>'Equity or FI trade'!F180+"$GJ|!:]"</f>
        <v>#VALUE!</v>
      </c>
      <c r="HQ7" t="e">
        <f>'Equity or FI trade'!G180+"$GJ|!:^"</f>
        <v>#VALUE!</v>
      </c>
      <c r="HR7" t="e">
        <f>'Equity or FI trade'!A181+"$GJ|!:_"</f>
        <v>#VALUE!</v>
      </c>
      <c r="HS7" t="e">
        <f>'Equity or FI trade'!B181+"$GJ|!:`"</f>
        <v>#VALUE!</v>
      </c>
      <c r="HT7" t="e">
        <f>'Equity or FI trade'!C181+"$GJ|!:a"</f>
        <v>#VALUE!</v>
      </c>
      <c r="HU7" t="e">
        <f>'Equity or FI trade'!D181+"$GJ|!:b"</f>
        <v>#VALUE!</v>
      </c>
      <c r="HV7" t="e">
        <f>'Equity or FI trade'!F181+"$GJ|!:c"</f>
        <v>#VALUE!</v>
      </c>
      <c r="HW7" t="e">
        <f>'Equity or FI trade'!G181+"$GJ|!:d"</f>
        <v>#VALUE!</v>
      </c>
      <c r="HX7" t="e">
        <f>'Equity or FI trade'!A182+"$GJ|!:e"</f>
        <v>#VALUE!</v>
      </c>
      <c r="HY7" t="e">
        <f>'Equity or FI trade'!B182+"$GJ|!:f"</f>
        <v>#VALUE!</v>
      </c>
      <c r="HZ7" t="e">
        <f>'Equity or FI trade'!C182+"$GJ|!:g"</f>
        <v>#VALUE!</v>
      </c>
      <c r="IA7" t="e">
        <f>'Equity or FI trade'!D182+"$GJ|!:h"</f>
        <v>#VALUE!</v>
      </c>
      <c r="IB7" t="e">
        <f>'Equity or FI trade'!E182+"$GJ|!:i"</f>
        <v>#VALUE!</v>
      </c>
      <c r="IC7" t="e">
        <f>'Equity or FI trade'!F182+"$GJ|!:j"</f>
        <v>#VALUE!</v>
      </c>
      <c r="ID7" t="e">
        <f>'Equity or FI trade'!G182+"$GJ|!:k"</f>
        <v>#VALUE!</v>
      </c>
      <c r="IE7" t="e">
        <f>'Equity or FI trade'!A183+"$GJ|!:l"</f>
        <v>#VALUE!</v>
      </c>
      <c r="IF7" t="e">
        <f>'Equity or FI trade'!B183+"$GJ|!:m"</f>
        <v>#VALUE!</v>
      </c>
      <c r="IG7" t="e">
        <f>'Equity or FI trade'!C183+"$GJ|!:n"</f>
        <v>#VALUE!</v>
      </c>
      <c r="IH7" t="e">
        <f>'Equity or FI trade'!D183+"$GJ|!:o"</f>
        <v>#VALUE!</v>
      </c>
      <c r="II7" t="e">
        <f>'Equity or FI trade'!E183+"$GJ|!:p"</f>
        <v>#VALUE!</v>
      </c>
      <c r="IJ7" t="e">
        <f>'Equity or FI trade'!F183+"$GJ|!:q"</f>
        <v>#VALUE!</v>
      </c>
      <c r="IK7" t="e">
        <f>'Equity or FI trade'!G183+"$GJ|!:r"</f>
        <v>#VALUE!</v>
      </c>
      <c r="IL7" t="e">
        <f>'Equity or FI trade'!A184+"$GJ|!:s"</f>
        <v>#VALUE!</v>
      </c>
      <c r="IM7" t="e">
        <f>'Equity or FI trade'!B184+"$GJ|!:t"</f>
        <v>#VALUE!</v>
      </c>
      <c r="IN7" t="e">
        <f>'Equity or FI trade'!C184+"$GJ|!:u"</f>
        <v>#VALUE!</v>
      </c>
      <c r="IO7" t="e">
        <f>'Equity or FI trade'!D184+"$GJ|!:v"</f>
        <v>#VALUE!</v>
      </c>
      <c r="IP7" t="e">
        <f>'Equity or FI trade'!E184+"$GJ|!:w"</f>
        <v>#VALUE!</v>
      </c>
      <c r="IQ7" t="e">
        <f>'Equity or FI trade'!F184+"$GJ|!:x"</f>
        <v>#VALUE!</v>
      </c>
      <c r="IR7" t="e">
        <f>'Equity or FI trade'!G184+"$GJ|!:y"</f>
        <v>#VALUE!</v>
      </c>
      <c r="IS7" t="e">
        <f>'Equity or FI trade'!A185+"$GJ|!:z"</f>
        <v>#VALUE!</v>
      </c>
      <c r="IT7" t="e">
        <f>'Equity or FI trade'!B185+"$GJ|!:{"</f>
        <v>#VALUE!</v>
      </c>
      <c r="IU7" t="e">
        <f>'Equity or FI trade'!C185+"$GJ|!:|"</f>
        <v>#VALUE!</v>
      </c>
      <c r="IV7" t="e">
        <f>'Equity or FI trade'!D185+"$GJ|!:}"</f>
        <v>#VALUE!</v>
      </c>
    </row>
    <row r="8" spans="1:256" x14ac:dyDescent="0.25">
      <c r="F8" t="e">
        <f>'Equity or FI trade'!E185+"$GJ|!:~"</f>
        <v>#VALUE!</v>
      </c>
      <c r="G8" t="e">
        <f>'Equity or FI trade'!F185+"$GJ|!;#"</f>
        <v>#VALUE!</v>
      </c>
      <c r="H8" t="e">
        <f>'Equity or FI trade'!G185+"$GJ|!;$"</f>
        <v>#VALUE!</v>
      </c>
      <c r="I8" t="e">
        <f>'Equity or FI trade'!A186+"$GJ|!;%"</f>
        <v>#VALUE!</v>
      </c>
      <c r="J8" t="e">
        <f>'Equity or FI trade'!B186+"$GJ|!;&amp;"</f>
        <v>#VALUE!</v>
      </c>
      <c r="K8" t="e">
        <f>'Equity or FI trade'!C186+"$GJ|!;'"</f>
        <v>#VALUE!</v>
      </c>
      <c r="L8" t="e">
        <f>'Equity or FI trade'!D186+"$GJ|!;("</f>
        <v>#VALUE!</v>
      </c>
      <c r="M8" t="e">
        <f>'Equity or FI trade'!E186+"$GJ|!;)"</f>
        <v>#VALUE!</v>
      </c>
      <c r="N8" t="e">
        <f>'Equity or FI trade'!F186+"$GJ|!;."</f>
        <v>#VALUE!</v>
      </c>
      <c r="O8" t="e">
        <f>'Equity or FI trade'!G186+"$GJ|!;/"</f>
        <v>#VALUE!</v>
      </c>
      <c r="P8" t="e">
        <f>'Equity or FI trade'!A187+"$GJ|!;0"</f>
        <v>#VALUE!</v>
      </c>
      <c r="Q8" t="e">
        <f>'Equity or FI trade'!B187+"$GJ|!;1"</f>
        <v>#VALUE!</v>
      </c>
      <c r="R8" t="e">
        <f>'Equity or FI trade'!C187+"$GJ|!;2"</f>
        <v>#VALUE!</v>
      </c>
      <c r="S8" t="e">
        <f>'Equity or FI trade'!D187+"$GJ|!;3"</f>
        <v>#VALUE!</v>
      </c>
      <c r="T8" t="e">
        <f>'Equity or FI trade'!E187+"$GJ|!;4"</f>
        <v>#VALUE!</v>
      </c>
      <c r="U8" t="e">
        <f>'Equity or FI trade'!F187+"$GJ|!;5"</f>
        <v>#VALUE!</v>
      </c>
      <c r="V8" t="e">
        <f>'Equity or FI trade'!G187+"$GJ|!;6"</f>
        <v>#VALUE!</v>
      </c>
      <c r="W8" t="e">
        <f>'Equity or FI trade'!A188+"$GJ|!;7"</f>
        <v>#VALUE!</v>
      </c>
      <c r="X8" t="e">
        <f>'Equity or FI trade'!B188+"$GJ|!;8"</f>
        <v>#VALUE!</v>
      </c>
      <c r="Y8" t="e">
        <f>'Equity or FI trade'!C188+"$GJ|!;9"</f>
        <v>#VALUE!</v>
      </c>
      <c r="Z8" t="e">
        <f>'Equity or FI trade'!D188+"$GJ|!;:"</f>
        <v>#VALUE!</v>
      </c>
      <c r="AA8" t="e">
        <f>'Equity or FI trade'!E188+"$GJ|!;;"</f>
        <v>#VALUE!</v>
      </c>
      <c r="AB8" t="e">
        <f>'Equity or FI trade'!F188+"$GJ|!;&lt;"</f>
        <v>#VALUE!</v>
      </c>
      <c r="AC8" t="e">
        <f>'Equity or FI trade'!G188+"$GJ|!;="</f>
        <v>#VALUE!</v>
      </c>
      <c r="AD8" t="e">
        <f>'Equity or FI trade'!A189+"$GJ|!;&gt;"</f>
        <v>#VALUE!</v>
      </c>
      <c r="AE8" t="e">
        <f>'Equity or FI trade'!B189+"$GJ|!;?"</f>
        <v>#VALUE!</v>
      </c>
      <c r="AF8" t="e">
        <f>'Equity or FI trade'!C189+"$GJ|!;@"</f>
        <v>#VALUE!</v>
      </c>
      <c r="AG8" t="e">
        <f>'Equity or FI trade'!D189+"$GJ|!;A"</f>
        <v>#VALUE!</v>
      </c>
      <c r="AH8" t="e">
        <f>'Equity or FI trade'!E189+"$GJ|!;B"</f>
        <v>#VALUE!</v>
      </c>
      <c r="AI8" t="e">
        <f>'Equity or FI trade'!F189+"$GJ|!;C"</f>
        <v>#VALUE!</v>
      </c>
      <c r="AJ8" t="e">
        <f>'Equity or FI trade'!G189+"$GJ|!;D"</f>
        <v>#VALUE!</v>
      </c>
      <c r="AK8" t="e">
        <f>'Equity or FI trade'!A190+"$GJ|!;E"</f>
        <v>#VALUE!</v>
      </c>
      <c r="AL8" t="e">
        <f>'Equity or FI trade'!B190+"$GJ|!;F"</f>
        <v>#VALUE!</v>
      </c>
      <c r="AM8" t="e">
        <f>'Equity or FI trade'!C190+"$GJ|!;G"</f>
        <v>#VALUE!</v>
      </c>
      <c r="AN8" t="e">
        <f>'Equity or FI trade'!D190+"$GJ|!;H"</f>
        <v>#VALUE!</v>
      </c>
      <c r="AO8" t="e">
        <f>'Equity or FI trade'!E190+"$GJ|!;I"</f>
        <v>#VALUE!</v>
      </c>
      <c r="AP8" t="e">
        <f>'Equity or FI trade'!F190+"$GJ|!;J"</f>
        <v>#VALUE!</v>
      </c>
      <c r="AQ8" t="e">
        <f>'Equity or FI trade'!G190+"$GJ|!;K"</f>
        <v>#VALUE!</v>
      </c>
      <c r="AR8" t="e">
        <f>'Equity or FI trade'!A191+"$GJ|!;L"</f>
        <v>#VALUE!</v>
      </c>
      <c r="AS8" t="e">
        <f>'Equity or FI trade'!B191+"$GJ|!;M"</f>
        <v>#VALUE!</v>
      </c>
      <c r="AT8" t="e">
        <f>'Equity or FI trade'!C191+"$GJ|!;N"</f>
        <v>#VALUE!</v>
      </c>
      <c r="AU8" t="e">
        <f>'Equity or FI trade'!D191+"$GJ|!;O"</f>
        <v>#VALUE!</v>
      </c>
      <c r="AV8" t="e">
        <f>'Equity or FI trade'!E191+"$GJ|!;P"</f>
        <v>#VALUE!</v>
      </c>
      <c r="AW8" t="e">
        <f>'Equity or FI trade'!F191+"$GJ|!;Q"</f>
        <v>#VALUE!</v>
      </c>
      <c r="AX8" t="e">
        <f>'Equity or FI trade'!G191+"$GJ|!;R"</f>
        <v>#VALUE!</v>
      </c>
      <c r="AY8" t="e">
        <f>'Equity or FI trade'!A192+"$GJ|!;S"</f>
        <v>#VALUE!</v>
      </c>
      <c r="AZ8" t="e">
        <f>'Equity or FI trade'!B192+"$GJ|!;T"</f>
        <v>#VALUE!</v>
      </c>
      <c r="BA8" t="e">
        <f>'Equity or FI trade'!C192+"$GJ|!;U"</f>
        <v>#VALUE!</v>
      </c>
      <c r="BB8" t="e">
        <f>'Equity or FI trade'!D192+"$GJ|!;V"</f>
        <v>#VALUE!</v>
      </c>
      <c r="BC8" t="e">
        <f>'Equity or FI trade'!E192+"$GJ|!;W"</f>
        <v>#VALUE!</v>
      </c>
      <c r="BD8" t="e">
        <f>'Equity or FI trade'!F192+"$GJ|!;X"</f>
        <v>#VALUE!</v>
      </c>
      <c r="BE8" t="e">
        <f>'Equity or FI trade'!G192+"$GJ|!;Y"</f>
        <v>#VALUE!</v>
      </c>
      <c r="BF8" t="e">
        <f>'Equity or FI trade'!A193+"$GJ|!;Z"</f>
        <v>#VALUE!</v>
      </c>
      <c r="BG8" t="e">
        <f>'Equity or FI trade'!B193+"$GJ|!;["</f>
        <v>#VALUE!</v>
      </c>
      <c r="BH8" t="e">
        <f>'Equity or FI trade'!C193+"$GJ|!;\"</f>
        <v>#VALUE!</v>
      </c>
      <c r="BI8" t="e">
        <f>'Equity or FI trade'!D193+"$GJ|!;]"</f>
        <v>#VALUE!</v>
      </c>
      <c r="BJ8" t="e">
        <f>'Equity or FI trade'!E193+"$GJ|!;^"</f>
        <v>#VALUE!</v>
      </c>
      <c r="BK8" t="e">
        <f>'Equity or FI trade'!F193+"$GJ|!;_"</f>
        <v>#VALUE!</v>
      </c>
      <c r="BL8" t="e">
        <f>'Equity or FI trade'!G193+"$GJ|!;`"</f>
        <v>#VALUE!</v>
      </c>
      <c r="BM8" t="e">
        <f>'Equity or FI trade'!A194+"$GJ|!;a"</f>
        <v>#VALUE!</v>
      </c>
      <c r="BN8" t="e">
        <f>'Equity or FI trade'!B194+"$GJ|!;b"</f>
        <v>#VALUE!</v>
      </c>
      <c r="BO8" t="e">
        <f>'Equity or FI trade'!C194+"$GJ|!;c"</f>
        <v>#VALUE!</v>
      </c>
      <c r="BP8" t="e">
        <f>'Equity or FI trade'!D194+"$GJ|!;d"</f>
        <v>#VALUE!</v>
      </c>
      <c r="BQ8" t="e">
        <f>'Equity or FI trade'!E194+"$GJ|!;e"</f>
        <v>#VALUE!</v>
      </c>
      <c r="BR8" t="e">
        <f>'Equity or FI trade'!F194+"$GJ|!;f"</f>
        <v>#VALUE!</v>
      </c>
      <c r="BS8" t="e">
        <f>'Equity or FI trade'!G194+"$GJ|!;g"</f>
        <v>#VALUE!</v>
      </c>
      <c r="BT8" t="e">
        <f>'Equity or FI trade'!A195+"$GJ|!;h"</f>
        <v>#VALUE!</v>
      </c>
      <c r="BU8" t="e">
        <f>'Equity or FI trade'!B195+"$GJ|!;i"</f>
        <v>#VALUE!</v>
      </c>
      <c r="BV8" t="e">
        <f>'Equity or FI trade'!C195+"$GJ|!;j"</f>
        <v>#VALUE!</v>
      </c>
      <c r="BW8" t="e">
        <f>'Equity or FI trade'!D195+"$GJ|!;k"</f>
        <v>#VALUE!</v>
      </c>
      <c r="BX8" t="e">
        <f>'Equity or FI trade'!E195+"$GJ|!;l"</f>
        <v>#VALUE!</v>
      </c>
      <c r="BY8" t="e">
        <f>'Equity or FI trade'!F195+"$GJ|!;m"</f>
        <v>#VALUE!</v>
      </c>
      <c r="BZ8" t="e">
        <f>'Equity or FI trade'!G195+"$GJ|!;n"</f>
        <v>#VALUE!</v>
      </c>
      <c r="CA8" t="e">
        <f>'Equity or FI trade'!A196+"$GJ|!;o"</f>
        <v>#VALUE!</v>
      </c>
      <c r="CB8" t="e">
        <f>'Equity or FI trade'!B196+"$GJ|!;p"</f>
        <v>#VALUE!</v>
      </c>
      <c r="CC8" t="e">
        <f>'Equity or FI trade'!C196+"$GJ|!;q"</f>
        <v>#VALUE!</v>
      </c>
      <c r="CD8" t="e">
        <f>'Equity or FI trade'!D196+"$GJ|!;r"</f>
        <v>#VALUE!</v>
      </c>
      <c r="CE8" t="e">
        <f>'Equity or FI trade'!E196+"$GJ|!;s"</f>
        <v>#VALUE!</v>
      </c>
      <c r="CF8" t="e">
        <f>'Equity or FI trade'!F196+"$GJ|!;t"</f>
        <v>#VALUE!</v>
      </c>
      <c r="CG8" t="e">
        <f>'Equity or FI trade'!G196+"$GJ|!;u"</f>
        <v>#VALUE!</v>
      </c>
      <c r="CH8" t="e">
        <f>'Equity or FI trade'!A197+"$GJ|!;v"</f>
        <v>#VALUE!</v>
      </c>
      <c r="CI8" t="e">
        <f>'Equity or FI trade'!B197+"$GJ|!;w"</f>
        <v>#VALUE!</v>
      </c>
      <c r="CJ8" t="e">
        <f>'Equity or FI trade'!C197+"$GJ|!;x"</f>
        <v>#VALUE!</v>
      </c>
      <c r="CK8" t="e">
        <f>'Equity or FI trade'!D197+"$GJ|!;y"</f>
        <v>#VALUE!</v>
      </c>
      <c r="CL8" t="e">
        <f>'Equity or FI trade'!E197+"$GJ|!;z"</f>
        <v>#VALUE!</v>
      </c>
      <c r="CM8" t="e">
        <f>'Equity or FI trade'!F197+"$GJ|!;{"</f>
        <v>#VALUE!</v>
      </c>
      <c r="CN8" t="e">
        <f>'Equity or FI trade'!G197+"$GJ|!;|"</f>
        <v>#VALUE!</v>
      </c>
      <c r="CO8" t="e">
        <f>'Equity or FI trade'!A198+"$GJ|!;}"</f>
        <v>#VALUE!</v>
      </c>
      <c r="CP8" t="e">
        <f>'Equity or FI trade'!B198+"$GJ|!;~"</f>
        <v>#VALUE!</v>
      </c>
      <c r="CQ8" t="e">
        <f>'Equity or FI trade'!C198+"$GJ|!&lt;#"</f>
        <v>#VALUE!</v>
      </c>
      <c r="CR8" t="e">
        <f>'Equity or FI trade'!D198+"$GJ|!&lt;$"</f>
        <v>#VALUE!</v>
      </c>
      <c r="CS8" t="e">
        <f>'Equity or FI trade'!E198+"$GJ|!&lt;%"</f>
        <v>#VALUE!</v>
      </c>
      <c r="CT8" t="e">
        <f>'Equity or FI trade'!F198+"$GJ|!&lt;&amp;"</f>
        <v>#VALUE!</v>
      </c>
      <c r="CU8" t="e">
        <f>'Equity or FI trade'!G198+"$GJ|!&lt;'"</f>
        <v>#VALUE!</v>
      </c>
      <c r="CV8" t="e">
        <f>'Equity or FI trade'!A199+"$GJ|!&lt;("</f>
        <v>#VALUE!</v>
      </c>
      <c r="CW8" t="e">
        <f>'Equity or FI trade'!B199+"$GJ|!&lt;)"</f>
        <v>#VALUE!</v>
      </c>
      <c r="CX8" t="e">
        <f>'Equity or FI trade'!C199+"$GJ|!&lt;."</f>
        <v>#VALUE!</v>
      </c>
      <c r="CY8" t="e">
        <f>'Equity or FI trade'!D199+"$GJ|!&lt;/"</f>
        <v>#VALUE!</v>
      </c>
      <c r="CZ8" t="e">
        <f>'Equity or FI trade'!E199+"$GJ|!&lt;0"</f>
        <v>#VALUE!</v>
      </c>
      <c r="DA8" t="e">
        <f>'Equity or FI trade'!F199+"$GJ|!&lt;1"</f>
        <v>#VALUE!</v>
      </c>
      <c r="DB8" t="e">
        <f>'Equity or FI trade'!G199+"$GJ|!&lt;2"</f>
        <v>#VALUE!</v>
      </c>
      <c r="DC8" t="e">
        <f>'Equity or FI trade'!A200+"$GJ|!&lt;3"</f>
        <v>#VALUE!</v>
      </c>
      <c r="DD8" t="e">
        <f>'Equity or FI trade'!B200+"$GJ|!&lt;4"</f>
        <v>#VALUE!</v>
      </c>
      <c r="DE8" t="e">
        <f>'Equity or FI trade'!C200+"$GJ|!&lt;5"</f>
        <v>#VALUE!</v>
      </c>
      <c r="DF8" t="e">
        <f>'Equity or FI trade'!D200+"$GJ|!&lt;6"</f>
        <v>#VALUE!</v>
      </c>
      <c r="DG8" t="e">
        <f>'Equity or FI trade'!E200+"$GJ|!&lt;7"</f>
        <v>#VALUE!</v>
      </c>
      <c r="DH8" t="e">
        <f>'Equity or FI trade'!F200+"$GJ|!&lt;8"</f>
        <v>#VALUE!</v>
      </c>
      <c r="DI8" t="e">
        <f>'Equity or FI trade'!G200+"$GJ|!&lt;9"</f>
        <v>#VALUE!</v>
      </c>
      <c r="DJ8" t="e">
        <f>'Equity or FI trade'!A201+"$GJ|!&lt;:"</f>
        <v>#VALUE!</v>
      </c>
      <c r="DK8" t="e">
        <f>'Equity or FI trade'!B201+"$GJ|!&lt;;"</f>
        <v>#VALUE!</v>
      </c>
      <c r="DL8" t="e">
        <f>'Equity or FI trade'!C201+"$GJ|!&lt;&lt;"</f>
        <v>#VALUE!</v>
      </c>
      <c r="DM8" t="e">
        <f>'Equity or FI trade'!D201+"$GJ|!&lt;="</f>
        <v>#VALUE!</v>
      </c>
      <c r="DN8" t="e">
        <f>'Equity or FI trade'!E201+"$GJ|!&lt;&gt;"</f>
        <v>#VALUE!</v>
      </c>
      <c r="DO8" t="e">
        <f>'Equity or FI trade'!F201+"$GJ|!&lt;?"</f>
        <v>#VALUE!</v>
      </c>
      <c r="DP8" t="e">
        <f>'Equity or FI trade'!G201+"$GJ|!&lt;@"</f>
        <v>#VALUE!</v>
      </c>
      <c r="DQ8" t="e">
        <f>'Equity or FI trade'!A202+"$GJ|!&lt;A"</f>
        <v>#VALUE!</v>
      </c>
      <c r="DR8" t="e">
        <f>'Equity or FI trade'!B202+"$GJ|!&lt;B"</f>
        <v>#VALUE!</v>
      </c>
      <c r="DS8" t="e">
        <f>'Equity or FI trade'!C202+"$GJ|!&lt;C"</f>
        <v>#VALUE!</v>
      </c>
      <c r="DT8" t="e">
        <f>'Equity or FI trade'!D202+"$GJ|!&lt;D"</f>
        <v>#VALUE!</v>
      </c>
      <c r="DU8" t="e">
        <f>'Equity or FI trade'!E202+"$GJ|!&lt;E"</f>
        <v>#VALUE!</v>
      </c>
      <c r="DV8" t="e">
        <f>'Equity or FI trade'!F202+"$GJ|!&lt;F"</f>
        <v>#VALUE!</v>
      </c>
      <c r="DW8" t="e">
        <f>'Equity or FI trade'!G202+"$GJ|!&lt;G"</f>
        <v>#VALUE!</v>
      </c>
      <c r="DX8" t="e">
        <f>'Equity or FI trade'!A203+"$GJ|!&lt;H"</f>
        <v>#VALUE!</v>
      </c>
      <c r="DY8" t="e">
        <f>'Equity or FI trade'!B203+"$GJ|!&lt;I"</f>
        <v>#VALUE!</v>
      </c>
      <c r="DZ8" t="e">
        <f>'Equity or FI trade'!C203+"$GJ|!&lt;J"</f>
        <v>#VALUE!</v>
      </c>
      <c r="EA8" t="e">
        <f>'Equity or FI trade'!D203+"$GJ|!&lt;K"</f>
        <v>#VALUE!</v>
      </c>
      <c r="EB8" t="e">
        <f>'Equity or FI trade'!E203+"$GJ|!&lt;L"</f>
        <v>#VALUE!</v>
      </c>
      <c r="EC8" t="e">
        <f>'Equity or FI trade'!F203+"$GJ|!&lt;M"</f>
        <v>#VALUE!</v>
      </c>
      <c r="ED8" t="e">
        <f>'Equity or FI trade'!G203+"$GJ|!&lt;N"</f>
        <v>#VALUE!</v>
      </c>
      <c r="EE8" t="e">
        <f>'Equity or FI trade'!A204+"$GJ|!&lt;O"</f>
        <v>#VALUE!</v>
      </c>
      <c r="EF8" t="e">
        <f>'Equity or FI trade'!B204+"$GJ|!&lt;P"</f>
        <v>#VALUE!</v>
      </c>
      <c r="EG8" t="e">
        <f>'Equity or FI trade'!C204+"$GJ|!&lt;Q"</f>
        <v>#VALUE!</v>
      </c>
      <c r="EH8" t="e">
        <f>'Equity or FI trade'!D204+"$GJ|!&lt;R"</f>
        <v>#VALUE!</v>
      </c>
      <c r="EI8" t="e">
        <f>'Equity or FI trade'!E204+"$GJ|!&lt;S"</f>
        <v>#VALUE!</v>
      </c>
      <c r="EJ8" t="e">
        <f>'Equity or FI trade'!F204+"$GJ|!&lt;T"</f>
        <v>#VALUE!</v>
      </c>
      <c r="EK8" t="e">
        <f>'Equity or FI trade'!G204+"$GJ|!&lt;U"</f>
        <v>#VALUE!</v>
      </c>
      <c r="EL8" t="e">
        <f>'Equity or FI trade'!A205+"$GJ|!&lt;V"</f>
        <v>#VALUE!</v>
      </c>
      <c r="EM8" t="e">
        <f>'Equity or FI trade'!B205+"$GJ|!&lt;W"</f>
        <v>#VALUE!</v>
      </c>
      <c r="EN8" t="e">
        <f>'Equity or FI trade'!C205+"$GJ|!&lt;X"</f>
        <v>#VALUE!</v>
      </c>
      <c r="EO8" t="e">
        <f>'Equity or FI trade'!D205+"$GJ|!&lt;Y"</f>
        <v>#VALUE!</v>
      </c>
      <c r="EP8" t="e">
        <f>'Equity or FI trade'!E205+"$GJ|!&lt;Z"</f>
        <v>#VALUE!</v>
      </c>
      <c r="EQ8" t="e">
        <f>'Equity or FI trade'!F205+"$GJ|!&lt;["</f>
        <v>#VALUE!</v>
      </c>
      <c r="ER8" t="e">
        <f>'Equity or FI trade'!G205+"$GJ|!&lt;\"</f>
        <v>#VALUE!</v>
      </c>
      <c r="ES8" t="e">
        <f>'Equity or FI trade'!A206+"$GJ|!&lt;]"</f>
        <v>#VALUE!</v>
      </c>
      <c r="ET8" t="e">
        <f>'Equity or FI trade'!B206+"$GJ|!&lt;^"</f>
        <v>#VALUE!</v>
      </c>
      <c r="EU8" t="e">
        <f>'Equity or FI trade'!C206+"$GJ|!&lt;_"</f>
        <v>#VALUE!</v>
      </c>
      <c r="EV8" t="e">
        <f>'Equity or FI trade'!D206+"$GJ|!&lt;`"</f>
        <v>#VALUE!</v>
      </c>
      <c r="EW8" t="e">
        <f>'Equity or FI trade'!E206+"$GJ|!&lt;a"</f>
        <v>#VALUE!</v>
      </c>
      <c r="EX8" t="e">
        <f>'Equity or FI trade'!F206+"$GJ|!&lt;b"</f>
        <v>#VALUE!</v>
      </c>
      <c r="EY8" t="e">
        <f>'Equity or FI trade'!G206+"$GJ|!&lt;c"</f>
        <v>#VALUE!</v>
      </c>
      <c r="EZ8" t="e">
        <f>ALDO!A:A*"$GJ|!&lt;d"</f>
        <v>#VALUE!</v>
      </c>
      <c r="FA8" t="e">
        <f>ALDO!B:B*"$GJ|!&lt;e"</f>
        <v>#VALUE!</v>
      </c>
      <c r="FB8" t="e">
        <f>ALDO!C:C*"$GJ|!&lt;f"</f>
        <v>#VALUE!</v>
      </c>
      <c r="FC8" t="e">
        <f>ALDO!D:D*"$GJ|!&lt;g"</f>
        <v>#VALUE!</v>
      </c>
      <c r="FD8" t="e">
        <f>ALDO!E:E*"$GJ|!&lt;h"</f>
        <v>#VALUE!</v>
      </c>
      <c r="FE8" t="e">
        <f>ALDO!F:F*"$GJ|!&lt;i"</f>
        <v>#VALUE!</v>
      </c>
      <c r="FF8" t="e">
        <f>ALDO!G:G*"$GJ|!&lt;j"</f>
        <v>#VALUE!</v>
      </c>
      <c r="FG8" t="e">
        <f>ALDO!H:H*"$GJ|!&lt;k"</f>
        <v>#VALUE!</v>
      </c>
      <c r="FH8" t="e">
        <f>ALDO!I:I*"$GJ|!&lt;l"</f>
        <v>#VALUE!</v>
      </c>
      <c r="FI8" t="e">
        <f>ALDO!J:J*"$GJ|!&lt;m"</f>
        <v>#VALUE!</v>
      </c>
      <c r="FJ8" t="e">
        <f>ALDO!K:K*"$GJ|!&lt;n"</f>
        <v>#VALUE!</v>
      </c>
      <c r="FK8" t="e">
        <f>ALDO!L:L*"$GJ|!&lt;o"</f>
        <v>#VALUE!</v>
      </c>
      <c r="FL8" t="e">
        <f>ALDO!M:M*"$GJ|!&lt;p"</f>
        <v>#VALUE!</v>
      </c>
      <c r="FM8" t="e">
        <f>ALDO!N:N*"$GJ|!&lt;q"</f>
        <v>#VALUE!</v>
      </c>
      <c r="FN8" t="e">
        <f>ALDO!O:O*"$GJ|!&lt;r"</f>
        <v>#VALUE!</v>
      </c>
      <c r="FO8" t="e">
        <f>ALDO!P:P*"$GJ|!&lt;s"</f>
        <v>#VALUE!</v>
      </c>
      <c r="FP8" t="e">
        <f>ALDO!Q:Q*"$GJ|!&lt;t"</f>
        <v>#VALUE!</v>
      </c>
      <c r="FQ8" t="e">
        <f>ALDO!R:R*"$GJ|!&lt;u"</f>
        <v>#VALUE!</v>
      </c>
      <c r="FR8" t="e">
        <f>ALDO!S:S*"$GJ|!&lt;v"</f>
        <v>#VALUE!</v>
      </c>
      <c r="FS8" t="e">
        <f>ALDO!T:T*"$GJ|!&lt;w"</f>
        <v>#VALUE!</v>
      </c>
      <c r="FT8" t="e">
        <f>ALDO!U:U*"$GJ|!&lt;x"</f>
        <v>#VALUE!</v>
      </c>
      <c r="FU8" t="e">
        <f>ALDO!V:V*"$GJ|!&lt;y"</f>
        <v>#VALUE!</v>
      </c>
      <c r="FV8" t="e">
        <f>ALDO!W:W*"$GJ|!&lt;z"</f>
        <v>#VALUE!</v>
      </c>
      <c r="FW8" t="e">
        <f>ALDO!X:X*"$GJ|!&lt;{"</f>
        <v>#VALUE!</v>
      </c>
      <c r="FX8" t="e">
        <f>ALDO!Y:Y*"$GJ|!&lt;|"</f>
        <v>#VALUE!</v>
      </c>
      <c r="FY8" t="e">
        <f>ALDO!Z:Z*"$GJ|!&lt;}"</f>
        <v>#VALUE!</v>
      </c>
      <c r="FZ8" t="e">
        <f>ALDO!AA:AA*"$GJ|!&lt;~"</f>
        <v>#VALUE!</v>
      </c>
      <c r="GA8" t="e">
        <f>ALDO!AB:AB*"$GJ|!=#"</f>
        <v>#VALUE!</v>
      </c>
      <c r="GB8" t="e">
        <f>ALDO!AC:AC*"$GJ|!=$"</f>
        <v>#VALUE!</v>
      </c>
      <c r="GC8" t="e">
        <f>ALDO!AD:AD*"$GJ|!=%"</f>
        <v>#VALUE!</v>
      </c>
      <c r="GD8" t="e">
        <f>ALDO!AE:AE*"$GJ|!=&amp;"</f>
        <v>#VALUE!</v>
      </c>
      <c r="GE8" t="e">
        <f>ALDO!AF:AF*"$GJ|!='"</f>
        <v>#VALUE!</v>
      </c>
      <c r="GF8" t="e">
        <f>ALDO!AG:AG*"$GJ|!=("</f>
        <v>#VALUE!</v>
      </c>
      <c r="GG8" t="e">
        <f>ALDO!AH:AH*"$GJ|!=)"</f>
        <v>#VALUE!</v>
      </c>
      <c r="GH8" t="e">
        <f>ALDO!AI:AI*"$GJ|!=."</f>
        <v>#VALUE!</v>
      </c>
      <c r="GI8" t="e">
        <f>ALDO!AJ:AJ*"$GJ|!=/"</f>
        <v>#VALUE!</v>
      </c>
      <c r="GJ8" t="e">
        <f>ALDO!AK:AK*"$GJ|!=0"</f>
        <v>#VALUE!</v>
      </c>
      <c r="GK8" t="e">
        <f>ALDO!AL:AL*"$GJ|!=1"</f>
        <v>#VALUE!</v>
      </c>
      <c r="GL8" t="e">
        <f>ALDO!AM:AM*"$GJ|!=2"</f>
        <v>#VALUE!</v>
      </c>
      <c r="GM8" t="e">
        <f>ALDO!AN:AN*"$GJ|!=3"</f>
        <v>#VALUE!</v>
      </c>
      <c r="GN8" t="e">
        <f>ALDO!AO:AO*"$GJ|!=4"</f>
        <v>#VALUE!</v>
      </c>
      <c r="GO8" t="e">
        <f>ALDO!AP:AP*"$GJ|!=5"</f>
        <v>#VALUE!</v>
      </c>
      <c r="GP8" t="e">
        <f>ALDO!AQ:AQ*"$GJ|!=6"</f>
        <v>#VALUE!</v>
      </c>
      <c r="GQ8" t="e">
        <f>ALDO!AR:AR*"$GJ|!=7"</f>
        <v>#VALUE!</v>
      </c>
      <c r="GR8" t="e">
        <f>ALDO!AS:AS*"$GJ|!=8"</f>
        <v>#VALUE!</v>
      </c>
      <c r="GS8" t="e">
        <f>ALDO!AT:AT*"$GJ|!=9"</f>
        <v>#VALUE!</v>
      </c>
      <c r="GT8" t="e">
        <f>ALDO!AU:AU*"$GJ|!=:"</f>
        <v>#VALUE!</v>
      </c>
      <c r="GU8" t="e">
        <f>ALDO!AV:AV*"$GJ|!=;"</f>
        <v>#VALUE!</v>
      </c>
      <c r="GV8" t="e">
        <f>ALDO!AW:AW*"$GJ|!=&lt;"</f>
        <v>#VALUE!</v>
      </c>
      <c r="GW8" t="e">
        <f>ALDO!AX:AX*"$GJ|!=="</f>
        <v>#VALUE!</v>
      </c>
      <c r="GX8" t="e">
        <f>ALDO!AY:AY*"$GJ|!=&gt;"</f>
        <v>#VALUE!</v>
      </c>
      <c r="GY8" t="e">
        <f>ALDO!AZ:AZ*"$GJ|!=?"</f>
        <v>#VALUE!</v>
      </c>
      <c r="GZ8" t="e">
        <f>ALDO!BA:BA*"$GJ|!=@"</f>
        <v>#VALUE!</v>
      </c>
      <c r="HA8" t="e">
        <f>ALDO!BB:BB*"$GJ|!=A"</f>
        <v>#VALUE!</v>
      </c>
      <c r="HB8" t="e">
        <f>ALDO!BC:BC*"$GJ|!=B"</f>
        <v>#VALUE!</v>
      </c>
      <c r="HC8" t="e">
        <f>ALDO!BD:BD*"$GJ|!=C"</f>
        <v>#VALUE!</v>
      </c>
      <c r="HD8" t="e">
        <f>ALDO!BE:BE*"$GJ|!=D"</f>
        <v>#VALUE!</v>
      </c>
      <c r="HE8" t="e">
        <f>ALDO!BF:BF*"$GJ|!=E"</f>
        <v>#VALUE!</v>
      </c>
      <c r="HF8" t="e">
        <f>ALDO!BG:BG*"$GJ|!=F"</f>
        <v>#VALUE!</v>
      </c>
      <c r="HG8" t="e">
        <f>ALDO!BH:BH*"$GJ|!=G"</f>
        <v>#VALUE!</v>
      </c>
      <c r="HH8" t="e">
        <f>ALDO!1:1-"$GJ|!=H"</f>
        <v>#VALUE!</v>
      </c>
      <c r="HI8" t="e">
        <f>ALDO!2:2-"$GJ|!=I"</f>
        <v>#VALUE!</v>
      </c>
      <c r="HJ8" t="e">
        <f>ALDO!3:3-"$GJ|!=J"</f>
        <v>#VALUE!</v>
      </c>
      <c r="HK8" t="e">
        <f>ALDO!4:4-"$GJ|!=K"</f>
        <v>#VALUE!</v>
      </c>
      <c r="HL8" t="e">
        <f>ALDO!5:5-"$GJ|!=L"</f>
        <v>#VALUE!</v>
      </c>
      <c r="HM8" t="e">
        <f>ALDO!6:6-"$GJ|!=M"</f>
        <v>#VALUE!</v>
      </c>
      <c r="HN8" t="e">
        <f>ALDO!7:7-"$GJ|!=N"</f>
        <v>#VALUE!</v>
      </c>
      <c r="HO8" t="e">
        <f>ALDO!8:8-"$GJ|!=O"</f>
        <v>#VALUE!</v>
      </c>
      <c r="HP8" t="e">
        <f>ALDO!9:9-"$GJ|!=P"</f>
        <v>#VALUE!</v>
      </c>
      <c r="HQ8" t="e">
        <f>ALDO!10:10-"$GJ|!=Q"</f>
        <v>#VALUE!</v>
      </c>
      <c r="HR8" t="e">
        <f>ALDO!11:11-"$GJ|!=R"</f>
        <v>#VALUE!</v>
      </c>
      <c r="HS8" t="e">
        <f>ALDO!12:12-"$GJ|!=S"</f>
        <v>#VALUE!</v>
      </c>
      <c r="HT8" t="e">
        <f>ALDO!13:13-"$GJ|!=T"</f>
        <v>#VALUE!</v>
      </c>
      <c r="HU8" t="e">
        <f>ALDO!14:14-"$GJ|!=U"</f>
        <v>#VALUE!</v>
      </c>
      <c r="HV8" t="e">
        <f>ALDO!15:15-"$GJ|!=V"</f>
        <v>#VALUE!</v>
      </c>
      <c r="HW8" t="e">
        <f>ALDO!16:16-"$GJ|!=W"</f>
        <v>#VALUE!</v>
      </c>
      <c r="HX8" t="e">
        <f>ALDO!17:17-"$GJ|!=X"</f>
        <v>#VALUE!</v>
      </c>
      <c r="HY8" t="e">
        <f>ALDO!18:18-"$GJ|!=Y"</f>
        <v>#VALUE!</v>
      </c>
      <c r="HZ8" t="e">
        <f>ALDO!19:19-"$GJ|!=Z"</f>
        <v>#VALUE!</v>
      </c>
      <c r="IA8" t="e">
        <f>ALDO!20:20-"$GJ|!=["</f>
        <v>#VALUE!</v>
      </c>
      <c r="IB8" t="e">
        <f>ALDO!21:21-"$GJ|!=\"</f>
        <v>#VALUE!</v>
      </c>
      <c r="IC8" t="e">
        <f>ALDO!22:22-"$GJ|!=]"</f>
        <v>#VALUE!</v>
      </c>
      <c r="ID8" t="e">
        <f>ALDO!23:23-"$GJ|!=^"</f>
        <v>#VALUE!</v>
      </c>
      <c r="IE8" t="e">
        <f>ALDO!24:24-"$GJ|!=_"</f>
        <v>#VALUE!</v>
      </c>
      <c r="IF8" t="e">
        <f>ALDO!25:25-"$GJ|!=`"</f>
        <v>#VALUE!</v>
      </c>
      <c r="IG8" t="e">
        <f>ALDO!26:26-"$GJ|!=a"</f>
        <v>#VALUE!</v>
      </c>
      <c r="IH8" t="e">
        <f>ALDO!27:27-"$GJ|!=b"</f>
        <v>#VALUE!</v>
      </c>
      <c r="II8" t="e">
        <f>ALDO!28:28-"$GJ|!=c"</f>
        <v>#VALUE!</v>
      </c>
      <c r="IJ8" t="e">
        <f>ALDO!29:29-"$GJ|!=d"</f>
        <v>#VALUE!</v>
      </c>
      <c r="IK8" t="e">
        <f>ALDO!30:30-"$GJ|!=e"</f>
        <v>#VALUE!</v>
      </c>
      <c r="IL8" t="e">
        <f>ALDO!31:31-"$GJ|!=f"</f>
        <v>#VALUE!</v>
      </c>
      <c r="IM8" t="e">
        <f>ALDO!32:32-"$GJ|!=g"</f>
        <v>#VALUE!</v>
      </c>
      <c r="IN8" t="e">
        <f>ALDO!33:33-"$GJ|!=h"</f>
        <v>#VALUE!</v>
      </c>
      <c r="IO8" t="e">
        <f>ALDO!34:34-"$GJ|!=i"</f>
        <v>#VALUE!</v>
      </c>
      <c r="IP8" t="e">
        <f>ALDO!35:35-"$GJ|!=j"</f>
        <v>#VALUE!</v>
      </c>
      <c r="IQ8" t="e">
        <f>ALDO!36:36-"$GJ|!=k"</f>
        <v>#VALUE!</v>
      </c>
      <c r="IR8" t="e">
        <f>ALDO!37:37-"$GJ|!=l"</f>
        <v>#VALUE!</v>
      </c>
      <c r="IS8" t="e">
        <f>ALDO!38:38-"$GJ|!=m"</f>
        <v>#VALUE!</v>
      </c>
      <c r="IT8" t="e">
        <f>ALDO!39:39-"$GJ|!=n"</f>
        <v>#VALUE!</v>
      </c>
      <c r="IU8" t="e">
        <f>ALDO!40:40-"$GJ|!=o"</f>
        <v>#VALUE!</v>
      </c>
      <c r="IV8" t="e">
        <f>ALDO!41:41-"$GJ|!=p"</f>
        <v>#VALUE!</v>
      </c>
    </row>
    <row r="9" spans="1:256" x14ac:dyDescent="0.25">
      <c r="F9" t="e">
        <f>ALDO!42:42-"$GJ|!=q"</f>
        <v>#VALUE!</v>
      </c>
      <c r="G9" t="e">
        <f>ALDO!43:43-"$GJ|!=r"</f>
        <v>#VALUE!</v>
      </c>
      <c r="H9" t="e">
        <f>ALDO!44:44-"$GJ|!=s"</f>
        <v>#VALUE!</v>
      </c>
      <c r="I9" t="e">
        <f>ALDO!45:45-"$GJ|!=t"</f>
        <v>#VALUE!</v>
      </c>
      <c r="J9" t="e">
        <f>ALDO!46:46-"$GJ|!=u"</f>
        <v>#VALUE!</v>
      </c>
      <c r="K9" t="e">
        <f>ALDO!47:47-"$GJ|!=v"</f>
        <v>#VALUE!</v>
      </c>
      <c r="L9" t="e">
        <f>ALDO!48:48-"$GJ|!=w"</f>
        <v>#VALUE!</v>
      </c>
      <c r="M9" t="e">
        <f>ALDO!49:49-"$GJ|!=x"</f>
        <v>#VALUE!</v>
      </c>
      <c r="N9" t="e">
        <f>ALDO!50:50-"$GJ|!=y"</f>
        <v>#VALUE!</v>
      </c>
      <c r="O9" t="e">
        <f>ALDO!51:51-"$GJ|!=z"</f>
        <v>#VALUE!</v>
      </c>
      <c r="P9" t="e">
        <f>ALDO!52:52-"$GJ|!={"</f>
        <v>#VALUE!</v>
      </c>
      <c r="Q9" t="e">
        <f>ALDO!53:53-"$GJ|!=|"</f>
        <v>#VALUE!</v>
      </c>
      <c r="R9" t="e">
        <f>ALDO!54:54-"$GJ|!=}"</f>
        <v>#VALUE!</v>
      </c>
      <c r="S9" t="e">
        <f>ALDO!55:55-"$GJ|!=~"</f>
        <v>#VALUE!</v>
      </c>
      <c r="T9" t="e">
        <f>ALDO!56:56-"$GJ|!&gt;#"</f>
        <v>#VALUE!</v>
      </c>
      <c r="U9" t="e">
        <f>ALDO!57:57-"$GJ|!&gt;$"</f>
        <v>#VALUE!</v>
      </c>
      <c r="V9" t="e">
        <f>ALDO!58:58-"$GJ|!&gt;%"</f>
        <v>#VALUE!</v>
      </c>
      <c r="W9" t="e">
        <f>ALDO!59:59-"$GJ|!&gt;&amp;"</f>
        <v>#VALUE!</v>
      </c>
      <c r="X9" t="e">
        <f>ALDO!60:60-"$GJ|!&gt;'"</f>
        <v>#VALUE!</v>
      </c>
      <c r="Y9" t="e">
        <f>ALDO!61:61-"$GJ|!&gt;("</f>
        <v>#VALUE!</v>
      </c>
      <c r="Z9" t="e">
        <f>ALDO!62:62-"$GJ|!&gt;)"</f>
        <v>#VALUE!</v>
      </c>
      <c r="AA9" t="e">
        <f>ALDO!63:63-"$GJ|!&gt;."</f>
        <v>#VALUE!</v>
      </c>
      <c r="AB9" t="e">
        <f>ALDO!64:64-"$GJ|!&gt;/"</f>
        <v>#VALUE!</v>
      </c>
      <c r="AC9" t="e">
        <f>ALDO!65:65-"$GJ|!&gt;0"</f>
        <v>#VALUE!</v>
      </c>
      <c r="AD9" t="e">
        <f>ALDO!66:66-"$GJ|!&gt;1"</f>
        <v>#VALUE!</v>
      </c>
      <c r="AE9" t="e">
        <f>ALDO!67:67-"$GJ|!&gt;2"</f>
        <v>#VALUE!</v>
      </c>
      <c r="AF9" t="e">
        <f>ALDO!68:68-"$GJ|!&gt;3"</f>
        <v>#VALUE!</v>
      </c>
      <c r="AG9" t="e">
        <f>ALDO!69:69-"$GJ|!&gt;4"</f>
        <v>#VALUE!</v>
      </c>
      <c r="AH9" t="e">
        <f>ALDO!70:70-"$GJ|!&gt;5"</f>
        <v>#VALUE!</v>
      </c>
      <c r="AI9" t="e">
        <f>ALDO!71:71-"$GJ|!&gt;6"</f>
        <v>#VALUE!</v>
      </c>
      <c r="AJ9" t="e">
        <f>ALDO!72:72-"$GJ|!&gt;7"</f>
        <v>#VALUE!</v>
      </c>
      <c r="AK9" t="e">
        <f>ALDO!73:73-"$GJ|!&gt;8"</f>
        <v>#VALUE!</v>
      </c>
      <c r="AL9" t="e">
        <f>ALDO!74:74-"$GJ|!&gt;9"</f>
        <v>#VALUE!</v>
      </c>
      <c r="AM9" t="e">
        <f>ALDO!75:75-"$GJ|!&gt;:"</f>
        <v>#VALUE!</v>
      </c>
      <c r="AN9" t="e">
        <f>ALDO!76:76-"$GJ|!&gt;;"</f>
        <v>#VALUE!</v>
      </c>
      <c r="AO9" t="e">
        <f>ALDO!77:77-"$GJ|!&gt;&lt;"</f>
        <v>#VALUE!</v>
      </c>
      <c r="AP9" t="e">
        <f>ALDO!78:78-"$GJ|!&gt;="</f>
        <v>#VALUE!</v>
      </c>
      <c r="AQ9" t="e">
        <f>ALDO!79:79-"$GJ|!&gt;&gt;"</f>
        <v>#VALUE!</v>
      </c>
      <c r="AR9" t="e">
        <f>ALDO!80:80-"$GJ|!&gt;?"</f>
        <v>#VALUE!</v>
      </c>
      <c r="AS9" t="e">
        <f>ALDO!81:81-"$GJ|!&gt;@"</f>
        <v>#VALUE!</v>
      </c>
      <c r="AT9" t="e">
        <f>ALDO!82:82-"$GJ|!&gt;A"</f>
        <v>#VALUE!</v>
      </c>
      <c r="AU9" t="e">
        <f>ALDO!83:83-"$GJ|!&gt;B"</f>
        <v>#VALUE!</v>
      </c>
      <c r="AV9" t="e">
        <f>ALDO!84:84-"$GJ|!&gt;C"</f>
        <v>#VALUE!</v>
      </c>
      <c r="AW9" t="e">
        <f>ALDO!85:85-"$GJ|!&gt;D"</f>
        <v>#VALUE!</v>
      </c>
      <c r="AX9" t="e">
        <f>ALDO!86:86-"$GJ|!&gt;E"</f>
        <v>#VALUE!</v>
      </c>
      <c r="AY9" t="e">
        <f>ALDO!87:87-"$GJ|!&gt;F"</f>
        <v>#VALUE!</v>
      </c>
      <c r="AZ9" t="e">
        <f>ALDO!88:88-"$GJ|!&gt;G"</f>
        <v>#VALUE!</v>
      </c>
      <c r="BA9" t="e">
        <f>ALDO!89:89-"$GJ|!&gt;H"</f>
        <v>#VALUE!</v>
      </c>
      <c r="BB9" t="e">
        <f>ALDO!90:90-"$GJ|!&gt;I"</f>
        <v>#VALUE!</v>
      </c>
      <c r="BC9" t="e">
        <f>ALDO!91:91-"$GJ|!&gt;J"</f>
        <v>#VALUE!</v>
      </c>
      <c r="BD9" t="e">
        <f>ALDO!92:92-"$GJ|!&gt;K"</f>
        <v>#VALUE!</v>
      </c>
      <c r="BE9" t="e">
        <f>ALDO!93:93-"$GJ|!&gt;L"</f>
        <v>#VALUE!</v>
      </c>
      <c r="BF9" t="e">
        <f>ALDO!94:94-"$GJ|!&gt;M"</f>
        <v>#VALUE!</v>
      </c>
      <c r="BG9" t="e">
        <f>ALDO!95:95-"$GJ|!&gt;N"</f>
        <v>#VALUE!</v>
      </c>
      <c r="BH9" t="e">
        <f>ALDO!96:96-"$GJ|!&gt;O"</f>
        <v>#VALUE!</v>
      </c>
      <c r="BI9" t="e">
        <f>ALDO!97:97-"$GJ|!&gt;P"</f>
        <v>#VALUE!</v>
      </c>
      <c r="BJ9" t="e">
        <f>ALDO!98:98-"$GJ|!&gt;Q"</f>
        <v>#VALUE!</v>
      </c>
      <c r="BK9" t="e">
        <f>ALDO!99:99-"$GJ|!&gt;R"</f>
        <v>#VALUE!</v>
      </c>
      <c r="BL9" t="e">
        <f>ALDO!100:100-"$GJ|!&gt;S"</f>
        <v>#VALUE!</v>
      </c>
      <c r="BM9" t="e">
        <f>ALDO!101:101-"$GJ|!&gt;T"</f>
        <v>#VALUE!</v>
      </c>
      <c r="BN9" t="e">
        <f>ALDO!102:102-"$GJ|!&gt;U"</f>
        <v>#VALUE!</v>
      </c>
      <c r="BO9" t="e">
        <f>ALDO!103:103-"$GJ|!&gt;V"</f>
        <v>#VALUE!</v>
      </c>
      <c r="BP9" t="e">
        <f>ALDO!104:104-"$GJ|!&gt;W"</f>
        <v>#VALUE!</v>
      </c>
      <c r="BQ9" t="e">
        <f>ALDO!105:105-"$GJ|!&gt;X"</f>
        <v>#VALUE!</v>
      </c>
      <c r="BR9" t="e">
        <f>ALDO!106:106-"$GJ|!&gt;Y"</f>
        <v>#VALUE!</v>
      </c>
      <c r="BS9" t="e">
        <f>ALDO!107:107-"$GJ|!&gt;Z"</f>
        <v>#VALUE!</v>
      </c>
      <c r="BT9" t="e">
        <f>ALDO!108:108-"$GJ|!&gt;["</f>
        <v>#VALUE!</v>
      </c>
      <c r="BU9" t="e">
        <f>ALDO!109:109-"$GJ|!&gt;\"</f>
        <v>#VALUE!</v>
      </c>
      <c r="BV9" t="e">
        <f>ALDO!110:110-"$GJ|!&gt;]"</f>
        <v>#VALUE!</v>
      </c>
      <c r="BW9" t="e">
        <f>ALDO!111:111-"$GJ|!&gt;^"</f>
        <v>#VALUE!</v>
      </c>
      <c r="BX9" t="e">
        <f>ALDO!112:112-"$GJ|!&gt;_"</f>
        <v>#VALUE!</v>
      </c>
      <c r="BY9" t="e">
        <f>ALDO!113:113-"$GJ|!&gt;`"</f>
        <v>#VALUE!</v>
      </c>
      <c r="BZ9" t="e">
        <f>ALDO!114:114-"$GJ|!&gt;a"</f>
        <v>#VALUE!</v>
      </c>
      <c r="CA9" t="e">
        <f>ALDO!115:115-"$GJ|!&gt;b"</f>
        <v>#VALUE!</v>
      </c>
      <c r="CB9" t="e">
        <f>ALDO!116:116-"$GJ|!&gt;c"</f>
        <v>#VALUE!</v>
      </c>
      <c r="CC9" t="e">
        <f>ALDO!117:117-"$GJ|!&gt;d"</f>
        <v>#VALUE!</v>
      </c>
      <c r="CD9" t="e">
        <f>ALDO!118:118-"$GJ|!&gt;e"</f>
        <v>#VALUE!</v>
      </c>
      <c r="CE9" t="e">
        <f>ALDO!119:119-"$GJ|!&gt;f"</f>
        <v>#VALUE!</v>
      </c>
      <c r="CF9" t="e">
        <f>ALDO!120:120-"$GJ|!&gt;g"</f>
        <v>#VALUE!</v>
      </c>
      <c r="CG9" t="e">
        <f>ALDO!121:121-"$GJ|!&gt;h"</f>
        <v>#VALUE!</v>
      </c>
      <c r="CH9" t="e">
        <f>ALDO!122:122-"$GJ|!&gt;i"</f>
        <v>#VALUE!</v>
      </c>
      <c r="CI9" t="e">
        <f>ALDO!123:123-"$GJ|!&gt;j"</f>
        <v>#VALUE!</v>
      </c>
      <c r="CJ9" t="e">
        <f>ALDO!124:124-"$GJ|!&gt;k"</f>
        <v>#VALUE!</v>
      </c>
      <c r="CK9" t="e">
        <f>ALDO!125:125-"$GJ|!&gt;l"</f>
        <v>#VALUE!</v>
      </c>
      <c r="CL9" t="e">
        <f>ALDO!126:126-"$GJ|!&gt;m"</f>
        <v>#VALUE!</v>
      </c>
      <c r="CM9" t="e">
        <f>ALDO!127:127-"$GJ|!&gt;n"</f>
        <v>#VALUE!</v>
      </c>
      <c r="CN9" t="e">
        <f>ALDO!128:128-"$GJ|!&gt;o"</f>
        <v>#VALUE!</v>
      </c>
      <c r="CO9" t="e">
        <f>ALDO!129:129-"$GJ|!&gt;p"</f>
        <v>#VALUE!</v>
      </c>
      <c r="CP9" t="e">
        <f>ALDO!130:130-"$GJ|!&gt;q"</f>
        <v>#VALUE!</v>
      </c>
      <c r="CQ9" t="e">
        <f>ALDO!131:131-"$GJ|!&gt;r"</f>
        <v>#VALUE!</v>
      </c>
      <c r="CR9" t="e">
        <f>ALDO!132:132-"$GJ|!&gt;s"</f>
        <v>#VALUE!</v>
      </c>
      <c r="CS9" t="e">
        <f>ALDO!133:133-"$GJ|!&gt;t"</f>
        <v>#VALUE!</v>
      </c>
      <c r="CT9" t="e">
        <f>ALDO!134:134-"$GJ|!&gt;u"</f>
        <v>#VALUE!</v>
      </c>
      <c r="CU9" t="e">
        <f>ALDO!135:135-"$GJ|!&gt;v"</f>
        <v>#VALUE!</v>
      </c>
      <c r="CV9" t="e">
        <f>ALDO!136:136-"$GJ|!&gt;w"</f>
        <v>#VALUE!</v>
      </c>
      <c r="CW9" t="e">
        <f>ALDO!137:137-"$GJ|!&gt;x"</f>
        <v>#VALUE!</v>
      </c>
      <c r="CX9" t="e">
        <f>ALDO!138:138-"$GJ|!&gt;y"</f>
        <v>#VALUE!</v>
      </c>
      <c r="CY9" t="e">
        <f>ALDO!139:139-"$GJ|!&gt;z"</f>
        <v>#VALUE!</v>
      </c>
      <c r="CZ9" t="e">
        <f>ALDO!140:140-"$GJ|!&gt;{"</f>
        <v>#VALUE!</v>
      </c>
      <c r="DA9" t="e">
        <f>ALDO!141:141-"$GJ|!&gt;|"</f>
        <v>#VALUE!</v>
      </c>
      <c r="DB9" t="e">
        <f>ALDO!142:142-"$GJ|!&gt;}"</f>
        <v>#VALUE!</v>
      </c>
      <c r="DC9" t="e">
        <f>ALDO!143:143-"$GJ|!&gt;~"</f>
        <v>#VALUE!</v>
      </c>
      <c r="DD9" t="e">
        <f>ALDO!144:144-"$GJ|!?#"</f>
        <v>#VALUE!</v>
      </c>
      <c r="DE9" t="e">
        <f>ALDO!145:145-"$GJ|!?$"</f>
        <v>#VALUE!</v>
      </c>
      <c r="DF9" t="e">
        <f>ALDO!146:146-"$GJ|!?%"</f>
        <v>#VALUE!</v>
      </c>
      <c r="DG9" t="e">
        <f>ALDO!147:147-"$GJ|!?&amp;"</f>
        <v>#VALUE!</v>
      </c>
      <c r="DH9" t="e">
        <f>ALDO!148:148-"$GJ|!?'"</f>
        <v>#VALUE!</v>
      </c>
      <c r="DI9" t="e">
        <f>ALDO!149:149-"$GJ|!?("</f>
        <v>#VALUE!</v>
      </c>
      <c r="DJ9" t="e">
        <f>ALDO!150:150-"$GJ|!?)"</f>
        <v>#VALUE!</v>
      </c>
      <c r="DK9" t="e">
        <f>ALDO!151:151-"$GJ|!?."</f>
        <v>#VALUE!</v>
      </c>
      <c r="DL9" t="e">
        <f>ALDO!152:152-"$GJ|!?/"</f>
        <v>#VALUE!</v>
      </c>
      <c r="DM9" t="e">
        <f>ALDO!153:153-"$GJ|!?0"</f>
        <v>#VALUE!</v>
      </c>
      <c r="DN9" t="e">
        <f>ALDO!154:154-"$GJ|!?1"</f>
        <v>#VALUE!</v>
      </c>
      <c r="DO9" t="e">
        <f>ALDO!155:155-"$GJ|!?2"</f>
        <v>#VALUE!</v>
      </c>
      <c r="DP9" t="e">
        <f>ALDO!156:156-"$GJ|!?3"</f>
        <v>#VALUE!</v>
      </c>
      <c r="DQ9" t="e">
        <f>ALDO!157:157-"$GJ|!?4"</f>
        <v>#VALUE!</v>
      </c>
      <c r="DR9" t="e">
        <f>ALDO!158:158-"$GJ|!?5"</f>
        <v>#VALUE!</v>
      </c>
      <c r="DS9" t="e">
        <f>ALDO!159:159-"$GJ|!?6"</f>
        <v>#VALUE!</v>
      </c>
      <c r="DT9" t="e">
        <f>ALDO!160:160-"$GJ|!?7"</f>
        <v>#VALUE!</v>
      </c>
      <c r="DU9" t="e">
        <f>ALDO!161:161-"$GJ|!?8"</f>
        <v>#VALUE!</v>
      </c>
      <c r="DV9" t="e">
        <f>ALDO!162:162-"$GJ|!?9"</f>
        <v>#VALUE!</v>
      </c>
      <c r="DW9" t="e">
        <f>ALDO!163:163-"$GJ|!?:"</f>
        <v>#VALUE!</v>
      </c>
      <c r="DX9" t="e">
        <f>ALDO!164:164-"$GJ|!?;"</f>
        <v>#VALUE!</v>
      </c>
      <c r="DY9" t="e">
        <f>ALDO!165:165-"$GJ|!?&lt;"</f>
        <v>#VALUE!</v>
      </c>
      <c r="DZ9" t="e">
        <f>ALDO!166:166-"$GJ|!?="</f>
        <v>#VALUE!</v>
      </c>
      <c r="EA9" t="e">
        <f>ALDO!167:167-"$GJ|!?&gt;"</f>
        <v>#VALUE!</v>
      </c>
      <c r="EB9" t="e">
        <f>ALDO!168:168-"$GJ|!??"</f>
        <v>#VALUE!</v>
      </c>
      <c r="EC9" t="e">
        <f>ALDO!169:169-"$GJ|!?@"</f>
        <v>#VALUE!</v>
      </c>
      <c r="ED9" t="e">
        <f>ALDO!170:170-"$GJ|!?A"</f>
        <v>#VALUE!</v>
      </c>
      <c r="EE9" t="e">
        <f>ALDO!171:171-"$GJ|!?B"</f>
        <v>#VALUE!</v>
      </c>
      <c r="EF9" t="e">
        <f>ALDO!172:172-"$GJ|!?C"</f>
        <v>#VALUE!</v>
      </c>
      <c r="EG9" t="e">
        <f>ALDO!173:173-"$GJ|!?D"</f>
        <v>#VALUE!</v>
      </c>
      <c r="EH9" t="e">
        <f>ALDO!174:174-"$GJ|!?E"</f>
        <v>#VALUE!</v>
      </c>
      <c r="EI9" t="e">
        <f>ALDO!175:175-"$GJ|!?F"</f>
        <v>#VALUE!</v>
      </c>
      <c r="EJ9" t="e">
        <f>ALDO!176:176-"$GJ|!?G"</f>
        <v>#VALUE!</v>
      </c>
      <c r="EK9" t="e">
        <f>ALDO!177:177-"$GJ|!?H"</f>
        <v>#VALUE!</v>
      </c>
      <c r="EL9" t="e">
        <f>ALDO!178:178-"$GJ|!?I"</f>
        <v>#VALUE!</v>
      </c>
      <c r="EM9" t="e">
        <f>ALDO!179:179-"$GJ|!?J"</f>
        <v>#VALUE!</v>
      </c>
      <c r="EN9" t="e">
        <f>ALDO!180:180-"$GJ|!?K"</f>
        <v>#VALUE!</v>
      </c>
      <c r="EO9" t="e">
        <f>ALDO!181:181-"$GJ|!?L"</f>
        <v>#VALUE!</v>
      </c>
      <c r="EP9" t="e">
        <f>ALDO!182:182-"$GJ|!?M"</f>
        <v>#VALUE!</v>
      </c>
      <c r="EQ9" t="e">
        <f>ALDO!183:183-"$GJ|!?N"</f>
        <v>#VALUE!</v>
      </c>
      <c r="ER9" t="e">
        <f>ALDO!184:184-"$GJ|!?O"</f>
        <v>#VALUE!</v>
      </c>
      <c r="ES9" t="e">
        <f>ALDO!185:185-"$GJ|!?P"</f>
        <v>#VALUE!</v>
      </c>
      <c r="ET9" t="e">
        <f>ALDO!186:186-"$GJ|!?Q"</f>
        <v>#VALUE!</v>
      </c>
      <c r="EU9" t="e">
        <f>ALDO!187:187-"$GJ|!?R"</f>
        <v>#VALUE!</v>
      </c>
      <c r="EV9" t="e">
        <f>ALDO!188:188-"$GJ|!?S"</f>
        <v>#VALUE!</v>
      </c>
      <c r="EW9" t="e">
        <f>ALDO!189:189-"$GJ|!?T"</f>
        <v>#VALUE!</v>
      </c>
      <c r="EX9" t="e">
        <f>ALDO!190:190-"$GJ|!?U"</f>
        <v>#VALUE!</v>
      </c>
      <c r="EY9" t="e">
        <f>ALDO!191:191-"$GJ|!?V"</f>
        <v>#VALUE!</v>
      </c>
      <c r="EZ9" t="e">
        <f>ALDO!192:192-"$GJ|!?W"</f>
        <v>#VALUE!</v>
      </c>
      <c r="FA9" t="e">
        <f>ALDO!193:193-"$GJ|!?X"</f>
        <v>#VALUE!</v>
      </c>
      <c r="FB9" t="e">
        <f>ALDO!194:194-"$GJ|!?Y"</f>
        <v>#VALUE!</v>
      </c>
      <c r="FC9" t="e">
        <f>ALDO!195:195-"$GJ|!?Z"</f>
        <v>#VALUE!</v>
      </c>
      <c r="FD9" t="e">
        <f>ALDO!196:196-"$GJ|!?["</f>
        <v>#VALUE!</v>
      </c>
      <c r="FE9" t="e">
        <f>ALDO!197:197-"$GJ|!?\"</f>
        <v>#VALUE!</v>
      </c>
      <c r="FF9" t="e">
        <f>ALDO!198:198-"$GJ|!?]"</f>
        <v>#VALUE!</v>
      </c>
      <c r="FG9" t="e">
        <f>ALDO!199:199-"$GJ|!?^"</f>
        <v>#VALUE!</v>
      </c>
      <c r="FH9" t="e">
        <f>ALDO!200:200-"$GJ|!?_"</f>
        <v>#VALUE!</v>
      </c>
      <c r="FI9" t="e">
        <f>ALDO!201:201-"$GJ|!?`"</f>
        <v>#VALUE!</v>
      </c>
      <c r="FJ9" t="e">
        <f>ALDO!202:202-"$GJ|!?a"</f>
        <v>#VALUE!</v>
      </c>
      <c r="FK9" t="e">
        <f>ALDO!203:203-"$GJ|!?b"</f>
        <v>#VALUE!</v>
      </c>
      <c r="FL9" t="e">
        <f>ALDO!204:204-"$GJ|!?c"</f>
        <v>#VALUE!</v>
      </c>
      <c r="FM9" t="e">
        <f>ALDO!205:205-"$GJ|!?d"</f>
        <v>#VALUE!</v>
      </c>
      <c r="FN9" t="e">
        <f>ALDO!206:206-"$GJ|!?e"</f>
        <v>#VALUE!</v>
      </c>
      <c r="FO9" t="e">
        <f>ALDO!207:207-"$GJ|!?f"</f>
        <v>#VALUE!</v>
      </c>
      <c r="FP9" t="e">
        <f>ALDO!208:208-"$GJ|!?g"</f>
        <v>#VALUE!</v>
      </c>
      <c r="FQ9" t="e">
        <f>ALDO!209:209-"$GJ|!?h"</f>
        <v>#VALUE!</v>
      </c>
      <c r="FR9" t="e">
        <f>ALDO!210:210-"$GJ|!?i"</f>
        <v>#VALUE!</v>
      </c>
      <c r="FS9" t="e">
        <f>ALDO!211:211-"$GJ|!?j"</f>
        <v>#VALUE!</v>
      </c>
      <c r="FT9" t="e">
        <f>ALDO!212:212-"$GJ|!?k"</f>
        <v>#VALUE!</v>
      </c>
      <c r="FU9" t="e">
        <f>ALDO!213:213-"$GJ|!?l"</f>
        <v>#VALUE!</v>
      </c>
      <c r="FV9" t="e">
        <f>ALDO!214:214-"$GJ|!?m"</f>
        <v>#VALUE!</v>
      </c>
      <c r="FW9" t="e">
        <f>ALDO!215:215-"$GJ|!?n"</f>
        <v>#VALUE!</v>
      </c>
      <c r="FX9" t="e">
        <f>ALDO!216:216-"$GJ|!?o"</f>
        <v>#VALUE!</v>
      </c>
      <c r="FY9" t="e">
        <f>ALDO!217:217-"$GJ|!?p"</f>
        <v>#VALUE!</v>
      </c>
      <c r="FZ9" t="e">
        <f>ALDO!218:218-"$GJ|!?q"</f>
        <v>#VALUE!</v>
      </c>
      <c r="GA9" t="e">
        <f>ALDO!219:219-"$GJ|!?r"</f>
        <v>#VALUE!</v>
      </c>
      <c r="GB9" t="e">
        <f>ALDO!220:220-"$GJ|!?s"</f>
        <v>#VALUE!</v>
      </c>
      <c r="GC9" t="e">
        <f>ALDO!221:221-"$GJ|!?t"</f>
        <v>#VALUE!</v>
      </c>
      <c r="GD9" t="e">
        <f>ALDO!222:222-"$GJ|!?u"</f>
        <v>#VALUE!</v>
      </c>
      <c r="GE9" t="e">
        <f>ALDO!223:223-"$GJ|!?v"</f>
        <v>#VALUE!</v>
      </c>
      <c r="GF9" t="e">
        <f>ALDO!224:224-"$GJ|!?w"</f>
        <v>#VALUE!</v>
      </c>
      <c r="GG9" t="e">
        <f>ALDO!225:225-"$GJ|!?x"</f>
        <v>#VALUE!</v>
      </c>
      <c r="GH9" t="e">
        <f>ALDO!226:226-"$GJ|!?y"</f>
        <v>#VALUE!</v>
      </c>
      <c r="GI9" t="e">
        <f>ALDO!227:227-"$GJ|!?z"</f>
        <v>#VALUE!</v>
      </c>
      <c r="GJ9" t="e">
        <f>ALDO!228:228-"$GJ|!?{"</f>
        <v>#VALUE!</v>
      </c>
      <c r="GK9" t="e">
        <f>ALDO!229:229-"$GJ|!?|"</f>
        <v>#VALUE!</v>
      </c>
      <c r="GL9" t="e">
        <f>ALDO!230:230-"$GJ|!?}"</f>
        <v>#VALUE!</v>
      </c>
      <c r="GM9" t="e">
        <f>ALDO!231:231-"$GJ|!?~"</f>
        <v>#VALUE!</v>
      </c>
      <c r="GN9" t="e">
        <f>ALDO!232:232-"$GJ|!@#"</f>
        <v>#VALUE!</v>
      </c>
      <c r="GO9" t="e">
        <f>ALDO!233:233-"$GJ|!@$"</f>
        <v>#VALUE!</v>
      </c>
      <c r="GP9" t="e">
        <f>ALDO!234:234-"$GJ|!@%"</f>
        <v>#VALUE!</v>
      </c>
      <c r="GQ9" t="e">
        <f>ALDO!235:235-"$GJ|!@&amp;"</f>
        <v>#VALUE!</v>
      </c>
      <c r="GR9" t="e">
        <f>ALDO!236:236-"$GJ|!@'"</f>
        <v>#VALUE!</v>
      </c>
      <c r="GS9" t="e">
        <f>ALDO!237:237-"$GJ|!@("</f>
        <v>#VALUE!</v>
      </c>
      <c r="GT9" t="e">
        <f>ALDO!238:238-"$GJ|!@)"</f>
        <v>#VALUE!</v>
      </c>
      <c r="GU9" t="e">
        <f>ALDO!239:239-"$GJ|!@."</f>
        <v>#VALUE!</v>
      </c>
      <c r="GV9" t="e">
        <f>ALDO!240:240-"$GJ|!@/"</f>
        <v>#VALUE!</v>
      </c>
      <c r="GW9" t="e">
        <f>ALDO!241:241-"$GJ|!@0"</f>
        <v>#VALUE!</v>
      </c>
      <c r="GX9" t="e">
        <f>ALDO!242:242-"$GJ|!@1"</f>
        <v>#VALUE!</v>
      </c>
      <c r="GY9" t="e">
        <f>ALDO!243:243-"$GJ|!@2"</f>
        <v>#VALUE!</v>
      </c>
      <c r="GZ9" t="e">
        <f>ALDO!244:244-"$GJ|!@3"</f>
        <v>#VALUE!</v>
      </c>
      <c r="HA9" t="e">
        <f>ALDO!245:245-"$GJ|!@4"</f>
        <v>#VALUE!</v>
      </c>
      <c r="HB9" t="e">
        <f>ALDO!246:246-"$GJ|!@5"</f>
        <v>#VALUE!</v>
      </c>
      <c r="HC9" t="e">
        <f>ALDO!247:247-"$GJ|!@6"</f>
        <v>#VALUE!</v>
      </c>
      <c r="HD9" t="e">
        <f>ALDO!248:248-"$GJ|!@7"</f>
        <v>#VALUE!</v>
      </c>
      <c r="HE9" t="e">
        <f>ALDO!249:249-"$GJ|!@8"</f>
        <v>#VALUE!</v>
      </c>
      <c r="HF9" t="e">
        <f>ALDO!250:250-"$GJ|!@9"</f>
        <v>#VALUE!</v>
      </c>
      <c r="HG9" t="e">
        <f>ALDO!251:251-"$GJ|!@:"</f>
        <v>#VALUE!</v>
      </c>
      <c r="HH9" t="e">
        <f>ALDO!252:252-"$GJ|!@;"</f>
        <v>#VALUE!</v>
      </c>
      <c r="HI9" t="e">
        <f>ALDO!253:253-"$GJ|!@&lt;"</f>
        <v>#VALUE!</v>
      </c>
      <c r="HJ9" t="e">
        <f>ALDO!254:254-"$GJ|!@="</f>
        <v>#VALUE!</v>
      </c>
      <c r="HK9" t="e">
        <f>ALDO!255:255-"$GJ|!@&gt;"</f>
        <v>#VALUE!</v>
      </c>
      <c r="HL9" t="e">
        <f>ALDO!256:256-"$GJ|!@?"</f>
        <v>#VALUE!</v>
      </c>
      <c r="HM9" t="e">
        <f>ALDO!257:257-"$GJ|!@@"</f>
        <v>#VALUE!</v>
      </c>
      <c r="HN9" t="e">
        <f>ALDO!258:258-"$GJ|!@A"</f>
        <v>#VALUE!</v>
      </c>
      <c r="HO9" t="e">
        <f>ALDO!259:259-"$GJ|!@B"</f>
        <v>#VALUE!</v>
      </c>
      <c r="HP9" t="e">
        <f>ALDO!260:260-"$GJ|!@C"</f>
        <v>#VALUE!</v>
      </c>
      <c r="HQ9" t="e">
        <f>ALDO!261:261-"$GJ|!@D"</f>
        <v>#VALUE!</v>
      </c>
      <c r="HR9" t="e">
        <f>ALDO!262:262-"$GJ|!@E"</f>
        <v>#VALUE!</v>
      </c>
      <c r="HS9" t="e">
        <f>ALDO!263:263-"$GJ|!@F"</f>
        <v>#VALUE!</v>
      </c>
      <c r="HT9" t="e">
        <f>ALDO!264:264-"$GJ|!@G"</f>
        <v>#VALUE!</v>
      </c>
      <c r="HU9" t="e">
        <f>ALDO!265:265-"$GJ|!@H"</f>
        <v>#VALUE!</v>
      </c>
      <c r="HV9" t="e">
        <f>ALDO!266:266-"$GJ|!@I"</f>
        <v>#VALUE!</v>
      </c>
      <c r="HW9" t="e">
        <f>ALDO!267:267-"$GJ|!@J"</f>
        <v>#VALUE!</v>
      </c>
      <c r="HX9" t="e">
        <f>ALDO!268:268-"$GJ|!@K"</f>
        <v>#VALUE!</v>
      </c>
      <c r="HY9" t="e">
        <f>ALDO!269:269-"$GJ|!@L"</f>
        <v>#VALUE!</v>
      </c>
      <c r="HZ9" t="e">
        <f>ALDO!270:270-"$GJ|!@M"</f>
        <v>#VALUE!</v>
      </c>
      <c r="IA9" t="e">
        <f>ALDO!271:271-"$GJ|!@N"</f>
        <v>#VALUE!</v>
      </c>
      <c r="IB9" t="e">
        <f>ALDO!272:272-"$GJ|!@O"</f>
        <v>#VALUE!</v>
      </c>
      <c r="IC9" t="e">
        <f>ALDO!273:273-"$GJ|!@P"</f>
        <v>#VALUE!</v>
      </c>
      <c r="ID9" t="e">
        <f>ALDO!274:274-"$GJ|!@Q"</f>
        <v>#VALUE!</v>
      </c>
      <c r="IE9" t="e">
        <f>ALDO!275:275-"$GJ|!@R"</f>
        <v>#VALUE!</v>
      </c>
      <c r="IF9" t="e">
        <f>ALDO!276:276-"$GJ|!@S"</f>
        <v>#VALUE!</v>
      </c>
      <c r="IG9" t="e">
        <f>ALDO!277:277-"$GJ|!@T"</f>
        <v>#VALUE!</v>
      </c>
      <c r="IH9" t="e">
        <f>ALDO!278:278-"$GJ|!@U"</f>
        <v>#VALUE!</v>
      </c>
      <c r="II9" t="e">
        <f>ALDO!279:279-"$GJ|!@V"</f>
        <v>#VALUE!</v>
      </c>
      <c r="IJ9" t="e">
        <f>ALDO!280:280-"$GJ|!@W"</f>
        <v>#VALUE!</v>
      </c>
      <c r="IK9" t="e">
        <f>ALDO!281:281-"$GJ|!@X"</f>
        <v>#VALUE!</v>
      </c>
      <c r="IL9" t="e">
        <f>ALDO!282:282-"$GJ|!@Y"</f>
        <v>#VALUE!</v>
      </c>
      <c r="IM9" t="e">
        <f>ALDO!283:283-"$GJ|!@Z"</f>
        <v>#VALUE!</v>
      </c>
      <c r="IN9" t="e">
        <f>ALDO!284:284-"$GJ|!@["</f>
        <v>#VALUE!</v>
      </c>
      <c r="IO9" t="e">
        <f>ALDO!285:285-"$GJ|!@\"</f>
        <v>#VALUE!</v>
      </c>
      <c r="IP9" t="e">
        <f>ALDO!286:286-"$GJ|!@]"</f>
        <v>#VALUE!</v>
      </c>
      <c r="IQ9" t="e">
        <f>ALDO!287:287-"$GJ|!@^"</f>
        <v>#VALUE!</v>
      </c>
      <c r="IR9" t="e">
        <f>ALDO!288:288-"$GJ|!@_"</f>
        <v>#VALUE!</v>
      </c>
      <c r="IS9" t="e">
        <f>ALDO!289:289-"$GJ|!@`"</f>
        <v>#VALUE!</v>
      </c>
      <c r="IT9" t="e">
        <f>ALDO!290:290-"$GJ|!@a"</f>
        <v>#VALUE!</v>
      </c>
      <c r="IU9" t="e">
        <f>ALDO!291:291-"$GJ|!@b"</f>
        <v>#VALUE!</v>
      </c>
      <c r="IV9" t="e">
        <f>ALDO!292:292-"$GJ|!@c"</f>
        <v>#VALUE!</v>
      </c>
    </row>
    <row r="10" spans="1:256" x14ac:dyDescent="0.25">
      <c r="F10" t="e">
        <f>ALDO!293:293-"$GJ|!@d"</f>
        <v>#VALUE!</v>
      </c>
      <c r="G10" t="e">
        <f>ALDO!294:294-"$GJ|!@e"</f>
        <v>#VALUE!</v>
      </c>
      <c r="H10" t="e">
        <f>ALDO!295:295-"$GJ|!@f"</f>
        <v>#VALUE!</v>
      </c>
      <c r="I10" t="e">
        <f>ALDO!296:296-"$GJ|!@g"</f>
        <v>#VALUE!</v>
      </c>
      <c r="J10" t="e">
        <f>ALDO!297:297-"$GJ|!@h"</f>
        <v>#VALUE!</v>
      </c>
      <c r="K10" t="e">
        <f>ALDO!298:298-"$GJ|!@i"</f>
        <v>#VALUE!</v>
      </c>
      <c r="L10" t="e">
        <f>ALDO!299:299-"$GJ|!@j"</f>
        <v>#VALUE!</v>
      </c>
      <c r="M10" t="e">
        <f>ALDO!300:300-"$GJ|!@k"</f>
        <v>#VALUE!</v>
      </c>
      <c r="N10" t="e">
        <f>ALDO!301:301-"$GJ|!@l"</f>
        <v>#VALUE!</v>
      </c>
      <c r="O10" t="e">
        <f>ALDO!302:302-"$GJ|!@m"</f>
        <v>#VALUE!</v>
      </c>
      <c r="P10" t="e">
        <f>ALDO!303:303-"$GJ|!@n"</f>
        <v>#VALUE!</v>
      </c>
      <c r="Q10" t="e">
        <f>ALDO!304:304-"$GJ|!@o"</f>
        <v>#VALUE!</v>
      </c>
      <c r="R10" t="e">
        <f>ALDO!305:305-"$GJ|!@p"</f>
        <v>#VALUE!</v>
      </c>
      <c r="S10" t="e">
        <f>ALDO!306:306-"$GJ|!@q"</f>
        <v>#VALUE!</v>
      </c>
      <c r="T10" t="e">
        <f>ALDO!307:307-"$GJ|!@r"</f>
        <v>#VALUE!</v>
      </c>
      <c r="U10" t="e">
        <f>ALDO!308:308-"$GJ|!@s"</f>
        <v>#VALUE!</v>
      </c>
      <c r="V10" t="e">
        <f>ALDO!309:309-"$GJ|!@t"</f>
        <v>#VALUE!</v>
      </c>
      <c r="W10" t="e">
        <f>ALDO!310:310-"$GJ|!@u"</f>
        <v>#VALUE!</v>
      </c>
      <c r="X10" t="e">
        <f>ALDO!311:311-"$GJ|!@v"</f>
        <v>#VALUE!</v>
      </c>
      <c r="Y10" t="e">
        <f>ALDO!312:312-"$GJ|!@w"</f>
        <v>#VALUE!</v>
      </c>
      <c r="Z10" t="e">
        <f>ALDO!313:313-"$GJ|!@x"</f>
        <v>#VALUE!</v>
      </c>
      <c r="AA10" t="e">
        <f>ALDO!314:314-"$GJ|!@y"</f>
        <v>#VALUE!</v>
      </c>
      <c r="AB10" t="e">
        <f>ALDO!315:315-"$GJ|!@z"</f>
        <v>#VALUE!</v>
      </c>
      <c r="AC10" t="e">
        <f>ALDO!316:316-"$GJ|!@{"</f>
        <v>#VALUE!</v>
      </c>
      <c r="AD10" t="e">
        <f>ALDO!317:317-"$GJ|!@|"</f>
        <v>#VALUE!</v>
      </c>
      <c r="AE10" t="e">
        <f>ALDO!318:318-"$GJ|!@}"</f>
        <v>#VALUE!</v>
      </c>
      <c r="AF10" t="e">
        <f>ALDO!319:319-"$GJ|!@~"</f>
        <v>#VALUE!</v>
      </c>
      <c r="AG10" t="e">
        <f>ALDO!320:320-"$GJ|!A#"</f>
        <v>#VALUE!</v>
      </c>
      <c r="AH10" t="e">
        <f>ALDO!321:321-"$GJ|!A$"</f>
        <v>#VALUE!</v>
      </c>
      <c r="AI10" t="e">
        <f>ALDO!322:322-"$GJ|!A%"</f>
        <v>#VALUE!</v>
      </c>
      <c r="AJ10" t="e">
        <f>ALDO!323:323-"$GJ|!A&amp;"</f>
        <v>#VALUE!</v>
      </c>
      <c r="AK10" t="e">
        <f>ALDO!324:324-"$GJ|!A'"</f>
        <v>#VALUE!</v>
      </c>
      <c r="AL10" t="e">
        <f>ALDO!325:325-"$GJ|!A("</f>
        <v>#VALUE!</v>
      </c>
      <c r="AM10" t="e">
        <f>ALDO!326:326-"$GJ|!A)"</f>
        <v>#VALUE!</v>
      </c>
      <c r="AN10" t="e">
        <f>ALDO!327:327-"$GJ|!A."</f>
        <v>#VALUE!</v>
      </c>
      <c r="AO10" t="e">
        <f>ALDO!328:328-"$GJ|!A/"</f>
        <v>#VALUE!</v>
      </c>
      <c r="AP10" t="e">
        <f>ALDO!329:329-"$GJ|!A0"</f>
        <v>#VALUE!</v>
      </c>
      <c r="AQ10" t="e">
        <f>ALDO!330:330-"$GJ|!A1"</f>
        <v>#VALUE!</v>
      </c>
      <c r="AR10" t="e">
        <f>ALDO!331:331-"$GJ|!A2"</f>
        <v>#VALUE!</v>
      </c>
      <c r="AS10" t="e">
        <f>ALDO!332:332-"$GJ|!A3"</f>
        <v>#VALUE!</v>
      </c>
      <c r="AT10" t="e">
        <f>ALDO!333:333-"$GJ|!A4"</f>
        <v>#VALUE!</v>
      </c>
      <c r="AU10" t="e">
        <f>ALDO!334:334-"$GJ|!A5"</f>
        <v>#VALUE!</v>
      </c>
      <c r="AV10" t="e">
        <f>ALDO!335:335-"$GJ|!A6"</f>
        <v>#VALUE!</v>
      </c>
      <c r="AW10" t="e">
        <f>ALDO!336:336-"$GJ|!A7"</f>
        <v>#VALUE!</v>
      </c>
      <c r="AX10" t="e">
        <f>ALDO!337:337-"$GJ|!A8"</f>
        <v>#VALUE!</v>
      </c>
      <c r="AY10" t="e">
        <f>ALDO!338:338-"$GJ|!A9"</f>
        <v>#VALUE!</v>
      </c>
      <c r="AZ10" t="e">
        <f>ALDO!339:339-"$GJ|!A:"</f>
        <v>#VALUE!</v>
      </c>
      <c r="BA10" t="e">
        <f>ALDO!340:340-"$GJ|!A;"</f>
        <v>#VALUE!</v>
      </c>
      <c r="BB10" t="e">
        <f>ALDO!341:341-"$GJ|!A&lt;"</f>
        <v>#VALUE!</v>
      </c>
      <c r="BC10" t="e">
        <f>ALDO!342:342-"$GJ|!A="</f>
        <v>#VALUE!</v>
      </c>
      <c r="BD10" t="e">
        <f>ALDO!343:343-"$GJ|!A&gt;"</f>
        <v>#VALUE!</v>
      </c>
      <c r="BE10" t="e">
        <f>ALDO!344:344-"$GJ|!A?"</f>
        <v>#VALUE!</v>
      </c>
      <c r="BF10" t="e">
        <f>ALDO!345:345-"$GJ|!A@"</f>
        <v>#VALUE!</v>
      </c>
      <c r="BG10" t="e">
        <f>ALDO!346:346-"$GJ|!AA"</f>
        <v>#VALUE!</v>
      </c>
      <c r="BH10" t="e">
        <f>ALDO!347:347-"$GJ|!AB"</f>
        <v>#VALUE!</v>
      </c>
      <c r="BI10" t="e">
        <f>ALDO!348:348-"$GJ|!AC"</f>
        <v>#VALUE!</v>
      </c>
      <c r="BJ10" t="e">
        <f>ALDO!349:349-"$GJ|!AD"</f>
        <v>#VALUE!</v>
      </c>
      <c r="BK10" t="e">
        <f>ALDO!350:350-"$GJ|!AE"</f>
        <v>#VALUE!</v>
      </c>
      <c r="BL10" t="e">
        <f>ALDO!351:351-"$GJ|!AF"</f>
        <v>#VALUE!</v>
      </c>
      <c r="BM10" t="e">
        <f>ALDO!352:352-"$GJ|!AG"</f>
        <v>#VALUE!</v>
      </c>
      <c r="BN10" t="e">
        <f>ALDO!353:353-"$GJ|!AH"</f>
        <v>#VALUE!</v>
      </c>
      <c r="BO10" t="e">
        <f>ALDO!354:354-"$GJ|!AI"</f>
        <v>#VALUE!</v>
      </c>
      <c r="BP10" t="e">
        <f>ALDO!355:355-"$GJ|!AJ"</f>
        <v>#VALUE!</v>
      </c>
      <c r="BQ10" t="e">
        <f>ALDO!356:356-"$GJ|!AK"</f>
        <v>#VALUE!</v>
      </c>
      <c r="BR10" t="e">
        <f>ALDO!357:357-"$GJ|!AL"</f>
        <v>#VALUE!</v>
      </c>
      <c r="BS10" t="e">
        <f>ALDO!358:358-"$GJ|!AM"</f>
        <v>#VALUE!</v>
      </c>
      <c r="BT10" t="e">
        <f>ALDO!359:359-"$GJ|!AN"</f>
        <v>#VALUE!</v>
      </c>
      <c r="BU10" t="e">
        <f>ALDO!360:360-"$GJ|!AO"</f>
        <v>#VALUE!</v>
      </c>
      <c r="BV10" t="e">
        <f>ALDO!361:361-"$GJ|!AP"</f>
        <v>#VALUE!</v>
      </c>
      <c r="BW10" t="e">
        <f>ALDO!362:362-"$GJ|!AQ"</f>
        <v>#VALUE!</v>
      </c>
      <c r="BX10" t="e">
        <f>ALDO!363:363-"$GJ|!AR"</f>
        <v>#VALUE!</v>
      </c>
      <c r="BY10" t="e">
        <f>ALDO!364:364-"$GJ|!AS"</f>
        <v>#VALUE!</v>
      </c>
      <c r="BZ10" t="e">
        <f>ALDO!365:365-"$GJ|!AT"</f>
        <v>#VALUE!</v>
      </c>
      <c r="CA10" t="e">
        <f>ALDO!366:366-"$GJ|!AU"</f>
        <v>#VALUE!</v>
      </c>
      <c r="CB10" t="e">
        <f>ALDO!367:367-"$GJ|!AV"</f>
        <v>#VALUE!</v>
      </c>
      <c r="CC10" t="e">
        <f>ALDO!368:368-"$GJ|!AW"</f>
        <v>#VALUE!</v>
      </c>
      <c r="CD10" t="e">
        <f>ALDO!369:369-"$GJ|!AX"</f>
        <v>#VALUE!</v>
      </c>
      <c r="CE10" t="e">
        <f>ALDO!370:370-"$GJ|!AY"</f>
        <v>#VALUE!</v>
      </c>
      <c r="CF10" t="e">
        <f>ALDO!371:371-"$GJ|!AZ"</f>
        <v>#VALUE!</v>
      </c>
      <c r="CG10" t="e">
        <f>ALDO!372:372-"$GJ|!A["</f>
        <v>#VALUE!</v>
      </c>
      <c r="CH10" t="e">
        <f>ALDO!373:373-"$GJ|!A\"</f>
        <v>#VALUE!</v>
      </c>
      <c r="CI10" t="e">
        <f>ALDO!374:374-"$GJ|!A]"</f>
        <v>#VALUE!</v>
      </c>
      <c r="CJ10" t="e">
        <f>ALDO!375:375-"$GJ|!A^"</f>
        <v>#VALUE!</v>
      </c>
      <c r="CK10" t="e">
        <f>ALDO!376:376-"$GJ|!A_"</f>
        <v>#VALUE!</v>
      </c>
      <c r="CL10" t="e">
        <f>ALDO!377:377-"$GJ|!A`"</f>
        <v>#VALUE!</v>
      </c>
      <c r="CM10" t="e">
        <f>ALDO!378:378-"$GJ|!Aa"</f>
        <v>#VALUE!</v>
      </c>
      <c r="CN10" t="e">
        <f>ALDO!379:379-"$GJ|!Ab"</f>
        <v>#VALUE!</v>
      </c>
      <c r="CO10" t="e">
        <f>ALDO!380:380-"$GJ|!Ac"</f>
        <v>#VALUE!</v>
      </c>
      <c r="CP10" t="e">
        <f>ALDO!381:381-"$GJ|!Ad"</f>
        <v>#VALUE!</v>
      </c>
      <c r="CQ10" t="e">
        <f>ALDO!382:382-"$GJ|!Ae"</f>
        <v>#VALUE!</v>
      </c>
      <c r="CR10" t="e">
        <f>ALDO!383:383-"$GJ|!Af"</f>
        <v>#VALUE!</v>
      </c>
      <c r="CS10" t="e">
        <f>ALDO!384:384-"$GJ|!Ag"</f>
        <v>#VALUE!</v>
      </c>
      <c r="CT10" t="e">
        <f>ALDO!385:385-"$GJ|!Ah"</f>
        <v>#VALUE!</v>
      </c>
      <c r="CU10" t="e">
        <f>ALDO!386:386-"$GJ|!Ai"</f>
        <v>#VALUE!</v>
      </c>
      <c r="CV10" t="e">
        <f>ALDO!387:387-"$GJ|!Aj"</f>
        <v>#VALUE!</v>
      </c>
      <c r="CW10" t="e">
        <f>ALDO!388:388-"$GJ|!Ak"</f>
        <v>#VALUE!</v>
      </c>
      <c r="CX10" t="e">
        <f>ALDO!389:389-"$GJ|!Al"</f>
        <v>#VALUE!</v>
      </c>
      <c r="CY10" t="e">
        <f>ALDO!390:390-"$GJ|!Am"</f>
        <v>#VALUE!</v>
      </c>
      <c r="CZ10" t="e">
        <f>ALDO!391:391-"$GJ|!An"</f>
        <v>#VALUE!</v>
      </c>
      <c r="DA10" t="e">
        <f>ALDO!392:392-"$GJ|!Ao"</f>
        <v>#VALUE!</v>
      </c>
      <c r="DB10" t="e">
        <f>ALDO!393:393-"$GJ|!Ap"</f>
        <v>#VALUE!</v>
      </c>
      <c r="DC10" t="e">
        <f>ALDO!394:394-"$GJ|!Aq"</f>
        <v>#VALUE!</v>
      </c>
      <c r="DD10" t="e">
        <f>ALDO!395:395-"$GJ|!Ar"</f>
        <v>#VALUE!</v>
      </c>
      <c r="DE10" t="e">
        <f>ALDO!396:396-"$GJ|!As"</f>
        <v>#VALUE!</v>
      </c>
      <c r="DF10" t="e">
        <f>ALDO!397:397-"$GJ|!At"</f>
        <v>#VALUE!</v>
      </c>
      <c r="DG10" t="e">
        <f>ALDO!398:398-"$GJ|!Au"</f>
        <v>#VALUE!</v>
      </c>
      <c r="DH10" t="e">
        <f>ALDO!399:399-"$GJ|!Av"</f>
        <v>#VALUE!</v>
      </c>
      <c r="DI10" t="e">
        <f>ALDO!400:400-"$GJ|!Aw"</f>
        <v>#VALUE!</v>
      </c>
      <c r="DJ10" t="e">
        <f>ALDO!401:401-"$GJ|!Ax"</f>
        <v>#VALUE!</v>
      </c>
      <c r="DK10" t="e">
        <f>ALDO!402:402-"$GJ|!Ay"</f>
        <v>#VALUE!</v>
      </c>
      <c r="DL10" t="e">
        <f>ALDO!403:403-"$GJ|!Az"</f>
        <v>#VALUE!</v>
      </c>
      <c r="DM10" t="e">
        <f>ALDO!404:404-"$GJ|!A{"</f>
        <v>#VALUE!</v>
      </c>
      <c r="DN10" t="e">
        <f>ALDO!405:405-"$GJ|!A|"</f>
        <v>#VALUE!</v>
      </c>
      <c r="DO10" t="e">
        <f>ALDO!406:406-"$GJ|!A}"</f>
        <v>#VALUE!</v>
      </c>
      <c r="DP10" t="e">
        <f>ALDO!407:407-"$GJ|!A~"</f>
        <v>#VALUE!</v>
      </c>
      <c r="DQ10" t="e">
        <f>ALDO!408:408-"$GJ|!B#"</f>
        <v>#VALUE!</v>
      </c>
      <c r="DR10" t="e">
        <f>ALDO!409:409-"$GJ|!B$"</f>
        <v>#VALUE!</v>
      </c>
      <c r="DS10" t="e">
        <f>ALDO!410:410-"$GJ|!B%"</f>
        <v>#VALUE!</v>
      </c>
      <c r="DT10" t="e">
        <f>ALDO!411:411-"$GJ|!B&amp;"</f>
        <v>#VALUE!</v>
      </c>
      <c r="DU10" t="e">
        <f>ALDO!412:412-"$GJ|!B'"</f>
        <v>#VALUE!</v>
      </c>
      <c r="DV10" t="e">
        <f>ALDO!413:413-"$GJ|!B("</f>
        <v>#VALUE!</v>
      </c>
      <c r="DW10" t="e">
        <f>ALDO!414:414-"$GJ|!B)"</f>
        <v>#VALUE!</v>
      </c>
      <c r="DX10" t="e">
        <f>ALDO!415:415-"$GJ|!B."</f>
        <v>#VALUE!</v>
      </c>
      <c r="DY10" t="e">
        <f>ALDO!416:416-"$GJ|!B/"</f>
        <v>#VALUE!</v>
      </c>
      <c r="DZ10" t="e">
        <f>ALDO!417:417-"$GJ|!B0"</f>
        <v>#VALUE!</v>
      </c>
      <c r="EA10" t="e">
        <f>ALDO!418:418-"$GJ|!B1"</f>
        <v>#VALUE!</v>
      </c>
      <c r="EB10" t="e">
        <f>ALDO!419:419-"$GJ|!B2"</f>
        <v>#VALUE!</v>
      </c>
      <c r="EC10" t="e">
        <f>ALDO!420:420-"$GJ|!B3"</f>
        <v>#VALUE!</v>
      </c>
      <c r="ED10" t="e">
        <f>ALDO!421:421-"$GJ|!B4"</f>
        <v>#VALUE!</v>
      </c>
      <c r="EE10" t="e">
        <f>ALDO!422:422-"$GJ|!B5"</f>
        <v>#VALUE!</v>
      </c>
      <c r="EF10" t="e">
        <f>ALDO!A1+"$GJ|!B6"</f>
        <v>#VALUE!</v>
      </c>
      <c r="EG10" t="e">
        <f>ALDO!B1+"$GJ|!B7"</f>
        <v>#VALUE!</v>
      </c>
      <c r="EH10" t="e">
        <f>ALDO!C1+"$GJ|!B8"</f>
        <v>#VALUE!</v>
      </c>
      <c r="EI10" t="e">
        <f>ALDO!D1+"$GJ|!B9"</f>
        <v>#VALUE!</v>
      </c>
      <c r="EJ10" t="e">
        <f>ALDO!E1+"$GJ|!B:"</f>
        <v>#VALUE!</v>
      </c>
      <c r="EK10" t="e">
        <f>ALDO!F1+"$GJ|!B;"</f>
        <v>#VALUE!</v>
      </c>
      <c r="EL10" t="e">
        <f>ALDO!G1+"$GJ|!B&lt;"</f>
        <v>#VALUE!</v>
      </c>
      <c r="EM10" t="e">
        <f>ALDO!H1+"$GJ|!B="</f>
        <v>#VALUE!</v>
      </c>
      <c r="EN10" t="e">
        <f>ALDO!I1+"$GJ|!B&gt;"</f>
        <v>#VALUE!</v>
      </c>
      <c r="EO10" t="e">
        <f>ALDO!J1+"$GJ|!B?"</f>
        <v>#VALUE!</v>
      </c>
      <c r="EP10" t="e">
        <f>ALDO!A2+"$GJ|!B@"</f>
        <v>#VALUE!</v>
      </c>
      <c r="EQ10" t="e">
        <f>ALDO!B2+"$GJ|!BA"</f>
        <v>#VALUE!</v>
      </c>
      <c r="ER10" t="e">
        <f>ALDO!C2+"$GJ|!BB"</f>
        <v>#VALUE!</v>
      </c>
      <c r="ES10" t="e">
        <f>ALDO!D2+"$GJ|!BC"</f>
        <v>#VALUE!</v>
      </c>
      <c r="ET10" t="e">
        <f>ALDO!E2+"$GJ|!BD"</f>
        <v>#VALUE!</v>
      </c>
      <c r="EU10" t="e">
        <f>ALDO!F2+"$GJ|!BE"</f>
        <v>#VALUE!</v>
      </c>
      <c r="EV10" t="e">
        <f>ALDO!G2+"$GJ|!BF"</f>
        <v>#VALUE!</v>
      </c>
      <c r="EW10" t="e">
        <f>ALDO!H2+"$GJ|!BG"</f>
        <v>#VALUE!</v>
      </c>
      <c r="EX10" t="e">
        <f>ALDO!I2+"$GJ|!BH"</f>
        <v>#VALUE!</v>
      </c>
      <c r="EY10" t="e">
        <f>ALDO!J2+"$GJ|!BI"</f>
        <v>#VALUE!</v>
      </c>
      <c r="EZ10" t="e">
        <f>ALDO!A3+"$GJ|!BJ"</f>
        <v>#VALUE!</v>
      </c>
      <c r="FA10" t="e">
        <f>ALDO!B3+"$GJ|!BK"</f>
        <v>#VALUE!</v>
      </c>
      <c r="FB10" t="e">
        <f>ALDO!C3+"$GJ|!BL"</f>
        <v>#VALUE!</v>
      </c>
      <c r="FC10" t="e">
        <f>ALDO!D3+"$GJ|!BM"</f>
        <v>#VALUE!</v>
      </c>
      <c r="FD10" t="e">
        <f>ALDO!E3+"$GJ|!BN"</f>
        <v>#VALUE!</v>
      </c>
      <c r="FE10" t="e">
        <f>ALDO!F3+"$GJ|!BO"</f>
        <v>#VALUE!</v>
      </c>
      <c r="FF10" t="e">
        <f>ALDO!G3+"$GJ|!BP"</f>
        <v>#VALUE!</v>
      </c>
      <c r="FG10" t="e">
        <f>ALDO!H3+"$GJ|!BQ"</f>
        <v>#VALUE!</v>
      </c>
      <c r="FH10" t="e">
        <f>ALDO!I3+"$GJ|!BR"</f>
        <v>#VALUE!</v>
      </c>
      <c r="FI10" t="e">
        <f>ALDO!J3+"$GJ|!BS"</f>
        <v>#VALUE!</v>
      </c>
      <c r="FJ10" t="e">
        <f>ALDO!A4+"$GJ|!BT"</f>
        <v>#VALUE!</v>
      </c>
      <c r="FK10" t="e">
        <f>ALDO!B4+"$GJ|!BU"</f>
        <v>#VALUE!</v>
      </c>
      <c r="FL10" t="e">
        <f>ALDO!C4+"$GJ|!BV"</f>
        <v>#VALUE!</v>
      </c>
      <c r="FM10" t="e">
        <f>ALDO!D4+"$GJ|!BW"</f>
        <v>#VALUE!</v>
      </c>
      <c r="FN10" t="e">
        <f>ALDO!E4+"$GJ|!BX"</f>
        <v>#VALUE!</v>
      </c>
      <c r="FO10" t="e">
        <f>ALDO!F4+"$GJ|!BY"</f>
        <v>#VALUE!</v>
      </c>
      <c r="FP10" t="e">
        <f>ALDO!G4+"$GJ|!BZ"</f>
        <v>#VALUE!</v>
      </c>
      <c r="FQ10" t="e">
        <f>ALDO!H4+"$GJ|!B["</f>
        <v>#VALUE!</v>
      </c>
      <c r="FR10" t="e">
        <f>ALDO!I4+"$GJ|!B\"</f>
        <v>#VALUE!</v>
      </c>
      <c r="FS10" t="e">
        <f>ALDO!J4+"$GJ|!B]"</f>
        <v>#VALUE!</v>
      </c>
      <c r="FT10" t="e">
        <f>ALDO!A5+"$GJ|!B^"</f>
        <v>#VALUE!</v>
      </c>
      <c r="FU10" t="e">
        <f>ALDO!B5+"$GJ|!B_"</f>
        <v>#VALUE!</v>
      </c>
      <c r="FV10" t="e">
        <f>ALDO!C5+"$GJ|!B`"</f>
        <v>#VALUE!</v>
      </c>
      <c r="FW10" t="e">
        <f>ALDO!D5+"$GJ|!Ba"</f>
        <v>#VALUE!</v>
      </c>
      <c r="FX10" t="e">
        <f>ALDO!E5+"$GJ|!Bb"</f>
        <v>#VALUE!</v>
      </c>
      <c r="FY10" t="e">
        <f>ALDO!F5+"$GJ|!Bc"</f>
        <v>#VALUE!</v>
      </c>
      <c r="FZ10" t="e">
        <f>ALDO!G5+"$GJ|!Bd"</f>
        <v>#VALUE!</v>
      </c>
      <c r="GA10" t="e">
        <f>ALDO!H5+"$GJ|!Be"</f>
        <v>#VALUE!</v>
      </c>
      <c r="GB10" t="e">
        <f>ALDO!I5+"$GJ|!Bf"</f>
        <v>#VALUE!</v>
      </c>
      <c r="GC10" t="e">
        <f>ALDO!J5+"$GJ|!Bg"</f>
        <v>#VALUE!</v>
      </c>
      <c r="GD10" t="e">
        <f>ALDO!A6+"$GJ|!Bh"</f>
        <v>#VALUE!</v>
      </c>
      <c r="GE10" t="e">
        <f>ALDO!B6+"$GJ|!Bi"</f>
        <v>#VALUE!</v>
      </c>
      <c r="GF10" t="e">
        <f>ALDO!C6+"$GJ|!Bj"</f>
        <v>#VALUE!</v>
      </c>
      <c r="GG10" t="e">
        <f>ALDO!D6+"$GJ|!Bk"</f>
        <v>#VALUE!</v>
      </c>
      <c r="GH10" t="e">
        <f>ALDO!E6+"$GJ|!Bl"</f>
        <v>#VALUE!</v>
      </c>
      <c r="GI10" t="e">
        <f>ALDO!F6+"$GJ|!Bm"</f>
        <v>#VALUE!</v>
      </c>
      <c r="GJ10" t="e">
        <f>ALDO!G6+"$GJ|!Bn"</f>
        <v>#VALUE!</v>
      </c>
      <c r="GK10" t="e">
        <f>ALDO!H6+"$GJ|!Bo"</f>
        <v>#VALUE!</v>
      </c>
      <c r="GL10" t="e">
        <f>ALDO!I6+"$GJ|!Bp"</f>
        <v>#VALUE!</v>
      </c>
      <c r="GM10" t="e">
        <f>ALDO!J6+"$GJ|!Bq"</f>
        <v>#VALUE!</v>
      </c>
      <c r="GN10" t="e">
        <f>ALDO!A7+"$GJ|!Br"</f>
        <v>#VALUE!</v>
      </c>
      <c r="GO10" t="e">
        <f>ALDO!B7+"$GJ|!Bs"</f>
        <v>#VALUE!</v>
      </c>
      <c r="GP10" t="e">
        <f>ALDO!C7+"$GJ|!Bt"</f>
        <v>#VALUE!</v>
      </c>
      <c r="GQ10" t="e">
        <f>ALDO!D7+"$GJ|!Bu"</f>
        <v>#VALUE!</v>
      </c>
      <c r="GR10" t="e">
        <f>ALDO!E7+"$GJ|!Bv"</f>
        <v>#VALUE!</v>
      </c>
      <c r="GS10" t="e">
        <f>ALDO!F7+"$GJ|!Bw"</f>
        <v>#VALUE!</v>
      </c>
      <c r="GT10" t="e">
        <f>ALDO!G7+"$GJ|!Bx"</f>
        <v>#VALUE!</v>
      </c>
      <c r="GU10" t="e">
        <f>ALDO!H7+"$GJ|!By"</f>
        <v>#VALUE!</v>
      </c>
      <c r="GV10" t="e">
        <f>ALDO!I7+"$GJ|!Bz"</f>
        <v>#VALUE!</v>
      </c>
      <c r="GW10" t="e">
        <f>ALDO!J7+"$GJ|!B{"</f>
        <v>#VALUE!</v>
      </c>
      <c r="GX10" t="e">
        <f>ALDO!A8+"$GJ|!B|"</f>
        <v>#VALUE!</v>
      </c>
      <c r="GY10" t="e">
        <f>ALDO!B8+"$GJ|!B}"</f>
        <v>#VALUE!</v>
      </c>
      <c r="GZ10" t="e">
        <f>ALDO!C8+"$GJ|!B~"</f>
        <v>#VALUE!</v>
      </c>
      <c r="HA10" t="e">
        <f>ALDO!D8+"$GJ|!C#"</f>
        <v>#VALUE!</v>
      </c>
      <c r="HB10" t="e">
        <f>ALDO!E8+"$GJ|!C$"</f>
        <v>#VALUE!</v>
      </c>
      <c r="HC10" t="e">
        <f>ALDO!F8+"$GJ|!C%"</f>
        <v>#VALUE!</v>
      </c>
      <c r="HD10" t="e">
        <f>ALDO!G8+"$GJ|!C&amp;"</f>
        <v>#VALUE!</v>
      </c>
      <c r="HE10" t="e">
        <f>ALDO!H8+"$GJ|!C'"</f>
        <v>#VALUE!</v>
      </c>
      <c r="HF10" t="e">
        <f>ALDO!I8+"$GJ|!C("</f>
        <v>#VALUE!</v>
      </c>
      <c r="HG10" t="e">
        <f>ALDO!J8+"$GJ|!C)"</f>
        <v>#VALUE!</v>
      </c>
      <c r="HH10" t="e">
        <f>ALDO!A9+"$GJ|!C."</f>
        <v>#VALUE!</v>
      </c>
      <c r="HI10" t="e">
        <f>ALDO!B9+"$GJ|!C/"</f>
        <v>#VALUE!</v>
      </c>
      <c r="HJ10" t="e">
        <f>ALDO!C9+"$GJ|!C0"</f>
        <v>#VALUE!</v>
      </c>
      <c r="HK10" t="e">
        <f>ALDO!D9+"$GJ|!C1"</f>
        <v>#VALUE!</v>
      </c>
      <c r="HL10" t="e">
        <f>ALDO!E9+"$GJ|!C2"</f>
        <v>#VALUE!</v>
      </c>
      <c r="HM10" t="e">
        <f>ALDO!F9+"$GJ|!C3"</f>
        <v>#VALUE!</v>
      </c>
      <c r="HN10" t="e">
        <f>ALDO!G9+"$GJ|!C4"</f>
        <v>#VALUE!</v>
      </c>
      <c r="HO10" t="e">
        <f>ALDO!H9+"$GJ|!C5"</f>
        <v>#VALUE!</v>
      </c>
      <c r="HP10" t="e">
        <f>ALDO!I9+"$GJ|!C6"</f>
        <v>#VALUE!</v>
      </c>
      <c r="HQ10" t="e">
        <f>ALDO!J9+"$GJ|!C7"</f>
        <v>#VALUE!</v>
      </c>
      <c r="HR10" t="e">
        <f>ALDO!A10+"$GJ|!C8"</f>
        <v>#VALUE!</v>
      </c>
      <c r="HS10" t="e">
        <f>ALDO!B10+"$GJ|!C9"</f>
        <v>#VALUE!</v>
      </c>
      <c r="HT10" t="e">
        <f>ALDO!C10+"$GJ|!C:"</f>
        <v>#VALUE!</v>
      </c>
      <c r="HU10" t="e">
        <f>ALDO!D10+"$GJ|!C;"</f>
        <v>#VALUE!</v>
      </c>
      <c r="HV10" t="e">
        <f>ALDO!E10+"$GJ|!C&lt;"</f>
        <v>#VALUE!</v>
      </c>
      <c r="HW10" t="e">
        <f>ALDO!F10+"$GJ|!C="</f>
        <v>#VALUE!</v>
      </c>
      <c r="HX10" t="e">
        <f>ALDO!G10+"$GJ|!C&gt;"</f>
        <v>#VALUE!</v>
      </c>
      <c r="HY10" t="e">
        <f>ALDO!H10+"$GJ|!C?"</f>
        <v>#VALUE!</v>
      </c>
      <c r="HZ10" t="e">
        <f>ALDO!I10+"$GJ|!C@"</f>
        <v>#VALUE!</v>
      </c>
      <c r="IA10" t="e">
        <f>ALDO!J10+"$GJ|!CA"</f>
        <v>#VALUE!</v>
      </c>
      <c r="IB10" t="e">
        <f>ALDO!A11+"$GJ|!CB"</f>
        <v>#VALUE!</v>
      </c>
      <c r="IC10" t="e">
        <f>ALDO!B11+"$GJ|!CC"</f>
        <v>#VALUE!</v>
      </c>
      <c r="ID10" t="e">
        <f>ALDO!C11+"$GJ|!CD"</f>
        <v>#VALUE!</v>
      </c>
      <c r="IE10" t="e">
        <f>ALDO!D11+"$GJ|!CE"</f>
        <v>#VALUE!</v>
      </c>
      <c r="IF10" t="e">
        <f>ALDO!E11+"$GJ|!CF"</f>
        <v>#VALUE!</v>
      </c>
      <c r="IG10" t="e">
        <f>ALDO!F11+"$GJ|!CG"</f>
        <v>#VALUE!</v>
      </c>
      <c r="IH10" t="e">
        <f>ALDO!G11+"$GJ|!CH"</f>
        <v>#VALUE!</v>
      </c>
      <c r="II10" t="e">
        <f>ALDO!H11+"$GJ|!CI"</f>
        <v>#VALUE!</v>
      </c>
      <c r="IJ10" t="e">
        <f>ALDO!I11+"$GJ|!CJ"</f>
        <v>#VALUE!</v>
      </c>
      <c r="IK10" t="e">
        <f>ALDO!J11+"$GJ|!CK"</f>
        <v>#VALUE!</v>
      </c>
      <c r="IL10" t="e">
        <f>ALDO!A12+"$GJ|!CL"</f>
        <v>#VALUE!</v>
      </c>
      <c r="IM10" t="e">
        <f>ALDO!B12+"$GJ|!CM"</f>
        <v>#VALUE!</v>
      </c>
      <c r="IN10" t="e">
        <f>ALDO!C12+"$GJ|!CN"</f>
        <v>#VALUE!</v>
      </c>
      <c r="IO10" t="e">
        <f>ALDO!D12+"$GJ|!CO"</f>
        <v>#VALUE!</v>
      </c>
      <c r="IP10" t="e">
        <f>ALDO!E12+"$GJ|!CP"</f>
        <v>#VALUE!</v>
      </c>
      <c r="IQ10" t="e">
        <f>ALDO!F12+"$GJ|!CQ"</f>
        <v>#VALUE!</v>
      </c>
      <c r="IR10" t="e">
        <f>ALDO!G12+"$GJ|!CR"</f>
        <v>#VALUE!</v>
      </c>
      <c r="IS10" t="e">
        <f>ALDO!H12+"$GJ|!CS"</f>
        <v>#VALUE!</v>
      </c>
      <c r="IT10" t="e">
        <f>ALDO!I12+"$GJ|!CT"</f>
        <v>#VALUE!</v>
      </c>
      <c r="IU10" t="e">
        <f>ALDO!J12+"$GJ|!CU"</f>
        <v>#VALUE!</v>
      </c>
      <c r="IV10" t="e">
        <f>ALDO!A13+"$GJ|!CV"</f>
        <v>#VALUE!</v>
      </c>
    </row>
    <row r="11" spans="1:256" x14ac:dyDescent="0.25">
      <c r="F11" t="e">
        <f>ALDO!B13+"$GJ|!CW"</f>
        <v>#VALUE!</v>
      </c>
      <c r="G11" t="e">
        <f>ALDO!C13+"$GJ|!CX"</f>
        <v>#VALUE!</v>
      </c>
      <c r="H11" t="e">
        <f>ALDO!D13+"$GJ|!CY"</f>
        <v>#VALUE!</v>
      </c>
      <c r="I11" t="e">
        <f>ALDO!E13+"$GJ|!CZ"</f>
        <v>#VALUE!</v>
      </c>
      <c r="J11" t="e">
        <f>ALDO!F13+"$GJ|!C["</f>
        <v>#VALUE!</v>
      </c>
      <c r="K11" t="e">
        <f>ALDO!G13+"$GJ|!C\"</f>
        <v>#VALUE!</v>
      </c>
      <c r="L11" t="e">
        <f>ALDO!H13+"$GJ|!C]"</f>
        <v>#VALUE!</v>
      </c>
      <c r="M11" t="e">
        <f>ALDO!I13+"$GJ|!C^"</f>
        <v>#VALUE!</v>
      </c>
      <c r="N11" t="e">
        <f>ALDO!J13+"$GJ|!C_"</f>
        <v>#VALUE!</v>
      </c>
      <c r="O11" t="e">
        <f>ALDO!A14+"$GJ|!C`"</f>
        <v>#VALUE!</v>
      </c>
      <c r="P11" t="e">
        <f>ALDO!B14+"$GJ|!Ca"</f>
        <v>#VALUE!</v>
      </c>
      <c r="Q11" t="e">
        <f>ALDO!C14+"$GJ|!Cb"</f>
        <v>#VALUE!</v>
      </c>
      <c r="R11" t="e">
        <f>ALDO!D14+"$GJ|!Cc"</f>
        <v>#VALUE!</v>
      </c>
      <c r="S11" t="e">
        <f>ALDO!E14+"$GJ|!Cd"</f>
        <v>#VALUE!</v>
      </c>
      <c r="T11" t="e">
        <f>ALDO!F14+"$GJ|!Ce"</f>
        <v>#VALUE!</v>
      </c>
      <c r="U11" t="e">
        <f>ALDO!G14+"$GJ|!Cf"</f>
        <v>#VALUE!</v>
      </c>
      <c r="V11" t="e">
        <f>ALDO!H14+"$GJ|!Cg"</f>
        <v>#VALUE!</v>
      </c>
      <c r="W11" t="e">
        <f>ALDO!I14+"$GJ|!Ch"</f>
        <v>#VALUE!</v>
      </c>
      <c r="X11" t="e">
        <f>ALDO!J14+"$GJ|!Ci"</f>
        <v>#VALUE!</v>
      </c>
      <c r="Y11" t="e">
        <f>ALDO!A15+"$GJ|!Cj"</f>
        <v>#VALUE!</v>
      </c>
      <c r="Z11" t="e">
        <f>ALDO!B15+"$GJ|!Ck"</f>
        <v>#VALUE!</v>
      </c>
      <c r="AA11" t="e">
        <f>ALDO!C15+"$GJ|!Cl"</f>
        <v>#VALUE!</v>
      </c>
      <c r="AB11" t="e">
        <f>ALDO!D15+"$GJ|!Cm"</f>
        <v>#VALUE!</v>
      </c>
      <c r="AC11" t="e">
        <f>ALDO!E15+"$GJ|!Cn"</f>
        <v>#VALUE!</v>
      </c>
      <c r="AD11" t="e">
        <f>ALDO!F15+"$GJ|!Co"</f>
        <v>#VALUE!</v>
      </c>
      <c r="AE11" t="e">
        <f>ALDO!G15+"$GJ|!Cp"</f>
        <v>#VALUE!</v>
      </c>
      <c r="AF11" t="e">
        <f>ALDO!H15+"$GJ|!Cq"</f>
        <v>#VALUE!</v>
      </c>
      <c r="AG11" t="e">
        <f>ALDO!I15+"$GJ|!Cr"</f>
        <v>#VALUE!</v>
      </c>
      <c r="AH11" t="e">
        <f>ALDO!J15+"$GJ|!Cs"</f>
        <v>#VALUE!</v>
      </c>
      <c r="AI11" t="e">
        <f>ALDO!A16+"$GJ|!Ct"</f>
        <v>#VALUE!</v>
      </c>
      <c r="AJ11" t="e">
        <f>ALDO!B16+"$GJ|!Cu"</f>
        <v>#VALUE!</v>
      </c>
      <c r="AK11" t="e">
        <f>ALDO!C16+"$GJ|!Cv"</f>
        <v>#VALUE!</v>
      </c>
      <c r="AL11" t="e">
        <f>ALDO!D16+"$GJ|!Cw"</f>
        <v>#VALUE!</v>
      </c>
      <c r="AM11" t="e">
        <f>ALDO!E16+"$GJ|!Cx"</f>
        <v>#VALUE!</v>
      </c>
      <c r="AN11" t="e">
        <f>ALDO!F16+"$GJ|!Cy"</f>
        <v>#VALUE!</v>
      </c>
      <c r="AO11" t="e">
        <f>ALDO!G16+"$GJ|!Cz"</f>
        <v>#VALUE!</v>
      </c>
      <c r="AP11" t="e">
        <f>ALDO!H16+"$GJ|!C{"</f>
        <v>#VALUE!</v>
      </c>
      <c r="AQ11" t="e">
        <f>ALDO!I16+"$GJ|!C|"</f>
        <v>#VALUE!</v>
      </c>
      <c r="AR11" t="e">
        <f>ALDO!J16+"$GJ|!C}"</f>
        <v>#VALUE!</v>
      </c>
      <c r="AS11" t="e">
        <f>ALDO!A17+"$GJ|!C~"</f>
        <v>#VALUE!</v>
      </c>
      <c r="AT11" t="e">
        <f>ALDO!B17+"$GJ|!D#"</f>
        <v>#VALUE!</v>
      </c>
      <c r="AU11" t="e">
        <f>ALDO!C17+"$GJ|!D$"</f>
        <v>#VALUE!</v>
      </c>
      <c r="AV11" t="e">
        <f>ALDO!D17+"$GJ|!D%"</f>
        <v>#VALUE!</v>
      </c>
      <c r="AW11" t="e">
        <f>ALDO!E17+"$GJ|!D&amp;"</f>
        <v>#VALUE!</v>
      </c>
      <c r="AX11" t="e">
        <f>ALDO!F17+"$GJ|!D'"</f>
        <v>#VALUE!</v>
      </c>
      <c r="AY11" t="e">
        <f>ALDO!G17+"$GJ|!D("</f>
        <v>#VALUE!</v>
      </c>
      <c r="AZ11" t="e">
        <f>ALDO!H17+"$GJ|!D)"</f>
        <v>#VALUE!</v>
      </c>
      <c r="BA11" t="e">
        <f>ALDO!I17+"$GJ|!D."</f>
        <v>#VALUE!</v>
      </c>
      <c r="BB11" t="e">
        <f>ALDO!J17+"$GJ|!D/"</f>
        <v>#VALUE!</v>
      </c>
      <c r="BC11" t="e">
        <f>ALDO!A18+"$GJ|!D0"</f>
        <v>#VALUE!</v>
      </c>
      <c r="BD11" t="e">
        <f>ALDO!B18+"$GJ|!D1"</f>
        <v>#VALUE!</v>
      </c>
      <c r="BE11" t="e">
        <f>ALDO!C18+"$GJ|!D2"</f>
        <v>#VALUE!</v>
      </c>
      <c r="BF11" t="e">
        <f>ALDO!D18+"$GJ|!D3"</f>
        <v>#VALUE!</v>
      </c>
      <c r="BG11" t="e">
        <f>ALDO!E18+"$GJ|!D4"</f>
        <v>#VALUE!</v>
      </c>
      <c r="BH11" t="e">
        <f>ALDO!F18+"$GJ|!D5"</f>
        <v>#VALUE!</v>
      </c>
      <c r="BI11" t="e">
        <f>ALDO!G18+"$GJ|!D6"</f>
        <v>#VALUE!</v>
      </c>
      <c r="BJ11" t="e">
        <f>ALDO!H18+"$GJ|!D7"</f>
        <v>#VALUE!</v>
      </c>
      <c r="BK11" t="e">
        <f>ALDO!I18+"$GJ|!D8"</f>
        <v>#VALUE!</v>
      </c>
      <c r="BL11" t="e">
        <f>ALDO!J18+"$GJ|!D9"</f>
        <v>#VALUE!</v>
      </c>
      <c r="BM11" t="e">
        <f>ALDO!A19+"$GJ|!D:"</f>
        <v>#VALUE!</v>
      </c>
      <c r="BN11" t="e">
        <f>ALDO!B19+"$GJ|!D;"</f>
        <v>#VALUE!</v>
      </c>
      <c r="BO11" t="e">
        <f>ALDO!C19+"$GJ|!D&lt;"</f>
        <v>#VALUE!</v>
      </c>
      <c r="BP11" t="e">
        <f>ALDO!D19+"$GJ|!D="</f>
        <v>#VALUE!</v>
      </c>
      <c r="BQ11" t="e">
        <f>ALDO!E19+"$GJ|!D&gt;"</f>
        <v>#VALUE!</v>
      </c>
      <c r="BR11" t="e">
        <f>ALDO!F19+"$GJ|!D?"</f>
        <v>#VALUE!</v>
      </c>
      <c r="BS11" t="e">
        <f>ALDO!G19+"$GJ|!D@"</f>
        <v>#VALUE!</v>
      </c>
      <c r="BT11" t="e">
        <f>ALDO!H19+"$GJ|!DA"</f>
        <v>#VALUE!</v>
      </c>
      <c r="BU11" t="e">
        <f>ALDO!I19+"$GJ|!DB"</f>
        <v>#VALUE!</v>
      </c>
      <c r="BV11" t="e">
        <f>ALDO!J19+"$GJ|!DC"</f>
        <v>#VALUE!</v>
      </c>
      <c r="BW11" t="e">
        <f>ALDO!A20+"$GJ|!DD"</f>
        <v>#VALUE!</v>
      </c>
      <c r="BX11" t="e">
        <f>ALDO!B20+"$GJ|!DE"</f>
        <v>#VALUE!</v>
      </c>
      <c r="BY11" t="e">
        <f>ALDO!C20+"$GJ|!DF"</f>
        <v>#VALUE!</v>
      </c>
      <c r="BZ11" t="e">
        <f>ALDO!D20+"$GJ|!DG"</f>
        <v>#VALUE!</v>
      </c>
      <c r="CA11" t="e">
        <f>ALDO!E20+"$GJ|!DH"</f>
        <v>#VALUE!</v>
      </c>
      <c r="CB11" t="e">
        <f>ALDO!F20+"$GJ|!DI"</f>
        <v>#VALUE!</v>
      </c>
      <c r="CC11" t="e">
        <f>ALDO!G20+"$GJ|!DJ"</f>
        <v>#VALUE!</v>
      </c>
      <c r="CD11" t="e">
        <f>ALDO!H20+"$GJ|!DK"</f>
        <v>#VALUE!</v>
      </c>
      <c r="CE11" t="e">
        <f>ALDO!I20+"$GJ|!DL"</f>
        <v>#VALUE!</v>
      </c>
      <c r="CF11" t="e">
        <f>ALDO!J20+"$GJ|!DM"</f>
        <v>#VALUE!</v>
      </c>
      <c r="CG11" t="e">
        <f>ALDO!A21+"$GJ|!DN"</f>
        <v>#VALUE!</v>
      </c>
      <c r="CH11" t="e">
        <f>ALDO!B21+"$GJ|!DO"</f>
        <v>#VALUE!</v>
      </c>
      <c r="CI11" t="e">
        <f>ALDO!C21+"$GJ|!DP"</f>
        <v>#VALUE!</v>
      </c>
      <c r="CJ11" t="e">
        <f>ALDO!D21+"$GJ|!DQ"</f>
        <v>#VALUE!</v>
      </c>
      <c r="CK11" t="e">
        <f>ALDO!E21+"$GJ|!DR"</f>
        <v>#VALUE!</v>
      </c>
      <c r="CL11" t="e">
        <f>ALDO!F21+"$GJ|!DS"</f>
        <v>#VALUE!</v>
      </c>
      <c r="CM11" t="e">
        <f>ALDO!G21+"$GJ|!DT"</f>
        <v>#VALUE!</v>
      </c>
      <c r="CN11" t="e">
        <f>ALDO!H21+"$GJ|!DU"</f>
        <v>#VALUE!</v>
      </c>
      <c r="CO11" t="e">
        <f>ALDO!I21+"$GJ|!DV"</f>
        <v>#VALUE!</v>
      </c>
      <c r="CP11" t="e">
        <f>ALDO!J21+"$GJ|!DW"</f>
        <v>#VALUE!</v>
      </c>
      <c r="CQ11" t="e">
        <f>ALDO!A22+"$GJ|!DX"</f>
        <v>#VALUE!</v>
      </c>
      <c r="CR11" t="e">
        <f>ALDO!B22+"$GJ|!DY"</f>
        <v>#VALUE!</v>
      </c>
      <c r="CS11" t="e">
        <f>ALDO!C22+"$GJ|!DZ"</f>
        <v>#VALUE!</v>
      </c>
      <c r="CT11" t="e">
        <f>ALDO!D22+"$GJ|!D["</f>
        <v>#VALUE!</v>
      </c>
      <c r="CU11" t="e">
        <f>ALDO!E22+"$GJ|!D\"</f>
        <v>#VALUE!</v>
      </c>
      <c r="CV11" t="e">
        <f>ALDO!F22+"$GJ|!D]"</f>
        <v>#VALUE!</v>
      </c>
      <c r="CW11" t="e">
        <f>ALDO!G22+"$GJ|!D^"</f>
        <v>#VALUE!</v>
      </c>
      <c r="CX11" t="e">
        <f>ALDO!H22+"$GJ|!D_"</f>
        <v>#VALUE!</v>
      </c>
      <c r="CY11" t="e">
        <f>ALDO!I22+"$GJ|!D`"</f>
        <v>#VALUE!</v>
      </c>
      <c r="CZ11" t="e">
        <f>ALDO!J22+"$GJ|!Da"</f>
        <v>#VALUE!</v>
      </c>
      <c r="DA11" t="e">
        <f>ALDO!A23+"$GJ|!Db"</f>
        <v>#VALUE!</v>
      </c>
      <c r="DB11" t="e">
        <f>ALDO!B23+"$GJ|!Dc"</f>
        <v>#VALUE!</v>
      </c>
      <c r="DC11" t="e">
        <f>ALDO!C23+"$GJ|!Dd"</f>
        <v>#VALUE!</v>
      </c>
      <c r="DD11" t="e">
        <f>ALDO!D23+"$GJ|!De"</f>
        <v>#VALUE!</v>
      </c>
      <c r="DE11" t="e">
        <f>ALDO!E23+"$GJ|!Df"</f>
        <v>#VALUE!</v>
      </c>
      <c r="DF11" t="e">
        <f>ALDO!F23+"$GJ|!Dg"</f>
        <v>#VALUE!</v>
      </c>
      <c r="DG11" t="e">
        <f>ALDO!G23+"$GJ|!Dh"</f>
        <v>#VALUE!</v>
      </c>
      <c r="DH11" t="e">
        <f>ALDO!H23+"$GJ|!Di"</f>
        <v>#VALUE!</v>
      </c>
      <c r="DI11" t="e">
        <f>ALDO!I23+"$GJ|!Dj"</f>
        <v>#VALUE!</v>
      </c>
      <c r="DJ11" t="e">
        <f>ALDO!J23+"$GJ|!Dk"</f>
        <v>#VALUE!</v>
      </c>
      <c r="DK11" t="e">
        <f>ALDO!A24+"$GJ|!Dl"</f>
        <v>#VALUE!</v>
      </c>
      <c r="DL11" t="e">
        <f>ALDO!B24+"$GJ|!Dm"</f>
        <v>#VALUE!</v>
      </c>
      <c r="DM11" t="e">
        <f>ALDO!C24+"$GJ|!Dn"</f>
        <v>#VALUE!</v>
      </c>
      <c r="DN11" t="e">
        <f>ALDO!D24+"$GJ|!Do"</f>
        <v>#VALUE!</v>
      </c>
      <c r="DO11" t="e">
        <f>ALDO!E24+"$GJ|!Dp"</f>
        <v>#VALUE!</v>
      </c>
      <c r="DP11" t="e">
        <f>ALDO!F24+"$GJ|!Dq"</f>
        <v>#VALUE!</v>
      </c>
      <c r="DQ11" t="e">
        <f>ALDO!G24+"$GJ|!Dr"</f>
        <v>#VALUE!</v>
      </c>
      <c r="DR11" t="e">
        <f>ALDO!H24+"$GJ|!Ds"</f>
        <v>#VALUE!</v>
      </c>
      <c r="DS11" t="e">
        <f>ALDO!I24+"$GJ|!Dt"</f>
        <v>#VALUE!</v>
      </c>
      <c r="DT11" t="e">
        <f>ALDO!J24+"$GJ|!Du"</f>
        <v>#VALUE!</v>
      </c>
      <c r="DU11" t="e">
        <f>ALDO!A25+"$GJ|!Dv"</f>
        <v>#VALUE!</v>
      </c>
      <c r="DV11" t="e">
        <f>ALDO!B25+"$GJ|!Dw"</f>
        <v>#VALUE!</v>
      </c>
      <c r="DW11" t="e">
        <f>ALDO!C25+"$GJ|!Dx"</f>
        <v>#VALUE!</v>
      </c>
      <c r="DX11" t="e">
        <f>ALDO!D25+"$GJ|!Dy"</f>
        <v>#VALUE!</v>
      </c>
      <c r="DY11" t="e">
        <f>ALDO!E25+"$GJ|!Dz"</f>
        <v>#VALUE!</v>
      </c>
      <c r="DZ11" t="e">
        <f>ALDO!F25+"$GJ|!D{"</f>
        <v>#VALUE!</v>
      </c>
      <c r="EA11" t="e">
        <f>ALDO!G25+"$GJ|!D|"</f>
        <v>#VALUE!</v>
      </c>
      <c r="EB11" t="e">
        <f>ALDO!H25+"$GJ|!D}"</f>
        <v>#VALUE!</v>
      </c>
      <c r="EC11" t="e">
        <f>ALDO!I25+"$GJ|!D~"</f>
        <v>#VALUE!</v>
      </c>
      <c r="ED11" t="e">
        <f>ALDO!J25+"$GJ|!E#"</f>
        <v>#VALUE!</v>
      </c>
      <c r="EE11" t="e">
        <f>ALDO!A26+"$GJ|!E$"</f>
        <v>#VALUE!</v>
      </c>
      <c r="EF11" t="e">
        <f>ALDO!B26+"$GJ|!E%"</f>
        <v>#VALUE!</v>
      </c>
      <c r="EG11" t="e">
        <f>ALDO!C26+"$GJ|!E&amp;"</f>
        <v>#VALUE!</v>
      </c>
      <c r="EH11" t="e">
        <f>ALDO!D26+"$GJ|!E'"</f>
        <v>#VALUE!</v>
      </c>
      <c r="EI11" t="e">
        <f>ALDO!E26+"$GJ|!E("</f>
        <v>#VALUE!</v>
      </c>
      <c r="EJ11" t="e">
        <f>ALDO!F26+"$GJ|!E)"</f>
        <v>#VALUE!</v>
      </c>
      <c r="EK11" t="e">
        <f>ALDO!G26+"$GJ|!E."</f>
        <v>#VALUE!</v>
      </c>
      <c r="EL11" t="e">
        <f>ALDO!H26+"$GJ|!E/"</f>
        <v>#VALUE!</v>
      </c>
      <c r="EM11" t="e">
        <f>ALDO!I26+"$GJ|!E0"</f>
        <v>#VALUE!</v>
      </c>
      <c r="EN11" t="e">
        <f>ALDO!J26+"$GJ|!E1"</f>
        <v>#VALUE!</v>
      </c>
      <c r="EO11" t="e">
        <f>ALDO!A27+"$GJ|!E2"</f>
        <v>#VALUE!</v>
      </c>
      <c r="EP11" t="e">
        <f>ALDO!B27+"$GJ|!E3"</f>
        <v>#VALUE!</v>
      </c>
      <c r="EQ11" t="e">
        <f>ALDO!C27+"$GJ|!E4"</f>
        <v>#VALUE!</v>
      </c>
      <c r="ER11" t="e">
        <f>ALDO!D27+"$GJ|!E5"</f>
        <v>#VALUE!</v>
      </c>
      <c r="ES11" t="e">
        <f>ALDO!E27+"$GJ|!E6"</f>
        <v>#VALUE!</v>
      </c>
      <c r="ET11" t="e">
        <f>ALDO!F27+"$GJ|!E7"</f>
        <v>#VALUE!</v>
      </c>
      <c r="EU11" t="e">
        <f>ALDO!G27+"$GJ|!E8"</f>
        <v>#VALUE!</v>
      </c>
      <c r="EV11" t="e">
        <f>ALDO!H27+"$GJ|!E9"</f>
        <v>#VALUE!</v>
      </c>
      <c r="EW11" t="e">
        <f>ALDO!I27+"$GJ|!E:"</f>
        <v>#VALUE!</v>
      </c>
      <c r="EX11" t="e">
        <f>ALDO!J27+"$GJ|!E;"</f>
        <v>#VALUE!</v>
      </c>
      <c r="EY11" t="e">
        <f>ALDO!A28+"$GJ|!E&lt;"</f>
        <v>#VALUE!</v>
      </c>
      <c r="EZ11" t="e">
        <f>ALDO!B28+"$GJ|!E="</f>
        <v>#VALUE!</v>
      </c>
      <c r="FA11" t="e">
        <f>ALDO!C28+"$GJ|!E&gt;"</f>
        <v>#VALUE!</v>
      </c>
      <c r="FB11" t="e">
        <f>ALDO!D28+"$GJ|!E?"</f>
        <v>#VALUE!</v>
      </c>
      <c r="FC11" t="e">
        <f>ALDO!E28+"$GJ|!E@"</f>
        <v>#VALUE!</v>
      </c>
      <c r="FD11" t="e">
        <f>ALDO!F28+"$GJ|!EA"</f>
        <v>#VALUE!</v>
      </c>
      <c r="FE11" t="e">
        <f>ALDO!G28+"$GJ|!EB"</f>
        <v>#VALUE!</v>
      </c>
      <c r="FF11" t="e">
        <f>ALDO!H28+"$GJ|!EC"</f>
        <v>#VALUE!</v>
      </c>
      <c r="FG11" t="e">
        <f>ALDO!I28+"$GJ|!ED"</f>
        <v>#VALUE!</v>
      </c>
      <c r="FH11" t="e">
        <f>ALDO!J28+"$GJ|!EE"</f>
        <v>#VALUE!</v>
      </c>
      <c r="FI11" t="e">
        <f>ALDO!A29+"$GJ|!EF"</f>
        <v>#VALUE!</v>
      </c>
      <c r="FJ11" t="e">
        <f>ALDO!B29+"$GJ|!EG"</f>
        <v>#VALUE!</v>
      </c>
      <c r="FK11" t="e">
        <f>ALDO!C29+"$GJ|!EH"</f>
        <v>#VALUE!</v>
      </c>
      <c r="FL11" t="e">
        <f>ALDO!D29+"$GJ|!EI"</f>
        <v>#VALUE!</v>
      </c>
      <c r="FM11" t="e">
        <f>ALDO!E29+"$GJ|!EJ"</f>
        <v>#VALUE!</v>
      </c>
      <c r="FN11" t="e">
        <f>ALDO!F29+"$GJ|!EK"</f>
        <v>#VALUE!</v>
      </c>
      <c r="FO11" t="e">
        <f>ALDO!G29+"$GJ|!EL"</f>
        <v>#VALUE!</v>
      </c>
      <c r="FP11" t="e">
        <f>ALDO!H29+"$GJ|!EM"</f>
        <v>#VALUE!</v>
      </c>
      <c r="FQ11" t="e">
        <f>ALDO!I29+"$GJ|!EN"</f>
        <v>#VALUE!</v>
      </c>
      <c r="FR11" t="e">
        <f>ALDO!J29+"$GJ|!EO"</f>
        <v>#VALUE!</v>
      </c>
      <c r="FS11" t="e">
        <f>ALDO!A30+"$GJ|!EP"</f>
        <v>#VALUE!</v>
      </c>
      <c r="FT11" t="e">
        <f>ALDO!B30+"$GJ|!EQ"</f>
        <v>#VALUE!</v>
      </c>
      <c r="FU11" t="e">
        <f>ALDO!C30+"$GJ|!ER"</f>
        <v>#VALUE!</v>
      </c>
      <c r="FV11" t="e">
        <f>ALDO!D30+"$GJ|!ES"</f>
        <v>#VALUE!</v>
      </c>
      <c r="FW11" t="e">
        <f>ALDO!E30+"$GJ|!ET"</f>
        <v>#VALUE!</v>
      </c>
      <c r="FX11" t="e">
        <f>ALDO!F30+"$GJ|!EU"</f>
        <v>#VALUE!</v>
      </c>
      <c r="FY11" t="e">
        <f>ALDO!G30+"$GJ|!EV"</f>
        <v>#VALUE!</v>
      </c>
      <c r="FZ11" t="e">
        <f>ALDO!H30+"$GJ|!EW"</f>
        <v>#VALUE!</v>
      </c>
      <c r="GA11" t="e">
        <f>ALDO!I30+"$GJ|!EX"</f>
        <v>#VALUE!</v>
      </c>
      <c r="GB11" t="e">
        <f>ALDO!J30+"$GJ|!EY"</f>
        <v>#VALUE!</v>
      </c>
      <c r="GC11" t="e">
        <f>ALDO!A31+"$GJ|!EZ"</f>
        <v>#VALUE!</v>
      </c>
      <c r="GD11" t="e">
        <f>ALDO!B31+"$GJ|!E["</f>
        <v>#VALUE!</v>
      </c>
      <c r="GE11" t="e">
        <f>ALDO!C31+"$GJ|!E\"</f>
        <v>#VALUE!</v>
      </c>
      <c r="GF11" t="e">
        <f>ALDO!D31+"$GJ|!E]"</f>
        <v>#VALUE!</v>
      </c>
      <c r="GG11" t="e">
        <f>ALDO!E31+"$GJ|!E^"</f>
        <v>#VALUE!</v>
      </c>
      <c r="GH11" t="e">
        <f>ALDO!F31+"$GJ|!E_"</f>
        <v>#VALUE!</v>
      </c>
      <c r="GI11" t="e">
        <f>ALDO!G31+"$GJ|!E`"</f>
        <v>#VALUE!</v>
      </c>
      <c r="GJ11" t="e">
        <f>ALDO!H31+"$GJ|!Ea"</f>
        <v>#VALUE!</v>
      </c>
      <c r="GK11" t="e">
        <f>ALDO!I31+"$GJ|!Eb"</f>
        <v>#VALUE!</v>
      </c>
      <c r="GL11" t="e">
        <f>ALDO!J31+"$GJ|!Ec"</f>
        <v>#VALUE!</v>
      </c>
      <c r="GM11" t="e">
        <f>ALDO!A32+"$GJ|!Ed"</f>
        <v>#VALUE!</v>
      </c>
      <c r="GN11" t="e">
        <f>ALDO!B32+"$GJ|!Ee"</f>
        <v>#VALUE!</v>
      </c>
      <c r="GO11" t="e">
        <f>ALDO!C32+"$GJ|!Ef"</f>
        <v>#VALUE!</v>
      </c>
      <c r="GP11" t="e">
        <f>ALDO!D32+"$GJ|!Eg"</f>
        <v>#VALUE!</v>
      </c>
      <c r="GQ11" t="e">
        <f>ALDO!E32+"$GJ|!Eh"</f>
        <v>#VALUE!</v>
      </c>
      <c r="GR11" t="e">
        <f>ALDO!F32+"$GJ|!Ei"</f>
        <v>#VALUE!</v>
      </c>
      <c r="GS11" t="e">
        <f>ALDO!G32+"$GJ|!Ej"</f>
        <v>#VALUE!</v>
      </c>
      <c r="GT11" t="e">
        <f>ALDO!H32+"$GJ|!Ek"</f>
        <v>#VALUE!</v>
      </c>
      <c r="GU11" t="e">
        <f>ALDO!I32+"$GJ|!El"</f>
        <v>#VALUE!</v>
      </c>
      <c r="GV11" t="e">
        <f>ALDO!J32+"$GJ|!Em"</f>
        <v>#VALUE!</v>
      </c>
      <c r="GW11" t="e">
        <f>ALDO!A33+"$GJ|!En"</f>
        <v>#VALUE!</v>
      </c>
      <c r="GX11" t="e">
        <f>ALDO!B33+"$GJ|!Eo"</f>
        <v>#VALUE!</v>
      </c>
      <c r="GY11" t="e">
        <f>ALDO!C33+"$GJ|!Ep"</f>
        <v>#VALUE!</v>
      </c>
      <c r="GZ11" t="e">
        <f>ALDO!D33+"$GJ|!Eq"</f>
        <v>#VALUE!</v>
      </c>
      <c r="HA11" t="e">
        <f>ALDO!E33+"$GJ|!Er"</f>
        <v>#VALUE!</v>
      </c>
      <c r="HB11" t="e">
        <f>ALDO!F33+"$GJ|!Es"</f>
        <v>#VALUE!</v>
      </c>
      <c r="HC11" t="e">
        <f>ALDO!G33+"$GJ|!Et"</f>
        <v>#VALUE!</v>
      </c>
      <c r="HD11" t="e">
        <f>ALDO!H33+"$GJ|!Eu"</f>
        <v>#VALUE!</v>
      </c>
      <c r="HE11" t="e">
        <f>ALDO!I33+"$GJ|!Ev"</f>
        <v>#VALUE!</v>
      </c>
      <c r="HF11" t="e">
        <f>ALDO!J33+"$GJ|!Ew"</f>
        <v>#VALUE!</v>
      </c>
      <c r="HG11" t="e">
        <f>ALDO!A34+"$GJ|!Ex"</f>
        <v>#VALUE!</v>
      </c>
      <c r="HH11" t="e">
        <f>ALDO!B34+"$GJ|!Ey"</f>
        <v>#VALUE!</v>
      </c>
      <c r="HI11" t="e">
        <f>ALDO!C34+"$GJ|!Ez"</f>
        <v>#VALUE!</v>
      </c>
      <c r="HJ11" t="e">
        <f>ALDO!D34+"$GJ|!E{"</f>
        <v>#VALUE!</v>
      </c>
      <c r="HK11" t="e">
        <f>ALDO!E34+"$GJ|!E|"</f>
        <v>#VALUE!</v>
      </c>
      <c r="HL11" t="e">
        <f>ALDO!F34+"$GJ|!E}"</f>
        <v>#VALUE!</v>
      </c>
      <c r="HM11" t="e">
        <f>ALDO!G34+"$GJ|!E~"</f>
        <v>#VALUE!</v>
      </c>
      <c r="HN11" t="e">
        <f>ALDO!H34+"$GJ|!F#"</f>
        <v>#VALUE!</v>
      </c>
      <c r="HO11" t="e">
        <f>ALDO!I34+"$GJ|!F$"</f>
        <v>#VALUE!</v>
      </c>
      <c r="HP11" t="e">
        <f>ALDO!J34+"$GJ|!F%"</f>
        <v>#VALUE!</v>
      </c>
      <c r="HQ11" t="e">
        <f>ALDO!A35+"$GJ|!F&amp;"</f>
        <v>#VALUE!</v>
      </c>
      <c r="HR11" t="e">
        <f>ALDO!B35+"$GJ|!F'"</f>
        <v>#VALUE!</v>
      </c>
      <c r="HS11" t="e">
        <f>ALDO!C35+"$GJ|!F("</f>
        <v>#VALUE!</v>
      </c>
      <c r="HT11" t="e">
        <f>ALDO!D35+"$GJ|!F)"</f>
        <v>#VALUE!</v>
      </c>
      <c r="HU11" t="e">
        <f>ALDO!E35+"$GJ|!F."</f>
        <v>#VALUE!</v>
      </c>
      <c r="HV11" t="e">
        <f>ALDO!F35+"$GJ|!F/"</f>
        <v>#VALUE!</v>
      </c>
      <c r="HW11" t="e">
        <f>ALDO!G35+"$GJ|!F0"</f>
        <v>#VALUE!</v>
      </c>
      <c r="HX11" t="e">
        <f>ALDO!H35+"$GJ|!F1"</f>
        <v>#VALUE!</v>
      </c>
      <c r="HY11" t="e">
        <f>ALDO!I35+"$GJ|!F2"</f>
        <v>#VALUE!</v>
      </c>
      <c r="HZ11" t="e">
        <f>ALDO!J35+"$GJ|!F3"</f>
        <v>#VALUE!</v>
      </c>
      <c r="IA11" t="e">
        <f>ALDO!A36+"$GJ|!F4"</f>
        <v>#VALUE!</v>
      </c>
      <c r="IB11" t="e">
        <f>ALDO!B36+"$GJ|!F5"</f>
        <v>#VALUE!</v>
      </c>
      <c r="IC11" t="e">
        <f>ALDO!C36+"$GJ|!F6"</f>
        <v>#VALUE!</v>
      </c>
      <c r="ID11" t="e">
        <f>ALDO!D36+"$GJ|!F7"</f>
        <v>#VALUE!</v>
      </c>
      <c r="IE11" t="e">
        <f>ALDO!E36+"$GJ|!F8"</f>
        <v>#VALUE!</v>
      </c>
      <c r="IF11" t="e">
        <f>ALDO!F36+"$GJ|!F9"</f>
        <v>#VALUE!</v>
      </c>
      <c r="IG11" t="e">
        <f>ALDO!G36+"$GJ|!F:"</f>
        <v>#VALUE!</v>
      </c>
      <c r="IH11" t="e">
        <f>ALDO!H36+"$GJ|!F;"</f>
        <v>#VALUE!</v>
      </c>
      <c r="II11" t="e">
        <f>ALDO!I36+"$GJ|!F&lt;"</f>
        <v>#VALUE!</v>
      </c>
      <c r="IJ11" t="e">
        <f>ALDO!J36+"$GJ|!F="</f>
        <v>#VALUE!</v>
      </c>
      <c r="IK11" t="e">
        <f>ALDO!A37+"$GJ|!F&gt;"</f>
        <v>#VALUE!</v>
      </c>
      <c r="IL11" t="e">
        <f>ALDO!B37+"$GJ|!F?"</f>
        <v>#VALUE!</v>
      </c>
      <c r="IM11" t="e">
        <f>ALDO!C37+"$GJ|!F@"</f>
        <v>#VALUE!</v>
      </c>
      <c r="IN11" t="e">
        <f>ALDO!D37+"$GJ|!FA"</f>
        <v>#VALUE!</v>
      </c>
      <c r="IO11" t="e">
        <f>ALDO!E37+"$GJ|!FB"</f>
        <v>#VALUE!</v>
      </c>
      <c r="IP11" t="e">
        <f>ALDO!F37+"$GJ|!FC"</f>
        <v>#VALUE!</v>
      </c>
      <c r="IQ11" t="e">
        <f>ALDO!G37+"$GJ|!FD"</f>
        <v>#VALUE!</v>
      </c>
      <c r="IR11" t="e">
        <f>ALDO!H37+"$GJ|!FE"</f>
        <v>#VALUE!</v>
      </c>
      <c r="IS11" t="e">
        <f>ALDO!I37+"$GJ|!FF"</f>
        <v>#VALUE!</v>
      </c>
      <c r="IT11" t="e">
        <f>ALDO!J37+"$GJ|!FG"</f>
        <v>#VALUE!</v>
      </c>
      <c r="IU11" t="e">
        <f>ALDO!A38+"$GJ|!FH"</f>
        <v>#VALUE!</v>
      </c>
      <c r="IV11" t="e">
        <f>ALDO!B38+"$GJ|!FI"</f>
        <v>#VALUE!</v>
      </c>
    </row>
    <row r="12" spans="1:256" x14ac:dyDescent="0.25">
      <c r="F12" t="e">
        <f>ALDO!C38+"$GJ|!FJ"</f>
        <v>#VALUE!</v>
      </c>
      <c r="G12" t="e">
        <f>ALDO!D38+"$GJ|!FK"</f>
        <v>#VALUE!</v>
      </c>
      <c r="H12" t="e">
        <f>ALDO!E38+"$GJ|!FL"</f>
        <v>#VALUE!</v>
      </c>
      <c r="I12" t="e">
        <f>ALDO!F38+"$GJ|!FM"</f>
        <v>#VALUE!</v>
      </c>
      <c r="J12" t="e">
        <f>ALDO!G38+"$GJ|!FN"</f>
        <v>#VALUE!</v>
      </c>
      <c r="K12" t="e">
        <f>ALDO!H38+"$GJ|!FO"</f>
        <v>#VALUE!</v>
      </c>
      <c r="L12" t="e">
        <f>ALDO!I38+"$GJ|!FP"</f>
        <v>#VALUE!</v>
      </c>
      <c r="M12" t="e">
        <f>ALDO!J38+"$GJ|!FQ"</f>
        <v>#VALUE!</v>
      </c>
      <c r="N12" t="e">
        <f>ALDO!A39+"$GJ|!FR"</f>
        <v>#VALUE!</v>
      </c>
      <c r="O12" t="e">
        <f>ALDO!B39+"$GJ|!FS"</f>
        <v>#VALUE!</v>
      </c>
      <c r="P12" t="e">
        <f>ALDO!C39+"$GJ|!FT"</f>
        <v>#VALUE!</v>
      </c>
      <c r="Q12" t="e">
        <f>ALDO!D39+"$GJ|!FU"</f>
        <v>#VALUE!</v>
      </c>
      <c r="R12" t="e">
        <f>ALDO!E39+"$GJ|!FV"</f>
        <v>#VALUE!</v>
      </c>
      <c r="S12" t="e">
        <f>ALDO!F39+"$GJ|!FW"</f>
        <v>#VALUE!</v>
      </c>
      <c r="T12" t="e">
        <f>ALDO!G39+"$GJ|!FX"</f>
        <v>#VALUE!</v>
      </c>
      <c r="U12" t="e">
        <f>ALDO!H39+"$GJ|!FY"</f>
        <v>#VALUE!</v>
      </c>
      <c r="V12" t="e">
        <f>ALDO!I39+"$GJ|!FZ"</f>
        <v>#VALUE!</v>
      </c>
      <c r="W12" t="e">
        <f>ALDO!J39+"$GJ|!F["</f>
        <v>#VALUE!</v>
      </c>
      <c r="X12" t="e">
        <f>ALDO!A40+"$GJ|!F\"</f>
        <v>#VALUE!</v>
      </c>
      <c r="Y12" t="e">
        <f>ALDO!B40+"$GJ|!F]"</f>
        <v>#VALUE!</v>
      </c>
      <c r="Z12" t="e">
        <f>ALDO!C40+"$GJ|!F^"</f>
        <v>#VALUE!</v>
      </c>
      <c r="AA12" t="e">
        <f>ALDO!D40+"$GJ|!F_"</f>
        <v>#VALUE!</v>
      </c>
      <c r="AB12" t="e">
        <f>ALDO!E40+"$GJ|!F`"</f>
        <v>#VALUE!</v>
      </c>
      <c r="AC12" t="e">
        <f>ALDO!F40+"$GJ|!Fa"</f>
        <v>#VALUE!</v>
      </c>
      <c r="AD12" t="e">
        <f>ALDO!G40+"$GJ|!Fb"</f>
        <v>#VALUE!</v>
      </c>
      <c r="AE12" t="e">
        <f>ALDO!H40+"$GJ|!Fc"</f>
        <v>#VALUE!</v>
      </c>
      <c r="AF12" t="e">
        <f>ALDO!I40+"$GJ|!Fd"</f>
        <v>#VALUE!</v>
      </c>
      <c r="AG12" t="e">
        <f>ALDO!J40+"$GJ|!Fe"</f>
        <v>#VALUE!</v>
      </c>
      <c r="AH12" t="e">
        <f>ALDO!A41+"$GJ|!Ff"</f>
        <v>#VALUE!</v>
      </c>
      <c r="AI12" t="e">
        <f>ALDO!B41+"$GJ|!Fg"</f>
        <v>#VALUE!</v>
      </c>
      <c r="AJ12" t="e">
        <f>ALDO!C41+"$GJ|!Fh"</f>
        <v>#VALUE!</v>
      </c>
      <c r="AK12" t="e">
        <f>ALDO!D41+"$GJ|!Fi"</f>
        <v>#VALUE!</v>
      </c>
      <c r="AL12" t="e">
        <f>ALDO!E41+"$GJ|!Fj"</f>
        <v>#VALUE!</v>
      </c>
      <c r="AM12" t="e">
        <f>ALDO!F41+"$GJ|!Fk"</f>
        <v>#VALUE!</v>
      </c>
      <c r="AN12" t="e">
        <f>ALDO!G41+"$GJ|!Fl"</f>
        <v>#VALUE!</v>
      </c>
      <c r="AO12" t="e">
        <f>ALDO!H41+"$GJ|!Fm"</f>
        <v>#VALUE!</v>
      </c>
      <c r="AP12" t="e">
        <f>ALDO!I41+"$GJ|!Fn"</f>
        <v>#VALUE!</v>
      </c>
      <c r="AQ12" t="e">
        <f>ALDO!J41+"$GJ|!Fo"</f>
        <v>#VALUE!</v>
      </c>
      <c r="AR12" t="e">
        <f>ALDO!A42+"$GJ|!Fp"</f>
        <v>#VALUE!</v>
      </c>
      <c r="AS12" t="e">
        <f>ALDO!B42+"$GJ|!Fq"</f>
        <v>#VALUE!</v>
      </c>
      <c r="AT12" t="e">
        <f>ALDO!C42+"$GJ|!Fr"</f>
        <v>#VALUE!</v>
      </c>
      <c r="AU12" t="e">
        <f>ALDO!D42+"$GJ|!Fs"</f>
        <v>#VALUE!</v>
      </c>
      <c r="AV12" t="e">
        <f>ALDO!E42+"$GJ|!Ft"</f>
        <v>#VALUE!</v>
      </c>
      <c r="AW12" t="e">
        <f>ALDO!F42+"$GJ|!Fu"</f>
        <v>#VALUE!</v>
      </c>
      <c r="AX12" t="e">
        <f>ALDO!G42+"$GJ|!Fv"</f>
        <v>#VALUE!</v>
      </c>
      <c r="AY12" t="e">
        <f>ALDO!H42+"$GJ|!Fw"</f>
        <v>#VALUE!</v>
      </c>
      <c r="AZ12" t="e">
        <f>ALDO!I42+"$GJ|!Fx"</f>
        <v>#VALUE!</v>
      </c>
      <c r="BA12" t="e">
        <f>ALDO!J42+"$GJ|!Fy"</f>
        <v>#VALUE!</v>
      </c>
      <c r="BB12" t="e">
        <f>ALDO!A43+"$GJ|!Fz"</f>
        <v>#VALUE!</v>
      </c>
      <c r="BC12" t="e">
        <f>ALDO!B43+"$GJ|!F{"</f>
        <v>#VALUE!</v>
      </c>
      <c r="BD12" t="e">
        <f>ALDO!C43+"$GJ|!F|"</f>
        <v>#VALUE!</v>
      </c>
      <c r="BE12" t="e">
        <f>ALDO!D43+"$GJ|!F}"</f>
        <v>#VALUE!</v>
      </c>
      <c r="BF12" t="e">
        <f>ALDO!E43+"$GJ|!F~"</f>
        <v>#VALUE!</v>
      </c>
      <c r="BG12" t="e">
        <f>ALDO!F43+"$GJ|!G#"</f>
        <v>#VALUE!</v>
      </c>
      <c r="BH12" t="e">
        <f>ALDO!G43+"$GJ|!G$"</f>
        <v>#VALUE!</v>
      </c>
      <c r="BI12" t="e">
        <f>ALDO!H43+"$GJ|!G%"</f>
        <v>#VALUE!</v>
      </c>
      <c r="BJ12" t="e">
        <f>ALDO!I43+"$GJ|!G&amp;"</f>
        <v>#VALUE!</v>
      </c>
      <c r="BK12" t="e">
        <f>ALDO!J43+"$GJ|!G'"</f>
        <v>#VALUE!</v>
      </c>
      <c r="BL12" t="e">
        <f>ALDO!A44+"$GJ|!G("</f>
        <v>#VALUE!</v>
      </c>
      <c r="BM12" t="e">
        <f>ALDO!B44+"$GJ|!G)"</f>
        <v>#VALUE!</v>
      </c>
      <c r="BN12" t="e">
        <f>ALDO!C44+"$GJ|!G."</f>
        <v>#VALUE!</v>
      </c>
      <c r="BO12" t="e">
        <f>ALDO!D44+"$GJ|!G/"</f>
        <v>#VALUE!</v>
      </c>
      <c r="BP12" t="e">
        <f>ALDO!E44+"$GJ|!G0"</f>
        <v>#VALUE!</v>
      </c>
      <c r="BQ12" t="e">
        <f>ALDO!F44+"$GJ|!G1"</f>
        <v>#VALUE!</v>
      </c>
      <c r="BR12" t="e">
        <f>ALDO!G44+"$GJ|!G2"</f>
        <v>#VALUE!</v>
      </c>
      <c r="BS12" t="e">
        <f>ALDO!H44+"$GJ|!G3"</f>
        <v>#VALUE!</v>
      </c>
      <c r="BT12" t="e">
        <f>ALDO!I44+"$GJ|!G4"</f>
        <v>#VALUE!</v>
      </c>
      <c r="BU12" t="e">
        <f>ALDO!J44+"$GJ|!G5"</f>
        <v>#VALUE!</v>
      </c>
      <c r="BV12" t="e">
        <f>ALDO!A45+"$GJ|!G6"</f>
        <v>#VALUE!</v>
      </c>
      <c r="BW12" t="e">
        <f>ALDO!B45+"$GJ|!G7"</f>
        <v>#VALUE!</v>
      </c>
      <c r="BX12" t="e">
        <f>ALDO!C45+"$GJ|!G8"</f>
        <v>#VALUE!</v>
      </c>
      <c r="BY12" t="e">
        <f>ALDO!D45+"$GJ|!G9"</f>
        <v>#VALUE!</v>
      </c>
      <c r="BZ12" t="e">
        <f>ALDO!E45+"$GJ|!G:"</f>
        <v>#VALUE!</v>
      </c>
      <c r="CA12" t="e">
        <f>ALDO!F45+"$GJ|!G;"</f>
        <v>#VALUE!</v>
      </c>
      <c r="CB12" t="e">
        <f>ALDO!G45+"$GJ|!G&lt;"</f>
        <v>#VALUE!</v>
      </c>
      <c r="CC12" t="e">
        <f>ALDO!H45+"$GJ|!G="</f>
        <v>#VALUE!</v>
      </c>
      <c r="CD12" t="e">
        <f>ALDO!I45+"$GJ|!G&gt;"</f>
        <v>#VALUE!</v>
      </c>
      <c r="CE12" t="e">
        <f>ALDO!J45+"$GJ|!G?"</f>
        <v>#VALUE!</v>
      </c>
      <c r="CF12" t="e">
        <f>ALDO!A46+"$GJ|!G@"</f>
        <v>#VALUE!</v>
      </c>
      <c r="CG12" t="e">
        <f>ALDO!B46+"$GJ|!GA"</f>
        <v>#VALUE!</v>
      </c>
      <c r="CH12" t="e">
        <f>ALDO!C46+"$GJ|!GB"</f>
        <v>#VALUE!</v>
      </c>
      <c r="CI12" t="e">
        <f>ALDO!D46+"$GJ|!GC"</f>
        <v>#VALUE!</v>
      </c>
      <c r="CJ12" t="e">
        <f>ALDO!E46+"$GJ|!GD"</f>
        <v>#VALUE!</v>
      </c>
      <c r="CK12" t="e">
        <f>ALDO!F46+"$GJ|!GE"</f>
        <v>#VALUE!</v>
      </c>
      <c r="CL12" t="e">
        <f>ALDO!G46+"$GJ|!GF"</f>
        <v>#VALUE!</v>
      </c>
      <c r="CM12" t="e">
        <f>ALDO!H46+"$GJ|!GG"</f>
        <v>#VALUE!</v>
      </c>
      <c r="CN12" t="e">
        <f>ALDO!I46+"$GJ|!GH"</f>
        <v>#VALUE!</v>
      </c>
      <c r="CO12" t="e">
        <f>ALDO!J46+"$GJ|!GI"</f>
        <v>#VALUE!</v>
      </c>
      <c r="CP12" t="e">
        <f>ALDO!A47+"$GJ|!GJ"</f>
        <v>#VALUE!</v>
      </c>
      <c r="CQ12" t="e">
        <f>ALDO!B47+"$GJ|!GK"</f>
        <v>#VALUE!</v>
      </c>
      <c r="CR12" t="e">
        <f>ALDO!C47+"$GJ|!GL"</f>
        <v>#VALUE!</v>
      </c>
      <c r="CS12" t="e">
        <f>ALDO!D47+"$GJ|!GM"</f>
        <v>#VALUE!</v>
      </c>
      <c r="CT12" t="e">
        <f>ALDO!E47+"$GJ|!GN"</f>
        <v>#VALUE!</v>
      </c>
      <c r="CU12" t="e">
        <f>ALDO!F47+"$GJ|!GO"</f>
        <v>#VALUE!</v>
      </c>
      <c r="CV12" t="e">
        <f>ALDO!G47+"$GJ|!GP"</f>
        <v>#VALUE!</v>
      </c>
      <c r="CW12" t="e">
        <f>ALDO!H47+"$GJ|!GQ"</f>
        <v>#VALUE!</v>
      </c>
      <c r="CX12" t="e">
        <f>ALDO!I47+"$GJ|!GR"</f>
        <v>#VALUE!</v>
      </c>
      <c r="CY12" t="e">
        <f>ALDO!J47+"$GJ|!GS"</f>
        <v>#VALUE!</v>
      </c>
      <c r="CZ12" t="e">
        <f>ALDO!A48+"$GJ|!GT"</f>
        <v>#VALUE!</v>
      </c>
      <c r="DA12" t="e">
        <f>ALDO!B48+"$GJ|!GU"</f>
        <v>#VALUE!</v>
      </c>
      <c r="DB12" t="e">
        <f>ALDO!C48+"$GJ|!GV"</f>
        <v>#VALUE!</v>
      </c>
      <c r="DC12" t="e">
        <f>ALDO!D48+"$GJ|!GW"</f>
        <v>#VALUE!</v>
      </c>
      <c r="DD12" t="e">
        <f>ALDO!E48+"$GJ|!GX"</f>
        <v>#VALUE!</v>
      </c>
      <c r="DE12" t="e">
        <f>ALDO!F48+"$GJ|!GY"</f>
        <v>#VALUE!</v>
      </c>
      <c r="DF12" t="e">
        <f>ALDO!G48+"$GJ|!GZ"</f>
        <v>#VALUE!</v>
      </c>
      <c r="DG12" t="e">
        <f>ALDO!H48+"$GJ|!G["</f>
        <v>#VALUE!</v>
      </c>
      <c r="DH12" t="e">
        <f>ALDO!I48+"$GJ|!G\"</f>
        <v>#VALUE!</v>
      </c>
      <c r="DI12" t="e">
        <f>ALDO!J48+"$GJ|!G]"</f>
        <v>#VALUE!</v>
      </c>
      <c r="DJ12" t="e">
        <f>ALDO!A49+"$GJ|!G^"</f>
        <v>#VALUE!</v>
      </c>
      <c r="DK12" t="e">
        <f>ALDO!B49+"$GJ|!G_"</f>
        <v>#VALUE!</v>
      </c>
      <c r="DL12" t="e">
        <f>ALDO!C49+"$GJ|!G`"</f>
        <v>#VALUE!</v>
      </c>
      <c r="DM12" t="e">
        <f>ALDO!D49+"$GJ|!Ga"</f>
        <v>#VALUE!</v>
      </c>
      <c r="DN12" t="e">
        <f>ALDO!E49+"$GJ|!Gb"</f>
        <v>#VALUE!</v>
      </c>
      <c r="DO12" t="e">
        <f>ALDO!F49+"$GJ|!Gc"</f>
        <v>#VALUE!</v>
      </c>
      <c r="DP12" t="e">
        <f>ALDO!G49+"$GJ|!Gd"</f>
        <v>#VALUE!</v>
      </c>
      <c r="DQ12" t="e">
        <f>ALDO!H49+"$GJ|!Ge"</f>
        <v>#VALUE!</v>
      </c>
      <c r="DR12" t="e">
        <f>ALDO!I49+"$GJ|!Gf"</f>
        <v>#VALUE!</v>
      </c>
      <c r="DS12" t="e">
        <f>ALDO!J49+"$GJ|!Gg"</f>
        <v>#VALUE!</v>
      </c>
      <c r="DT12" t="e">
        <f>ALDO!A50+"$GJ|!Gh"</f>
        <v>#VALUE!</v>
      </c>
      <c r="DU12" t="e">
        <f>ALDO!B50+"$GJ|!Gi"</f>
        <v>#VALUE!</v>
      </c>
      <c r="DV12" t="e">
        <f>ALDO!C50+"$GJ|!Gj"</f>
        <v>#VALUE!</v>
      </c>
      <c r="DW12" t="e">
        <f>ALDO!D50+"$GJ|!Gk"</f>
        <v>#VALUE!</v>
      </c>
      <c r="DX12" t="e">
        <f>ALDO!E50+"$GJ|!Gl"</f>
        <v>#VALUE!</v>
      </c>
      <c r="DY12" t="e">
        <f>ALDO!F50+"$GJ|!Gm"</f>
        <v>#VALUE!</v>
      </c>
      <c r="DZ12" t="e">
        <f>ALDO!G50+"$GJ|!Gn"</f>
        <v>#VALUE!</v>
      </c>
      <c r="EA12" t="e">
        <f>ALDO!H50+"$GJ|!Go"</f>
        <v>#VALUE!</v>
      </c>
      <c r="EB12" t="e">
        <f>ALDO!I50+"$GJ|!Gp"</f>
        <v>#VALUE!</v>
      </c>
      <c r="EC12" t="e">
        <f>ALDO!J50+"$GJ|!Gq"</f>
        <v>#VALUE!</v>
      </c>
      <c r="ED12" t="e">
        <f>ALDO!A51+"$GJ|!Gr"</f>
        <v>#VALUE!</v>
      </c>
      <c r="EE12" t="e">
        <f>ALDO!B51+"$GJ|!Gs"</f>
        <v>#VALUE!</v>
      </c>
      <c r="EF12" t="e">
        <f>ALDO!C51+"$GJ|!Gt"</f>
        <v>#VALUE!</v>
      </c>
      <c r="EG12" t="e">
        <f>ALDO!D51+"$GJ|!Gu"</f>
        <v>#VALUE!</v>
      </c>
      <c r="EH12" t="e">
        <f>ALDO!E51+"$GJ|!Gv"</f>
        <v>#VALUE!</v>
      </c>
      <c r="EI12" t="e">
        <f>ALDO!F51+"$GJ|!Gw"</f>
        <v>#VALUE!</v>
      </c>
      <c r="EJ12" t="e">
        <f>ALDO!G51+"$GJ|!Gx"</f>
        <v>#VALUE!</v>
      </c>
      <c r="EK12" t="e">
        <f>ALDO!H51+"$GJ|!Gy"</f>
        <v>#VALUE!</v>
      </c>
      <c r="EL12" t="e">
        <f>ALDO!I51+"$GJ|!Gz"</f>
        <v>#VALUE!</v>
      </c>
      <c r="EM12" t="e">
        <f>ALDO!J51+"$GJ|!G{"</f>
        <v>#VALUE!</v>
      </c>
      <c r="EN12" t="e">
        <f>ALDO!A52+"$GJ|!G|"</f>
        <v>#VALUE!</v>
      </c>
      <c r="EO12" t="e">
        <f>ALDO!B52+"$GJ|!G}"</f>
        <v>#VALUE!</v>
      </c>
      <c r="EP12" t="e">
        <f>ALDO!C52+"$GJ|!G~"</f>
        <v>#VALUE!</v>
      </c>
      <c r="EQ12" t="e">
        <f>ALDO!D52+"$GJ|!H#"</f>
        <v>#VALUE!</v>
      </c>
      <c r="ER12" t="e">
        <f>ALDO!E52+"$GJ|!H$"</f>
        <v>#VALUE!</v>
      </c>
      <c r="ES12" t="e">
        <f>ALDO!F52+"$GJ|!H%"</f>
        <v>#VALUE!</v>
      </c>
      <c r="ET12" t="e">
        <f>ALDO!G52+"$GJ|!H&amp;"</f>
        <v>#VALUE!</v>
      </c>
      <c r="EU12" t="e">
        <f>ALDO!H52+"$GJ|!H'"</f>
        <v>#VALUE!</v>
      </c>
      <c r="EV12" t="e">
        <f>ALDO!I52+"$GJ|!H("</f>
        <v>#VALUE!</v>
      </c>
      <c r="EW12" t="e">
        <f>ALDO!J52+"$GJ|!H)"</f>
        <v>#VALUE!</v>
      </c>
      <c r="EX12" t="e">
        <f>ALDO!A53+"$GJ|!H."</f>
        <v>#VALUE!</v>
      </c>
      <c r="EY12" t="e">
        <f>ALDO!B53+"$GJ|!H/"</f>
        <v>#VALUE!</v>
      </c>
      <c r="EZ12" t="e">
        <f>ALDO!C53+"$GJ|!H0"</f>
        <v>#VALUE!</v>
      </c>
      <c r="FA12" t="e">
        <f>ALDO!D53+"$GJ|!H1"</f>
        <v>#VALUE!</v>
      </c>
      <c r="FB12" t="e">
        <f>ALDO!E53+"$GJ|!H2"</f>
        <v>#VALUE!</v>
      </c>
      <c r="FC12" t="e">
        <f>ALDO!F53+"$GJ|!H3"</f>
        <v>#VALUE!</v>
      </c>
      <c r="FD12" t="e">
        <f>ALDO!G53+"$GJ|!H4"</f>
        <v>#VALUE!</v>
      </c>
      <c r="FE12" t="e">
        <f>ALDO!H53+"$GJ|!H5"</f>
        <v>#VALUE!</v>
      </c>
      <c r="FF12" t="e">
        <f>ALDO!I53+"$GJ|!H6"</f>
        <v>#VALUE!</v>
      </c>
      <c r="FG12" t="e">
        <f>ALDO!J53+"$GJ|!H7"</f>
        <v>#VALUE!</v>
      </c>
      <c r="FH12" t="e">
        <f>ALDO!A54+"$GJ|!H8"</f>
        <v>#VALUE!</v>
      </c>
      <c r="FI12" t="e">
        <f>ALDO!B54+"$GJ|!H9"</f>
        <v>#VALUE!</v>
      </c>
      <c r="FJ12" t="e">
        <f>ALDO!C54+"$GJ|!H:"</f>
        <v>#VALUE!</v>
      </c>
      <c r="FK12" t="e">
        <f>ALDO!D54+"$GJ|!H;"</f>
        <v>#VALUE!</v>
      </c>
      <c r="FL12" t="e">
        <f>ALDO!E54+"$GJ|!H&lt;"</f>
        <v>#VALUE!</v>
      </c>
      <c r="FM12" t="e">
        <f>ALDO!F54+"$GJ|!H="</f>
        <v>#VALUE!</v>
      </c>
      <c r="FN12" t="e">
        <f>ALDO!G54+"$GJ|!H&gt;"</f>
        <v>#VALUE!</v>
      </c>
      <c r="FO12" t="e">
        <f>ALDO!H54+"$GJ|!H?"</f>
        <v>#VALUE!</v>
      </c>
      <c r="FP12" t="e">
        <f>ALDO!I54+"$GJ|!H@"</f>
        <v>#VALUE!</v>
      </c>
      <c r="FQ12" t="e">
        <f>ALDO!J54+"$GJ|!HA"</f>
        <v>#VALUE!</v>
      </c>
      <c r="FR12" t="e">
        <f>ALDO!A55+"$GJ|!HB"</f>
        <v>#VALUE!</v>
      </c>
      <c r="FS12" t="e">
        <f>ALDO!B55+"$GJ|!HC"</f>
        <v>#VALUE!</v>
      </c>
      <c r="FT12" t="e">
        <f>ALDO!C55+"$GJ|!HD"</f>
        <v>#VALUE!</v>
      </c>
      <c r="FU12" t="e">
        <f>ALDO!D55+"$GJ|!HE"</f>
        <v>#VALUE!</v>
      </c>
      <c r="FV12" t="e">
        <f>ALDO!E55+"$GJ|!HF"</f>
        <v>#VALUE!</v>
      </c>
      <c r="FW12" t="e">
        <f>ALDO!F55+"$GJ|!HG"</f>
        <v>#VALUE!</v>
      </c>
      <c r="FX12" t="e">
        <f>ALDO!G55+"$GJ|!HH"</f>
        <v>#VALUE!</v>
      </c>
      <c r="FY12" t="e">
        <f>ALDO!H55+"$GJ|!HI"</f>
        <v>#VALUE!</v>
      </c>
      <c r="FZ12" t="e">
        <f>ALDO!I55+"$GJ|!HJ"</f>
        <v>#VALUE!</v>
      </c>
      <c r="GA12" t="e">
        <f>ALDO!J55+"$GJ|!HK"</f>
        <v>#VALUE!</v>
      </c>
      <c r="GB12" t="e">
        <f>ALDO!A56+"$GJ|!HL"</f>
        <v>#VALUE!</v>
      </c>
      <c r="GC12" t="e">
        <f>ALDO!B56+"$GJ|!HM"</f>
        <v>#VALUE!</v>
      </c>
      <c r="GD12" t="e">
        <f>ALDO!C56+"$GJ|!HN"</f>
        <v>#VALUE!</v>
      </c>
      <c r="GE12" t="e">
        <f>ALDO!D56+"$GJ|!HO"</f>
        <v>#VALUE!</v>
      </c>
      <c r="GF12" t="e">
        <f>ALDO!E56+"$GJ|!HP"</f>
        <v>#VALUE!</v>
      </c>
      <c r="GG12" t="e">
        <f>ALDO!F56+"$GJ|!HQ"</f>
        <v>#VALUE!</v>
      </c>
      <c r="GH12" t="e">
        <f>ALDO!G56+"$GJ|!HR"</f>
        <v>#VALUE!</v>
      </c>
      <c r="GI12" t="e">
        <f>ALDO!H56+"$GJ|!HS"</f>
        <v>#VALUE!</v>
      </c>
      <c r="GJ12" t="e">
        <f>ALDO!I56+"$GJ|!HT"</f>
        <v>#VALUE!</v>
      </c>
      <c r="GK12" t="e">
        <f>ALDO!J56+"$GJ|!HU"</f>
        <v>#VALUE!</v>
      </c>
      <c r="GL12" t="e">
        <f>ALDO!A57+"$GJ|!HV"</f>
        <v>#VALUE!</v>
      </c>
      <c r="GM12" t="e">
        <f>ALDO!B57+"$GJ|!HW"</f>
        <v>#VALUE!</v>
      </c>
      <c r="GN12" t="e">
        <f>ALDO!C57+"$GJ|!HX"</f>
        <v>#VALUE!</v>
      </c>
      <c r="GO12" t="e">
        <f>ALDO!D57+"$GJ|!HY"</f>
        <v>#VALUE!</v>
      </c>
      <c r="GP12" t="e">
        <f>ALDO!E57+"$GJ|!HZ"</f>
        <v>#VALUE!</v>
      </c>
      <c r="GQ12" t="e">
        <f>ALDO!F57+"$GJ|!H["</f>
        <v>#VALUE!</v>
      </c>
      <c r="GR12" t="e">
        <f>ALDO!G57+"$GJ|!H\"</f>
        <v>#VALUE!</v>
      </c>
      <c r="GS12" t="e">
        <f>ALDO!H57+"$GJ|!H]"</f>
        <v>#VALUE!</v>
      </c>
      <c r="GT12" t="e">
        <f>ALDO!I57+"$GJ|!H^"</f>
        <v>#VALUE!</v>
      </c>
      <c r="GU12" t="e">
        <f>ALDO!J57+"$GJ|!H_"</f>
        <v>#VALUE!</v>
      </c>
      <c r="GV12" t="e">
        <f>ALDO!A58+"$GJ|!H`"</f>
        <v>#VALUE!</v>
      </c>
      <c r="GW12" t="e">
        <f>ALDO!B58+"$GJ|!Ha"</f>
        <v>#VALUE!</v>
      </c>
      <c r="GX12" t="e">
        <f>ALDO!C58+"$GJ|!Hb"</f>
        <v>#VALUE!</v>
      </c>
      <c r="GY12" t="e">
        <f>ALDO!D58+"$GJ|!Hc"</f>
        <v>#VALUE!</v>
      </c>
      <c r="GZ12" t="e">
        <f>ALDO!E58+"$GJ|!Hd"</f>
        <v>#VALUE!</v>
      </c>
      <c r="HA12" t="e">
        <f>ALDO!F58+"$GJ|!He"</f>
        <v>#VALUE!</v>
      </c>
      <c r="HB12" t="e">
        <f>ALDO!G58+"$GJ|!Hf"</f>
        <v>#VALUE!</v>
      </c>
      <c r="HC12" t="e">
        <f>ALDO!H58+"$GJ|!Hg"</f>
        <v>#VALUE!</v>
      </c>
      <c r="HD12" t="e">
        <f>ALDO!I58+"$GJ|!Hh"</f>
        <v>#VALUE!</v>
      </c>
      <c r="HE12" t="e">
        <f>ALDO!J58+"$GJ|!Hi"</f>
        <v>#VALUE!</v>
      </c>
      <c r="HF12" t="e">
        <f>ALDO!A59+"$GJ|!Hj"</f>
        <v>#VALUE!</v>
      </c>
      <c r="HG12" t="e">
        <f>ALDO!B59+"$GJ|!Hk"</f>
        <v>#VALUE!</v>
      </c>
      <c r="HH12" t="e">
        <f>ALDO!C59+"$GJ|!Hl"</f>
        <v>#VALUE!</v>
      </c>
      <c r="HI12" t="e">
        <f>ALDO!D59+"$GJ|!Hm"</f>
        <v>#VALUE!</v>
      </c>
      <c r="HJ12" t="e">
        <f>ALDO!E59+"$GJ|!Hn"</f>
        <v>#VALUE!</v>
      </c>
      <c r="HK12" t="e">
        <f>ALDO!F59+"$GJ|!Ho"</f>
        <v>#VALUE!</v>
      </c>
      <c r="HL12" t="e">
        <f>ALDO!G59+"$GJ|!Hp"</f>
        <v>#VALUE!</v>
      </c>
      <c r="HM12" t="e">
        <f>ALDO!H59+"$GJ|!Hq"</f>
        <v>#VALUE!</v>
      </c>
      <c r="HN12" t="e">
        <f>ALDO!I59+"$GJ|!Hr"</f>
        <v>#VALUE!</v>
      </c>
      <c r="HO12" t="e">
        <f>ALDO!J59+"$GJ|!Hs"</f>
        <v>#VALUE!</v>
      </c>
      <c r="HP12" t="e">
        <f>ALDO!A60+"$GJ|!Ht"</f>
        <v>#VALUE!</v>
      </c>
      <c r="HQ12" t="e">
        <f>ALDO!B60+"$GJ|!Hu"</f>
        <v>#VALUE!</v>
      </c>
      <c r="HR12" t="e">
        <f>ALDO!C60+"$GJ|!Hv"</f>
        <v>#VALUE!</v>
      </c>
      <c r="HS12" t="e">
        <f>ALDO!D60+"$GJ|!Hw"</f>
        <v>#VALUE!</v>
      </c>
      <c r="HT12" t="e">
        <f>ALDO!E60+"$GJ|!Hx"</f>
        <v>#VALUE!</v>
      </c>
      <c r="HU12" t="e">
        <f>ALDO!F60+"$GJ|!Hy"</f>
        <v>#VALUE!</v>
      </c>
      <c r="HV12" t="e">
        <f>ALDO!G60+"$GJ|!Hz"</f>
        <v>#VALUE!</v>
      </c>
      <c r="HW12" t="e">
        <f>ALDO!H60+"$GJ|!H{"</f>
        <v>#VALUE!</v>
      </c>
      <c r="HX12" t="e">
        <f>ALDO!I60+"$GJ|!H|"</f>
        <v>#VALUE!</v>
      </c>
      <c r="HY12" t="e">
        <f>ALDO!J60+"$GJ|!H}"</f>
        <v>#VALUE!</v>
      </c>
      <c r="HZ12" t="e">
        <f>ALDO!A61+"$GJ|!H~"</f>
        <v>#VALUE!</v>
      </c>
      <c r="IA12" t="e">
        <f>ALDO!B61+"$GJ|!I#"</f>
        <v>#VALUE!</v>
      </c>
      <c r="IB12" t="e">
        <f>ALDO!C61+"$GJ|!I$"</f>
        <v>#VALUE!</v>
      </c>
      <c r="IC12" t="e">
        <f>ALDO!D61+"$GJ|!I%"</f>
        <v>#VALUE!</v>
      </c>
      <c r="ID12" t="e">
        <f>ALDO!E61+"$GJ|!I&amp;"</f>
        <v>#VALUE!</v>
      </c>
      <c r="IE12" t="e">
        <f>ALDO!F61+"$GJ|!I'"</f>
        <v>#VALUE!</v>
      </c>
      <c r="IF12" t="e">
        <f>ALDO!G61+"$GJ|!I("</f>
        <v>#VALUE!</v>
      </c>
      <c r="IG12" t="e">
        <f>ALDO!H61+"$GJ|!I)"</f>
        <v>#VALUE!</v>
      </c>
      <c r="IH12" t="e">
        <f>ALDO!I61+"$GJ|!I."</f>
        <v>#VALUE!</v>
      </c>
      <c r="II12" t="e">
        <f>ALDO!J61+"$GJ|!I/"</f>
        <v>#VALUE!</v>
      </c>
      <c r="IJ12" t="e">
        <f>ALDO!A62+"$GJ|!I0"</f>
        <v>#VALUE!</v>
      </c>
      <c r="IK12" t="e">
        <f>ALDO!B62+"$GJ|!I1"</f>
        <v>#VALUE!</v>
      </c>
      <c r="IL12" t="e">
        <f>ALDO!C62+"$GJ|!I2"</f>
        <v>#VALUE!</v>
      </c>
      <c r="IM12" t="e">
        <f>ALDO!D62+"$GJ|!I3"</f>
        <v>#VALUE!</v>
      </c>
      <c r="IN12" t="e">
        <f>ALDO!E62+"$GJ|!I4"</f>
        <v>#VALUE!</v>
      </c>
      <c r="IO12" t="e">
        <f>ALDO!F62+"$GJ|!I5"</f>
        <v>#VALUE!</v>
      </c>
      <c r="IP12" t="e">
        <f>ALDO!G62+"$GJ|!I6"</f>
        <v>#VALUE!</v>
      </c>
      <c r="IQ12" t="e">
        <f>ALDO!H62+"$GJ|!I7"</f>
        <v>#VALUE!</v>
      </c>
      <c r="IR12" t="e">
        <f>ALDO!I62+"$GJ|!I8"</f>
        <v>#VALUE!</v>
      </c>
      <c r="IS12" t="e">
        <f>ALDO!J62+"$GJ|!I9"</f>
        <v>#VALUE!</v>
      </c>
      <c r="IT12" t="e">
        <f>ALDO!A63+"$GJ|!I:"</f>
        <v>#VALUE!</v>
      </c>
      <c r="IU12" t="e">
        <f>ALDO!B63+"$GJ|!I;"</f>
        <v>#VALUE!</v>
      </c>
      <c r="IV12" t="e">
        <f>ALDO!C63+"$GJ|!I&lt;"</f>
        <v>#VALUE!</v>
      </c>
    </row>
    <row r="13" spans="1:256" x14ac:dyDescent="0.25">
      <c r="F13" t="e">
        <f>ALDO!D63+"$GJ|!I="</f>
        <v>#VALUE!</v>
      </c>
      <c r="G13" t="e">
        <f>ALDO!E63+"$GJ|!I&gt;"</f>
        <v>#VALUE!</v>
      </c>
      <c r="H13" t="e">
        <f>ALDO!F63+"$GJ|!I?"</f>
        <v>#VALUE!</v>
      </c>
      <c r="I13" t="e">
        <f>ALDO!G63+"$GJ|!I@"</f>
        <v>#VALUE!</v>
      </c>
      <c r="J13" t="e">
        <f>ALDO!H63+"$GJ|!IA"</f>
        <v>#VALUE!</v>
      </c>
      <c r="K13" t="e">
        <f>ALDO!I63+"$GJ|!IB"</f>
        <v>#VALUE!</v>
      </c>
      <c r="L13" t="e">
        <f>ALDO!J63+"$GJ|!IC"</f>
        <v>#VALUE!</v>
      </c>
      <c r="M13" t="e">
        <f>ALDO!A64+"$GJ|!ID"</f>
        <v>#VALUE!</v>
      </c>
      <c r="N13" t="e">
        <f>ALDO!B64+"$GJ|!IE"</f>
        <v>#VALUE!</v>
      </c>
      <c r="O13" t="e">
        <f>ALDO!C64+"$GJ|!IF"</f>
        <v>#VALUE!</v>
      </c>
      <c r="P13" t="e">
        <f>ALDO!D64+"$GJ|!IG"</f>
        <v>#VALUE!</v>
      </c>
      <c r="Q13" t="e">
        <f>ALDO!E64+"$GJ|!IH"</f>
        <v>#VALUE!</v>
      </c>
      <c r="R13" t="e">
        <f>ALDO!F64+"$GJ|!II"</f>
        <v>#VALUE!</v>
      </c>
      <c r="S13" t="e">
        <f>ALDO!G64+"$GJ|!IJ"</f>
        <v>#VALUE!</v>
      </c>
      <c r="T13" t="e">
        <f>ALDO!H64+"$GJ|!IK"</f>
        <v>#VALUE!</v>
      </c>
      <c r="U13" t="e">
        <f>ALDO!I64+"$GJ|!IL"</f>
        <v>#VALUE!</v>
      </c>
      <c r="V13" t="e">
        <f>ALDO!J64+"$GJ|!IM"</f>
        <v>#VALUE!</v>
      </c>
      <c r="W13" t="e">
        <f>ALDO!A65+"$GJ|!IN"</f>
        <v>#VALUE!</v>
      </c>
      <c r="X13" t="e">
        <f>ALDO!B65+"$GJ|!IO"</f>
        <v>#VALUE!</v>
      </c>
      <c r="Y13" t="e">
        <f>ALDO!C65+"$GJ|!IP"</f>
        <v>#VALUE!</v>
      </c>
      <c r="Z13" t="e">
        <f>ALDO!D65+"$GJ|!IQ"</f>
        <v>#VALUE!</v>
      </c>
      <c r="AA13" t="e">
        <f>ALDO!E65+"$GJ|!IR"</f>
        <v>#VALUE!</v>
      </c>
      <c r="AB13" t="e">
        <f>ALDO!F65+"$GJ|!IS"</f>
        <v>#VALUE!</v>
      </c>
      <c r="AC13" t="e">
        <f>ALDO!G65+"$GJ|!IT"</f>
        <v>#VALUE!</v>
      </c>
      <c r="AD13" t="e">
        <f>ALDO!H65+"$GJ|!IU"</f>
        <v>#VALUE!</v>
      </c>
      <c r="AE13" t="e">
        <f>ALDO!I65+"$GJ|!IV"</f>
        <v>#VALUE!</v>
      </c>
      <c r="AF13" t="e">
        <f>ALDO!J65+"$GJ|!IW"</f>
        <v>#VALUE!</v>
      </c>
      <c r="AG13" t="e">
        <f>ALDO!A66+"$GJ|!IX"</f>
        <v>#VALUE!</v>
      </c>
      <c r="AH13" t="e">
        <f>ALDO!B66+"$GJ|!IY"</f>
        <v>#VALUE!</v>
      </c>
      <c r="AI13" t="e">
        <f>ALDO!C66+"$GJ|!IZ"</f>
        <v>#VALUE!</v>
      </c>
      <c r="AJ13" t="e">
        <f>ALDO!D66+"$GJ|!I["</f>
        <v>#VALUE!</v>
      </c>
      <c r="AK13" t="e">
        <f>ALDO!E66+"$GJ|!I\"</f>
        <v>#VALUE!</v>
      </c>
      <c r="AL13" t="e">
        <f>ALDO!F66+"$GJ|!I]"</f>
        <v>#VALUE!</v>
      </c>
      <c r="AM13" t="e">
        <f>ALDO!G66+"$GJ|!I^"</f>
        <v>#VALUE!</v>
      </c>
      <c r="AN13" t="e">
        <f>ALDO!H66+"$GJ|!I_"</f>
        <v>#VALUE!</v>
      </c>
      <c r="AO13" t="e">
        <f>ALDO!I66+"$GJ|!I`"</f>
        <v>#VALUE!</v>
      </c>
      <c r="AP13" t="e">
        <f>ALDO!J66+"$GJ|!Ia"</f>
        <v>#VALUE!</v>
      </c>
      <c r="AQ13" t="e">
        <f>ALDO!A67+"$GJ|!Ib"</f>
        <v>#VALUE!</v>
      </c>
      <c r="AR13" t="e">
        <f>ALDO!B67+"$GJ|!Ic"</f>
        <v>#VALUE!</v>
      </c>
      <c r="AS13" t="e">
        <f>ALDO!C67+"$GJ|!Id"</f>
        <v>#VALUE!</v>
      </c>
      <c r="AT13" t="e">
        <f>ALDO!D67+"$GJ|!Ie"</f>
        <v>#VALUE!</v>
      </c>
      <c r="AU13" t="e">
        <f>ALDO!E67+"$GJ|!If"</f>
        <v>#VALUE!</v>
      </c>
      <c r="AV13" t="e">
        <f>ALDO!F67+"$GJ|!Ig"</f>
        <v>#VALUE!</v>
      </c>
      <c r="AW13" t="e">
        <f>ALDO!G67+"$GJ|!Ih"</f>
        <v>#VALUE!</v>
      </c>
      <c r="AX13" t="e">
        <f>ALDO!H67+"$GJ|!Ii"</f>
        <v>#VALUE!</v>
      </c>
      <c r="AY13" t="e">
        <f>ALDO!I67+"$GJ|!Ij"</f>
        <v>#VALUE!</v>
      </c>
      <c r="AZ13" t="e">
        <f>ALDO!J67+"$GJ|!Ik"</f>
        <v>#VALUE!</v>
      </c>
      <c r="BA13" t="e">
        <f>ALDO!A68+"$GJ|!Il"</f>
        <v>#VALUE!</v>
      </c>
      <c r="BB13" t="e">
        <f>ALDO!B68+"$GJ|!Im"</f>
        <v>#VALUE!</v>
      </c>
      <c r="BC13" t="e">
        <f>ALDO!C68+"$GJ|!In"</f>
        <v>#VALUE!</v>
      </c>
      <c r="BD13" t="e">
        <f>ALDO!D68+"$GJ|!Io"</f>
        <v>#VALUE!</v>
      </c>
      <c r="BE13" t="e">
        <f>ALDO!E68+"$GJ|!Ip"</f>
        <v>#VALUE!</v>
      </c>
      <c r="BF13" t="e">
        <f>ALDO!F68+"$GJ|!Iq"</f>
        <v>#VALUE!</v>
      </c>
      <c r="BG13" t="e">
        <f>ALDO!G68+"$GJ|!Ir"</f>
        <v>#VALUE!</v>
      </c>
      <c r="BH13" t="e">
        <f>ALDO!H68+"$GJ|!Is"</f>
        <v>#VALUE!</v>
      </c>
      <c r="BI13" t="e">
        <f>ALDO!I68+"$GJ|!It"</f>
        <v>#VALUE!</v>
      </c>
      <c r="BJ13" t="e">
        <f>ALDO!J68+"$GJ|!Iu"</f>
        <v>#VALUE!</v>
      </c>
      <c r="BK13" t="e">
        <f>ALDO!A69+"$GJ|!Iv"</f>
        <v>#VALUE!</v>
      </c>
      <c r="BL13" t="e">
        <f>ALDO!B69+"$GJ|!Iw"</f>
        <v>#VALUE!</v>
      </c>
      <c r="BM13" t="e">
        <f>ALDO!C69+"$GJ|!Ix"</f>
        <v>#VALUE!</v>
      </c>
      <c r="BN13" t="e">
        <f>ALDO!D69+"$GJ|!Iy"</f>
        <v>#VALUE!</v>
      </c>
      <c r="BO13" t="e">
        <f>ALDO!E69+"$GJ|!Iz"</f>
        <v>#VALUE!</v>
      </c>
      <c r="BP13" t="e">
        <f>ALDO!F69+"$GJ|!I{"</f>
        <v>#VALUE!</v>
      </c>
      <c r="BQ13" t="e">
        <f>ALDO!G69+"$GJ|!I|"</f>
        <v>#VALUE!</v>
      </c>
      <c r="BR13" t="e">
        <f>ALDO!H69+"$GJ|!I}"</f>
        <v>#VALUE!</v>
      </c>
      <c r="BS13" t="e">
        <f>ALDO!I69+"$GJ|!I~"</f>
        <v>#VALUE!</v>
      </c>
      <c r="BT13" t="e">
        <f>ALDO!J69+"$GJ|!J#"</f>
        <v>#VALUE!</v>
      </c>
      <c r="BU13" t="e">
        <f>ALDO!A70+"$GJ|!J$"</f>
        <v>#VALUE!</v>
      </c>
      <c r="BV13" t="e">
        <f>ALDO!B70+"$GJ|!J%"</f>
        <v>#VALUE!</v>
      </c>
      <c r="BW13" t="e">
        <f>ALDO!C70+"$GJ|!J&amp;"</f>
        <v>#VALUE!</v>
      </c>
      <c r="BX13" t="e">
        <f>ALDO!D70+"$GJ|!J'"</f>
        <v>#VALUE!</v>
      </c>
      <c r="BY13" t="e">
        <f>ALDO!E70+"$GJ|!J("</f>
        <v>#VALUE!</v>
      </c>
      <c r="BZ13" t="e">
        <f>ALDO!F70+"$GJ|!J)"</f>
        <v>#VALUE!</v>
      </c>
      <c r="CA13" t="e">
        <f>ALDO!G70+"$GJ|!J."</f>
        <v>#VALUE!</v>
      </c>
      <c r="CB13" t="e">
        <f>ALDO!H70+"$GJ|!J/"</f>
        <v>#VALUE!</v>
      </c>
      <c r="CC13" t="e">
        <f>ALDO!I70+"$GJ|!J0"</f>
        <v>#VALUE!</v>
      </c>
      <c r="CD13" t="e">
        <f>ALDO!J70+"$GJ|!J1"</f>
        <v>#VALUE!</v>
      </c>
      <c r="CE13" t="e">
        <f>ALDO!A71+"$GJ|!J2"</f>
        <v>#VALUE!</v>
      </c>
      <c r="CF13" t="e">
        <f>ALDO!B71+"$GJ|!J3"</f>
        <v>#VALUE!</v>
      </c>
      <c r="CG13" t="e">
        <f>ALDO!C71+"$GJ|!J4"</f>
        <v>#VALUE!</v>
      </c>
      <c r="CH13" t="e">
        <f>ALDO!D71+"$GJ|!J5"</f>
        <v>#VALUE!</v>
      </c>
      <c r="CI13" t="e">
        <f>ALDO!E71+"$GJ|!J6"</f>
        <v>#VALUE!</v>
      </c>
      <c r="CJ13" t="e">
        <f>ALDO!F71+"$GJ|!J7"</f>
        <v>#VALUE!</v>
      </c>
      <c r="CK13" t="e">
        <f>ALDO!G71+"$GJ|!J8"</f>
        <v>#VALUE!</v>
      </c>
      <c r="CL13" t="e">
        <f>ALDO!H71+"$GJ|!J9"</f>
        <v>#VALUE!</v>
      </c>
      <c r="CM13" t="e">
        <f>ALDO!I71+"$GJ|!J:"</f>
        <v>#VALUE!</v>
      </c>
      <c r="CN13" t="e">
        <f>ALDO!J71+"$GJ|!J;"</f>
        <v>#VALUE!</v>
      </c>
      <c r="CO13" t="e">
        <f>ALDO!A72+"$GJ|!J&lt;"</f>
        <v>#VALUE!</v>
      </c>
      <c r="CP13" t="e">
        <f>ALDO!B72+"$GJ|!J="</f>
        <v>#VALUE!</v>
      </c>
      <c r="CQ13" t="e">
        <f>ALDO!C72+"$GJ|!J&gt;"</f>
        <v>#VALUE!</v>
      </c>
      <c r="CR13" t="e">
        <f>ALDO!D72+"$GJ|!J?"</f>
        <v>#VALUE!</v>
      </c>
      <c r="CS13" t="e">
        <f>ALDO!E72+"$GJ|!J@"</f>
        <v>#VALUE!</v>
      </c>
      <c r="CT13" t="e">
        <f>ALDO!F72+"$GJ|!JA"</f>
        <v>#VALUE!</v>
      </c>
      <c r="CU13" t="e">
        <f>ALDO!G72+"$GJ|!JB"</f>
        <v>#VALUE!</v>
      </c>
      <c r="CV13" t="e">
        <f>ALDO!H72+"$GJ|!JC"</f>
        <v>#VALUE!</v>
      </c>
      <c r="CW13" t="e">
        <f>ALDO!I72+"$GJ|!JD"</f>
        <v>#VALUE!</v>
      </c>
      <c r="CX13" t="e">
        <f>ALDO!J72+"$GJ|!JE"</f>
        <v>#VALUE!</v>
      </c>
      <c r="CY13" t="e">
        <f>ALDO!A73+"$GJ|!JF"</f>
        <v>#VALUE!</v>
      </c>
      <c r="CZ13" t="e">
        <f>ALDO!B73+"$GJ|!JG"</f>
        <v>#VALUE!</v>
      </c>
      <c r="DA13" t="e">
        <f>ALDO!C73+"$GJ|!JH"</f>
        <v>#VALUE!</v>
      </c>
      <c r="DB13" t="e">
        <f>ALDO!D73+"$GJ|!JI"</f>
        <v>#VALUE!</v>
      </c>
      <c r="DC13" t="e">
        <f>ALDO!E73+"$GJ|!JJ"</f>
        <v>#VALUE!</v>
      </c>
      <c r="DD13" t="e">
        <f>ALDO!F73+"$GJ|!JK"</f>
        <v>#VALUE!</v>
      </c>
      <c r="DE13" t="e">
        <f>ALDO!G73+"$GJ|!JL"</f>
        <v>#VALUE!</v>
      </c>
      <c r="DF13" t="e">
        <f>ALDO!H73+"$GJ|!JM"</f>
        <v>#VALUE!</v>
      </c>
      <c r="DG13" t="e">
        <f>ALDO!I73+"$GJ|!JN"</f>
        <v>#VALUE!</v>
      </c>
      <c r="DH13" t="e">
        <f>ALDO!J73+"$GJ|!JO"</f>
        <v>#VALUE!</v>
      </c>
      <c r="DI13" t="e">
        <f>ALDO!A74+"$GJ|!JP"</f>
        <v>#VALUE!</v>
      </c>
      <c r="DJ13" t="e">
        <f>ALDO!B74+"$GJ|!JQ"</f>
        <v>#VALUE!</v>
      </c>
      <c r="DK13" t="e">
        <f>ALDO!C74+"$GJ|!JR"</f>
        <v>#VALUE!</v>
      </c>
      <c r="DL13" t="e">
        <f>ALDO!D74+"$GJ|!JS"</f>
        <v>#VALUE!</v>
      </c>
      <c r="DM13" t="e">
        <f>ALDO!E74+"$GJ|!JT"</f>
        <v>#VALUE!</v>
      </c>
      <c r="DN13" t="e">
        <f>ALDO!F74+"$GJ|!JU"</f>
        <v>#VALUE!</v>
      </c>
      <c r="DO13" t="e">
        <f>ALDO!G74+"$GJ|!JV"</f>
        <v>#VALUE!</v>
      </c>
      <c r="DP13" t="e">
        <f>ALDO!H74+"$GJ|!JW"</f>
        <v>#VALUE!</v>
      </c>
      <c r="DQ13" t="e">
        <f>ALDO!I74+"$GJ|!JX"</f>
        <v>#VALUE!</v>
      </c>
      <c r="DR13" t="e">
        <f>ALDO!J74+"$GJ|!JY"</f>
        <v>#VALUE!</v>
      </c>
      <c r="DS13" t="e">
        <f>ALDO!A75+"$GJ|!JZ"</f>
        <v>#VALUE!</v>
      </c>
      <c r="DT13" t="e">
        <f>ALDO!B75+"$GJ|!J["</f>
        <v>#VALUE!</v>
      </c>
      <c r="DU13" t="e">
        <f>ALDO!C75+"$GJ|!J\"</f>
        <v>#VALUE!</v>
      </c>
      <c r="DV13" t="e">
        <f>ALDO!D75+"$GJ|!J]"</f>
        <v>#VALUE!</v>
      </c>
      <c r="DW13" t="e">
        <f>ALDO!E75+"$GJ|!J^"</f>
        <v>#VALUE!</v>
      </c>
      <c r="DX13" t="e">
        <f>ALDO!F75+"$GJ|!J_"</f>
        <v>#VALUE!</v>
      </c>
      <c r="DY13" t="e">
        <f>ALDO!G75+"$GJ|!J`"</f>
        <v>#VALUE!</v>
      </c>
      <c r="DZ13" t="e">
        <f>ALDO!H75+"$GJ|!Ja"</f>
        <v>#VALUE!</v>
      </c>
      <c r="EA13" t="e">
        <f>ALDO!I75+"$GJ|!Jb"</f>
        <v>#VALUE!</v>
      </c>
      <c r="EB13" t="e">
        <f>ALDO!J75+"$GJ|!Jc"</f>
        <v>#VALUE!</v>
      </c>
      <c r="EC13" t="e">
        <f>ALDO!A76+"$GJ|!Jd"</f>
        <v>#VALUE!</v>
      </c>
      <c r="ED13" t="e">
        <f>ALDO!B76+"$GJ|!Je"</f>
        <v>#VALUE!</v>
      </c>
      <c r="EE13" t="e">
        <f>ALDO!C76+"$GJ|!Jf"</f>
        <v>#VALUE!</v>
      </c>
      <c r="EF13" t="e">
        <f>ALDO!D76+"$GJ|!Jg"</f>
        <v>#VALUE!</v>
      </c>
      <c r="EG13" t="e">
        <f>ALDO!E76+"$GJ|!Jh"</f>
        <v>#VALUE!</v>
      </c>
      <c r="EH13" t="e">
        <f>ALDO!F76+"$GJ|!Ji"</f>
        <v>#VALUE!</v>
      </c>
      <c r="EI13" t="e">
        <f>ALDO!G76+"$GJ|!Jj"</f>
        <v>#VALUE!</v>
      </c>
      <c r="EJ13" t="e">
        <f>ALDO!H76+"$GJ|!Jk"</f>
        <v>#VALUE!</v>
      </c>
      <c r="EK13" t="e">
        <f>ALDO!I76+"$GJ|!Jl"</f>
        <v>#VALUE!</v>
      </c>
      <c r="EL13" t="e">
        <f>ALDO!J76+"$GJ|!Jm"</f>
        <v>#VALUE!</v>
      </c>
      <c r="EM13" t="e">
        <f>ALDO!A77+"$GJ|!Jn"</f>
        <v>#VALUE!</v>
      </c>
      <c r="EN13" t="e">
        <f>ALDO!B77+"$GJ|!Jo"</f>
        <v>#VALUE!</v>
      </c>
      <c r="EO13" t="e">
        <f>ALDO!C77+"$GJ|!Jp"</f>
        <v>#VALUE!</v>
      </c>
      <c r="EP13" t="e">
        <f>ALDO!D77+"$GJ|!Jq"</f>
        <v>#VALUE!</v>
      </c>
      <c r="EQ13" t="e">
        <f>ALDO!E77+"$GJ|!Jr"</f>
        <v>#VALUE!</v>
      </c>
      <c r="ER13" t="e">
        <f>ALDO!F77+"$GJ|!Js"</f>
        <v>#VALUE!</v>
      </c>
      <c r="ES13" t="e">
        <f>ALDO!G77+"$GJ|!Jt"</f>
        <v>#VALUE!</v>
      </c>
      <c r="ET13" t="e">
        <f>ALDO!H77+"$GJ|!Ju"</f>
        <v>#VALUE!</v>
      </c>
      <c r="EU13" t="e">
        <f>ALDO!I77+"$GJ|!Jv"</f>
        <v>#VALUE!</v>
      </c>
      <c r="EV13" t="e">
        <f>ALDO!J77+"$GJ|!Jw"</f>
        <v>#VALUE!</v>
      </c>
      <c r="EW13" t="e">
        <f>ALDO!A78+"$GJ|!Jx"</f>
        <v>#VALUE!</v>
      </c>
      <c r="EX13" t="e">
        <f>ALDO!B78+"$GJ|!Jy"</f>
        <v>#VALUE!</v>
      </c>
      <c r="EY13" t="e">
        <f>ALDO!C78+"$GJ|!Jz"</f>
        <v>#VALUE!</v>
      </c>
      <c r="EZ13" t="e">
        <f>ALDO!D78+"$GJ|!J{"</f>
        <v>#VALUE!</v>
      </c>
      <c r="FA13" t="e">
        <f>ALDO!E78+"$GJ|!J|"</f>
        <v>#VALUE!</v>
      </c>
      <c r="FB13" t="e">
        <f>ALDO!F78+"$GJ|!J}"</f>
        <v>#VALUE!</v>
      </c>
      <c r="FC13" t="e">
        <f>ALDO!G78+"$GJ|!J~"</f>
        <v>#VALUE!</v>
      </c>
      <c r="FD13" t="e">
        <f>ALDO!H78+"$GJ|!K#"</f>
        <v>#VALUE!</v>
      </c>
      <c r="FE13" t="e">
        <f>ALDO!I78+"$GJ|!K$"</f>
        <v>#VALUE!</v>
      </c>
      <c r="FF13" t="e">
        <f>ALDO!J78+"$GJ|!K%"</f>
        <v>#VALUE!</v>
      </c>
      <c r="FG13" t="e">
        <f>ALDO!A79+"$GJ|!K&amp;"</f>
        <v>#VALUE!</v>
      </c>
      <c r="FH13" t="e">
        <f>ALDO!B79+"$GJ|!K'"</f>
        <v>#VALUE!</v>
      </c>
      <c r="FI13" t="e">
        <f>ALDO!C79+"$GJ|!K("</f>
        <v>#VALUE!</v>
      </c>
      <c r="FJ13" t="e">
        <f>ALDO!D79+"$GJ|!K)"</f>
        <v>#VALUE!</v>
      </c>
      <c r="FK13" t="e">
        <f>ALDO!E79+"$GJ|!K."</f>
        <v>#VALUE!</v>
      </c>
      <c r="FL13" t="e">
        <f>ALDO!F79+"$GJ|!K/"</f>
        <v>#VALUE!</v>
      </c>
      <c r="FM13" t="e">
        <f>ALDO!G79+"$GJ|!K0"</f>
        <v>#VALUE!</v>
      </c>
      <c r="FN13" t="e">
        <f>ALDO!H79+"$GJ|!K1"</f>
        <v>#VALUE!</v>
      </c>
      <c r="FO13" t="e">
        <f>ALDO!I79+"$GJ|!K2"</f>
        <v>#VALUE!</v>
      </c>
      <c r="FP13" t="e">
        <f>ALDO!J79+"$GJ|!K3"</f>
        <v>#VALUE!</v>
      </c>
      <c r="FQ13" t="e">
        <f>ALDO!A80+"$GJ|!K4"</f>
        <v>#VALUE!</v>
      </c>
      <c r="FR13" t="e">
        <f>ALDO!B80+"$GJ|!K5"</f>
        <v>#VALUE!</v>
      </c>
      <c r="FS13" t="e">
        <f>ALDO!C80+"$GJ|!K6"</f>
        <v>#VALUE!</v>
      </c>
      <c r="FT13" t="e">
        <f>ALDO!D80+"$GJ|!K7"</f>
        <v>#VALUE!</v>
      </c>
      <c r="FU13" t="e">
        <f>ALDO!E80+"$GJ|!K8"</f>
        <v>#VALUE!</v>
      </c>
      <c r="FV13" t="e">
        <f>ALDO!F80+"$GJ|!K9"</f>
        <v>#VALUE!</v>
      </c>
      <c r="FW13" t="e">
        <f>ALDO!G80+"$GJ|!K:"</f>
        <v>#VALUE!</v>
      </c>
      <c r="FX13" t="e">
        <f>ALDO!H80+"$GJ|!K;"</f>
        <v>#VALUE!</v>
      </c>
      <c r="FY13" t="e">
        <f>ALDO!I80+"$GJ|!K&lt;"</f>
        <v>#VALUE!</v>
      </c>
      <c r="FZ13" t="e">
        <f>ALDO!J80+"$GJ|!K="</f>
        <v>#VALUE!</v>
      </c>
      <c r="GA13" t="e">
        <f>ALDO!A81+"$GJ|!K&gt;"</f>
        <v>#VALUE!</v>
      </c>
      <c r="GB13" t="e">
        <f>ALDO!B81+"$GJ|!K?"</f>
        <v>#VALUE!</v>
      </c>
      <c r="GC13" t="e">
        <f>ALDO!C81+"$GJ|!K@"</f>
        <v>#VALUE!</v>
      </c>
      <c r="GD13" t="e">
        <f>ALDO!D81+"$GJ|!KA"</f>
        <v>#VALUE!</v>
      </c>
      <c r="GE13" t="e">
        <f>ALDO!E81+"$GJ|!KB"</f>
        <v>#VALUE!</v>
      </c>
      <c r="GF13" t="e">
        <f>ALDO!F81+"$GJ|!KC"</f>
        <v>#VALUE!</v>
      </c>
      <c r="GG13" t="e">
        <f>ALDO!G81+"$GJ|!KD"</f>
        <v>#VALUE!</v>
      </c>
      <c r="GH13" t="e">
        <f>ALDO!H81+"$GJ|!KE"</f>
        <v>#VALUE!</v>
      </c>
      <c r="GI13" t="e">
        <f>ALDO!I81+"$GJ|!KF"</f>
        <v>#VALUE!</v>
      </c>
      <c r="GJ13" t="e">
        <f>ALDO!J81+"$GJ|!KG"</f>
        <v>#VALUE!</v>
      </c>
      <c r="GK13" t="e">
        <f>ALDO!A82+"$GJ|!KH"</f>
        <v>#VALUE!</v>
      </c>
      <c r="GL13" t="e">
        <f>ALDO!B82+"$GJ|!KI"</f>
        <v>#VALUE!</v>
      </c>
      <c r="GM13" t="e">
        <f>ALDO!C82+"$GJ|!KJ"</f>
        <v>#VALUE!</v>
      </c>
      <c r="GN13" t="e">
        <f>ALDO!D82+"$GJ|!KK"</f>
        <v>#VALUE!</v>
      </c>
      <c r="GO13" t="e">
        <f>ALDO!E82+"$GJ|!KL"</f>
        <v>#VALUE!</v>
      </c>
      <c r="GP13" t="e">
        <f>ALDO!F82+"$GJ|!KM"</f>
        <v>#VALUE!</v>
      </c>
      <c r="GQ13" t="e">
        <f>ALDO!G82+"$GJ|!KN"</f>
        <v>#VALUE!</v>
      </c>
      <c r="GR13" t="e">
        <f>ALDO!H82+"$GJ|!KO"</f>
        <v>#VALUE!</v>
      </c>
      <c r="GS13" t="e">
        <f>ALDO!I82+"$GJ|!KP"</f>
        <v>#VALUE!</v>
      </c>
      <c r="GT13" t="e">
        <f>ALDO!J82+"$GJ|!KQ"</f>
        <v>#VALUE!</v>
      </c>
      <c r="GU13" t="e">
        <f>ALDO!A83+"$GJ|!KR"</f>
        <v>#VALUE!</v>
      </c>
      <c r="GV13" t="e">
        <f>ALDO!B83+"$GJ|!KS"</f>
        <v>#VALUE!</v>
      </c>
      <c r="GW13" t="e">
        <f>ALDO!C83+"$GJ|!KT"</f>
        <v>#VALUE!</v>
      </c>
      <c r="GX13" t="e">
        <f>ALDO!D83+"$GJ|!KU"</f>
        <v>#VALUE!</v>
      </c>
      <c r="GY13" t="e">
        <f>ALDO!E83+"$GJ|!KV"</f>
        <v>#VALUE!</v>
      </c>
      <c r="GZ13" t="e">
        <f>ALDO!F83+"$GJ|!KW"</f>
        <v>#VALUE!</v>
      </c>
      <c r="HA13" t="e">
        <f>ALDO!G83+"$GJ|!KX"</f>
        <v>#VALUE!</v>
      </c>
      <c r="HB13" t="e">
        <f>ALDO!H83+"$GJ|!KY"</f>
        <v>#VALUE!</v>
      </c>
      <c r="HC13" t="e">
        <f>ALDO!I83+"$GJ|!KZ"</f>
        <v>#VALUE!</v>
      </c>
      <c r="HD13" t="e">
        <f>ALDO!J83+"$GJ|!K["</f>
        <v>#VALUE!</v>
      </c>
      <c r="HE13" t="e">
        <f>ALDO!A84+"$GJ|!K\"</f>
        <v>#VALUE!</v>
      </c>
      <c r="HF13" t="e">
        <f>ALDO!B84+"$GJ|!K]"</f>
        <v>#VALUE!</v>
      </c>
      <c r="HG13" t="e">
        <f>ALDO!C84+"$GJ|!K^"</f>
        <v>#VALUE!</v>
      </c>
      <c r="HH13" t="e">
        <f>ALDO!D84+"$GJ|!K_"</f>
        <v>#VALUE!</v>
      </c>
      <c r="HI13" t="e">
        <f>ALDO!E84+"$GJ|!K`"</f>
        <v>#VALUE!</v>
      </c>
      <c r="HJ13" t="e">
        <f>ALDO!F84+"$GJ|!Ka"</f>
        <v>#VALUE!</v>
      </c>
      <c r="HK13" t="e">
        <f>ALDO!G84+"$GJ|!Kb"</f>
        <v>#VALUE!</v>
      </c>
      <c r="HL13" t="e">
        <f>ALDO!H84+"$GJ|!Kc"</f>
        <v>#VALUE!</v>
      </c>
      <c r="HM13" t="e">
        <f>ALDO!I84+"$GJ|!Kd"</f>
        <v>#VALUE!</v>
      </c>
      <c r="HN13" t="e">
        <f>ALDO!J84+"$GJ|!Ke"</f>
        <v>#VALUE!</v>
      </c>
      <c r="HO13" t="e">
        <f>ALDO!A85+"$GJ|!Kf"</f>
        <v>#VALUE!</v>
      </c>
      <c r="HP13" t="e">
        <f>ALDO!B85+"$GJ|!Kg"</f>
        <v>#VALUE!</v>
      </c>
      <c r="HQ13" t="e">
        <f>ALDO!C85+"$GJ|!Kh"</f>
        <v>#VALUE!</v>
      </c>
      <c r="HR13" t="e">
        <f>ALDO!D85+"$GJ|!Ki"</f>
        <v>#VALUE!</v>
      </c>
      <c r="HS13" t="e">
        <f>ALDO!E85+"$GJ|!Kj"</f>
        <v>#VALUE!</v>
      </c>
      <c r="HT13" t="e">
        <f>ALDO!F85+"$GJ|!Kk"</f>
        <v>#VALUE!</v>
      </c>
      <c r="HU13" t="e">
        <f>ALDO!G85+"$GJ|!Kl"</f>
        <v>#VALUE!</v>
      </c>
      <c r="HV13" t="e">
        <f>ALDO!H85+"$GJ|!Km"</f>
        <v>#VALUE!</v>
      </c>
      <c r="HW13" t="e">
        <f>ALDO!I85+"$GJ|!Kn"</f>
        <v>#VALUE!</v>
      </c>
      <c r="HX13" t="e">
        <f>ALDO!J85+"$GJ|!Ko"</f>
        <v>#VALUE!</v>
      </c>
      <c r="HY13" t="e">
        <f>ALDO!A86+"$GJ|!Kp"</f>
        <v>#VALUE!</v>
      </c>
      <c r="HZ13" t="e">
        <f>ALDO!B86+"$GJ|!Kq"</f>
        <v>#VALUE!</v>
      </c>
      <c r="IA13" t="e">
        <f>ALDO!C86+"$GJ|!Kr"</f>
        <v>#VALUE!</v>
      </c>
      <c r="IB13" t="e">
        <f>ALDO!D86+"$GJ|!Ks"</f>
        <v>#VALUE!</v>
      </c>
      <c r="IC13" t="e">
        <f>ALDO!E86+"$GJ|!Kt"</f>
        <v>#VALUE!</v>
      </c>
      <c r="ID13" t="e">
        <f>ALDO!F86+"$GJ|!Ku"</f>
        <v>#VALUE!</v>
      </c>
      <c r="IE13" t="e">
        <f>ALDO!G86+"$GJ|!Kv"</f>
        <v>#VALUE!</v>
      </c>
      <c r="IF13" t="e">
        <f>ALDO!H86+"$GJ|!Kw"</f>
        <v>#VALUE!</v>
      </c>
      <c r="IG13" t="e">
        <f>ALDO!I86+"$GJ|!Kx"</f>
        <v>#VALUE!</v>
      </c>
      <c r="IH13" t="e">
        <f>ALDO!J86+"$GJ|!Ky"</f>
        <v>#VALUE!</v>
      </c>
      <c r="II13" t="e">
        <f>ALDO!A87+"$GJ|!Kz"</f>
        <v>#VALUE!</v>
      </c>
      <c r="IJ13" t="e">
        <f>ALDO!B87+"$GJ|!K{"</f>
        <v>#VALUE!</v>
      </c>
      <c r="IK13" t="e">
        <f>ALDO!C87+"$GJ|!K|"</f>
        <v>#VALUE!</v>
      </c>
      <c r="IL13" t="e">
        <f>ALDO!D87+"$GJ|!K}"</f>
        <v>#VALUE!</v>
      </c>
      <c r="IM13" t="e">
        <f>ALDO!E87+"$GJ|!K~"</f>
        <v>#VALUE!</v>
      </c>
      <c r="IN13" t="e">
        <f>ALDO!F87+"$GJ|!L#"</f>
        <v>#VALUE!</v>
      </c>
      <c r="IO13" t="e">
        <f>ALDO!G87+"$GJ|!L$"</f>
        <v>#VALUE!</v>
      </c>
      <c r="IP13" t="e">
        <f>ALDO!H87+"$GJ|!L%"</f>
        <v>#VALUE!</v>
      </c>
      <c r="IQ13" t="e">
        <f>ALDO!I87+"$GJ|!L&amp;"</f>
        <v>#VALUE!</v>
      </c>
      <c r="IR13" t="e">
        <f>ALDO!J87+"$GJ|!L'"</f>
        <v>#VALUE!</v>
      </c>
      <c r="IS13" t="e">
        <f>ALDO!A88+"$GJ|!L("</f>
        <v>#VALUE!</v>
      </c>
      <c r="IT13" t="e">
        <f>ALDO!B88+"$GJ|!L)"</f>
        <v>#VALUE!</v>
      </c>
      <c r="IU13" t="e">
        <f>ALDO!C88+"$GJ|!L."</f>
        <v>#VALUE!</v>
      </c>
      <c r="IV13" t="e">
        <f>ALDO!D88+"$GJ|!L/"</f>
        <v>#VALUE!</v>
      </c>
    </row>
    <row r="14" spans="1:256" x14ac:dyDescent="0.25">
      <c r="F14" t="e">
        <f>ALDO!E88+"$GJ|!L0"</f>
        <v>#VALUE!</v>
      </c>
      <c r="G14" t="e">
        <f>ALDO!F88+"$GJ|!L1"</f>
        <v>#VALUE!</v>
      </c>
      <c r="H14" t="e">
        <f>ALDO!G88+"$GJ|!L2"</f>
        <v>#VALUE!</v>
      </c>
      <c r="I14" t="e">
        <f>ALDO!H88+"$GJ|!L3"</f>
        <v>#VALUE!</v>
      </c>
      <c r="J14" t="e">
        <f>ALDO!I88+"$GJ|!L4"</f>
        <v>#VALUE!</v>
      </c>
      <c r="K14" t="e">
        <f>ALDO!J88+"$GJ|!L5"</f>
        <v>#VALUE!</v>
      </c>
      <c r="L14" t="e">
        <f>ALDO!A89+"$GJ|!L6"</f>
        <v>#VALUE!</v>
      </c>
      <c r="M14" t="e">
        <f>ALDO!B89+"$GJ|!L7"</f>
        <v>#VALUE!</v>
      </c>
      <c r="N14" t="e">
        <f>ALDO!C89+"$GJ|!L8"</f>
        <v>#VALUE!</v>
      </c>
      <c r="O14" t="e">
        <f>ALDO!D89+"$GJ|!L9"</f>
        <v>#VALUE!</v>
      </c>
      <c r="P14" t="e">
        <f>ALDO!E89+"$GJ|!L:"</f>
        <v>#VALUE!</v>
      </c>
      <c r="Q14" t="e">
        <f>ALDO!F89+"$GJ|!L;"</f>
        <v>#VALUE!</v>
      </c>
      <c r="R14" t="e">
        <f>ALDO!G89+"$GJ|!L&lt;"</f>
        <v>#VALUE!</v>
      </c>
      <c r="S14" t="e">
        <f>ALDO!H89+"$GJ|!L="</f>
        <v>#VALUE!</v>
      </c>
      <c r="T14" t="e">
        <f>ALDO!I89+"$GJ|!L&gt;"</f>
        <v>#VALUE!</v>
      </c>
      <c r="U14" t="e">
        <f>ALDO!J89+"$GJ|!L?"</f>
        <v>#VALUE!</v>
      </c>
      <c r="V14" t="e">
        <f>ALDO!A90+"$GJ|!L@"</f>
        <v>#VALUE!</v>
      </c>
      <c r="W14" t="e">
        <f>ALDO!B90+"$GJ|!LA"</f>
        <v>#VALUE!</v>
      </c>
      <c r="X14" t="e">
        <f>ALDO!C90+"$GJ|!LB"</f>
        <v>#VALUE!</v>
      </c>
      <c r="Y14" t="e">
        <f>ALDO!D90+"$GJ|!LC"</f>
        <v>#VALUE!</v>
      </c>
      <c r="Z14" t="e">
        <f>ALDO!E90+"$GJ|!LD"</f>
        <v>#VALUE!</v>
      </c>
      <c r="AA14" t="e">
        <f>ALDO!F90+"$GJ|!LE"</f>
        <v>#VALUE!</v>
      </c>
      <c r="AB14" t="e">
        <f>ALDO!G90+"$GJ|!LF"</f>
        <v>#VALUE!</v>
      </c>
      <c r="AC14" t="e">
        <f>ALDO!H90+"$GJ|!LG"</f>
        <v>#VALUE!</v>
      </c>
      <c r="AD14" t="e">
        <f>ALDO!I90+"$GJ|!LH"</f>
        <v>#VALUE!</v>
      </c>
      <c r="AE14" t="e">
        <f>ALDO!J90+"$GJ|!LI"</f>
        <v>#VALUE!</v>
      </c>
      <c r="AF14" t="e">
        <f>ALDO!A91+"$GJ|!LJ"</f>
        <v>#VALUE!</v>
      </c>
      <c r="AG14" t="e">
        <f>ALDO!B91+"$GJ|!LK"</f>
        <v>#VALUE!</v>
      </c>
      <c r="AH14" t="e">
        <f>ALDO!C91+"$GJ|!LL"</f>
        <v>#VALUE!</v>
      </c>
      <c r="AI14" t="e">
        <f>ALDO!D91+"$GJ|!LM"</f>
        <v>#VALUE!</v>
      </c>
      <c r="AJ14" t="e">
        <f>ALDO!E91+"$GJ|!LN"</f>
        <v>#VALUE!</v>
      </c>
      <c r="AK14" t="e">
        <f>ALDO!F91+"$GJ|!LO"</f>
        <v>#VALUE!</v>
      </c>
      <c r="AL14" t="e">
        <f>ALDO!G91+"$GJ|!LP"</f>
        <v>#VALUE!</v>
      </c>
      <c r="AM14" t="e">
        <f>ALDO!H91+"$GJ|!LQ"</f>
        <v>#VALUE!</v>
      </c>
      <c r="AN14" t="e">
        <f>ALDO!I91+"$GJ|!LR"</f>
        <v>#VALUE!</v>
      </c>
      <c r="AO14" t="e">
        <f>ALDO!J91+"$GJ|!LS"</f>
        <v>#VALUE!</v>
      </c>
      <c r="AP14" t="e">
        <f>ALDO!A92+"$GJ|!LT"</f>
        <v>#VALUE!</v>
      </c>
      <c r="AQ14" t="e">
        <f>ALDO!B92+"$GJ|!LU"</f>
        <v>#VALUE!</v>
      </c>
      <c r="AR14" t="e">
        <f>ALDO!C92+"$GJ|!LV"</f>
        <v>#VALUE!</v>
      </c>
      <c r="AS14" t="e">
        <f>ALDO!D92+"$GJ|!LW"</f>
        <v>#VALUE!</v>
      </c>
      <c r="AT14" t="e">
        <f>ALDO!E92+"$GJ|!LX"</f>
        <v>#VALUE!</v>
      </c>
      <c r="AU14" t="e">
        <f>ALDO!F92+"$GJ|!LY"</f>
        <v>#VALUE!</v>
      </c>
      <c r="AV14" t="e">
        <f>ALDO!G92+"$GJ|!LZ"</f>
        <v>#VALUE!</v>
      </c>
      <c r="AW14" t="e">
        <f>ALDO!H92+"$GJ|!L["</f>
        <v>#VALUE!</v>
      </c>
      <c r="AX14" t="e">
        <f>ALDO!I92+"$GJ|!L\"</f>
        <v>#VALUE!</v>
      </c>
      <c r="AY14" t="e">
        <f>ALDO!J92+"$GJ|!L]"</f>
        <v>#VALUE!</v>
      </c>
      <c r="AZ14" t="e">
        <f>ALDO!A93+"$GJ|!L^"</f>
        <v>#VALUE!</v>
      </c>
      <c r="BA14" t="e">
        <f>ALDO!B93+"$GJ|!L_"</f>
        <v>#VALUE!</v>
      </c>
      <c r="BB14" t="e">
        <f>ALDO!C93+"$GJ|!L`"</f>
        <v>#VALUE!</v>
      </c>
      <c r="BC14" t="e">
        <f>ALDO!D93+"$GJ|!La"</f>
        <v>#VALUE!</v>
      </c>
      <c r="BD14" t="e">
        <f>ALDO!E93+"$GJ|!Lb"</f>
        <v>#VALUE!</v>
      </c>
      <c r="BE14" t="e">
        <f>ALDO!F93+"$GJ|!Lc"</f>
        <v>#VALUE!</v>
      </c>
      <c r="BF14" t="e">
        <f>ALDO!G93+"$GJ|!Ld"</f>
        <v>#VALUE!</v>
      </c>
      <c r="BG14" t="e">
        <f>ALDO!H93+"$GJ|!Le"</f>
        <v>#VALUE!</v>
      </c>
      <c r="BH14" t="e">
        <f>ALDO!I93+"$GJ|!Lf"</f>
        <v>#VALUE!</v>
      </c>
      <c r="BI14" t="e">
        <f>ALDO!J93+"$GJ|!Lg"</f>
        <v>#VALUE!</v>
      </c>
      <c r="BJ14" t="e">
        <f>ALDO!A94+"$GJ|!Lh"</f>
        <v>#VALUE!</v>
      </c>
      <c r="BK14" t="e">
        <f>ALDO!B94+"$GJ|!Li"</f>
        <v>#VALUE!</v>
      </c>
      <c r="BL14" t="e">
        <f>ALDO!C94+"$GJ|!Lj"</f>
        <v>#VALUE!</v>
      </c>
      <c r="BM14" t="e">
        <f>ALDO!D94+"$GJ|!Lk"</f>
        <v>#VALUE!</v>
      </c>
      <c r="BN14" t="e">
        <f>ALDO!E94+"$GJ|!Ll"</f>
        <v>#VALUE!</v>
      </c>
      <c r="BO14" t="e">
        <f>ALDO!F94+"$GJ|!Lm"</f>
        <v>#VALUE!</v>
      </c>
      <c r="BP14" t="e">
        <f>ALDO!G94+"$GJ|!Ln"</f>
        <v>#VALUE!</v>
      </c>
      <c r="BQ14" t="e">
        <f>ALDO!H94+"$GJ|!Lo"</f>
        <v>#VALUE!</v>
      </c>
      <c r="BR14" t="e">
        <f>ALDO!I94+"$GJ|!Lp"</f>
        <v>#VALUE!</v>
      </c>
      <c r="BS14" t="e">
        <f>ALDO!J94+"$GJ|!Lq"</f>
        <v>#VALUE!</v>
      </c>
      <c r="BT14" t="e">
        <f>ALDO!A95+"$GJ|!Lr"</f>
        <v>#VALUE!</v>
      </c>
      <c r="BU14" t="e">
        <f>ALDO!B95+"$GJ|!Ls"</f>
        <v>#VALUE!</v>
      </c>
      <c r="BV14" t="e">
        <f>ALDO!C95+"$GJ|!Lt"</f>
        <v>#VALUE!</v>
      </c>
      <c r="BW14" t="e">
        <f>ALDO!D95+"$GJ|!Lu"</f>
        <v>#VALUE!</v>
      </c>
      <c r="BX14" t="e">
        <f>ALDO!E95+"$GJ|!Lv"</f>
        <v>#VALUE!</v>
      </c>
      <c r="BY14" t="e">
        <f>ALDO!F95+"$GJ|!Lw"</f>
        <v>#VALUE!</v>
      </c>
      <c r="BZ14" t="e">
        <f>ALDO!G95+"$GJ|!Lx"</f>
        <v>#VALUE!</v>
      </c>
      <c r="CA14" t="e">
        <f>ALDO!H95+"$GJ|!Ly"</f>
        <v>#VALUE!</v>
      </c>
      <c r="CB14" t="e">
        <f>ALDO!I95+"$GJ|!Lz"</f>
        <v>#VALUE!</v>
      </c>
      <c r="CC14" t="e">
        <f>ALDO!J95+"$GJ|!L{"</f>
        <v>#VALUE!</v>
      </c>
      <c r="CD14" t="e">
        <f>ALDO!A96+"$GJ|!L|"</f>
        <v>#VALUE!</v>
      </c>
      <c r="CE14" t="e">
        <f>ALDO!B96+"$GJ|!L}"</f>
        <v>#VALUE!</v>
      </c>
      <c r="CF14" t="e">
        <f>ALDO!C96+"$GJ|!L~"</f>
        <v>#VALUE!</v>
      </c>
      <c r="CG14" t="e">
        <f>ALDO!D96+"$GJ|!M#"</f>
        <v>#VALUE!</v>
      </c>
      <c r="CH14" t="e">
        <f>ALDO!E96+"$GJ|!M$"</f>
        <v>#VALUE!</v>
      </c>
      <c r="CI14" t="e">
        <f>ALDO!F96+"$GJ|!M%"</f>
        <v>#VALUE!</v>
      </c>
      <c r="CJ14" t="e">
        <f>ALDO!G96+"$GJ|!M&amp;"</f>
        <v>#VALUE!</v>
      </c>
      <c r="CK14" t="e">
        <f>ALDO!H96+"$GJ|!M'"</f>
        <v>#VALUE!</v>
      </c>
      <c r="CL14" t="e">
        <f>ALDO!I96+"$GJ|!M("</f>
        <v>#VALUE!</v>
      </c>
      <c r="CM14" t="e">
        <f>ALDO!J96+"$GJ|!M)"</f>
        <v>#VALUE!</v>
      </c>
      <c r="CN14" t="e">
        <f>ALDO!A97+"$GJ|!M."</f>
        <v>#VALUE!</v>
      </c>
      <c r="CO14" t="e">
        <f>ALDO!B97+"$GJ|!M/"</f>
        <v>#VALUE!</v>
      </c>
      <c r="CP14" t="e">
        <f>ALDO!C97+"$GJ|!M0"</f>
        <v>#VALUE!</v>
      </c>
      <c r="CQ14" t="e">
        <f>ALDO!D97+"$GJ|!M1"</f>
        <v>#VALUE!</v>
      </c>
      <c r="CR14" t="e">
        <f>ALDO!E97+"$GJ|!M2"</f>
        <v>#VALUE!</v>
      </c>
      <c r="CS14" t="e">
        <f>ALDO!F97+"$GJ|!M3"</f>
        <v>#VALUE!</v>
      </c>
      <c r="CT14" t="e">
        <f>ALDO!G97+"$GJ|!M4"</f>
        <v>#VALUE!</v>
      </c>
      <c r="CU14" t="e">
        <f>ALDO!H97+"$GJ|!M5"</f>
        <v>#VALUE!</v>
      </c>
      <c r="CV14" t="e">
        <f>ALDO!I97+"$GJ|!M6"</f>
        <v>#VALUE!</v>
      </c>
      <c r="CW14" t="e">
        <f>ALDO!J97+"$GJ|!M7"</f>
        <v>#VALUE!</v>
      </c>
      <c r="CX14" t="e">
        <f>ALDO!A98+"$GJ|!M8"</f>
        <v>#VALUE!</v>
      </c>
      <c r="CY14" t="e">
        <f>ALDO!B98+"$GJ|!M9"</f>
        <v>#VALUE!</v>
      </c>
      <c r="CZ14" t="e">
        <f>ALDO!C98+"$GJ|!M:"</f>
        <v>#VALUE!</v>
      </c>
      <c r="DA14" t="e">
        <f>ALDO!D98+"$GJ|!M;"</f>
        <v>#VALUE!</v>
      </c>
      <c r="DB14" t="e">
        <f>ALDO!E98+"$GJ|!M&lt;"</f>
        <v>#VALUE!</v>
      </c>
      <c r="DC14" t="e">
        <f>ALDO!F98+"$GJ|!M="</f>
        <v>#VALUE!</v>
      </c>
      <c r="DD14" t="e">
        <f>ALDO!G98+"$GJ|!M&gt;"</f>
        <v>#VALUE!</v>
      </c>
      <c r="DE14" t="e">
        <f>ALDO!H98+"$GJ|!M?"</f>
        <v>#VALUE!</v>
      </c>
      <c r="DF14" t="e">
        <f>ALDO!I98+"$GJ|!M@"</f>
        <v>#VALUE!</v>
      </c>
      <c r="DG14" t="e">
        <f>ALDO!J98+"$GJ|!MA"</f>
        <v>#VALUE!</v>
      </c>
      <c r="DH14" t="e">
        <f>ALDO!A99+"$GJ|!MB"</f>
        <v>#VALUE!</v>
      </c>
      <c r="DI14" t="e">
        <f>ALDO!B99+"$GJ|!MC"</f>
        <v>#VALUE!</v>
      </c>
      <c r="DJ14" t="e">
        <f>ALDO!C99+"$GJ|!MD"</f>
        <v>#VALUE!</v>
      </c>
      <c r="DK14" t="e">
        <f>ALDO!D99+"$GJ|!ME"</f>
        <v>#VALUE!</v>
      </c>
      <c r="DL14" t="e">
        <f>ALDO!E99+"$GJ|!MF"</f>
        <v>#VALUE!</v>
      </c>
      <c r="DM14" t="e">
        <f>ALDO!F99+"$GJ|!MG"</f>
        <v>#VALUE!</v>
      </c>
      <c r="DN14" t="e">
        <f>ALDO!G99+"$GJ|!MH"</f>
        <v>#VALUE!</v>
      </c>
      <c r="DO14" t="e">
        <f>ALDO!H99+"$GJ|!MI"</f>
        <v>#VALUE!</v>
      </c>
      <c r="DP14" t="e">
        <f>ALDO!I99+"$GJ|!MJ"</f>
        <v>#VALUE!</v>
      </c>
      <c r="DQ14" t="e">
        <f>ALDO!J99+"$GJ|!MK"</f>
        <v>#VALUE!</v>
      </c>
      <c r="DR14" t="e">
        <f>ALDO!A100+"$GJ|!ML"</f>
        <v>#VALUE!</v>
      </c>
      <c r="DS14" t="e">
        <f>ALDO!B100+"$GJ|!MM"</f>
        <v>#VALUE!</v>
      </c>
      <c r="DT14" t="e">
        <f>ALDO!C100+"$GJ|!MN"</f>
        <v>#VALUE!</v>
      </c>
      <c r="DU14" t="e">
        <f>ALDO!D100+"$GJ|!MO"</f>
        <v>#VALUE!</v>
      </c>
      <c r="DV14" t="e">
        <f>ALDO!E100+"$GJ|!MP"</f>
        <v>#VALUE!</v>
      </c>
      <c r="DW14" t="e">
        <f>ALDO!F100+"$GJ|!MQ"</f>
        <v>#VALUE!</v>
      </c>
      <c r="DX14" t="e">
        <f>ALDO!G100+"$GJ|!MR"</f>
        <v>#VALUE!</v>
      </c>
      <c r="DY14" t="e">
        <f>ALDO!H100+"$GJ|!MS"</f>
        <v>#VALUE!</v>
      </c>
      <c r="DZ14" t="e">
        <f>ALDO!I100+"$GJ|!MT"</f>
        <v>#VALUE!</v>
      </c>
      <c r="EA14" t="e">
        <f>ALDO!J100+"$GJ|!MU"</f>
        <v>#VALUE!</v>
      </c>
      <c r="EB14" t="e">
        <f>ALDO!A101+"$GJ|!MV"</f>
        <v>#VALUE!</v>
      </c>
      <c r="EC14" t="e">
        <f>ALDO!B101+"$GJ|!MW"</f>
        <v>#VALUE!</v>
      </c>
      <c r="ED14" t="e">
        <f>ALDO!C101+"$GJ|!MX"</f>
        <v>#VALUE!</v>
      </c>
      <c r="EE14" t="e">
        <f>ALDO!D101+"$GJ|!MY"</f>
        <v>#VALUE!</v>
      </c>
      <c r="EF14" t="e">
        <f>ALDO!E101+"$GJ|!MZ"</f>
        <v>#VALUE!</v>
      </c>
      <c r="EG14" t="e">
        <f>ALDO!F101+"$GJ|!M["</f>
        <v>#VALUE!</v>
      </c>
      <c r="EH14" t="e">
        <f>ALDO!G101+"$GJ|!M\"</f>
        <v>#VALUE!</v>
      </c>
      <c r="EI14" t="e">
        <f>ALDO!H101+"$GJ|!M]"</f>
        <v>#VALUE!</v>
      </c>
      <c r="EJ14" t="e">
        <f>ALDO!I101+"$GJ|!M^"</f>
        <v>#VALUE!</v>
      </c>
      <c r="EK14" t="e">
        <f>ALDO!J101+"$GJ|!M_"</f>
        <v>#VALUE!</v>
      </c>
      <c r="EL14" t="e">
        <f>ALDO!A102+"$GJ|!M`"</f>
        <v>#VALUE!</v>
      </c>
      <c r="EM14" t="e">
        <f>ALDO!B102+"$GJ|!Ma"</f>
        <v>#VALUE!</v>
      </c>
      <c r="EN14" t="e">
        <f>ALDO!C102+"$GJ|!Mb"</f>
        <v>#VALUE!</v>
      </c>
      <c r="EO14" t="e">
        <f>ALDO!D102+"$GJ|!Mc"</f>
        <v>#VALUE!</v>
      </c>
      <c r="EP14" t="e">
        <f>ALDO!E102+"$GJ|!Md"</f>
        <v>#VALUE!</v>
      </c>
      <c r="EQ14" t="e">
        <f>ALDO!F102+"$GJ|!Me"</f>
        <v>#VALUE!</v>
      </c>
      <c r="ER14" t="e">
        <f>ALDO!G102+"$GJ|!Mf"</f>
        <v>#VALUE!</v>
      </c>
      <c r="ES14" t="e">
        <f>ALDO!H102+"$GJ|!Mg"</f>
        <v>#VALUE!</v>
      </c>
      <c r="ET14" t="e">
        <f>ALDO!I102+"$GJ|!Mh"</f>
        <v>#VALUE!</v>
      </c>
      <c r="EU14" t="e">
        <f>ALDO!J102+"$GJ|!Mi"</f>
        <v>#VALUE!</v>
      </c>
      <c r="EV14" t="e">
        <f>ALDO!A103+"$GJ|!Mj"</f>
        <v>#VALUE!</v>
      </c>
      <c r="EW14" t="e">
        <f>ALDO!B103+"$GJ|!Mk"</f>
        <v>#VALUE!</v>
      </c>
      <c r="EX14" t="e">
        <f>ALDO!C103+"$GJ|!Ml"</f>
        <v>#VALUE!</v>
      </c>
      <c r="EY14" t="e">
        <f>ALDO!D103+"$GJ|!Mm"</f>
        <v>#VALUE!</v>
      </c>
      <c r="EZ14" t="e">
        <f>ALDO!E103+"$GJ|!Mn"</f>
        <v>#VALUE!</v>
      </c>
      <c r="FA14" t="e">
        <f>ALDO!F103+"$GJ|!Mo"</f>
        <v>#VALUE!</v>
      </c>
      <c r="FB14" t="e">
        <f>ALDO!G103+"$GJ|!Mp"</f>
        <v>#VALUE!</v>
      </c>
      <c r="FC14" t="e">
        <f>ALDO!H103+"$GJ|!Mq"</f>
        <v>#VALUE!</v>
      </c>
      <c r="FD14" t="e">
        <f>ALDO!I103+"$GJ|!Mr"</f>
        <v>#VALUE!</v>
      </c>
      <c r="FE14" t="e">
        <f>ALDO!J103+"$GJ|!Ms"</f>
        <v>#VALUE!</v>
      </c>
      <c r="FF14" t="e">
        <f>ALDO!A104+"$GJ|!Mt"</f>
        <v>#VALUE!</v>
      </c>
      <c r="FG14" t="e">
        <f>ALDO!B104+"$GJ|!Mu"</f>
        <v>#VALUE!</v>
      </c>
      <c r="FH14" t="e">
        <f>ALDO!C104+"$GJ|!Mv"</f>
        <v>#VALUE!</v>
      </c>
      <c r="FI14" t="e">
        <f>ALDO!D104+"$GJ|!Mw"</f>
        <v>#VALUE!</v>
      </c>
      <c r="FJ14" t="e">
        <f>ALDO!E104+"$GJ|!Mx"</f>
        <v>#VALUE!</v>
      </c>
      <c r="FK14" t="e">
        <f>ALDO!F104+"$GJ|!My"</f>
        <v>#VALUE!</v>
      </c>
      <c r="FL14" t="e">
        <f>ALDO!G104+"$GJ|!Mz"</f>
        <v>#VALUE!</v>
      </c>
      <c r="FM14" t="e">
        <f>ALDO!H104+"$GJ|!M{"</f>
        <v>#VALUE!</v>
      </c>
      <c r="FN14" t="e">
        <f>ALDO!I104+"$GJ|!M|"</f>
        <v>#VALUE!</v>
      </c>
      <c r="FO14" t="e">
        <f>ALDO!J104+"$GJ|!M}"</f>
        <v>#VALUE!</v>
      </c>
      <c r="FP14" t="e">
        <f>ALDO!A105+"$GJ|!M~"</f>
        <v>#VALUE!</v>
      </c>
      <c r="FQ14" t="e">
        <f>ALDO!B105+"$GJ|!N#"</f>
        <v>#VALUE!</v>
      </c>
      <c r="FR14" t="e">
        <f>ALDO!C105+"$GJ|!N$"</f>
        <v>#VALUE!</v>
      </c>
      <c r="FS14" t="e">
        <f>ALDO!D105+"$GJ|!N%"</f>
        <v>#VALUE!</v>
      </c>
      <c r="FT14" t="e">
        <f>ALDO!E105+"$GJ|!N&amp;"</f>
        <v>#VALUE!</v>
      </c>
      <c r="FU14" t="e">
        <f>ALDO!F105+"$GJ|!N'"</f>
        <v>#VALUE!</v>
      </c>
      <c r="FV14" t="e">
        <f>ALDO!G105+"$GJ|!N("</f>
        <v>#VALUE!</v>
      </c>
      <c r="FW14" t="e">
        <f>ALDO!H105+"$GJ|!N)"</f>
        <v>#VALUE!</v>
      </c>
      <c r="FX14" t="e">
        <f>ALDO!I105+"$GJ|!N."</f>
        <v>#VALUE!</v>
      </c>
      <c r="FY14" t="e">
        <f>ALDO!J105+"$GJ|!N/"</f>
        <v>#VALUE!</v>
      </c>
      <c r="FZ14" t="e">
        <f>ALDO!A106+"$GJ|!N0"</f>
        <v>#VALUE!</v>
      </c>
      <c r="GA14" t="e">
        <f>ALDO!B106+"$GJ|!N1"</f>
        <v>#VALUE!</v>
      </c>
      <c r="GB14" t="e">
        <f>ALDO!C106+"$GJ|!N2"</f>
        <v>#VALUE!</v>
      </c>
      <c r="GC14" t="e">
        <f>ALDO!D106+"$GJ|!N3"</f>
        <v>#VALUE!</v>
      </c>
      <c r="GD14" t="e">
        <f>ALDO!E106+"$GJ|!N4"</f>
        <v>#VALUE!</v>
      </c>
      <c r="GE14" t="e">
        <f>ALDO!F106+"$GJ|!N5"</f>
        <v>#VALUE!</v>
      </c>
      <c r="GF14" t="e">
        <f>ALDO!G106+"$GJ|!N6"</f>
        <v>#VALUE!</v>
      </c>
      <c r="GG14" t="e">
        <f>ALDO!H106+"$GJ|!N7"</f>
        <v>#VALUE!</v>
      </c>
      <c r="GH14" t="e">
        <f>ALDO!I106+"$GJ|!N8"</f>
        <v>#VALUE!</v>
      </c>
      <c r="GI14" t="e">
        <f>ALDO!J106+"$GJ|!N9"</f>
        <v>#VALUE!</v>
      </c>
      <c r="GJ14" t="e">
        <f>ALDO!A107+"$GJ|!N:"</f>
        <v>#VALUE!</v>
      </c>
      <c r="GK14" t="e">
        <f>ALDO!B107+"$GJ|!N;"</f>
        <v>#VALUE!</v>
      </c>
      <c r="GL14" t="e">
        <f>ALDO!C107+"$GJ|!N&lt;"</f>
        <v>#VALUE!</v>
      </c>
      <c r="GM14" t="e">
        <f>ALDO!D107+"$GJ|!N="</f>
        <v>#VALUE!</v>
      </c>
      <c r="GN14" t="e">
        <f>ALDO!E107+"$GJ|!N&gt;"</f>
        <v>#VALUE!</v>
      </c>
      <c r="GO14" t="e">
        <f>ALDO!F107+"$GJ|!N?"</f>
        <v>#VALUE!</v>
      </c>
      <c r="GP14" t="e">
        <f>ALDO!G107+"$GJ|!N@"</f>
        <v>#VALUE!</v>
      </c>
      <c r="GQ14" t="e">
        <f>ALDO!H107+"$GJ|!NA"</f>
        <v>#VALUE!</v>
      </c>
      <c r="GR14" t="e">
        <f>ALDO!I107+"$GJ|!NB"</f>
        <v>#VALUE!</v>
      </c>
      <c r="GS14" t="e">
        <f>ALDO!J107+"$GJ|!NC"</f>
        <v>#VALUE!</v>
      </c>
      <c r="GT14" t="e">
        <f>ALDO!A108+"$GJ|!ND"</f>
        <v>#VALUE!</v>
      </c>
      <c r="GU14" t="e">
        <f>ALDO!B108+"$GJ|!NE"</f>
        <v>#VALUE!</v>
      </c>
      <c r="GV14" t="e">
        <f>ALDO!C108+"$GJ|!NF"</f>
        <v>#VALUE!</v>
      </c>
      <c r="GW14" t="e">
        <f>ALDO!D108+"$GJ|!NG"</f>
        <v>#VALUE!</v>
      </c>
      <c r="GX14" t="e">
        <f>ALDO!E108+"$GJ|!NH"</f>
        <v>#VALUE!</v>
      </c>
      <c r="GY14" t="e">
        <f>ALDO!F108+"$GJ|!NI"</f>
        <v>#VALUE!</v>
      </c>
      <c r="GZ14" t="e">
        <f>ALDO!G108+"$GJ|!NJ"</f>
        <v>#VALUE!</v>
      </c>
      <c r="HA14" t="e">
        <f>ALDO!H108+"$GJ|!NK"</f>
        <v>#VALUE!</v>
      </c>
      <c r="HB14" t="e">
        <f>ALDO!I108+"$GJ|!NL"</f>
        <v>#VALUE!</v>
      </c>
      <c r="HC14" t="e">
        <f>ALDO!J108+"$GJ|!NM"</f>
        <v>#VALUE!</v>
      </c>
      <c r="HD14" t="e">
        <f>ALDO!A109+"$GJ|!NN"</f>
        <v>#VALUE!</v>
      </c>
      <c r="HE14" t="e">
        <f>ALDO!B109+"$GJ|!NO"</f>
        <v>#VALUE!</v>
      </c>
      <c r="HF14" t="e">
        <f>ALDO!C109+"$GJ|!NP"</f>
        <v>#VALUE!</v>
      </c>
      <c r="HG14" t="e">
        <f>ALDO!D109+"$GJ|!NQ"</f>
        <v>#VALUE!</v>
      </c>
      <c r="HH14" t="e">
        <f>ALDO!E109+"$GJ|!NR"</f>
        <v>#VALUE!</v>
      </c>
      <c r="HI14" t="e">
        <f>ALDO!F109+"$GJ|!NS"</f>
        <v>#VALUE!</v>
      </c>
      <c r="HJ14" t="e">
        <f>ALDO!G109+"$GJ|!NT"</f>
        <v>#VALUE!</v>
      </c>
      <c r="HK14" t="e">
        <f>ALDO!H109+"$GJ|!NU"</f>
        <v>#VALUE!</v>
      </c>
      <c r="HL14" t="e">
        <f>ALDO!I109+"$GJ|!NV"</f>
        <v>#VALUE!</v>
      </c>
      <c r="HM14" t="e">
        <f>ALDO!J109+"$GJ|!NW"</f>
        <v>#VALUE!</v>
      </c>
      <c r="HN14" t="e">
        <f>ALDO!A110+"$GJ|!NX"</f>
        <v>#VALUE!</v>
      </c>
      <c r="HO14" t="e">
        <f>ALDO!B110+"$GJ|!NY"</f>
        <v>#VALUE!</v>
      </c>
      <c r="HP14" t="e">
        <f>ALDO!C110+"$GJ|!NZ"</f>
        <v>#VALUE!</v>
      </c>
      <c r="HQ14" t="e">
        <f>ALDO!D110+"$GJ|!N["</f>
        <v>#VALUE!</v>
      </c>
      <c r="HR14" t="e">
        <f>ALDO!E110+"$GJ|!N\"</f>
        <v>#VALUE!</v>
      </c>
      <c r="HS14" t="e">
        <f>ALDO!F110+"$GJ|!N]"</f>
        <v>#VALUE!</v>
      </c>
      <c r="HT14" t="e">
        <f>ALDO!G110+"$GJ|!N^"</f>
        <v>#VALUE!</v>
      </c>
      <c r="HU14" t="e">
        <f>ALDO!H110+"$GJ|!N_"</f>
        <v>#VALUE!</v>
      </c>
      <c r="HV14" t="e">
        <f>ALDO!I110+"$GJ|!N`"</f>
        <v>#VALUE!</v>
      </c>
      <c r="HW14" t="e">
        <f>ALDO!J110+"$GJ|!Na"</f>
        <v>#VALUE!</v>
      </c>
      <c r="HX14" t="e">
        <f>ALDO!A111+"$GJ|!Nb"</f>
        <v>#VALUE!</v>
      </c>
      <c r="HY14" t="e">
        <f>ALDO!B111+"$GJ|!Nc"</f>
        <v>#VALUE!</v>
      </c>
      <c r="HZ14" t="e">
        <f>ALDO!C111+"$GJ|!Nd"</f>
        <v>#VALUE!</v>
      </c>
      <c r="IA14" t="e">
        <f>ALDO!D111+"$GJ|!Ne"</f>
        <v>#VALUE!</v>
      </c>
      <c r="IB14" t="e">
        <f>ALDO!E111+"$GJ|!Nf"</f>
        <v>#VALUE!</v>
      </c>
      <c r="IC14" t="e">
        <f>ALDO!F111+"$GJ|!Ng"</f>
        <v>#VALUE!</v>
      </c>
      <c r="ID14" t="e">
        <f>ALDO!G111+"$GJ|!Nh"</f>
        <v>#VALUE!</v>
      </c>
      <c r="IE14" t="e">
        <f>ALDO!H111+"$GJ|!Ni"</f>
        <v>#VALUE!</v>
      </c>
      <c r="IF14" t="e">
        <f>ALDO!I111+"$GJ|!Nj"</f>
        <v>#VALUE!</v>
      </c>
      <c r="IG14" t="e">
        <f>ALDO!J111+"$GJ|!Nk"</f>
        <v>#VALUE!</v>
      </c>
      <c r="IH14" t="e">
        <f>ALDO!A112+"$GJ|!Nl"</f>
        <v>#VALUE!</v>
      </c>
      <c r="II14" t="e">
        <f>ALDO!B112+"$GJ|!Nm"</f>
        <v>#VALUE!</v>
      </c>
      <c r="IJ14" t="e">
        <f>ALDO!C112+"$GJ|!Nn"</f>
        <v>#VALUE!</v>
      </c>
      <c r="IK14" t="e">
        <f>ALDO!D112+"$GJ|!No"</f>
        <v>#VALUE!</v>
      </c>
      <c r="IL14" t="e">
        <f>ALDO!E112+"$GJ|!Np"</f>
        <v>#VALUE!</v>
      </c>
      <c r="IM14" t="e">
        <f>ALDO!F112+"$GJ|!Nq"</f>
        <v>#VALUE!</v>
      </c>
      <c r="IN14" t="e">
        <f>ALDO!G112+"$GJ|!Nr"</f>
        <v>#VALUE!</v>
      </c>
      <c r="IO14" t="e">
        <f>ALDO!H112+"$GJ|!Ns"</f>
        <v>#VALUE!</v>
      </c>
      <c r="IP14" t="e">
        <f>ALDO!I112+"$GJ|!Nt"</f>
        <v>#VALUE!</v>
      </c>
      <c r="IQ14" t="e">
        <f>ALDO!J112+"$GJ|!Nu"</f>
        <v>#VALUE!</v>
      </c>
      <c r="IR14" t="e">
        <f>ALDO!A113+"$GJ|!Nv"</f>
        <v>#VALUE!</v>
      </c>
      <c r="IS14" t="e">
        <f>ALDO!B113+"$GJ|!Nw"</f>
        <v>#VALUE!</v>
      </c>
      <c r="IT14" t="e">
        <f>ALDO!C113+"$GJ|!Nx"</f>
        <v>#VALUE!</v>
      </c>
      <c r="IU14" t="e">
        <f>ALDO!D113+"$GJ|!Ny"</f>
        <v>#VALUE!</v>
      </c>
      <c r="IV14" t="e">
        <f>ALDO!E113+"$GJ|!Nz"</f>
        <v>#VALUE!</v>
      </c>
    </row>
    <row r="15" spans="1:256" x14ac:dyDescent="0.25">
      <c r="F15" t="e">
        <f>ALDO!F113+"$GJ|!N{"</f>
        <v>#VALUE!</v>
      </c>
      <c r="G15" t="e">
        <f>ALDO!G113+"$GJ|!N|"</f>
        <v>#VALUE!</v>
      </c>
      <c r="H15" t="e">
        <f>ALDO!H113+"$GJ|!N}"</f>
        <v>#VALUE!</v>
      </c>
      <c r="I15" t="e">
        <f>ALDO!I113+"$GJ|!N~"</f>
        <v>#VALUE!</v>
      </c>
      <c r="J15" t="e">
        <f>ALDO!J113+"$GJ|!O#"</f>
        <v>#VALUE!</v>
      </c>
      <c r="K15" t="e">
        <f>ALDO!A114+"$GJ|!O$"</f>
        <v>#VALUE!</v>
      </c>
      <c r="L15" t="e">
        <f>ALDO!B114+"$GJ|!O%"</f>
        <v>#VALUE!</v>
      </c>
      <c r="M15" t="e">
        <f>ALDO!C114+"$GJ|!O&amp;"</f>
        <v>#VALUE!</v>
      </c>
      <c r="N15" t="e">
        <f>ALDO!D114+"$GJ|!O'"</f>
        <v>#VALUE!</v>
      </c>
      <c r="O15" t="e">
        <f>ALDO!E114+"$GJ|!O("</f>
        <v>#VALUE!</v>
      </c>
      <c r="P15" t="e">
        <f>ALDO!F114+"$GJ|!O)"</f>
        <v>#VALUE!</v>
      </c>
      <c r="Q15" t="e">
        <f>ALDO!G114+"$GJ|!O."</f>
        <v>#VALUE!</v>
      </c>
      <c r="R15" t="e">
        <f>ALDO!H114+"$GJ|!O/"</f>
        <v>#VALUE!</v>
      </c>
      <c r="S15" t="e">
        <f>ALDO!I114+"$GJ|!O0"</f>
        <v>#VALUE!</v>
      </c>
      <c r="T15" t="e">
        <f>ALDO!J114+"$GJ|!O1"</f>
        <v>#VALUE!</v>
      </c>
      <c r="U15" t="e">
        <f>ALDO!A115+"$GJ|!O2"</f>
        <v>#VALUE!</v>
      </c>
      <c r="V15" t="e">
        <f>ALDO!B115+"$GJ|!O3"</f>
        <v>#VALUE!</v>
      </c>
      <c r="W15" t="e">
        <f>ALDO!C115+"$GJ|!O4"</f>
        <v>#VALUE!</v>
      </c>
      <c r="X15" t="e">
        <f>ALDO!D115+"$GJ|!O5"</f>
        <v>#VALUE!</v>
      </c>
      <c r="Y15" t="e">
        <f>ALDO!E115+"$GJ|!O6"</f>
        <v>#VALUE!</v>
      </c>
      <c r="Z15" t="e">
        <f>ALDO!F115+"$GJ|!O7"</f>
        <v>#VALUE!</v>
      </c>
      <c r="AA15" t="e">
        <f>ALDO!G115+"$GJ|!O8"</f>
        <v>#VALUE!</v>
      </c>
      <c r="AB15" t="e">
        <f>ALDO!H115+"$GJ|!O9"</f>
        <v>#VALUE!</v>
      </c>
      <c r="AC15" t="e">
        <f>ALDO!I115+"$GJ|!O:"</f>
        <v>#VALUE!</v>
      </c>
      <c r="AD15" t="e">
        <f>ALDO!J115+"$GJ|!O;"</f>
        <v>#VALUE!</v>
      </c>
      <c r="AE15" t="e">
        <f>ALDO!A116+"$GJ|!O&lt;"</f>
        <v>#VALUE!</v>
      </c>
      <c r="AF15" t="e">
        <f>ALDO!B116+"$GJ|!O="</f>
        <v>#VALUE!</v>
      </c>
      <c r="AG15" t="e">
        <f>ALDO!C116+"$GJ|!O&gt;"</f>
        <v>#VALUE!</v>
      </c>
      <c r="AH15" t="e">
        <f>ALDO!D116+"$GJ|!O?"</f>
        <v>#VALUE!</v>
      </c>
      <c r="AI15" t="e">
        <f>ALDO!E116+"$GJ|!O@"</f>
        <v>#VALUE!</v>
      </c>
      <c r="AJ15" t="e">
        <f>ALDO!F116+"$GJ|!OA"</f>
        <v>#VALUE!</v>
      </c>
      <c r="AK15" t="e">
        <f>ALDO!G116+"$GJ|!OB"</f>
        <v>#VALUE!</v>
      </c>
      <c r="AL15" t="e">
        <f>ALDO!H116+"$GJ|!OC"</f>
        <v>#VALUE!</v>
      </c>
      <c r="AM15" t="e">
        <f>ALDO!I116+"$GJ|!OD"</f>
        <v>#VALUE!</v>
      </c>
      <c r="AN15" t="e">
        <f>ALDO!J116+"$GJ|!OE"</f>
        <v>#VALUE!</v>
      </c>
      <c r="AO15" t="e">
        <f>ALDO!A117+"$GJ|!OF"</f>
        <v>#VALUE!</v>
      </c>
      <c r="AP15" t="e">
        <f>ALDO!B117+"$GJ|!OG"</f>
        <v>#VALUE!</v>
      </c>
      <c r="AQ15" t="e">
        <f>ALDO!C117+"$GJ|!OH"</f>
        <v>#VALUE!</v>
      </c>
      <c r="AR15" t="e">
        <f>ALDO!D117+"$GJ|!OI"</f>
        <v>#VALUE!</v>
      </c>
      <c r="AS15" t="e">
        <f>ALDO!E117+"$GJ|!OJ"</f>
        <v>#VALUE!</v>
      </c>
      <c r="AT15" t="e">
        <f>ALDO!F117+"$GJ|!OK"</f>
        <v>#VALUE!</v>
      </c>
      <c r="AU15" t="e">
        <f>ALDO!G117+"$GJ|!OL"</f>
        <v>#VALUE!</v>
      </c>
      <c r="AV15" t="e">
        <f>ALDO!H117+"$GJ|!OM"</f>
        <v>#VALUE!</v>
      </c>
      <c r="AW15" t="e">
        <f>ALDO!I117+"$GJ|!ON"</f>
        <v>#VALUE!</v>
      </c>
      <c r="AX15" t="e">
        <f>ALDO!J117+"$GJ|!OO"</f>
        <v>#VALUE!</v>
      </c>
      <c r="AY15" t="e">
        <f>ALDO!A118+"$GJ|!OP"</f>
        <v>#VALUE!</v>
      </c>
      <c r="AZ15" t="e">
        <f>ALDO!B118+"$GJ|!OQ"</f>
        <v>#VALUE!</v>
      </c>
      <c r="BA15" t="e">
        <f>ALDO!C118+"$GJ|!OR"</f>
        <v>#VALUE!</v>
      </c>
      <c r="BB15" t="e">
        <f>ALDO!D118+"$GJ|!OS"</f>
        <v>#VALUE!</v>
      </c>
      <c r="BC15" t="e">
        <f>ALDO!E118+"$GJ|!OT"</f>
        <v>#VALUE!</v>
      </c>
      <c r="BD15" t="e">
        <f>ALDO!F118+"$GJ|!OU"</f>
        <v>#VALUE!</v>
      </c>
      <c r="BE15" t="e">
        <f>ALDO!G118+"$GJ|!OV"</f>
        <v>#VALUE!</v>
      </c>
      <c r="BF15" t="e">
        <f>ALDO!H118+"$GJ|!OW"</f>
        <v>#VALUE!</v>
      </c>
      <c r="BG15" t="e">
        <f>ALDO!I118+"$GJ|!OX"</f>
        <v>#VALUE!</v>
      </c>
      <c r="BH15" t="e">
        <f>ALDO!J118+"$GJ|!OY"</f>
        <v>#VALUE!</v>
      </c>
      <c r="BI15" t="e">
        <f>ALDO!A119+"$GJ|!OZ"</f>
        <v>#VALUE!</v>
      </c>
      <c r="BJ15" t="e">
        <f>ALDO!B119+"$GJ|!O["</f>
        <v>#VALUE!</v>
      </c>
      <c r="BK15" t="e">
        <f>ALDO!C119+"$GJ|!O\"</f>
        <v>#VALUE!</v>
      </c>
      <c r="BL15" t="e">
        <f>ALDO!D119+"$GJ|!O]"</f>
        <v>#VALUE!</v>
      </c>
      <c r="BM15" t="e">
        <f>ALDO!E119+"$GJ|!O^"</f>
        <v>#VALUE!</v>
      </c>
      <c r="BN15" t="e">
        <f>ALDO!F119+"$GJ|!O_"</f>
        <v>#VALUE!</v>
      </c>
      <c r="BO15" t="e">
        <f>ALDO!G119+"$GJ|!O`"</f>
        <v>#VALUE!</v>
      </c>
      <c r="BP15" t="e">
        <f>ALDO!H119+"$GJ|!Oa"</f>
        <v>#VALUE!</v>
      </c>
      <c r="BQ15" t="e">
        <f>ALDO!I119+"$GJ|!Ob"</f>
        <v>#VALUE!</v>
      </c>
      <c r="BR15" t="e">
        <f>ALDO!J119+"$GJ|!Oc"</f>
        <v>#VALUE!</v>
      </c>
      <c r="BS15" t="e">
        <f>ALDO!A120+"$GJ|!Od"</f>
        <v>#VALUE!</v>
      </c>
      <c r="BT15" t="e">
        <f>ALDO!B120+"$GJ|!Oe"</f>
        <v>#VALUE!</v>
      </c>
      <c r="BU15" t="e">
        <f>ALDO!C120+"$GJ|!Of"</f>
        <v>#VALUE!</v>
      </c>
      <c r="BV15" t="e">
        <f>ALDO!D120+"$GJ|!Og"</f>
        <v>#VALUE!</v>
      </c>
      <c r="BW15" t="e">
        <f>ALDO!E120+"$GJ|!Oh"</f>
        <v>#VALUE!</v>
      </c>
      <c r="BX15" t="e">
        <f>ALDO!F120+"$GJ|!Oi"</f>
        <v>#VALUE!</v>
      </c>
      <c r="BY15" t="e">
        <f>ALDO!G120+"$GJ|!Oj"</f>
        <v>#VALUE!</v>
      </c>
      <c r="BZ15" t="e">
        <f>ALDO!H120+"$GJ|!Ok"</f>
        <v>#VALUE!</v>
      </c>
      <c r="CA15" t="e">
        <f>ALDO!I120+"$GJ|!Ol"</f>
        <v>#VALUE!</v>
      </c>
      <c r="CB15" t="e">
        <f>ALDO!J120+"$GJ|!Om"</f>
        <v>#VALUE!</v>
      </c>
      <c r="CC15" t="e">
        <f>ALDO!A121+"$GJ|!On"</f>
        <v>#VALUE!</v>
      </c>
      <c r="CD15" t="e">
        <f>ALDO!B121+"$GJ|!Oo"</f>
        <v>#VALUE!</v>
      </c>
      <c r="CE15" t="e">
        <f>ALDO!C121+"$GJ|!Op"</f>
        <v>#VALUE!</v>
      </c>
      <c r="CF15" t="e">
        <f>ALDO!D121+"$GJ|!Oq"</f>
        <v>#VALUE!</v>
      </c>
      <c r="CG15" t="e">
        <f>ALDO!E121+"$GJ|!Or"</f>
        <v>#VALUE!</v>
      </c>
      <c r="CH15" t="e">
        <f>ALDO!F121+"$GJ|!Os"</f>
        <v>#VALUE!</v>
      </c>
      <c r="CI15" t="e">
        <f>ALDO!G121+"$GJ|!Ot"</f>
        <v>#VALUE!</v>
      </c>
      <c r="CJ15" t="e">
        <f>ALDO!H121+"$GJ|!Ou"</f>
        <v>#VALUE!</v>
      </c>
      <c r="CK15" t="e">
        <f>ALDO!I121+"$GJ|!Ov"</f>
        <v>#VALUE!</v>
      </c>
      <c r="CL15" t="e">
        <f>ALDO!J121+"$GJ|!Ow"</f>
        <v>#VALUE!</v>
      </c>
      <c r="CM15" t="e">
        <f>ALDO!A122+"$GJ|!Ox"</f>
        <v>#VALUE!</v>
      </c>
      <c r="CN15" t="e">
        <f>ALDO!B122+"$GJ|!Oy"</f>
        <v>#VALUE!</v>
      </c>
      <c r="CO15" t="e">
        <f>ALDO!C122+"$GJ|!Oz"</f>
        <v>#VALUE!</v>
      </c>
      <c r="CP15" t="e">
        <f>ALDO!D122+"$GJ|!O{"</f>
        <v>#VALUE!</v>
      </c>
      <c r="CQ15" t="e">
        <f>ALDO!E122+"$GJ|!O|"</f>
        <v>#VALUE!</v>
      </c>
      <c r="CR15" t="e">
        <f>ALDO!F122+"$GJ|!O}"</f>
        <v>#VALUE!</v>
      </c>
      <c r="CS15" t="e">
        <f>ALDO!G122+"$GJ|!O~"</f>
        <v>#VALUE!</v>
      </c>
      <c r="CT15" t="e">
        <f>ALDO!H122+"$GJ|!P#"</f>
        <v>#VALUE!</v>
      </c>
      <c r="CU15" t="e">
        <f>ALDO!I122+"$GJ|!P$"</f>
        <v>#VALUE!</v>
      </c>
      <c r="CV15" t="e">
        <f>ALDO!J122+"$GJ|!P%"</f>
        <v>#VALUE!</v>
      </c>
      <c r="CW15" t="e">
        <f>ALDO!A123+"$GJ|!P&amp;"</f>
        <v>#VALUE!</v>
      </c>
      <c r="CX15" t="e">
        <f>ALDO!B123+"$GJ|!P'"</f>
        <v>#VALUE!</v>
      </c>
      <c r="CY15" t="e">
        <f>ALDO!C123+"$GJ|!P("</f>
        <v>#VALUE!</v>
      </c>
      <c r="CZ15" t="e">
        <f>ALDO!D123+"$GJ|!P)"</f>
        <v>#VALUE!</v>
      </c>
      <c r="DA15" t="e">
        <f>ALDO!E123+"$GJ|!P."</f>
        <v>#VALUE!</v>
      </c>
      <c r="DB15" t="e">
        <f>ALDO!F123+"$GJ|!P/"</f>
        <v>#VALUE!</v>
      </c>
      <c r="DC15" t="e">
        <f>ALDO!G123+"$GJ|!P0"</f>
        <v>#VALUE!</v>
      </c>
      <c r="DD15" t="e">
        <f>ALDO!H123+"$GJ|!P1"</f>
        <v>#VALUE!</v>
      </c>
      <c r="DE15" t="e">
        <f>ALDO!I123+"$GJ|!P2"</f>
        <v>#VALUE!</v>
      </c>
      <c r="DF15" t="e">
        <f>ALDO!J123+"$GJ|!P3"</f>
        <v>#VALUE!</v>
      </c>
      <c r="DG15" t="e">
        <f>ALDO!A124+"$GJ|!P4"</f>
        <v>#VALUE!</v>
      </c>
      <c r="DH15" t="e">
        <f>ALDO!B124+"$GJ|!P5"</f>
        <v>#VALUE!</v>
      </c>
      <c r="DI15" t="e">
        <f>ALDO!C124+"$GJ|!P6"</f>
        <v>#VALUE!</v>
      </c>
      <c r="DJ15" t="e">
        <f>ALDO!D124+"$GJ|!P7"</f>
        <v>#VALUE!</v>
      </c>
      <c r="DK15" t="e">
        <f>ALDO!E124+"$GJ|!P8"</f>
        <v>#VALUE!</v>
      </c>
      <c r="DL15" t="e">
        <f>ALDO!F124+"$GJ|!P9"</f>
        <v>#VALUE!</v>
      </c>
      <c r="DM15" t="e">
        <f>ALDO!G124+"$GJ|!P:"</f>
        <v>#VALUE!</v>
      </c>
      <c r="DN15" t="e">
        <f>ALDO!H124+"$GJ|!P;"</f>
        <v>#VALUE!</v>
      </c>
      <c r="DO15" t="e">
        <f>ALDO!I124+"$GJ|!P&lt;"</f>
        <v>#VALUE!</v>
      </c>
      <c r="DP15" t="e">
        <f>ALDO!J124+"$GJ|!P="</f>
        <v>#VALUE!</v>
      </c>
      <c r="DQ15" t="e">
        <f>ALDO!A125+"$GJ|!P&gt;"</f>
        <v>#VALUE!</v>
      </c>
      <c r="DR15" t="e">
        <f>ALDO!B125+"$GJ|!P?"</f>
        <v>#VALUE!</v>
      </c>
      <c r="DS15" t="e">
        <f>ALDO!C125+"$GJ|!P@"</f>
        <v>#VALUE!</v>
      </c>
      <c r="DT15" t="e">
        <f>ALDO!D125+"$GJ|!PA"</f>
        <v>#VALUE!</v>
      </c>
      <c r="DU15" t="e">
        <f>ALDO!E125+"$GJ|!PB"</f>
        <v>#VALUE!</v>
      </c>
      <c r="DV15" t="e">
        <f>ALDO!F125+"$GJ|!PC"</f>
        <v>#VALUE!</v>
      </c>
      <c r="DW15" t="e">
        <f>ALDO!G125+"$GJ|!PD"</f>
        <v>#VALUE!</v>
      </c>
      <c r="DX15" t="e">
        <f>ALDO!H125+"$GJ|!PE"</f>
        <v>#VALUE!</v>
      </c>
      <c r="DY15" t="e">
        <f>ALDO!I125+"$GJ|!PF"</f>
        <v>#VALUE!</v>
      </c>
      <c r="DZ15" t="e">
        <f>ALDO!J125+"$GJ|!PG"</f>
        <v>#VALUE!</v>
      </c>
      <c r="EA15" t="e">
        <f>ALDO!A126+"$GJ|!PH"</f>
        <v>#VALUE!</v>
      </c>
      <c r="EB15" t="e">
        <f>ALDO!B126+"$GJ|!PI"</f>
        <v>#VALUE!</v>
      </c>
      <c r="EC15" t="e">
        <f>ALDO!C126+"$GJ|!PJ"</f>
        <v>#VALUE!</v>
      </c>
      <c r="ED15" t="e">
        <f>ALDO!D126+"$GJ|!PK"</f>
        <v>#VALUE!</v>
      </c>
      <c r="EE15" t="e">
        <f>ALDO!E126+"$GJ|!PL"</f>
        <v>#VALUE!</v>
      </c>
      <c r="EF15" t="e">
        <f>ALDO!F126+"$GJ|!PM"</f>
        <v>#VALUE!</v>
      </c>
      <c r="EG15" t="e">
        <f>ALDO!G126+"$GJ|!PN"</f>
        <v>#VALUE!</v>
      </c>
      <c r="EH15" t="e">
        <f>ALDO!H126+"$GJ|!PO"</f>
        <v>#VALUE!</v>
      </c>
      <c r="EI15" t="e">
        <f>ALDO!I126+"$GJ|!PP"</f>
        <v>#VALUE!</v>
      </c>
      <c r="EJ15" t="e">
        <f>ALDO!J126+"$GJ|!PQ"</f>
        <v>#VALUE!</v>
      </c>
      <c r="EK15" t="e">
        <f>ALDO!A127+"$GJ|!PR"</f>
        <v>#VALUE!</v>
      </c>
      <c r="EL15" t="e">
        <f>ALDO!B127+"$GJ|!PS"</f>
        <v>#VALUE!</v>
      </c>
      <c r="EM15" t="e">
        <f>ALDO!C127+"$GJ|!PT"</f>
        <v>#VALUE!</v>
      </c>
      <c r="EN15" t="e">
        <f>ALDO!D127+"$GJ|!PU"</f>
        <v>#VALUE!</v>
      </c>
      <c r="EO15" t="e">
        <f>ALDO!E127+"$GJ|!PV"</f>
        <v>#VALUE!</v>
      </c>
      <c r="EP15" t="e">
        <f>ALDO!F127+"$GJ|!PW"</f>
        <v>#VALUE!</v>
      </c>
      <c r="EQ15" t="e">
        <f>ALDO!G127+"$GJ|!PX"</f>
        <v>#VALUE!</v>
      </c>
      <c r="ER15" t="e">
        <f>ALDO!H127+"$GJ|!PY"</f>
        <v>#VALUE!</v>
      </c>
      <c r="ES15" t="e">
        <f>ALDO!I127+"$GJ|!PZ"</f>
        <v>#VALUE!</v>
      </c>
      <c r="ET15" t="e">
        <f>ALDO!J127+"$GJ|!P["</f>
        <v>#VALUE!</v>
      </c>
      <c r="EU15" t="e">
        <f>ALDO!A128+"$GJ|!P\"</f>
        <v>#VALUE!</v>
      </c>
      <c r="EV15" t="e">
        <f>ALDO!B128+"$GJ|!P]"</f>
        <v>#VALUE!</v>
      </c>
      <c r="EW15" t="e">
        <f>ALDO!C128+"$GJ|!P^"</f>
        <v>#VALUE!</v>
      </c>
      <c r="EX15" t="e">
        <f>ALDO!D128+"$GJ|!P_"</f>
        <v>#VALUE!</v>
      </c>
      <c r="EY15" t="e">
        <f>ALDO!E128+"$GJ|!P`"</f>
        <v>#VALUE!</v>
      </c>
      <c r="EZ15" t="e">
        <f>ALDO!F128+"$GJ|!Pa"</f>
        <v>#VALUE!</v>
      </c>
      <c r="FA15" t="e">
        <f>ALDO!G128+"$GJ|!Pb"</f>
        <v>#VALUE!</v>
      </c>
      <c r="FB15" t="e">
        <f>ALDO!H128+"$GJ|!Pc"</f>
        <v>#VALUE!</v>
      </c>
      <c r="FC15" t="e">
        <f>ALDO!I128+"$GJ|!Pd"</f>
        <v>#VALUE!</v>
      </c>
      <c r="FD15" t="e">
        <f>ALDO!J128+"$GJ|!Pe"</f>
        <v>#VALUE!</v>
      </c>
      <c r="FE15" t="e">
        <f>ALDO!A129+"$GJ|!Pf"</f>
        <v>#VALUE!</v>
      </c>
      <c r="FF15" t="e">
        <f>ALDO!B129+"$GJ|!Pg"</f>
        <v>#VALUE!</v>
      </c>
      <c r="FG15" t="e">
        <f>ALDO!C129+"$GJ|!Ph"</f>
        <v>#VALUE!</v>
      </c>
      <c r="FH15" t="e">
        <f>ALDO!D129+"$GJ|!Pi"</f>
        <v>#VALUE!</v>
      </c>
      <c r="FI15" t="e">
        <f>ALDO!E129+"$GJ|!Pj"</f>
        <v>#VALUE!</v>
      </c>
      <c r="FJ15" t="e">
        <f>ALDO!F129+"$GJ|!Pk"</f>
        <v>#VALUE!</v>
      </c>
      <c r="FK15" t="e">
        <f>ALDO!G129+"$GJ|!Pl"</f>
        <v>#VALUE!</v>
      </c>
      <c r="FL15" t="e">
        <f>ALDO!H129+"$GJ|!Pm"</f>
        <v>#VALUE!</v>
      </c>
      <c r="FM15" t="e">
        <f>ALDO!I129+"$GJ|!Pn"</f>
        <v>#VALUE!</v>
      </c>
      <c r="FN15" t="e">
        <f>ALDO!J129+"$GJ|!Po"</f>
        <v>#VALUE!</v>
      </c>
      <c r="FO15" t="e">
        <f>ALDO!A130+"$GJ|!Pp"</f>
        <v>#VALUE!</v>
      </c>
      <c r="FP15" t="e">
        <f>ALDO!B130+"$GJ|!Pq"</f>
        <v>#VALUE!</v>
      </c>
      <c r="FQ15" t="e">
        <f>ALDO!C130+"$GJ|!Pr"</f>
        <v>#VALUE!</v>
      </c>
      <c r="FR15" t="e">
        <f>ALDO!D130+"$GJ|!Ps"</f>
        <v>#VALUE!</v>
      </c>
      <c r="FS15" t="e">
        <f>ALDO!E130+"$GJ|!Pt"</f>
        <v>#VALUE!</v>
      </c>
      <c r="FT15" t="e">
        <f>ALDO!F130+"$GJ|!Pu"</f>
        <v>#VALUE!</v>
      </c>
      <c r="FU15" t="e">
        <f>ALDO!G130+"$GJ|!Pv"</f>
        <v>#VALUE!</v>
      </c>
      <c r="FV15" t="e">
        <f>ALDO!H130+"$GJ|!Pw"</f>
        <v>#VALUE!</v>
      </c>
      <c r="FW15" t="e">
        <f>ALDO!I130+"$GJ|!Px"</f>
        <v>#VALUE!</v>
      </c>
      <c r="FX15" t="e">
        <f>ALDO!J130+"$GJ|!Py"</f>
        <v>#VALUE!</v>
      </c>
      <c r="FY15" t="e">
        <f>ALDO!A131+"$GJ|!Pz"</f>
        <v>#VALUE!</v>
      </c>
      <c r="FZ15" t="e">
        <f>ALDO!B131+"$GJ|!P{"</f>
        <v>#VALUE!</v>
      </c>
      <c r="GA15" t="e">
        <f>ALDO!C131+"$GJ|!P|"</f>
        <v>#VALUE!</v>
      </c>
      <c r="GB15" t="e">
        <f>ALDO!D131+"$GJ|!P}"</f>
        <v>#VALUE!</v>
      </c>
      <c r="GC15" t="e">
        <f>ALDO!E131+"$GJ|!P~"</f>
        <v>#VALUE!</v>
      </c>
      <c r="GD15" t="e">
        <f>ALDO!F131+"$GJ|!Q#"</f>
        <v>#VALUE!</v>
      </c>
      <c r="GE15" t="e">
        <f>ALDO!G131+"$GJ|!Q$"</f>
        <v>#VALUE!</v>
      </c>
      <c r="GF15" t="e">
        <f>ALDO!H131+"$GJ|!Q%"</f>
        <v>#VALUE!</v>
      </c>
      <c r="GG15" t="e">
        <f>ALDO!I131+"$GJ|!Q&amp;"</f>
        <v>#VALUE!</v>
      </c>
      <c r="GH15" t="e">
        <f>ALDO!J131+"$GJ|!Q'"</f>
        <v>#VALUE!</v>
      </c>
      <c r="GI15" t="e">
        <f>ALDO!A132+"$GJ|!Q("</f>
        <v>#VALUE!</v>
      </c>
      <c r="GJ15" t="e">
        <f>ALDO!B132+"$GJ|!Q)"</f>
        <v>#VALUE!</v>
      </c>
      <c r="GK15" t="e">
        <f>ALDO!C132+"$GJ|!Q."</f>
        <v>#VALUE!</v>
      </c>
      <c r="GL15" t="e">
        <f>ALDO!D132+"$GJ|!Q/"</f>
        <v>#VALUE!</v>
      </c>
      <c r="GM15" t="e">
        <f>ALDO!E132+"$GJ|!Q0"</f>
        <v>#VALUE!</v>
      </c>
      <c r="GN15" t="e">
        <f>ALDO!F132+"$GJ|!Q1"</f>
        <v>#VALUE!</v>
      </c>
      <c r="GO15" t="e">
        <f>ALDO!G132+"$GJ|!Q2"</f>
        <v>#VALUE!</v>
      </c>
      <c r="GP15" t="e">
        <f>ALDO!H132+"$GJ|!Q3"</f>
        <v>#VALUE!</v>
      </c>
      <c r="GQ15" t="e">
        <f>ALDO!I132+"$GJ|!Q4"</f>
        <v>#VALUE!</v>
      </c>
      <c r="GR15" t="e">
        <f>ALDO!J132+"$GJ|!Q5"</f>
        <v>#VALUE!</v>
      </c>
      <c r="GS15" t="e">
        <f>ALDO!A133+"$GJ|!Q6"</f>
        <v>#VALUE!</v>
      </c>
      <c r="GT15" t="e">
        <f>ALDO!B133+"$GJ|!Q7"</f>
        <v>#VALUE!</v>
      </c>
      <c r="GU15" t="e">
        <f>ALDO!C133+"$GJ|!Q8"</f>
        <v>#VALUE!</v>
      </c>
      <c r="GV15" t="e">
        <f>ALDO!D133+"$GJ|!Q9"</f>
        <v>#VALUE!</v>
      </c>
      <c r="GW15" t="e">
        <f>ALDO!E133+"$GJ|!Q:"</f>
        <v>#VALUE!</v>
      </c>
      <c r="GX15" t="e">
        <f>ALDO!F133+"$GJ|!Q;"</f>
        <v>#VALUE!</v>
      </c>
      <c r="GY15" t="e">
        <f>ALDO!G133+"$GJ|!Q&lt;"</f>
        <v>#VALUE!</v>
      </c>
      <c r="GZ15" t="e">
        <f>ALDO!H133+"$GJ|!Q="</f>
        <v>#VALUE!</v>
      </c>
      <c r="HA15" t="e">
        <f>ALDO!I133+"$GJ|!Q&gt;"</f>
        <v>#VALUE!</v>
      </c>
      <c r="HB15" t="e">
        <f>ALDO!J133+"$GJ|!Q?"</f>
        <v>#VALUE!</v>
      </c>
      <c r="HC15" t="e">
        <f>ALDO!A134+"$GJ|!Q@"</f>
        <v>#VALUE!</v>
      </c>
      <c r="HD15" t="e">
        <f>ALDO!B134+"$GJ|!QA"</f>
        <v>#VALUE!</v>
      </c>
      <c r="HE15" t="e">
        <f>ALDO!C134+"$GJ|!QB"</f>
        <v>#VALUE!</v>
      </c>
      <c r="HF15" t="e">
        <f>ALDO!D134+"$GJ|!QC"</f>
        <v>#VALUE!</v>
      </c>
      <c r="HG15" t="e">
        <f>ALDO!E134+"$GJ|!QD"</f>
        <v>#VALUE!</v>
      </c>
      <c r="HH15" t="e">
        <f>ALDO!F134+"$GJ|!QE"</f>
        <v>#VALUE!</v>
      </c>
      <c r="HI15" t="e">
        <f>ALDO!G134+"$GJ|!QF"</f>
        <v>#VALUE!</v>
      </c>
      <c r="HJ15" t="e">
        <f>ALDO!H134+"$GJ|!QG"</f>
        <v>#VALUE!</v>
      </c>
      <c r="HK15" t="e">
        <f>ALDO!I134+"$GJ|!QH"</f>
        <v>#VALUE!</v>
      </c>
      <c r="HL15" t="e">
        <f>ALDO!J134+"$GJ|!QI"</f>
        <v>#VALUE!</v>
      </c>
      <c r="HM15" t="e">
        <f>ALDO!A135+"$GJ|!QJ"</f>
        <v>#VALUE!</v>
      </c>
      <c r="HN15" t="e">
        <f>ALDO!B135+"$GJ|!QK"</f>
        <v>#VALUE!</v>
      </c>
      <c r="HO15" t="e">
        <f>ALDO!C135+"$GJ|!QL"</f>
        <v>#VALUE!</v>
      </c>
      <c r="HP15" t="e">
        <f>ALDO!D135+"$GJ|!QM"</f>
        <v>#VALUE!</v>
      </c>
      <c r="HQ15" t="e">
        <f>ALDO!E135+"$GJ|!QN"</f>
        <v>#VALUE!</v>
      </c>
      <c r="HR15" t="e">
        <f>ALDO!F135+"$GJ|!QO"</f>
        <v>#VALUE!</v>
      </c>
      <c r="HS15" t="e">
        <f>ALDO!G135+"$GJ|!QP"</f>
        <v>#VALUE!</v>
      </c>
      <c r="HT15" t="e">
        <f>ALDO!H135+"$GJ|!QQ"</f>
        <v>#VALUE!</v>
      </c>
      <c r="HU15" t="e">
        <f>ALDO!I135+"$GJ|!QR"</f>
        <v>#VALUE!</v>
      </c>
      <c r="HV15" t="e">
        <f>ALDO!J135+"$GJ|!QS"</f>
        <v>#VALUE!</v>
      </c>
      <c r="HW15" t="e">
        <f>ALDO!A136+"$GJ|!QT"</f>
        <v>#VALUE!</v>
      </c>
      <c r="HX15" t="e">
        <f>ALDO!B136+"$GJ|!QU"</f>
        <v>#VALUE!</v>
      </c>
      <c r="HY15" t="e">
        <f>ALDO!C136+"$GJ|!QV"</f>
        <v>#VALUE!</v>
      </c>
      <c r="HZ15" t="e">
        <f>ALDO!D136+"$GJ|!QW"</f>
        <v>#VALUE!</v>
      </c>
      <c r="IA15" t="e">
        <f>ALDO!E136+"$GJ|!QX"</f>
        <v>#VALUE!</v>
      </c>
      <c r="IB15" t="e">
        <f>ALDO!F136+"$GJ|!QY"</f>
        <v>#VALUE!</v>
      </c>
      <c r="IC15" t="e">
        <f>ALDO!G136+"$GJ|!QZ"</f>
        <v>#VALUE!</v>
      </c>
      <c r="ID15" t="e">
        <f>ALDO!H136+"$GJ|!Q["</f>
        <v>#VALUE!</v>
      </c>
      <c r="IE15" t="e">
        <f>ALDO!I136+"$GJ|!Q\"</f>
        <v>#VALUE!</v>
      </c>
      <c r="IF15" t="e">
        <f>ALDO!J136+"$GJ|!Q]"</f>
        <v>#VALUE!</v>
      </c>
      <c r="IG15" t="e">
        <f>ALDO!A137+"$GJ|!Q^"</f>
        <v>#VALUE!</v>
      </c>
      <c r="IH15" t="e">
        <f>ALDO!B137+"$GJ|!Q_"</f>
        <v>#VALUE!</v>
      </c>
      <c r="II15" t="e">
        <f>ALDO!C137+"$GJ|!Q`"</f>
        <v>#VALUE!</v>
      </c>
      <c r="IJ15" t="e">
        <f>ALDO!D137+"$GJ|!Qa"</f>
        <v>#VALUE!</v>
      </c>
      <c r="IK15" t="e">
        <f>ALDO!E137+"$GJ|!Qb"</f>
        <v>#VALUE!</v>
      </c>
      <c r="IL15" t="e">
        <f>ALDO!F137+"$GJ|!Qc"</f>
        <v>#VALUE!</v>
      </c>
      <c r="IM15" t="e">
        <f>ALDO!G137+"$GJ|!Qd"</f>
        <v>#VALUE!</v>
      </c>
      <c r="IN15" t="e">
        <f>ALDO!H137+"$GJ|!Qe"</f>
        <v>#VALUE!</v>
      </c>
      <c r="IO15" t="e">
        <f>ALDO!I137+"$GJ|!Qf"</f>
        <v>#VALUE!</v>
      </c>
      <c r="IP15" t="e">
        <f>ALDO!J137+"$GJ|!Qg"</f>
        <v>#VALUE!</v>
      </c>
      <c r="IQ15" t="e">
        <f>ALDO!A138+"$GJ|!Qh"</f>
        <v>#VALUE!</v>
      </c>
      <c r="IR15" t="e">
        <f>ALDO!B138+"$GJ|!Qi"</f>
        <v>#VALUE!</v>
      </c>
      <c r="IS15" t="e">
        <f>ALDO!C138+"$GJ|!Qj"</f>
        <v>#VALUE!</v>
      </c>
      <c r="IT15" t="e">
        <f>ALDO!D138+"$GJ|!Qk"</f>
        <v>#VALUE!</v>
      </c>
      <c r="IU15" t="e">
        <f>ALDO!E138+"$GJ|!Ql"</f>
        <v>#VALUE!</v>
      </c>
      <c r="IV15" t="e">
        <f>ALDO!F138+"$GJ|!Qm"</f>
        <v>#VALUE!</v>
      </c>
    </row>
    <row r="16" spans="1:256" x14ac:dyDescent="0.25">
      <c r="F16" t="e">
        <f>ALDO!G138+"$GJ|!Qn"</f>
        <v>#VALUE!</v>
      </c>
      <c r="G16" t="e">
        <f>ALDO!H138+"$GJ|!Qo"</f>
        <v>#VALUE!</v>
      </c>
      <c r="H16" t="e">
        <f>ALDO!I138+"$GJ|!Qp"</f>
        <v>#VALUE!</v>
      </c>
      <c r="I16" t="e">
        <f>ALDO!J138+"$GJ|!Qq"</f>
        <v>#VALUE!</v>
      </c>
      <c r="J16" t="e">
        <f>ALDO!A139+"$GJ|!Qr"</f>
        <v>#VALUE!</v>
      </c>
      <c r="K16" t="e">
        <f>ALDO!B139+"$GJ|!Qs"</f>
        <v>#VALUE!</v>
      </c>
      <c r="L16" t="e">
        <f>ALDO!C139+"$GJ|!Qt"</f>
        <v>#VALUE!</v>
      </c>
      <c r="M16" t="e">
        <f>ALDO!D139+"$GJ|!Qu"</f>
        <v>#VALUE!</v>
      </c>
      <c r="N16" t="e">
        <f>ALDO!E139+"$GJ|!Qv"</f>
        <v>#VALUE!</v>
      </c>
      <c r="O16" t="e">
        <f>ALDO!F139+"$GJ|!Qw"</f>
        <v>#VALUE!</v>
      </c>
      <c r="P16" t="e">
        <f>ALDO!G139+"$GJ|!Qx"</f>
        <v>#VALUE!</v>
      </c>
      <c r="Q16" t="e">
        <f>ALDO!H139+"$GJ|!Qy"</f>
        <v>#VALUE!</v>
      </c>
      <c r="R16" t="e">
        <f>ALDO!I139+"$GJ|!Qz"</f>
        <v>#VALUE!</v>
      </c>
      <c r="S16" t="e">
        <f>ALDO!J139+"$GJ|!Q{"</f>
        <v>#VALUE!</v>
      </c>
      <c r="T16" t="e">
        <f>ALDO!A140+"$GJ|!Q|"</f>
        <v>#VALUE!</v>
      </c>
      <c r="U16" t="e">
        <f>ALDO!B140+"$GJ|!Q}"</f>
        <v>#VALUE!</v>
      </c>
      <c r="V16" t="e">
        <f>ALDO!C140+"$GJ|!Q~"</f>
        <v>#VALUE!</v>
      </c>
      <c r="W16" t="e">
        <f>ALDO!D140+"$GJ|!R#"</f>
        <v>#VALUE!</v>
      </c>
      <c r="X16" t="e">
        <f>ALDO!E140+"$GJ|!R$"</f>
        <v>#VALUE!</v>
      </c>
      <c r="Y16" t="e">
        <f>ALDO!F140+"$GJ|!R%"</f>
        <v>#VALUE!</v>
      </c>
      <c r="Z16" t="e">
        <f>ALDO!G140+"$GJ|!R&amp;"</f>
        <v>#VALUE!</v>
      </c>
      <c r="AA16" t="e">
        <f>ALDO!H140+"$GJ|!R'"</f>
        <v>#VALUE!</v>
      </c>
      <c r="AB16" t="e">
        <f>ALDO!I140+"$GJ|!R("</f>
        <v>#VALUE!</v>
      </c>
      <c r="AC16" t="e">
        <f>ALDO!J140+"$GJ|!R)"</f>
        <v>#VALUE!</v>
      </c>
      <c r="AD16" t="e">
        <f>ALDO!A141+"$GJ|!R."</f>
        <v>#VALUE!</v>
      </c>
      <c r="AE16" t="e">
        <f>ALDO!B141+"$GJ|!R/"</f>
        <v>#VALUE!</v>
      </c>
      <c r="AF16" t="e">
        <f>ALDO!C141+"$GJ|!R0"</f>
        <v>#VALUE!</v>
      </c>
      <c r="AG16" t="e">
        <f>ALDO!D141+"$GJ|!R1"</f>
        <v>#VALUE!</v>
      </c>
      <c r="AH16" t="e">
        <f>ALDO!E141+"$GJ|!R2"</f>
        <v>#VALUE!</v>
      </c>
      <c r="AI16" t="e">
        <f>ALDO!F141+"$GJ|!R3"</f>
        <v>#VALUE!</v>
      </c>
      <c r="AJ16" t="e">
        <f>ALDO!G141+"$GJ|!R4"</f>
        <v>#VALUE!</v>
      </c>
      <c r="AK16" t="e">
        <f>ALDO!H141+"$GJ|!R5"</f>
        <v>#VALUE!</v>
      </c>
      <c r="AL16" t="e">
        <f>ALDO!I141+"$GJ|!R6"</f>
        <v>#VALUE!</v>
      </c>
      <c r="AM16" t="e">
        <f>ALDO!J141+"$GJ|!R7"</f>
        <v>#VALUE!</v>
      </c>
      <c r="AN16" t="e">
        <f>ALDO!A142+"$GJ|!R8"</f>
        <v>#VALUE!</v>
      </c>
      <c r="AO16" t="e">
        <f>ALDO!B142+"$GJ|!R9"</f>
        <v>#VALUE!</v>
      </c>
      <c r="AP16" t="e">
        <f>ALDO!C142+"$GJ|!R:"</f>
        <v>#VALUE!</v>
      </c>
      <c r="AQ16" t="e">
        <f>ALDO!D142+"$GJ|!R;"</f>
        <v>#VALUE!</v>
      </c>
      <c r="AR16" t="e">
        <f>ALDO!E142+"$GJ|!R&lt;"</f>
        <v>#VALUE!</v>
      </c>
      <c r="AS16" t="e">
        <f>ALDO!F142+"$GJ|!R="</f>
        <v>#VALUE!</v>
      </c>
      <c r="AT16" t="e">
        <f>ALDO!G142+"$GJ|!R&gt;"</f>
        <v>#VALUE!</v>
      </c>
      <c r="AU16" t="e">
        <f>ALDO!H142+"$GJ|!R?"</f>
        <v>#VALUE!</v>
      </c>
      <c r="AV16" t="e">
        <f>ALDO!I142+"$GJ|!R@"</f>
        <v>#VALUE!</v>
      </c>
      <c r="AW16" t="e">
        <f>ALDO!J142+"$GJ|!RA"</f>
        <v>#VALUE!</v>
      </c>
      <c r="AX16" t="e">
        <f>ALDO!A143+"$GJ|!RB"</f>
        <v>#VALUE!</v>
      </c>
      <c r="AY16" t="e">
        <f>ALDO!B143+"$GJ|!RC"</f>
        <v>#VALUE!</v>
      </c>
      <c r="AZ16" t="e">
        <f>ALDO!C143+"$GJ|!RD"</f>
        <v>#VALUE!</v>
      </c>
      <c r="BA16" t="e">
        <f>ALDO!D143+"$GJ|!RE"</f>
        <v>#VALUE!</v>
      </c>
      <c r="BB16" t="e">
        <f>ALDO!E143+"$GJ|!RF"</f>
        <v>#VALUE!</v>
      </c>
      <c r="BC16" t="e">
        <f>ALDO!F143+"$GJ|!RG"</f>
        <v>#VALUE!</v>
      </c>
      <c r="BD16" t="e">
        <f>ALDO!G143+"$GJ|!RH"</f>
        <v>#VALUE!</v>
      </c>
      <c r="BE16" t="e">
        <f>ALDO!H143+"$GJ|!RI"</f>
        <v>#VALUE!</v>
      </c>
      <c r="BF16" t="e">
        <f>ALDO!I143+"$GJ|!RJ"</f>
        <v>#VALUE!</v>
      </c>
      <c r="BG16" t="e">
        <f>ALDO!J143+"$GJ|!RK"</f>
        <v>#VALUE!</v>
      </c>
      <c r="BH16" t="e">
        <f>ALDO!A144+"$GJ|!RL"</f>
        <v>#VALUE!</v>
      </c>
      <c r="BI16" t="e">
        <f>ALDO!B144+"$GJ|!RM"</f>
        <v>#VALUE!</v>
      </c>
      <c r="BJ16" t="e">
        <f>ALDO!C144+"$GJ|!RN"</f>
        <v>#VALUE!</v>
      </c>
      <c r="BK16" t="e">
        <f>ALDO!D144+"$GJ|!RO"</f>
        <v>#VALUE!</v>
      </c>
      <c r="BL16" t="e">
        <f>ALDO!E144+"$GJ|!RP"</f>
        <v>#VALUE!</v>
      </c>
      <c r="BM16" t="e">
        <f>ALDO!F144+"$GJ|!RQ"</f>
        <v>#VALUE!</v>
      </c>
      <c r="BN16" t="e">
        <f>ALDO!G144+"$GJ|!RR"</f>
        <v>#VALUE!</v>
      </c>
      <c r="BO16" t="e">
        <f>ALDO!H144+"$GJ|!RS"</f>
        <v>#VALUE!</v>
      </c>
      <c r="BP16" t="e">
        <f>ALDO!I144+"$GJ|!RT"</f>
        <v>#VALUE!</v>
      </c>
      <c r="BQ16" t="e">
        <f>ALDO!J144+"$GJ|!RU"</f>
        <v>#VALUE!</v>
      </c>
      <c r="BR16" t="e">
        <f>ALDO!A145+"$GJ|!RV"</f>
        <v>#VALUE!</v>
      </c>
      <c r="BS16" t="e">
        <f>ALDO!B145+"$GJ|!RW"</f>
        <v>#VALUE!</v>
      </c>
      <c r="BT16" t="e">
        <f>ALDO!C145+"$GJ|!RX"</f>
        <v>#VALUE!</v>
      </c>
      <c r="BU16" t="e">
        <f>ALDO!D145+"$GJ|!RY"</f>
        <v>#VALUE!</v>
      </c>
      <c r="BV16" t="e">
        <f>ALDO!E145+"$GJ|!RZ"</f>
        <v>#VALUE!</v>
      </c>
      <c r="BW16" t="e">
        <f>ALDO!F145+"$GJ|!R["</f>
        <v>#VALUE!</v>
      </c>
      <c r="BX16" t="e">
        <f>ALDO!G145+"$GJ|!R\"</f>
        <v>#VALUE!</v>
      </c>
      <c r="BY16" t="e">
        <f>ALDO!H145+"$GJ|!R]"</f>
        <v>#VALUE!</v>
      </c>
      <c r="BZ16" t="e">
        <f>ALDO!I145+"$GJ|!R^"</f>
        <v>#VALUE!</v>
      </c>
      <c r="CA16" t="e">
        <f>ALDO!J145+"$GJ|!R_"</f>
        <v>#VALUE!</v>
      </c>
      <c r="CB16" t="e">
        <f>ALDO!A146+"$GJ|!R`"</f>
        <v>#VALUE!</v>
      </c>
      <c r="CC16" t="e">
        <f>ALDO!B146+"$GJ|!Ra"</f>
        <v>#VALUE!</v>
      </c>
      <c r="CD16" t="e">
        <f>ALDO!C146+"$GJ|!Rb"</f>
        <v>#VALUE!</v>
      </c>
      <c r="CE16" t="e">
        <f>ALDO!D146+"$GJ|!Rc"</f>
        <v>#VALUE!</v>
      </c>
      <c r="CF16" t="e">
        <f>ALDO!E146+"$GJ|!Rd"</f>
        <v>#VALUE!</v>
      </c>
      <c r="CG16" t="e">
        <f>ALDO!F146+"$GJ|!Re"</f>
        <v>#VALUE!</v>
      </c>
      <c r="CH16" t="e">
        <f>ALDO!G146+"$GJ|!Rf"</f>
        <v>#VALUE!</v>
      </c>
      <c r="CI16" t="e">
        <f>ALDO!H146+"$GJ|!Rg"</f>
        <v>#VALUE!</v>
      </c>
      <c r="CJ16" t="e">
        <f>ALDO!I146+"$GJ|!Rh"</f>
        <v>#VALUE!</v>
      </c>
      <c r="CK16" t="e">
        <f>ALDO!J146+"$GJ|!Ri"</f>
        <v>#VALUE!</v>
      </c>
      <c r="CL16" t="e">
        <f>ALDO!A147+"$GJ|!Rj"</f>
        <v>#VALUE!</v>
      </c>
      <c r="CM16" t="e">
        <f>ALDO!B147+"$GJ|!Rk"</f>
        <v>#VALUE!</v>
      </c>
      <c r="CN16" t="e">
        <f>ALDO!C147+"$GJ|!Rl"</f>
        <v>#VALUE!</v>
      </c>
      <c r="CO16" t="e">
        <f>ALDO!D147+"$GJ|!Rm"</f>
        <v>#VALUE!</v>
      </c>
      <c r="CP16" t="e">
        <f>ALDO!E147+"$GJ|!Rn"</f>
        <v>#VALUE!</v>
      </c>
      <c r="CQ16" t="e">
        <f>ALDO!F147+"$GJ|!Ro"</f>
        <v>#VALUE!</v>
      </c>
      <c r="CR16" t="e">
        <f>ALDO!G147+"$GJ|!Rp"</f>
        <v>#VALUE!</v>
      </c>
      <c r="CS16" t="e">
        <f>ALDO!H147+"$GJ|!Rq"</f>
        <v>#VALUE!</v>
      </c>
      <c r="CT16" t="e">
        <f>ALDO!I147+"$GJ|!Rr"</f>
        <v>#VALUE!</v>
      </c>
      <c r="CU16" t="e">
        <f>ALDO!J147+"$GJ|!Rs"</f>
        <v>#VALUE!</v>
      </c>
      <c r="CV16" t="e">
        <f>ALDO!A148+"$GJ|!Rt"</f>
        <v>#VALUE!</v>
      </c>
      <c r="CW16" t="e">
        <f>ALDO!B148+"$GJ|!Ru"</f>
        <v>#VALUE!</v>
      </c>
      <c r="CX16" t="e">
        <f>ALDO!C148+"$GJ|!Rv"</f>
        <v>#VALUE!</v>
      </c>
      <c r="CY16" t="e">
        <f>ALDO!D148+"$GJ|!Rw"</f>
        <v>#VALUE!</v>
      </c>
      <c r="CZ16" t="e">
        <f>ALDO!E148+"$GJ|!Rx"</f>
        <v>#VALUE!</v>
      </c>
      <c r="DA16" t="e">
        <f>ALDO!F148+"$GJ|!Ry"</f>
        <v>#VALUE!</v>
      </c>
      <c r="DB16" t="e">
        <f>ALDO!G148+"$GJ|!Rz"</f>
        <v>#VALUE!</v>
      </c>
      <c r="DC16" t="e">
        <f>ALDO!H148+"$GJ|!R{"</f>
        <v>#VALUE!</v>
      </c>
      <c r="DD16" t="e">
        <f>ALDO!I148+"$GJ|!R|"</f>
        <v>#VALUE!</v>
      </c>
      <c r="DE16" t="e">
        <f>ALDO!J148+"$GJ|!R}"</f>
        <v>#VALUE!</v>
      </c>
      <c r="DF16" t="e">
        <f>ALDO!A149+"$GJ|!R~"</f>
        <v>#VALUE!</v>
      </c>
      <c r="DG16" t="e">
        <f>ALDO!B149+"$GJ|!S#"</f>
        <v>#VALUE!</v>
      </c>
      <c r="DH16" t="e">
        <f>ALDO!C149+"$GJ|!S$"</f>
        <v>#VALUE!</v>
      </c>
      <c r="DI16" t="e">
        <f>ALDO!D149+"$GJ|!S%"</f>
        <v>#VALUE!</v>
      </c>
      <c r="DJ16" t="e">
        <f>ALDO!E149+"$GJ|!S&amp;"</f>
        <v>#VALUE!</v>
      </c>
      <c r="DK16" t="e">
        <f>ALDO!F149+"$GJ|!S'"</f>
        <v>#VALUE!</v>
      </c>
      <c r="DL16" t="e">
        <f>ALDO!G149+"$GJ|!S("</f>
        <v>#VALUE!</v>
      </c>
      <c r="DM16" t="e">
        <f>ALDO!H149+"$GJ|!S)"</f>
        <v>#VALUE!</v>
      </c>
      <c r="DN16" t="e">
        <f>ALDO!I149+"$GJ|!S."</f>
        <v>#VALUE!</v>
      </c>
      <c r="DO16" t="e">
        <f>ALDO!J149+"$GJ|!S/"</f>
        <v>#VALUE!</v>
      </c>
      <c r="DP16" t="e">
        <f>ALDO!A150+"$GJ|!S0"</f>
        <v>#VALUE!</v>
      </c>
      <c r="DQ16" t="e">
        <f>ALDO!B150+"$GJ|!S1"</f>
        <v>#VALUE!</v>
      </c>
      <c r="DR16" t="e">
        <f>ALDO!C150+"$GJ|!S2"</f>
        <v>#VALUE!</v>
      </c>
      <c r="DS16" t="e">
        <f>ALDO!D150+"$GJ|!S3"</f>
        <v>#VALUE!</v>
      </c>
      <c r="DT16" t="e">
        <f>ALDO!E150+"$GJ|!S4"</f>
        <v>#VALUE!</v>
      </c>
      <c r="DU16" t="e">
        <f>ALDO!F150+"$GJ|!S5"</f>
        <v>#VALUE!</v>
      </c>
      <c r="DV16" t="e">
        <f>ALDO!G150+"$GJ|!S6"</f>
        <v>#VALUE!</v>
      </c>
      <c r="DW16" t="e">
        <f>ALDO!H150+"$GJ|!S7"</f>
        <v>#VALUE!</v>
      </c>
      <c r="DX16" t="e">
        <f>ALDO!I150+"$GJ|!S8"</f>
        <v>#VALUE!</v>
      </c>
      <c r="DY16" t="e">
        <f>ALDO!J150+"$GJ|!S9"</f>
        <v>#VALUE!</v>
      </c>
      <c r="DZ16" t="e">
        <f>ALDO!A151+"$GJ|!S:"</f>
        <v>#VALUE!</v>
      </c>
      <c r="EA16" t="e">
        <f>ALDO!B151+"$GJ|!S;"</f>
        <v>#VALUE!</v>
      </c>
      <c r="EB16" t="e">
        <f>ALDO!C151+"$GJ|!S&lt;"</f>
        <v>#VALUE!</v>
      </c>
      <c r="EC16" t="e">
        <f>ALDO!D151+"$GJ|!S="</f>
        <v>#VALUE!</v>
      </c>
      <c r="ED16" t="e">
        <f>ALDO!E151+"$GJ|!S&gt;"</f>
        <v>#VALUE!</v>
      </c>
      <c r="EE16" t="e">
        <f>ALDO!F151+"$GJ|!S?"</f>
        <v>#VALUE!</v>
      </c>
      <c r="EF16" t="e">
        <f>ALDO!G151+"$GJ|!S@"</f>
        <v>#VALUE!</v>
      </c>
      <c r="EG16" t="e">
        <f>ALDO!H151+"$GJ|!SA"</f>
        <v>#VALUE!</v>
      </c>
      <c r="EH16" t="e">
        <f>ALDO!I151+"$GJ|!SB"</f>
        <v>#VALUE!</v>
      </c>
      <c r="EI16" t="e">
        <f>ALDO!J151+"$GJ|!SC"</f>
        <v>#VALUE!</v>
      </c>
      <c r="EJ16" t="e">
        <f>ALDO!A152+"$GJ|!SD"</f>
        <v>#VALUE!</v>
      </c>
      <c r="EK16" t="e">
        <f>ALDO!B152+"$GJ|!SE"</f>
        <v>#VALUE!</v>
      </c>
      <c r="EL16" t="e">
        <f>ALDO!C152+"$GJ|!SF"</f>
        <v>#VALUE!</v>
      </c>
      <c r="EM16" t="e">
        <f>ALDO!D152+"$GJ|!SG"</f>
        <v>#VALUE!</v>
      </c>
      <c r="EN16" t="e">
        <f>ALDO!E152+"$GJ|!SH"</f>
        <v>#VALUE!</v>
      </c>
      <c r="EO16" t="e">
        <f>ALDO!F152+"$GJ|!SI"</f>
        <v>#VALUE!</v>
      </c>
      <c r="EP16" t="e">
        <f>ALDO!G152+"$GJ|!SJ"</f>
        <v>#VALUE!</v>
      </c>
      <c r="EQ16" t="e">
        <f>ALDO!H152+"$GJ|!SK"</f>
        <v>#VALUE!</v>
      </c>
      <c r="ER16" t="e">
        <f>ALDO!I152+"$GJ|!SL"</f>
        <v>#VALUE!</v>
      </c>
      <c r="ES16" t="e">
        <f>ALDO!J152+"$GJ|!SM"</f>
        <v>#VALUE!</v>
      </c>
      <c r="ET16" t="e">
        <f>ALDO!A153+"$GJ|!SN"</f>
        <v>#VALUE!</v>
      </c>
      <c r="EU16" t="e">
        <f>ALDO!B153+"$GJ|!SO"</f>
        <v>#VALUE!</v>
      </c>
      <c r="EV16" t="e">
        <f>ALDO!C153+"$GJ|!SP"</f>
        <v>#VALUE!</v>
      </c>
      <c r="EW16" t="e">
        <f>ALDO!D153+"$GJ|!SQ"</f>
        <v>#VALUE!</v>
      </c>
      <c r="EX16" t="e">
        <f>ALDO!E153+"$GJ|!SR"</f>
        <v>#VALUE!</v>
      </c>
      <c r="EY16" t="e">
        <f>ALDO!F153+"$GJ|!SS"</f>
        <v>#VALUE!</v>
      </c>
      <c r="EZ16" t="e">
        <f>ALDO!G153+"$GJ|!ST"</f>
        <v>#VALUE!</v>
      </c>
      <c r="FA16" t="e">
        <f>ALDO!H153+"$GJ|!SU"</f>
        <v>#VALUE!</v>
      </c>
      <c r="FB16" t="e">
        <f>ALDO!I153+"$GJ|!SV"</f>
        <v>#VALUE!</v>
      </c>
      <c r="FC16" t="e">
        <f>ALDO!J153+"$GJ|!SW"</f>
        <v>#VALUE!</v>
      </c>
      <c r="FD16" t="e">
        <f>ALDO!A154+"$GJ|!SX"</f>
        <v>#VALUE!</v>
      </c>
      <c r="FE16" t="e">
        <f>ALDO!B154+"$GJ|!SY"</f>
        <v>#VALUE!</v>
      </c>
      <c r="FF16" t="e">
        <f>ALDO!C154+"$GJ|!SZ"</f>
        <v>#VALUE!</v>
      </c>
      <c r="FG16" t="e">
        <f>ALDO!D154+"$GJ|!S["</f>
        <v>#VALUE!</v>
      </c>
      <c r="FH16" t="e">
        <f>ALDO!E154+"$GJ|!S\"</f>
        <v>#VALUE!</v>
      </c>
      <c r="FI16" t="e">
        <f>ALDO!F154+"$GJ|!S]"</f>
        <v>#VALUE!</v>
      </c>
      <c r="FJ16" t="e">
        <f>ALDO!G154+"$GJ|!S^"</f>
        <v>#VALUE!</v>
      </c>
      <c r="FK16" t="e">
        <f>ALDO!H154+"$GJ|!S_"</f>
        <v>#VALUE!</v>
      </c>
      <c r="FL16" t="e">
        <f>ALDO!I154+"$GJ|!S`"</f>
        <v>#VALUE!</v>
      </c>
      <c r="FM16" t="e">
        <f>ALDO!J154+"$GJ|!Sa"</f>
        <v>#VALUE!</v>
      </c>
      <c r="FN16" t="e">
        <f>ALDO!A155+"$GJ|!Sb"</f>
        <v>#VALUE!</v>
      </c>
      <c r="FO16" t="e">
        <f>ALDO!B155+"$GJ|!Sc"</f>
        <v>#VALUE!</v>
      </c>
      <c r="FP16" t="e">
        <f>ALDO!C155+"$GJ|!Sd"</f>
        <v>#VALUE!</v>
      </c>
      <c r="FQ16" t="e">
        <f>ALDO!D155+"$GJ|!Se"</f>
        <v>#VALUE!</v>
      </c>
      <c r="FR16" t="e">
        <f>ALDO!E155+"$GJ|!Sf"</f>
        <v>#VALUE!</v>
      </c>
      <c r="FS16" t="e">
        <f>ALDO!F155+"$GJ|!Sg"</f>
        <v>#VALUE!</v>
      </c>
      <c r="FT16" t="e">
        <f>ALDO!G155+"$GJ|!Sh"</f>
        <v>#VALUE!</v>
      </c>
      <c r="FU16" t="e">
        <f>ALDO!H155+"$GJ|!Si"</f>
        <v>#VALUE!</v>
      </c>
      <c r="FV16" t="e">
        <f>ALDO!I155+"$GJ|!Sj"</f>
        <v>#VALUE!</v>
      </c>
      <c r="FW16" t="e">
        <f>ALDO!J155+"$GJ|!Sk"</f>
        <v>#VALUE!</v>
      </c>
      <c r="FX16" t="e">
        <f>ALDO!A156+"$GJ|!Sl"</f>
        <v>#VALUE!</v>
      </c>
      <c r="FY16" t="e">
        <f>ALDO!B156+"$GJ|!Sm"</f>
        <v>#VALUE!</v>
      </c>
      <c r="FZ16" t="e">
        <f>ALDO!C156+"$GJ|!Sn"</f>
        <v>#VALUE!</v>
      </c>
      <c r="GA16" t="e">
        <f>ALDO!D156+"$GJ|!So"</f>
        <v>#VALUE!</v>
      </c>
      <c r="GB16" t="e">
        <f>ALDO!E156+"$GJ|!Sp"</f>
        <v>#VALUE!</v>
      </c>
      <c r="GC16" t="e">
        <f>ALDO!F156+"$GJ|!Sq"</f>
        <v>#VALUE!</v>
      </c>
      <c r="GD16" t="e">
        <f>ALDO!G156+"$GJ|!Sr"</f>
        <v>#VALUE!</v>
      </c>
      <c r="GE16" t="e">
        <f>ALDO!H156+"$GJ|!Ss"</f>
        <v>#VALUE!</v>
      </c>
      <c r="GF16" t="e">
        <f>ALDO!I156+"$GJ|!St"</f>
        <v>#VALUE!</v>
      </c>
      <c r="GG16" t="e">
        <f>ALDO!J156+"$GJ|!Su"</f>
        <v>#VALUE!</v>
      </c>
      <c r="GH16" t="e">
        <f>ALDO!A157+"$GJ|!Sv"</f>
        <v>#VALUE!</v>
      </c>
      <c r="GI16" t="e">
        <f>ALDO!B157+"$GJ|!Sw"</f>
        <v>#VALUE!</v>
      </c>
      <c r="GJ16" t="e">
        <f>ALDO!C157+"$GJ|!Sx"</f>
        <v>#VALUE!</v>
      </c>
      <c r="GK16" t="e">
        <f>ALDO!D157+"$GJ|!Sy"</f>
        <v>#VALUE!</v>
      </c>
      <c r="GL16" t="e">
        <f>ALDO!E157+"$GJ|!Sz"</f>
        <v>#VALUE!</v>
      </c>
      <c r="GM16" t="e">
        <f>ALDO!F157+"$GJ|!S{"</f>
        <v>#VALUE!</v>
      </c>
      <c r="GN16" t="e">
        <f>ALDO!G157+"$GJ|!S|"</f>
        <v>#VALUE!</v>
      </c>
      <c r="GO16" t="e">
        <f>ALDO!H157+"$GJ|!S}"</f>
        <v>#VALUE!</v>
      </c>
      <c r="GP16" t="e">
        <f>ALDO!I157+"$GJ|!S~"</f>
        <v>#VALUE!</v>
      </c>
      <c r="GQ16" t="e">
        <f>ALDO!J157+"$GJ|!T#"</f>
        <v>#VALUE!</v>
      </c>
      <c r="GR16" t="e">
        <f>ALDO!A158+"$GJ|!T$"</f>
        <v>#VALUE!</v>
      </c>
      <c r="GS16" t="e">
        <f>ALDO!B158+"$GJ|!T%"</f>
        <v>#VALUE!</v>
      </c>
      <c r="GT16" t="e">
        <f>ALDO!C158+"$GJ|!T&amp;"</f>
        <v>#VALUE!</v>
      </c>
      <c r="GU16" t="e">
        <f>ALDO!D158+"$GJ|!T'"</f>
        <v>#VALUE!</v>
      </c>
      <c r="GV16" t="e">
        <f>ALDO!E158+"$GJ|!T("</f>
        <v>#VALUE!</v>
      </c>
      <c r="GW16" t="e">
        <f>ALDO!F158+"$GJ|!T)"</f>
        <v>#VALUE!</v>
      </c>
      <c r="GX16" t="e">
        <f>ALDO!G158+"$GJ|!T."</f>
        <v>#VALUE!</v>
      </c>
      <c r="GY16" t="e">
        <f>ALDO!H158+"$GJ|!T/"</f>
        <v>#VALUE!</v>
      </c>
      <c r="GZ16" t="e">
        <f>ALDO!I158+"$GJ|!T0"</f>
        <v>#VALUE!</v>
      </c>
      <c r="HA16" t="e">
        <f>ALDO!J158+"$GJ|!T1"</f>
        <v>#VALUE!</v>
      </c>
      <c r="HB16" t="e">
        <f>ALDO!A159+"$GJ|!T2"</f>
        <v>#VALUE!</v>
      </c>
      <c r="HC16" t="e">
        <f>ALDO!B159+"$GJ|!T3"</f>
        <v>#VALUE!</v>
      </c>
      <c r="HD16" t="e">
        <f>ALDO!C159+"$GJ|!T4"</f>
        <v>#VALUE!</v>
      </c>
      <c r="HE16" t="e">
        <f>ALDO!D159+"$GJ|!T5"</f>
        <v>#VALUE!</v>
      </c>
      <c r="HF16" t="e">
        <f>ALDO!E159+"$GJ|!T6"</f>
        <v>#VALUE!</v>
      </c>
      <c r="HG16" t="e">
        <f>ALDO!F159+"$GJ|!T7"</f>
        <v>#VALUE!</v>
      </c>
      <c r="HH16" t="e">
        <f>ALDO!G159+"$GJ|!T8"</f>
        <v>#VALUE!</v>
      </c>
      <c r="HI16" t="e">
        <f>ALDO!H159+"$GJ|!T9"</f>
        <v>#VALUE!</v>
      </c>
      <c r="HJ16" t="e">
        <f>ALDO!I159+"$GJ|!T:"</f>
        <v>#VALUE!</v>
      </c>
      <c r="HK16" t="e">
        <f>ALDO!J159+"$GJ|!T;"</f>
        <v>#VALUE!</v>
      </c>
      <c r="HL16" t="e">
        <f>ALDO!A160+"$GJ|!T&lt;"</f>
        <v>#VALUE!</v>
      </c>
      <c r="HM16" t="e">
        <f>ALDO!B160+"$GJ|!T="</f>
        <v>#VALUE!</v>
      </c>
      <c r="HN16" t="e">
        <f>ALDO!C160+"$GJ|!T&gt;"</f>
        <v>#VALUE!</v>
      </c>
      <c r="HO16" t="e">
        <f>ALDO!D160+"$GJ|!T?"</f>
        <v>#VALUE!</v>
      </c>
      <c r="HP16" t="e">
        <f>ALDO!E160+"$GJ|!T@"</f>
        <v>#VALUE!</v>
      </c>
      <c r="HQ16" t="e">
        <f>ALDO!F160+"$GJ|!TA"</f>
        <v>#VALUE!</v>
      </c>
      <c r="HR16" t="e">
        <f>ALDO!G160+"$GJ|!TB"</f>
        <v>#VALUE!</v>
      </c>
      <c r="HS16" t="e">
        <f>ALDO!H160+"$GJ|!TC"</f>
        <v>#VALUE!</v>
      </c>
      <c r="HT16" t="e">
        <f>ALDO!I160+"$GJ|!TD"</f>
        <v>#VALUE!</v>
      </c>
      <c r="HU16" t="e">
        <f>ALDO!J160+"$GJ|!TE"</f>
        <v>#VALUE!</v>
      </c>
      <c r="HV16" t="e">
        <f>ALDO!A161+"$GJ|!TF"</f>
        <v>#VALUE!</v>
      </c>
      <c r="HW16" t="e">
        <f>ALDO!B161+"$GJ|!TG"</f>
        <v>#VALUE!</v>
      </c>
      <c r="HX16" t="e">
        <f>ALDO!C161+"$GJ|!TH"</f>
        <v>#VALUE!</v>
      </c>
      <c r="HY16" t="e">
        <f>ALDO!D161+"$GJ|!TI"</f>
        <v>#VALUE!</v>
      </c>
      <c r="HZ16" t="e">
        <f>ALDO!E161+"$GJ|!TJ"</f>
        <v>#VALUE!</v>
      </c>
      <c r="IA16" t="e">
        <f>ALDO!F161+"$GJ|!TK"</f>
        <v>#VALUE!</v>
      </c>
      <c r="IB16" t="e">
        <f>ALDO!G161+"$GJ|!TL"</f>
        <v>#VALUE!</v>
      </c>
      <c r="IC16" t="e">
        <f>ALDO!H161+"$GJ|!TM"</f>
        <v>#VALUE!</v>
      </c>
      <c r="ID16" t="e">
        <f>ALDO!I161+"$GJ|!TN"</f>
        <v>#VALUE!</v>
      </c>
      <c r="IE16" t="e">
        <f>ALDO!J161+"$GJ|!TO"</f>
        <v>#VALUE!</v>
      </c>
      <c r="IF16" t="e">
        <f>ALDO!A162+"$GJ|!TP"</f>
        <v>#VALUE!</v>
      </c>
      <c r="IG16" t="e">
        <f>ALDO!B162+"$GJ|!TQ"</f>
        <v>#VALUE!</v>
      </c>
      <c r="IH16" t="e">
        <f>ALDO!C162+"$GJ|!TR"</f>
        <v>#VALUE!</v>
      </c>
      <c r="II16" t="e">
        <f>ALDO!D162+"$GJ|!TS"</f>
        <v>#VALUE!</v>
      </c>
      <c r="IJ16" t="e">
        <f>ALDO!E162+"$GJ|!TT"</f>
        <v>#VALUE!</v>
      </c>
      <c r="IK16" t="e">
        <f>ALDO!F162+"$GJ|!TU"</f>
        <v>#VALUE!</v>
      </c>
      <c r="IL16" t="e">
        <f>ALDO!G162+"$GJ|!TV"</f>
        <v>#VALUE!</v>
      </c>
      <c r="IM16" t="e">
        <f>ALDO!H162+"$GJ|!TW"</f>
        <v>#VALUE!</v>
      </c>
      <c r="IN16" t="e">
        <f>ALDO!I162+"$GJ|!TX"</f>
        <v>#VALUE!</v>
      </c>
      <c r="IO16" t="e">
        <f>ALDO!J162+"$GJ|!TY"</f>
        <v>#VALUE!</v>
      </c>
      <c r="IP16" t="e">
        <f>ALDO!A163+"$GJ|!TZ"</f>
        <v>#VALUE!</v>
      </c>
      <c r="IQ16" t="e">
        <f>ALDO!B163+"$GJ|!T["</f>
        <v>#VALUE!</v>
      </c>
      <c r="IR16" t="e">
        <f>ALDO!C163+"$GJ|!T\"</f>
        <v>#VALUE!</v>
      </c>
      <c r="IS16" t="e">
        <f>ALDO!D163+"$GJ|!T]"</f>
        <v>#VALUE!</v>
      </c>
      <c r="IT16" t="e">
        <f>ALDO!E163+"$GJ|!T^"</f>
        <v>#VALUE!</v>
      </c>
      <c r="IU16" t="e">
        <f>ALDO!F163+"$GJ|!T_"</f>
        <v>#VALUE!</v>
      </c>
      <c r="IV16" t="e">
        <f>ALDO!G163+"$GJ|!T`"</f>
        <v>#VALUE!</v>
      </c>
    </row>
    <row r="17" spans="6:256" x14ac:dyDescent="0.25">
      <c r="F17" t="e">
        <f>ALDO!H163+"$GJ|!Ta"</f>
        <v>#VALUE!</v>
      </c>
      <c r="G17" t="e">
        <f>ALDO!I163+"$GJ|!Tb"</f>
        <v>#VALUE!</v>
      </c>
      <c r="H17" t="e">
        <f>ALDO!J163+"$GJ|!Tc"</f>
        <v>#VALUE!</v>
      </c>
      <c r="I17" t="e">
        <f>ALDO!A164+"$GJ|!Td"</f>
        <v>#VALUE!</v>
      </c>
      <c r="J17" t="e">
        <f>ALDO!B164+"$GJ|!Te"</f>
        <v>#VALUE!</v>
      </c>
      <c r="K17" t="e">
        <f>ALDO!C164+"$GJ|!Tf"</f>
        <v>#VALUE!</v>
      </c>
      <c r="L17" t="e">
        <f>ALDO!D164+"$GJ|!Tg"</f>
        <v>#VALUE!</v>
      </c>
      <c r="M17" t="e">
        <f>ALDO!E164+"$GJ|!Th"</f>
        <v>#VALUE!</v>
      </c>
      <c r="N17" t="e">
        <f>ALDO!F164+"$GJ|!Ti"</f>
        <v>#VALUE!</v>
      </c>
      <c r="O17" t="e">
        <f>ALDO!G164+"$GJ|!Tj"</f>
        <v>#VALUE!</v>
      </c>
      <c r="P17" t="e">
        <f>ALDO!H164+"$GJ|!Tk"</f>
        <v>#VALUE!</v>
      </c>
      <c r="Q17" t="e">
        <f>ALDO!I164+"$GJ|!Tl"</f>
        <v>#VALUE!</v>
      </c>
      <c r="R17" t="e">
        <f>ALDO!J164+"$GJ|!Tm"</f>
        <v>#VALUE!</v>
      </c>
      <c r="S17" t="e">
        <f>ALDO!A165+"$GJ|!Tn"</f>
        <v>#VALUE!</v>
      </c>
      <c r="T17" t="e">
        <f>ALDO!B165+"$GJ|!To"</f>
        <v>#VALUE!</v>
      </c>
      <c r="U17" t="e">
        <f>ALDO!C165+"$GJ|!Tp"</f>
        <v>#VALUE!</v>
      </c>
      <c r="V17" t="e">
        <f>ALDO!D165+"$GJ|!Tq"</f>
        <v>#VALUE!</v>
      </c>
      <c r="W17" t="e">
        <f>ALDO!E165+"$GJ|!Tr"</f>
        <v>#VALUE!</v>
      </c>
      <c r="X17" t="e">
        <f>ALDO!F165+"$GJ|!Ts"</f>
        <v>#VALUE!</v>
      </c>
      <c r="Y17" t="e">
        <f>ALDO!G165+"$GJ|!Tt"</f>
        <v>#VALUE!</v>
      </c>
      <c r="Z17" t="e">
        <f>ALDO!H165+"$GJ|!Tu"</f>
        <v>#VALUE!</v>
      </c>
      <c r="AA17" t="e">
        <f>ALDO!I165+"$GJ|!Tv"</f>
        <v>#VALUE!</v>
      </c>
      <c r="AB17" t="e">
        <f>ALDO!J165+"$GJ|!Tw"</f>
        <v>#VALUE!</v>
      </c>
      <c r="AC17" t="e">
        <f>ALDO!A166+"$GJ|!Tx"</f>
        <v>#VALUE!</v>
      </c>
      <c r="AD17" t="e">
        <f>ALDO!B166+"$GJ|!Ty"</f>
        <v>#VALUE!</v>
      </c>
      <c r="AE17" t="e">
        <f>ALDO!C166+"$GJ|!Tz"</f>
        <v>#VALUE!</v>
      </c>
      <c r="AF17" t="e">
        <f>ALDO!D166+"$GJ|!T{"</f>
        <v>#VALUE!</v>
      </c>
      <c r="AG17" t="e">
        <f>ALDO!E166+"$GJ|!T|"</f>
        <v>#VALUE!</v>
      </c>
      <c r="AH17" t="e">
        <f>ALDO!F166+"$GJ|!T}"</f>
        <v>#VALUE!</v>
      </c>
      <c r="AI17" t="e">
        <f>ALDO!G166+"$GJ|!T~"</f>
        <v>#VALUE!</v>
      </c>
      <c r="AJ17" t="e">
        <f>ALDO!H166+"$GJ|!U#"</f>
        <v>#VALUE!</v>
      </c>
      <c r="AK17" t="e">
        <f>ALDO!I166+"$GJ|!U$"</f>
        <v>#VALUE!</v>
      </c>
      <c r="AL17" t="e">
        <f>ALDO!J166+"$GJ|!U%"</f>
        <v>#VALUE!</v>
      </c>
      <c r="AM17" t="e">
        <f>ALDO!A167+"$GJ|!U&amp;"</f>
        <v>#VALUE!</v>
      </c>
      <c r="AN17" t="e">
        <f>ALDO!B167+"$GJ|!U'"</f>
        <v>#VALUE!</v>
      </c>
      <c r="AO17" t="e">
        <f>ALDO!C167+"$GJ|!U("</f>
        <v>#VALUE!</v>
      </c>
      <c r="AP17" t="e">
        <f>ALDO!D167+"$GJ|!U)"</f>
        <v>#VALUE!</v>
      </c>
      <c r="AQ17" t="e">
        <f>ALDO!E167+"$GJ|!U."</f>
        <v>#VALUE!</v>
      </c>
      <c r="AR17" t="e">
        <f>ALDO!F167+"$GJ|!U/"</f>
        <v>#VALUE!</v>
      </c>
      <c r="AS17" t="e">
        <f>ALDO!G167+"$GJ|!U0"</f>
        <v>#VALUE!</v>
      </c>
      <c r="AT17" t="e">
        <f>ALDO!H167+"$GJ|!U1"</f>
        <v>#VALUE!</v>
      </c>
      <c r="AU17" t="e">
        <f>ALDO!I167+"$GJ|!U2"</f>
        <v>#VALUE!</v>
      </c>
      <c r="AV17" t="e">
        <f>ALDO!J167+"$GJ|!U3"</f>
        <v>#VALUE!</v>
      </c>
      <c r="AW17" t="e">
        <f>ALDO!A168+"$GJ|!U4"</f>
        <v>#VALUE!</v>
      </c>
      <c r="AX17" t="e">
        <f>ALDO!B168+"$GJ|!U5"</f>
        <v>#VALUE!</v>
      </c>
      <c r="AY17" t="e">
        <f>ALDO!C168+"$GJ|!U6"</f>
        <v>#VALUE!</v>
      </c>
      <c r="AZ17" t="e">
        <f>ALDO!D168+"$GJ|!U7"</f>
        <v>#VALUE!</v>
      </c>
      <c r="BA17" t="e">
        <f>ALDO!E168+"$GJ|!U8"</f>
        <v>#VALUE!</v>
      </c>
      <c r="BB17" t="e">
        <f>ALDO!F168+"$GJ|!U9"</f>
        <v>#VALUE!</v>
      </c>
      <c r="BC17" t="e">
        <f>ALDO!G168+"$GJ|!U:"</f>
        <v>#VALUE!</v>
      </c>
      <c r="BD17" t="e">
        <f>ALDO!H168+"$GJ|!U;"</f>
        <v>#VALUE!</v>
      </c>
      <c r="BE17" t="e">
        <f>ALDO!I168+"$GJ|!U&lt;"</f>
        <v>#VALUE!</v>
      </c>
      <c r="BF17" t="e">
        <f>ALDO!J168+"$GJ|!U="</f>
        <v>#VALUE!</v>
      </c>
      <c r="BG17" t="e">
        <f>ALDO!A169+"$GJ|!U&gt;"</f>
        <v>#VALUE!</v>
      </c>
      <c r="BH17" t="e">
        <f>ALDO!B169+"$GJ|!U?"</f>
        <v>#VALUE!</v>
      </c>
      <c r="BI17" t="e">
        <f>ALDO!C169+"$GJ|!U@"</f>
        <v>#VALUE!</v>
      </c>
      <c r="BJ17" t="e">
        <f>ALDO!D169+"$GJ|!UA"</f>
        <v>#VALUE!</v>
      </c>
      <c r="BK17" t="e">
        <f>ALDO!E169+"$GJ|!UB"</f>
        <v>#VALUE!</v>
      </c>
      <c r="BL17" t="e">
        <f>ALDO!F169+"$GJ|!UC"</f>
        <v>#VALUE!</v>
      </c>
      <c r="BM17" t="e">
        <f>ALDO!G169+"$GJ|!UD"</f>
        <v>#VALUE!</v>
      </c>
      <c r="BN17" t="e">
        <f>ALDO!H169+"$GJ|!UE"</f>
        <v>#VALUE!</v>
      </c>
      <c r="BO17" t="e">
        <f>ALDO!I169+"$GJ|!UF"</f>
        <v>#VALUE!</v>
      </c>
      <c r="BP17" t="e">
        <f>ALDO!J169+"$GJ|!UG"</f>
        <v>#VALUE!</v>
      </c>
      <c r="BQ17" t="e">
        <f>ALDO!A170+"$GJ|!UH"</f>
        <v>#VALUE!</v>
      </c>
      <c r="BR17" t="e">
        <f>ALDO!B170+"$GJ|!UI"</f>
        <v>#VALUE!</v>
      </c>
      <c r="BS17" t="e">
        <f>ALDO!C170+"$GJ|!UJ"</f>
        <v>#VALUE!</v>
      </c>
      <c r="BT17" t="e">
        <f>ALDO!D170+"$GJ|!UK"</f>
        <v>#VALUE!</v>
      </c>
      <c r="BU17" t="e">
        <f>ALDO!E170+"$GJ|!UL"</f>
        <v>#VALUE!</v>
      </c>
      <c r="BV17" t="e">
        <f>ALDO!F170+"$GJ|!UM"</f>
        <v>#VALUE!</v>
      </c>
      <c r="BW17" t="e">
        <f>ALDO!G170+"$GJ|!UN"</f>
        <v>#VALUE!</v>
      </c>
      <c r="BX17" t="e">
        <f>ALDO!H170+"$GJ|!UO"</f>
        <v>#VALUE!</v>
      </c>
      <c r="BY17" t="e">
        <f>ALDO!I170+"$GJ|!UP"</f>
        <v>#VALUE!</v>
      </c>
      <c r="BZ17" t="e">
        <f>ALDO!J170+"$GJ|!UQ"</f>
        <v>#VALUE!</v>
      </c>
      <c r="CA17" t="e">
        <f>ALDO!A171+"$GJ|!UR"</f>
        <v>#VALUE!</v>
      </c>
      <c r="CB17" t="e">
        <f>ALDO!B171+"$GJ|!US"</f>
        <v>#VALUE!</v>
      </c>
      <c r="CC17" t="e">
        <f>ALDO!C171+"$GJ|!UT"</f>
        <v>#VALUE!</v>
      </c>
      <c r="CD17" t="e">
        <f>ALDO!D171+"$GJ|!UU"</f>
        <v>#VALUE!</v>
      </c>
      <c r="CE17" t="e">
        <f>ALDO!E171+"$GJ|!UV"</f>
        <v>#VALUE!</v>
      </c>
      <c r="CF17" t="e">
        <f>ALDO!F171+"$GJ|!UW"</f>
        <v>#VALUE!</v>
      </c>
      <c r="CG17" t="e">
        <f>ALDO!G171+"$GJ|!UX"</f>
        <v>#VALUE!</v>
      </c>
      <c r="CH17" t="e">
        <f>ALDO!H171+"$GJ|!UY"</f>
        <v>#VALUE!</v>
      </c>
      <c r="CI17" t="e">
        <f>ALDO!I171+"$GJ|!UZ"</f>
        <v>#VALUE!</v>
      </c>
      <c r="CJ17" t="e">
        <f>ALDO!J171+"$GJ|!U["</f>
        <v>#VALUE!</v>
      </c>
      <c r="CK17" t="e">
        <f>ALDO!A172+"$GJ|!U\"</f>
        <v>#VALUE!</v>
      </c>
      <c r="CL17" t="e">
        <f>ALDO!B172+"$GJ|!U]"</f>
        <v>#VALUE!</v>
      </c>
      <c r="CM17" t="e">
        <f>ALDO!C172+"$GJ|!U^"</f>
        <v>#VALUE!</v>
      </c>
      <c r="CN17" t="e">
        <f>ALDO!D172+"$GJ|!U_"</f>
        <v>#VALUE!</v>
      </c>
      <c r="CO17" t="e">
        <f>ALDO!E172+"$GJ|!U`"</f>
        <v>#VALUE!</v>
      </c>
      <c r="CP17" t="e">
        <f>ALDO!F172+"$GJ|!Ua"</f>
        <v>#VALUE!</v>
      </c>
      <c r="CQ17" t="e">
        <f>ALDO!G172+"$GJ|!Ub"</f>
        <v>#VALUE!</v>
      </c>
      <c r="CR17" t="e">
        <f>ALDO!H172+"$GJ|!Uc"</f>
        <v>#VALUE!</v>
      </c>
      <c r="CS17" t="e">
        <f>ALDO!I172+"$GJ|!Ud"</f>
        <v>#VALUE!</v>
      </c>
      <c r="CT17" t="e">
        <f>ALDO!J172+"$GJ|!Ue"</f>
        <v>#VALUE!</v>
      </c>
      <c r="CU17" t="e">
        <f>ALDO!A173+"$GJ|!Uf"</f>
        <v>#VALUE!</v>
      </c>
      <c r="CV17" t="e">
        <f>ALDO!B173+"$GJ|!Ug"</f>
        <v>#VALUE!</v>
      </c>
      <c r="CW17" t="e">
        <f>ALDO!C173+"$GJ|!Uh"</f>
        <v>#VALUE!</v>
      </c>
      <c r="CX17" t="e">
        <f>ALDO!D173+"$GJ|!Ui"</f>
        <v>#VALUE!</v>
      </c>
      <c r="CY17" t="e">
        <f>ALDO!E173+"$GJ|!Uj"</f>
        <v>#VALUE!</v>
      </c>
      <c r="CZ17" t="e">
        <f>ALDO!F173+"$GJ|!Uk"</f>
        <v>#VALUE!</v>
      </c>
      <c r="DA17" t="e">
        <f>ALDO!G173+"$GJ|!Ul"</f>
        <v>#VALUE!</v>
      </c>
      <c r="DB17" t="e">
        <f>ALDO!H173+"$GJ|!Um"</f>
        <v>#VALUE!</v>
      </c>
      <c r="DC17" t="e">
        <f>ALDO!I173+"$GJ|!Un"</f>
        <v>#VALUE!</v>
      </c>
      <c r="DD17" t="e">
        <f>ALDO!J173+"$GJ|!Uo"</f>
        <v>#VALUE!</v>
      </c>
      <c r="DE17" t="e">
        <f>ALDO!A174+"$GJ|!Up"</f>
        <v>#VALUE!</v>
      </c>
      <c r="DF17" t="e">
        <f>ALDO!B174+"$GJ|!Uq"</f>
        <v>#VALUE!</v>
      </c>
      <c r="DG17" t="e">
        <f>ALDO!C174+"$GJ|!Ur"</f>
        <v>#VALUE!</v>
      </c>
      <c r="DH17" t="e">
        <f>ALDO!D174+"$GJ|!Us"</f>
        <v>#VALUE!</v>
      </c>
      <c r="DI17" t="e">
        <f>ALDO!E174+"$GJ|!Ut"</f>
        <v>#VALUE!</v>
      </c>
      <c r="DJ17" t="e">
        <f>ALDO!F174+"$GJ|!Uu"</f>
        <v>#VALUE!</v>
      </c>
      <c r="DK17" t="e">
        <f>ALDO!G174+"$GJ|!Uv"</f>
        <v>#VALUE!</v>
      </c>
      <c r="DL17" t="e">
        <f>ALDO!H174+"$GJ|!Uw"</f>
        <v>#VALUE!</v>
      </c>
      <c r="DM17" t="e">
        <f>ALDO!I174+"$GJ|!Ux"</f>
        <v>#VALUE!</v>
      </c>
      <c r="DN17" t="e">
        <f>ALDO!J174+"$GJ|!Uy"</f>
        <v>#VALUE!</v>
      </c>
      <c r="DO17" t="e">
        <f>ALDO!A175+"$GJ|!Uz"</f>
        <v>#VALUE!</v>
      </c>
      <c r="DP17" t="e">
        <f>ALDO!B175+"$GJ|!U{"</f>
        <v>#VALUE!</v>
      </c>
      <c r="DQ17" t="e">
        <f>ALDO!C175+"$GJ|!U|"</f>
        <v>#VALUE!</v>
      </c>
      <c r="DR17" t="e">
        <f>ALDO!D175+"$GJ|!U}"</f>
        <v>#VALUE!</v>
      </c>
      <c r="DS17" t="e">
        <f>ALDO!E175+"$GJ|!U~"</f>
        <v>#VALUE!</v>
      </c>
      <c r="DT17" t="e">
        <f>ALDO!F175+"$GJ|!V#"</f>
        <v>#VALUE!</v>
      </c>
      <c r="DU17" t="e">
        <f>ALDO!G175+"$GJ|!V$"</f>
        <v>#VALUE!</v>
      </c>
      <c r="DV17" t="e">
        <f>ALDO!H175+"$GJ|!V%"</f>
        <v>#VALUE!</v>
      </c>
      <c r="DW17" t="e">
        <f>ALDO!I175+"$GJ|!V&amp;"</f>
        <v>#VALUE!</v>
      </c>
      <c r="DX17" t="e">
        <f>ALDO!J175+"$GJ|!V'"</f>
        <v>#VALUE!</v>
      </c>
      <c r="DY17" t="e">
        <f>ALDO!A176+"$GJ|!V("</f>
        <v>#VALUE!</v>
      </c>
      <c r="DZ17" t="e">
        <f>ALDO!B176+"$GJ|!V)"</f>
        <v>#VALUE!</v>
      </c>
      <c r="EA17" t="e">
        <f>ALDO!C176+"$GJ|!V."</f>
        <v>#VALUE!</v>
      </c>
      <c r="EB17" t="e">
        <f>ALDO!D176+"$GJ|!V/"</f>
        <v>#VALUE!</v>
      </c>
      <c r="EC17" t="e">
        <f>ALDO!E176+"$GJ|!V0"</f>
        <v>#VALUE!</v>
      </c>
      <c r="ED17" t="e">
        <f>ALDO!F176+"$GJ|!V1"</f>
        <v>#VALUE!</v>
      </c>
      <c r="EE17" t="e">
        <f>ALDO!G176+"$GJ|!V2"</f>
        <v>#VALUE!</v>
      </c>
      <c r="EF17" t="e">
        <f>ALDO!H176+"$GJ|!V3"</f>
        <v>#VALUE!</v>
      </c>
      <c r="EG17" t="e">
        <f>ALDO!I176+"$GJ|!V4"</f>
        <v>#VALUE!</v>
      </c>
      <c r="EH17" t="e">
        <f>ALDO!J176+"$GJ|!V5"</f>
        <v>#VALUE!</v>
      </c>
      <c r="EI17" t="e">
        <f>ALDO!A177+"$GJ|!V6"</f>
        <v>#VALUE!</v>
      </c>
      <c r="EJ17" t="e">
        <f>ALDO!B177+"$GJ|!V7"</f>
        <v>#VALUE!</v>
      </c>
      <c r="EK17" t="e">
        <f>ALDO!C177+"$GJ|!V8"</f>
        <v>#VALUE!</v>
      </c>
      <c r="EL17" t="e">
        <f>ALDO!D177+"$GJ|!V9"</f>
        <v>#VALUE!</v>
      </c>
      <c r="EM17" t="e">
        <f>ALDO!E177+"$GJ|!V:"</f>
        <v>#VALUE!</v>
      </c>
      <c r="EN17" t="e">
        <f>ALDO!F177+"$GJ|!V;"</f>
        <v>#VALUE!</v>
      </c>
      <c r="EO17" t="e">
        <f>ALDO!G177+"$GJ|!V&lt;"</f>
        <v>#VALUE!</v>
      </c>
      <c r="EP17" t="e">
        <f>ALDO!H177+"$GJ|!V="</f>
        <v>#VALUE!</v>
      </c>
      <c r="EQ17" t="e">
        <f>ALDO!I177+"$GJ|!V&gt;"</f>
        <v>#VALUE!</v>
      </c>
      <c r="ER17" t="e">
        <f>ALDO!J177+"$GJ|!V?"</f>
        <v>#VALUE!</v>
      </c>
      <c r="ES17" t="e">
        <f>ALDO!A178+"$GJ|!V@"</f>
        <v>#VALUE!</v>
      </c>
      <c r="ET17" t="e">
        <f>ALDO!B178+"$GJ|!VA"</f>
        <v>#VALUE!</v>
      </c>
      <c r="EU17" t="e">
        <f>ALDO!C178+"$GJ|!VB"</f>
        <v>#VALUE!</v>
      </c>
      <c r="EV17" t="e">
        <f>ALDO!D178+"$GJ|!VC"</f>
        <v>#VALUE!</v>
      </c>
      <c r="EW17" t="e">
        <f>ALDO!E178+"$GJ|!VD"</f>
        <v>#VALUE!</v>
      </c>
      <c r="EX17" t="e">
        <f>ALDO!F178+"$GJ|!VE"</f>
        <v>#VALUE!</v>
      </c>
      <c r="EY17" t="e">
        <f>ALDO!G178+"$GJ|!VF"</f>
        <v>#VALUE!</v>
      </c>
      <c r="EZ17" t="e">
        <f>ALDO!H178+"$GJ|!VG"</f>
        <v>#VALUE!</v>
      </c>
      <c r="FA17" t="e">
        <f>ALDO!I178+"$GJ|!VH"</f>
        <v>#VALUE!</v>
      </c>
      <c r="FB17" t="e">
        <f>ALDO!J178+"$GJ|!VI"</f>
        <v>#VALUE!</v>
      </c>
      <c r="FC17" t="e">
        <f>ALDO!A179+"$GJ|!VJ"</f>
        <v>#VALUE!</v>
      </c>
      <c r="FD17" t="e">
        <f>ALDO!B179+"$GJ|!VK"</f>
        <v>#VALUE!</v>
      </c>
      <c r="FE17" t="e">
        <f>ALDO!C179+"$GJ|!VL"</f>
        <v>#VALUE!</v>
      </c>
      <c r="FF17" t="e">
        <f>ALDO!D179+"$GJ|!VM"</f>
        <v>#VALUE!</v>
      </c>
      <c r="FG17" t="e">
        <f>ALDO!E179+"$GJ|!VN"</f>
        <v>#VALUE!</v>
      </c>
      <c r="FH17" t="e">
        <f>ALDO!F179+"$GJ|!VO"</f>
        <v>#VALUE!</v>
      </c>
      <c r="FI17" t="e">
        <f>ALDO!G179+"$GJ|!VP"</f>
        <v>#VALUE!</v>
      </c>
      <c r="FJ17" t="e">
        <f>ALDO!H179+"$GJ|!VQ"</f>
        <v>#VALUE!</v>
      </c>
      <c r="FK17" t="e">
        <f>ALDO!I179+"$GJ|!VR"</f>
        <v>#VALUE!</v>
      </c>
      <c r="FL17" t="e">
        <f>ALDO!J179+"$GJ|!VS"</f>
        <v>#VALUE!</v>
      </c>
      <c r="FM17" t="e">
        <f>ALDO!A180+"$GJ|!VT"</f>
        <v>#VALUE!</v>
      </c>
      <c r="FN17" t="e">
        <f>ALDO!B180+"$GJ|!VU"</f>
        <v>#VALUE!</v>
      </c>
      <c r="FO17" t="e">
        <f>ALDO!C180+"$GJ|!VV"</f>
        <v>#VALUE!</v>
      </c>
      <c r="FP17" t="e">
        <f>ALDO!D180+"$GJ|!VW"</f>
        <v>#VALUE!</v>
      </c>
      <c r="FQ17" t="e">
        <f>ALDO!E180+"$GJ|!VX"</f>
        <v>#VALUE!</v>
      </c>
      <c r="FR17" t="e">
        <f>ALDO!F180+"$GJ|!VY"</f>
        <v>#VALUE!</v>
      </c>
      <c r="FS17" t="e">
        <f>ALDO!G180+"$GJ|!VZ"</f>
        <v>#VALUE!</v>
      </c>
      <c r="FT17" t="e">
        <f>ALDO!H180+"$GJ|!V["</f>
        <v>#VALUE!</v>
      </c>
      <c r="FU17" t="e">
        <f>ALDO!I180+"$GJ|!V\"</f>
        <v>#VALUE!</v>
      </c>
      <c r="FV17" t="e">
        <f>ALDO!J180+"$GJ|!V]"</f>
        <v>#VALUE!</v>
      </c>
      <c r="FW17" t="e">
        <f>ALDO!A181+"$GJ|!V^"</f>
        <v>#VALUE!</v>
      </c>
      <c r="FX17" t="e">
        <f>ALDO!B181+"$GJ|!V_"</f>
        <v>#VALUE!</v>
      </c>
      <c r="FY17" t="e">
        <f>ALDO!C181+"$GJ|!V`"</f>
        <v>#VALUE!</v>
      </c>
      <c r="FZ17" t="e">
        <f>ALDO!D181+"$GJ|!Va"</f>
        <v>#VALUE!</v>
      </c>
      <c r="GA17" t="e">
        <f>ALDO!E181+"$GJ|!Vb"</f>
        <v>#VALUE!</v>
      </c>
      <c r="GB17" t="e">
        <f>ALDO!F181+"$GJ|!Vc"</f>
        <v>#VALUE!</v>
      </c>
      <c r="GC17" t="e">
        <f>ALDO!G181+"$GJ|!Vd"</f>
        <v>#VALUE!</v>
      </c>
      <c r="GD17" t="e">
        <f>ALDO!H181+"$GJ|!Ve"</f>
        <v>#VALUE!</v>
      </c>
      <c r="GE17" t="e">
        <f>ALDO!I181+"$GJ|!Vf"</f>
        <v>#VALUE!</v>
      </c>
      <c r="GF17" t="e">
        <f>ALDO!J181+"$GJ|!Vg"</f>
        <v>#VALUE!</v>
      </c>
      <c r="GG17" t="e">
        <f>ALDO!A182+"$GJ|!Vh"</f>
        <v>#VALUE!</v>
      </c>
      <c r="GH17" t="e">
        <f>ALDO!B182+"$GJ|!Vi"</f>
        <v>#VALUE!</v>
      </c>
      <c r="GI17" t="e">
        <f>ALDO!C182+"$GJ|!Vj"</f>
        <v>#VALUE!</v>
      </c>
      <c r="GJ17" t="e">
        <f>ALDO!D182+"$GJ|!Vk"</f>
        <v>#VALUE!</v>
      </c>
      <c r="GK17" t="e">
        <f>ALDO!E182+"$GJ|!Vl"</f>
        <v>#VALUE!</v>
      </c>
      <c r="GL17" t="e">
        <f>ALDO!F182+"$GJ|!Vm"</f>
        <v>#VALUE!</v>
      </c>
      <c r="GM17" t="e">
        <f>ALDO!G182+"$GJ|!Vn"</f>
        <v>#VALUE!</v>
      </c>
      <c r="GN17" t="e">
        <f>ALDO!H182+"$GJ|!Vo"</f>
        <v>#VALUE!</v>
      </c>
      <c r="GO17" t="e">
        <f>ALDO!I182+"$GJ|!Vp"</f>
        <v>#VALUE!</v>
      </c>
      <c r="GP17" t="e">
        <f>ALDO!J182+"$GJ|!Vq"</f>
        <v>#VALUE!</v>
      </c>
      <c r="GQ17" t="e">
        <f>ALDO!A183+"$GJ|!Vr"</f>
        <v>#VALUE!</v>
      </c>
      <c r="GR17" t="e">
        <f>ALDO!B183+"$GJ|!Vs"</f>
        <v>#VALUE!</v>
      </c>
      <c r="GS17" t="e">
        <f>ALDO!C183+"$GJ|!Vt"</f>
        <v>#VALUE!</v>
      </c>
      <c r="GT17" t="e">
        <f>ALDO!D183+"$GJ|!Vu"</f>
        <v>#VALUE!</v>
      </c>
      <c r="GU17" t="e">
        <f>ALDO!E183+"$GJ|!Vv"</f>
        <v>#VALUE!</v>
      </c>
      <c r="GV17" t="e">
        <f>ALDO!F183+"$GJ|!Vw"</f>
        <v>#VALUE!</v>
      </c>
      <c r="GW17" t="e">
        <f>ALDO!G183+"$GJ|!Vx"</f>
        <v>#VALUE!</v>
      </c>
      <c r="GX17" t="e">
        <f>ALDO!H183+"$GJ|!Vy"</f>
        <v>#VALUE!</v>
      </c>
      <c r="GY17" t="e">
        <f>ALDO!I183+"$GJ|!Vz"</f>
        <v>#VALUE!</v>
      </c>
      <c r="GZ17" t="e">
        <f>ALDO!J183+"$GJ|!V{"</f>
        <v>#VALUE!</v>
      </c>
      <c r="HA17" t="e">
        <f>ALDO!A184+"$GJ|!V|"</f>
        <v>#VALUE!</v>
      </c>
      <c r="HB17" t="e">
        <f>ALDO!B184+"$GJ|!V}"</f>
        <v>#VALUE!</v>
      </c>
      <c r="HC17" t="e">
        <f>ALDO!C184+"$GJ|!V~"</f>
        <v>#VALUE!</v>
      </c>
      <c r="HD17" t="e">
        <f>ALDO!D184+"$GJ|!W#"</f>
        <v>#VALUE!</v>
      </c>
      <c r="HE17" t="e">
        <f>ALDO!E184+"$GJ|!W$"</f>
        <v>#VALUE!</v>
      </c>
      <c r="HF17" t="e">
        <f>ALDO!F184+"$GJ|!W%"</f>
        <v>#VALUE!</v>
      </c>
      <c r="HG17" t="e">
        <f>ALDO!G184+"$GJ|!W&amp;"</f>
        <v>#VALUE!</v>
      </c>
      <c r="HH17" t="e">
        <f>ALDO!H184+"$GJ|!W'"</f>
        <v>#VALUE!</v>
      </c>
      <c r="HI17" t="e">
        <f>ALDO!I184+"$GJ|!W("</f>
        <v>#VALUE!</v>
      </c>
      <c r="HJ17" t="e">
        <f>ALDO!J184+"$GJ|!W)"</f>
        <v>#VALUE!</v>
      </c>
      <c r="HK17" t="e">
        <f>ALDO!A185+"$GJ|!W."</f>
        <v>#VALUE!</v>
      </c>
      <c r="HL17" t="e">
        <f>ALDO!B185+"$GJ|!W/"</f>
        <v>#VALUE!</v>
      </c>
      <c r="HM17" t="e">
        <f>ALDO!C185+"$GJ|!W0"</f>
        <v>#VALUE!</v>
      </c>
      <c r="HN17" t="e">
        <f>ALDO!D185+"$GJ|!W1"</f>
        <v>#VALUE!</v>
      </c>
      <c r="HO17" t="e">
        <f>ALDO!E185+"$GJ|!W2"</f>
        <v>#VALUE!</v>
      </c>
      <c r="HP17" t="e">
        <f>ALDO!F185+"$GJ|!W3"</f>
        <v>#VALUE!</v>
      </c>
      <c r="HQ17" t="e">
        <f>ALDO!G185+"$GJ|!W4"</f>
        <v>#VALUE!</v>
      </c>
      <c r="HR17" t="e">
        <f>ALDO!H185+"$GJ|!W5"</f>
        <v>#VALUE!</v>
      </c>
      <c r="HS17" t="e">
        <f>ALDO!I185+"$GJ|!W6"</f>
        <v>#VALUE!</v>
      </c>
      <c r="HT17" t="e">
        <f>ALDO!J185+"$GJ|!W7"</f>
        <v>#VALUE!</v>
      </c>
      <c r="HU17" t="e">
        <f>ALDO!A186+"$GJ|!W8"</f>
        <v>#VALUE!</v>
      </c>
      <c r="HV17" t="e">
        <f>ALDO!B186+"$GJ|!W9"</f>
        <v>#VALUE!</v>
      </c>
      <c r="HW17" t="e">
        <f>ALDO!C186+"$GJ|!W:"</f>
        <v>#VALUE!</v>
      </c>
      <c r="HX17" t="e">
        <f>ALDO!D186+"$GJ|!W;"</f>
        <v>#VALUE!</v>
      </c>
      <c r="HY17" t="e">
        <f>ALDO!E186+"$GJ|!W&lt;"</f>
        <v>#VALUE!</v>
      </c>
      <c r="HZ17" t="e">
        <f>ALDO!F186+"$GJ|!W="</f>
        <v>#VALUE!</v>
      </c>
      <c r="IA17" t="e">
        <f>ALDO!G186+"$GJ|!W&gt;"</f>
        <v>#VALUE!</v>
      </c>
      <c r="IB17" t="e">
        <f>ALDO!H186+"$GJ|!W?"</f>
        <v>#VALUE!</v>
      </c>
      <c r="IC17" t="e">
        <f>ALDO!I186+"$GJ|!W@"</f>
        <v>#VALUE!</v>
      </c>
      <c r="ID17" t="e">
        <f>ALDO!J186+"$GJ|!WA"</f>
        <v>#VALUE!</v>
      </c>
      <c r="IE17" t="e">
        <f>ALDO!A187+"$GJ|!WB"</f>
        <v>#VALUE!</v>
      </c>
      <c r="IF17" t="e">
        <f>ALDO!B187+"$GJ|!WC"</f>
        <v>#VALUE!</v>
      </c>
      <c r="IG17" t="e">
        <f>ALDO!C187+"$GJ|!WD"</f>
        <v>#VALUE!</v>
      </c>
      <c r="IH17" t="e">
        <f>ALDO!D187+"$GJ|!WE"</f>
        <v>#VALUE!</v>
      </c>
      <c r="II17" t="e">
        <f>ALDO!E187+"$GJ|!WF"</f>
        <v>#VALUE!</v>
      </c>
      <c r="IJ17" t="e">
        <f>ALDO!F187+"$GJ|!WG"</f>
        <v>#VALUE!</v>
      </c>
      <c r="IK17" t="e">
        <f>ALDO!G187+"$GJ|!WH"</f>
        <v>#VALUE!</v>
      </c>
      <c r="IL17" t="e">
        <f>ALDO!H187+"$GJ|!WI"</f>
        <v>#VALUE!</v>
      </c>
      <c r="IM17" t="e">
        <f>ALDO!I187+"$GJ|!WJ"</f>
        <v>#VALUE!</v>
      </c>
      <c r="IN17" t="e">
        <f>ALDO!J187+"$GJ|!WK"</f>
        <v>#VALUE!</v>
      </c>
      <c r="IO17" t="e">
        <f>ALDO!A188+"$GJ|!WL"</f>
        <v>#VALUE!</v>
      </c>
      <c r="IP17" t="e">
        <f>ALDO!B188+"$GJ|!WM"</f>
        <v>#VALUE!</v>
      </c>
      <c r="IQ17" t="e">
        <f>ALDO!C188+"$GJ|!WN"</f>
        <v>#VALUE!</v>
      </c>
      <c r="IR17" t="e">
        <f>ALDO!D188+"$GJ|!WO"</f>
        <v>#VALUE!</v>
      </c>
      <c r="IS17" t="e">
        <f>ALDO!E188+"$GJ|!WP"</f>
        <v>#VALUE!</v>
      </c>
      <c r="IT17" t="e">
        <f>ALDO!F188+"$GJ|!WQ"</f>
        <v>#VALUE!</v>
      </c>
      <c r="IU17" t="e">
        <f>ALDO!G188+"$GJ|!WR"</f>
        <v>#VALUE!</v>
      </c>
      <c r="IV17" t="e">
        <f>ALDO!H188+"$GJ|!WS"</f>
        <v>#VALUE!</v>
      </c>
    </row>
    <row r="18" spans="6:256" x14ac:dyDescent="0.25">
      <c r="F18" t="e">
        <f>ALDO!I188+"$GJ|!WT"</f>
        <v>#VALUE!</v>
      </c>
      <c r="G18" t="e">
        <f>ALDO!J188+"$GJ|!WU"</f>
        <v>#VALUE!</v>
      </c>
      <c r="H18" t="e">
        <f>ALDO!A189+"$GJ|!WV"</f>
        <v>#VALUE!</v>
      </c>
      <c r="I18" t="e">
        <f>ALDO!B189+"$GJ|!WW"</f>
        <v>#VALUE!</v>
      </c>
      <c r="J18" t="e">
        <f>ALDO!C189+"$GJ|!WX"</f>
        <v>#VALUE!</v>
      </c>
      <c r="K18" t="e">
        <f>ALDO!D189+"$GJ|!WY"</f>
        <v>#VALUE!</v>
      </c>
      <c r="L18" t="e">
        <f>ALDO!E189+"$GJ|!WZ"</f>
        <v>#VALUE!</v>
      </c>
      <c r="M18" t="e">
        <f>ALDO!F189+"$GJ|!W["</f>
        <v>#VALUE!</v>
      </c>
      <c r="N18" t="e">
        <f>ALDO!G189+"$GJ|!W\"</f>
        <v>#VALUE!</v>
      </c>
      <c r="O18" t="e">
        <f>ALDO!H189+"$GJ|!W]"</f>
        <v>#VALUE!</v>
      </c>
      <c r="P18" t="e">
        <f>ALDO!I189+"$GJ|!W^"</f>
        <v>#VALUE!</v>
      </c>
      <c r="Q18" t="e">
        <f>ALDO!J189+"$GJ|!W_"</f>
        <v>#VALUE!</v>
      </c>
      <c r="R18" t="e">
        <f>ALDO!A190+"$GJ|!W`"</f>
        <v>#VALUE!</v>
      </c>
      <c r="S18" t="e">
        <f>ALDO!B190+"$GJ|!Wa"</f>
        <v>#VALUE!</v>
      </c>
      <c r="T18" t="e">
        <f>ALDO!C190+"$GJ|!Wb"</f>
        <v>#VALUE!</v>
      </c>
      <c r="U18" t="e">
        <f>ALDO!D190+"$GJ|!Wc"</f>
        <v>#VALUE!</v>
      </c>
      <c r="V18" t="e">
        <f>ALDO!E190+"$GJ|!Wd"</f>
        <v>#VALUE!</v>
      </c>
      <c r="W18" t="e">
        <f>ALDO!F190+"$GJ|!We"</f>
        <v>#VALUE!</v>
      </c>
      <c r="X18" t="e">
        <f>ALDO!G190+"$GJ|!Wf"</f>
        <v>#VALUE!</v>
      </c>
      <c r="Y18" t="e">
        <f>ALDO!H190+"$GJ|!Wg"</f>
        <v>#VALUE!</v>
      </c>
      <c r="Z18" t="e">
        <f>ALDO!I190+"$GJ|!Wh"</f>
        <v>#VALUE!</v>
      </c>
      <c r="AA18" t="e">
        <f>ALDO!J190+"$GJ|!Wi"</f>
        <v>#VALUE!</v>
      </c>
      <c r="AB18" t="e">
        <f>ALDO!A191+"$GJ|!Wj"</f>
        <v>#VALUE!</v>
      </c>
      <c r="AC18" t="e">
        <f>ALDO!B191+"$GJ|!Wk"</f>
        <v>#VALUE!</v>
      </c>
      <c r="AD18" t="e">
        <f>ALDO!C191+"$GJ|!Wl"</f>
        <v>#VALUE!</v>
      </c>
      <c r="AE18" t="e">
        <f>ALDO!D191+"$GJ|!Wm"</f>
        <v>#VALUE!</v>
      </c>
      <c r="AF18" t="e">
        <f>ALDO!E191+"$GJ|!Wn"</f>
        <v>#VALUE!</v>
      </c>
      <c r="AG18" t="e">
        <f>ALDO!F191+"$GJ|!Wo"</f>
        <v>#VALUE!</v>
      </c>
      <c r="AH18" t="e">
        <f>ALDO!G191+"$GJ|!Wp"</f>
        <v>#VALUE!</v>
      </c>
      <c r="AI18" t="e">
        <f>ALDO!H191+"$GJ|!Wq"</f>
        <v>#VALUE!</v>
      </c>
      <c r="AJ18" t="e">
        <f>ALDO!I191+"$GJ|!Wr"</f>
        <v>#VALUE!</v>
      </c>
      <c r="AK18" t="e">
        <f>ALDO!J191+"$GJ|!Ws"</f>
        <v>#VALUE!</v>
      </c>
      <c r="AL18" t="e">
        <f>ALDO!A192+"$GJ|!Wt"</f>
        <v>#VALUE!</v>
      </c>
      <c r="AM18" t="e">
        <f>ALDO!B192+"$GJ|!Wu"</f>
        <v>#VALUE!</v>
      </c>
      <c r="AN18" t="e">
        <f>ALDO!C192+"$GJ|!Wv"</f>
        <v>#VALUE!</v>
      </c>
      <c r="AO18" t="e">
        <f>ALDO!D192+"$GJ|!Ww"</f>
        <v>#VALUE!</v>
      </c>
      <c r="AP18" t="e">
        <f>ALDO!E192+"$GJ|!Wx"</f>
        <v>#VALUE!</v>
      </c>
      <c r="AQ18" t="e">
        <f>ALDO!F192+"$GJ|!Wy"</f>
        <v>#VALUE!</v>
      </c>
      <c r="AR18" t="e">
        <f>ALDO!G192+"$GJ|!Wz"</f>
        <v>#VALUE!</v>
      </c>
      <c r="AS18" t="e">
        <f>ALDO!H192+"$GJ|!W{"</f>
        <v>#VALUE!</v>
      </c>
      <c r="AT18" t="e">
        <f>ALDO!I192+"$GJ|!W|"</f>
        <v>#VALUE!</v>
      </c>
      <c r="AU18" t="e">
        <f>ALDO!J192+"$GJ|!W}"</f>
        <v>#VALUE!</v>
      </c>
      <c r="AV18" t="e">
        <f>ALDO!A193+"$GJ|!W~"</f>
        <v>#VALUE!</v>
      </c>
      <c r="AW18" t="e">
        <f>ALDO!B193+"$GJ|!X#"</f>
        <v>#VALUE!</v>
      </c>
      <c r="AX18" t="e">
        <f>ALDO!C193+"$GJ|!X$"</f>
        <v>#VALUE!</v>
      </c>
      <c r="AY18" t="e">
        <f>ALDO!D193+"$GJ|!X%"</f>
        <v>#VALUE!</v>
      </c>
      <c r="AZ18" t="e">
        <f>ALDO!E193+"$GJ|!X&amp;"</f>
        <v>#VALUE!</v>
      </c>
      <c r="BA18" t="e">
        <f>ALDO!F193+"$GJ|!X'"</f>
        <v>#VALUE!</v>
      </c>
      <c r="BB18" t="e">
        <f>ALDO!G193+"$GJ|!X("</f>
        <v>#VALUE!</v>
      </c>
      <c r="BC18" t="e">
        <f>ALDO!H193+"$GJ|!X)"</f>
        <v>#VALUE!</v>
      </c>
      <c r="BD18" t="e">
        <f>ALDO!I193+"$GJ|!X."</f>
        <v>#VALUE!</v>
      </c>
      <c r="BE18" t="e">
        <f>ALDO!J193+"$GJ|!X/"</f>
        <v>#VALUE!</v>
      </c>
      <c r="BF18" t="e">
        <f>ALDO!A194+"$GJ|!X0"</f>
        <v>#VALUE!</v>
      </c>
      <c r="BG18" t="e">
        <f>ALDO!B194+"$GJ|!X1"</f>
        <v>#VALUE!</v>
      </c>
      <c r="BH18" t="e">
        <f>ALDO!C194+"$GJ|!X2"</f>
        <v>#VALUE!</v>
      </c>
      <c r="BI18" t="e">
        <f>ALDO!D194+"$GJ|!X3"</f>
        <v>#VALUE!</v>
      </c>
      <c r="BJ18" t="e">
        <f>ALDO!E194+"$GJ|!X4"</f>
        <v>#VALUE!</v>
      </c>
      <c r="BK18" t="e">
        <f>ALDO!F194+"$GJ|!X5"</f>
        <v>#VALUE!</v>
      </c>
      <c r="BL18" t="e">
        <f>ALDO!G194+"$GJ|!X6"</f>
        <v>#VALUE!</v>
      </c>
      <c r="BM18" t="e">
        <f>ALDO!H194+"$GJ|!X7"</f>
        <v>#VALUE!</v>
      </c>
      <c r="BN18" t="e">
        <f>ALDO!I194+"$GJ|!X8"</f>
        <v>#VALUE!</v>
      </c>
      <c r="BO18" t="e">
        <f>ALDO!J194+"$GJ|!X9"</f>
        <v>#VALUE!</v>
      </c>
      <c r="BP18" t="e">
        <f>ALDO!A195+"$GJ|!X:"</f>
        <v>#VALUE!</v>
      </c>
      <c r="BQ18" t="e">
        <f>ALDO!B195+"$GJ|!X;"</f>
        <v>#VALUE!</v>
      </c>
      <c r="BR18" t="e">
        <f>ALDO!C195+"$GJ|!X&lt;"</f>
        <v>#VALUE!</v>
      </c>
      <c r="BS18" t="e">
        <f>ALDO!D195+"$GJ|!X="</f>
        <v>#VALUE!</v>
      </c>
      <c r="BT18" t="e">
        <f>ALDO!E195+"$GJ|!X&gt;"</f>
        <v>#VALUE!</v>
      </c>
      <c r="BU18" t="e">
        <f>ALDO!F195+"$GJ|!X?"</f>
        <v>#VALUE!</v>
      </c>
      <c r="BV18" t="e">
        <f>ALDO!G195+"$GJ|!X@"</f>
        <v>#VALUE!</v>
      </c>
      <c r="BW18" t="e">
        <f>ALDO!H195+"$GJ|!XA"</f>
        <v>#VALUE!</v>
      </c>
      <c r="BX18" t="e">
        <f>ALDO!I195+"$GJ|!XB"</f>
        <v>#VALUE!</v>
      </c>
      <c r="BY18" t="e">
        <f>ALDO!J195+"$GJ|!XC"</f>
        <v>#VALUE!</v>
      </c>
      <c r="BZ18" t="e">
        <f>ALDO!A196+"$GJ|!XD"</f>
        <v>#VALUE!</v>
      </c>
      <c r="CA18" t="e">
        <f>ALDO!B196+"$GJ|!XE"</f>
        <v>#VALUE!</v>
      </c>
      <c r="CB18" t="e">
        <f>ALDO!C196+"$GJ|!XF"</f>
        <v>#VALUE!</v>
      </c>
      <c r="CC18" t="e">
        <f>ALDO!D196+"$GJ|!XG"</f>
        <v>#VALUE!</v>
      </c>
      <c r="CD18" t="e">
        <f>ALDO!E196+"$GJ|!XH"</f>
        <v>#VALUE!</v>
      </c>
      <c r="CE18" t="e">
        <f>ALDO!F196+"$GJ|!XI"</f>
        <v>#VALUE!</v>
      </c>
      <c r="CF18" t="e">
        <f>ALDO!G196+"$GJ|!XJ"</f>
        <v>#VALUE!</v>
      </c>
      <c r="CG18" t="e">
        <f>ALDO!H196+"$GJ|!XK"</f>
        <v>#VALUE!</v>
      </c>
      <c r="CH18" t="e">
        <f>ALDO!I196+"$GJ|!XL"</f>
        <v>#VALUE!</v>
      </c>
      <c r="CI18" t="e">
        <f>ALDO!J196+"$GJ|!XM"</f>
        <v>#VALUE!</v>
      </c>
      <c r="CJ18" t="e">
        <f>ALDO!A197+"$GJ|!XN"</f>
        <v>#VALUE!</v>
      </c>
      <c r="CK18" t="e">
        <f>ALDO!B197+"$GJ|!XO"</f>
        <v>#VALUE!</v>
      </c>
      <c r="CL18" t="e">
        <f>ALDO!C197+"$GJ|!XP"</f>
        <v>#VALUE!</v>
      </c>
      <c r="CM18" t="e">
        <f>ALDO!D197+"$GJ|!XQ"</f>
        <v>#VALUE!</v>
      </c>
      <c r="CN18" t="e">
        <f>ALDO!E197+"$GJ|!XR"</f>
        <v>#VALUE!</v>
      </c>
      <c r="CO18" t="e">
        <f>ALDO!F197+"$GJ|!XS"</f>
        <v>#VALUE!</v>
      </c>
      <c r="CP18" t="e">
        <f>ALDO!G197+"$GJ|!XT"</f>
        <v>#VALUE!</v>
      </c>
      <c r="CQ18" t="e">
        <f>ALDO!H197+"$GJ|!XU"</f>
        <v>#VALUE!</v>
      </c>
      <c r="CR18" t="e">
        <f>ALDO!I197+"$GJ|!XV"</f>
        <v>#VALUE!</v>
      </c>
      <c r="CS18" t="e">
        <f>ALDO!J197+"$GJ|!XW"</f>
        <v>#VALUE!</v>
      </c>
      <c r="CT18" t="e">
        <f>ALDO!A198+"$GJ|!XX"</f>
        <v>#VALUE!</v>
      </c>
      <c r="CU18" t="e">
        <f>ALDO!B198+"$GJ|!XY"</f>
        <v>#VALUE!</v>
      </c>
      <c r="CV18" t="e">
        <f>ALDO!C198+"$GJ|!XZ"</f>
        <v>#VALUE!</v>
      </c>
      <c r="CW18" t="e">
        <f>ALDO!D198+"$GJ|!X["</f>
        <v>#VALUE!</v>
      </c>
      <c r="CX18" t="e">
        <f>ALDO!E198+"$GJ|!X\"</f>
        <v>#VALUE!</v>
      </c>
      <c r="CY18" t="e">
        <f>ALDO!F198+"$GJ|!X]"</f>
        <v>#VALUE!</v>
      </c>
      <c r="CZ18" t="e">
        <f>ALDO!G198+"$GJ|!X^"</f>
        <v>#VALUE!</v>
      </c>
      <c r="DA18" t="e">
        <f>ALDO!H198+"$GJ|!X_"</f>
        <v>#VALUE!</v>
      </c>
      <c r="DB18" t="e">
        <f>ALDO!I198+"$GJ|!X`"</f>
        <v>#VALUE!</v>
      </c>
      <c r="DC18" t="e">
        <f>ALDO!J198+"$GJ|!Xa"</f>
        <v>#VALUE!</v>
      </c>
      <c r="DD18" t="e">
        <f>ALDO!A199+"$GJ|!Xb"</f>
        <v>#VALUE!</v>
      </c>
      <c r="DE18" t="e">
        <f>ALDO!B199+"$GJ|!Xc"</f>
        <v>#VALUE!</v>
      </c>
      <c r="DF18" t="e">
        <f>ALDO!C199+"$GJ|!Xd"</f>
        <v>#VALUE!</v>
      </c>
      <c r="DG18" t="e">
        <f>ALDO!D199+"$GJ|!Xe"</f>
        <v>#VALUE!</v>
      </c>
      <c r="DH18" t="e">
        <f>ALDO!E199+"$GJ|!Xf"</f>
        <v>#VALUE!</v>
      </c>
      <c r="DI18" t="e">
        <f>ALDO!F199+"$GJ|!Xg"</f>
        <v>#VALUE!</v>
      </c>
      <c r="DJ18" t="e">
        <f>ALDO!G199+"$GJ|!Xh"</f>
        <v>#VALUE!</v>
      </c>
      <c r="DK18" t="e">
        <f>ALDO!H199+"$GJ|!Xi"</f>
        <v>#VALUE!</v>
      </c>
      <c r="DL18" t="e">
        <f>ALDO!I199+"$GJ|!Xj"</f>
        <v>#VALUE!</v>
      </c>
      <c r="DM18" t="e">
        <f>ALDO!J199+"$GJ|!Xk"</f>
        <v>#VALUE!</v>
      </c>
      <c r="DN18" t="e">
        <f>ALDO!A200+"$GJ|!Xl"</f>
        <v>#VALUE!</v>
      </c>
      <c r="DO18" t="e">
        <f>ALDO!B200+"$GJ|!Xm"</f>
        <v>#VALUE!</v>
      </c>
      <c r="DP18" t="e">
        <f>ALDO!C200+"$GJ|!Xn"</f>
        <v>#VALUE!</v>
      </c>
      <c r="DQ18" t="e">
        <f>ALDO!D200+"$GJ|!Xo"</f>
        <v>#VALUE!</v>
      </c>
      <c r="DR18" t="e">
        <f>ALDO!E200+"$GJ|!Xp"</f>
        <v>#VALUE!</v>
      </c>
      <c r="DS18" t="e">
        <f>ALDO!F200+"$GJ|!Xq"</f>
        <v>#VALUE!</v>
      </c>
      <c r="DT18" t="e">
        <f>ALDO!G200+"$GJ|!Xr"</f>
        <v>#VALUE!</v>
      </c>
      <c r="DU18" t="e">
        <f>ALDO!H200+"$GJ|!Xs"</f>
        <v>#VALUE!</v>
      </c>
      <c r="DV18" t="e">
        <f>ALDO!I200+"$GJ|!Xt"</f>
        <v>#VALUE!</v>
      </c>
      <c r="DW18" t="e">
        <f>ALDO!J200+"$GJ|!Xu"</f>
        <v>#VALUE!</v>
      </c>
      <c r="DX18" t="e">
        <f>ALDO!A201+"$GJ|!Xv"</f>
        <v>#VALUE!</v>
      </c>
      <c r="DY18" t="e">
        <f>ALDO!B201+"$GJ|!Xw"</f>
        <v>#VALUE!</v>
      </c>
      <c r="DZ18" t="e">
        <f>ALDO!C201+"$GJ|!Xx"</f>
        <v>#VALUE!</v>
      </c>
      <c r="EA18" t="e">
        <f>ALDO!D201+"$GJ|!Xy"</f>
        <v>#VALUE!</v>
      </c>
      <c r="EB18" t="e">
        <f>ALDO!E201+"$GJ|!Xz"</f>
        <v>#VALUE!</v>
      </c>
      <c r="EC18" t="e">
        <f>ALDO!F201+"$GJ|!X{"</f>
        <v>#VALUE!</v>
      </c>
      <c r="ED18" t="e">
        <f>ALDO!G201+"$GJ|!X|"</f>
        <v>#VALUE!</v>
      </c>
      <c r="EE18" t="e">
        <f>ALDO!H201+"$GJ|!X}"</f>
        <v>#VALUE!</v>
      </c>
      <c r="EF18" t="e">
        <f>ALDO!I201+"$GJ|!X~"</f>
        <v>#VALUE!</v>
      </c>
      <c r="EG18" t="e">
        <f>ALDO!J201+"$GJ|!Y#"</f>
        <v>#VALUE!</v>
      </c>
      <c r="EH18" t="e">
        <f>ALDO!A202+"$GJ|!Y$"</f>
        <v>#VALUE!</v>
      </c>
      <c r="EI18" t="e">
        <f>ALDO!B202+"$GJ|!Y%"</f>
        <v>#VALUE!</v>
      </c>
      <c r="EJ18" t="e">
        <f>ALDO!C202+"$GJ|!Y&amp;"</f>
        <v>#VALUE!</v>
      </c>
      <c r="EK18" t="e">
        <f>ALDO!D202+"$GJ|!Y'"</f>
        <v>#VALUE!</v>
      </c>
      <c r="EL18" t="e">
        <f>ALDO!E202+"$GJ|!Y("</f>
        <v>#VALUE!</v>
      </c>
      <c r="EM18" t="e">
        <f>ALDO!F202+"$GJ|!Y)"</f>
        <v>#VALUE!</v>
      </c>
      <c r="EN18" t="e">
        <f>ALDO!G202+"$GJ|!Y."</f>
        <v>#VALUE!</v>
      </c>
      <c r="EO18" t="e">
        <f>ALDO!H202+"$GJ|!Y/"</f>
        <v>#VALUE!</v>
      </c>
      <c r="EP18" t="e">
        <f>ALDO!I202+"$GJ|!Y0"</f>
        <v>#VALUE!</v>
      </c>
      <c r="EQ18" t="e">
        <f>ALDO!J202+"$GJ|!Y1"</f>
        <v>#VALUE!</v>
      </c>
      <c r="ER18" t="e">
        <f>ALDO!A203+"$GJ|!Y2"</f>
        <v>#VALUE!</v>
      </c>
      <c r="ES18" t="e">
        <f>ALDO!B203+"$GJ|!Y3"</f>
        <v>#VALUE!</v>
      </c>
      <c r="ET18" t="e">
        <f>ALDO!C203+"$GJ|!Y4"</f>
        <v>#VALUE!</v>
      </c>
      <c r="EU18" t="e">
        <f>ALDO!D203+"$GJ|!Y5"</f>
        <v>#VALUE!</v>
      </c>
      <c r="EV18" t="e">
        <f>ALDO!E203+"$GJ|!Y6"</f>
        <v>#VALUE!</v>
      </c>
      <c r="EW18" t="e">
        <f>ALDO!F203+"$GJ|!Y7"</f>
        <v>#VALUE!</v>
      </c>
      <c r="EX18" t="e">
        <f>ALDO!G203+"$GJ|!Y8"</f>
        <v>#VALUE!</v>
      </c>
      <c r="EY18" t="e">
        <f>ALDO!H203+"$GJ|!Y9"</f>
        <v>#VALUE!</v>
      </c>
      <c r="EZ18" t="e">
        <f>ALDO!I203+"$GJ|!Y:"</f>
        <v>#VALUE!</v>
      </c>
      <c r="FA18" t="e">
        <f>ALDO!J203+"$GJ|!Y;"</f>
        <v>#VALUE!</v>
      </c>
      <c r="FB18" t="e">
        <f>ALDO!A204+"$GJ|!Y&lt;"</f>
        <v>#VALUE!</v>
      </c>
      <c r="FC18" t="e">
        <f>ALDO!B204+"$GJ|!Y="</f>
        <v>#VALUE!</v>
      </c>
      <c r="FD18" t="e">
        <f>ALDO!C204+"$GJ|!Y&gt;"</f>
        <v>#VALUE!</v>
      </c>
      <c r="FE18" t="e">
        <f>ALDO!D204+"$GJ|!Y?"</f>
        <v>#VALUE!</v>
      </c>
      <c r="FF18" t="e">
        <f>ALDO!E204+"$GJ|!Y@"</f>
        <v>#VALUE!</v>
      </c>
      <c r="FG18" t="e">
        <f>ALDO!F204+"$GJ|!YA"</f>
        <v>#VALUE!</v>
      </c>
      <c r="FH18" t="e">
        <f>ALDO!G204+"$GJ|!YB"</f>
        <v>#VALUE!</v>
      </c>
      <c r="FI18" t="e">
        <f>ALDO!H204+"$GJ|!YC"</f>
        <v>#VALUE!</v>
      </c>
      <c r="FJ18" t="e">
        <f>ALDO!I204+"$GJ|!YD"</f>
        <v>#VALUE!</v>
      </c>
      <c r="FK18" t="e">
        <f>ALDO!J204+"$GJ|!YE"</f>
        <v>#VALUE!</v>
      </c>
      <c r="FL18" t="e">
        <f>ALDO!A205+"$GJ|!YF"</f>
        <v>#VALUE!</v>
      </c>
      <c r="FM18" t="e">
        <f>ALDO!B205+"$GJ|!YG"</f>
        <v>#VALUE!</v>
      </c>
      <c r="FN18" t="e">
        <f>ALDO!C205+"$GJ|!YH"</f>
        <v>#VALUE!</v>
      </c>
      <c r="FO18" t="e">
        <f>ALDO!D205+"$GJ|!YI"</f>
        <v>#VALUE!</v>
      </c>
      <c r="FP18" t="e">
        <f>ALDO!E205+"$GJ|!YJ"</f>
        <v>#VALUE!</v>
      </c>
      <c r="FQ18" t="e">
        <f>ALDO!F205+"$GJ|!YK"</f>
        <v>#VALUE!</v>
      </c>
      <c r="FR18" t="e">
        <f>ALDO!G205+"$GJ|!YL"</f>
        <v>#VALUE!</v>
      </c>
      <c r="FS18" t="e">
        <f>ALDO!H205+"$GJ|!YM"</f>
        <v>#VALUE!</v>
      </c>
      <c r="FT18" t="e">
        <f>ALDO!I205+"$GJ|!YN"</f>
        <v>#VALUE!</v>
      </c>
      <c r="FU18" t="e">
        <f>ALDO!J205+"$GJ|!YO"</f>
        <v>#VALUE!</v>
      </c>
      <c r="FV18" t="e">
        <f>ALDO!A206+"$GJ|!YP"</f>
        <v>#VALUE!</v>
      </c>
      <c r="FW18" t="e">
        <f>ALDO!B206+"$GJ|!YQ"</f>
        <v>#VALUE!</v>
      </c>
      <c r="FX18" t="e">
        <f>ALDO!C206+"$GJ|!YR"</f>
        <v>#VALUE!</v>
      </c>
      <c r="FY18" t="e">
        <f>ALDO!D206+"$GJ|!YS"</f>
        <v>#VALUE!</v>
      </c>
      <c r="FZ18" t="e">
        <f>ALDO!E206+"$GJ|!YT"</f>
        <v>#VALUE!</v>
      </c>
      <c r="GA18" t="e">
        <f>ALDO!F206+"$GJ|!YU"</f>
        <v>#VALUE!</v>
      </c>
      <c r="GB18" t="e">
        <f>ALDO!G206+"$GJ|!YV"</f>
        <v>#VALUE!</v>
      </c>
      <c r="GC18" t="e">
        <f>ALDO!H206+"$GJ|!YW"</f>
        <v>#VALUE!</v>
      </c>
      <c r="GD18" t="e">
        <f>ALDO!I206+"$GJ|!YX"</f>
        <v>#VALUE!</v>
      </c>
      <c r="GE18" t="e">
        <f>ALDO!J206+"$GJ|!YY"</f>
        <v>#VALUE!</v>
      </c>
      <c r="GF18" t="e">
        <f>ALDO!A207+"$GJ|!YZ"</f>
        <v>#VALUE!</v>
      </c>
      <c r="GG18" t="e">
        <f>ALDO!B207+"$GJ|!Y["</f>
        <v>#VALUE!</v>
      </c>
      <c r="GH18" t="e">
        <f>ALDO!C207+"$GJ|!Y\"</f>
        <v>#VALUE!</v>
      </c>
      <c r="GI18" t="e">
        <f>ALDO!D207+"$GJ|!Y]"</f>
        <v>#VALUE!</v>
      </c>
      <c r="GJ18" t="e">
        <f>ALDO!E207+"$GJ|!Y^"</f>
        <v>#VALUE!</v>
      </c>
      <c r="GK18" t="e">
        <f>ALDO!F207+"$GJ|!Y_"</f>
        <v>#VALUE!</v>
      </c>
      <c r="GL18" t="e">
        <f>ALDO!G207+"$GJ|!Y`"</f>
        <v>#VALUE!</v>
      </c>
      <c r="GM18" t="e">
        <f>ALDO!H207+"$GJ|!Ya"</f>
        <v>#VALUE!</v>
      </c>
      <c r="GN18" t="e">
        <f>ALDO!I207+"$GJ|!Yb"</f>
        <v>#VALUE!</v>
      </c>
      <c r="GO18" t="e">
        <f>ALDO!J207+"$GJ|!Yc"</f>
        <v>#VALUE!</v>
      </c>
      <c r="GP18" t="e">
        <f>ALDO!A208+"$GJ|!Yd"</f>
        <v>#VALUE!</v>
      </c>
      <c r="GQ18" t="e">
        <f>ALDO!B208+"$GJ|!Ye"</f>
        <v>#VALUE!</v>
      </c>
      <c r="GR18" t="e">
        <f>ALDO!C208+"$GJ|!Yf"</f>
        <v>#VALUE!</v>
      </c>
      <c r="GS18" t="e">
        <f>ALDO!D208+"$GJ|!Yg"</f>
        <v>#VALUE!</v>
      </c>
      <c r="GT18" t="e">
        <f>ALDO!E208+"$GJ|!Yh"</f>
        <v>#VALUE!</v>
      </c>
      <c r="GU18" t="e">
        <f>ALDO!F208+"$GJ|!Yi"</f>
        <v>#VALUE!</v>
      </c>
      <c r="GV18" t="e">
        <f>ALDO!G208+"$GJ|!Yj"</f>
        <v>#VALUE!</v>
      </c>
      <c r="GW18" t="e">
        <f>ALDO!H208+"$GJ|!Yk"</f>
        <v>#VALUE!</v>
      </c>
      <c r="GX18" t="e">
        <f>ALDO!I208+"$GJ|!Yl"</f>
        <v>#VALUE!</v>
      </c>
      <c r="GY18" t="e">
        <f>ALDO!J208+"$GJ|!Ym"</f>
        <v>#VALUE!</v>
      </c>
      <c r="GZ18" t="e">
        <f>ALDO!A209+"$GJ|!Yn"</f>
        <v>#VALUE!</v>
      </c>
      <c r="HA18" t="e">
        <f>ALDO!B209+"$GJ|!Yo"</f>
        <v>#VALUE!</v>
      </c>
      <c r="HB18" t="e">
        <f>ALDO!C209+"$GJ|!Yp"</f>
        <v>#VALUE!</v>
      </c>
      <c r="HC18" t="e">
        <f>ALDO!D209+"$GJ|!Yq"</f>
        <v>#VALUE!</v>
      </c>
      <c r="HD18" t="e">
        <f>ALDO!E209+"$GJ|!Yr"</f>
        <v>#VALUE!</v>
      </c>
      <c r="HE18" t="e">
        <f>ALDO!F209+"$GJ|!Ys"</f>
        <v>#VALUE!</v>
      </c>
      <c r="HF18" t="e">
        <f>ALDO!G209+"$GJ|!Yt"</f>
        <v>#VALUE!</v>
      </c>
      <c r="HG18" t="e">
        <f>ALDO!H209+"$GJ|!Yu"</f>
        <v>#VALUE!</v>
      </c>
      <c r="HH18" t="e">
        <f>ALDO!I209+"$GJ|!Yv"</f>
        <v>#VALUE!</v>
      </c>
      <c r="HI18" t="e">
        <f>ALDO!J209+"$GJ|!Yw"</f>
        <v>#VALUE!</v>
      </c>
      <c r="HJ18" t="e">
        <f>ALDO!A210+"$GJ|!Yx"</f>
        <v>#VALUE!</v>
      </c>
      <c r="HK18" t="e">
        <f>ALDO!B210+"$GJ|!Yy"</f>
        <v>#VALUE!</v>
      </c>
      <c r="HL18" t="e">
        <f>ALDO!C210+"$GJ|!Yz"</f>
        <v>#VALUE!</v>
      </c>
      <c r="HM18" t="e">
        <f>ALDO!D210+"$GJ|!Y{"</f>
        <v>#VALUE!</v>
      </c>
      <c r="HN18" t="e">
        <f>ALDO!E210+"$GJ|!Y|"</f>
        <v>#VALUE!</v>
      </c>
      <c r="HO18" t="e">
        <f>ALDO!F210+"$GJ|!Y}"</f>
        <v>#VALUE!</v>
      </c>
      <c r="HP18" t="e">
        <f>ALDO!G210+"$GJ|!Y~"</f>
        <v>#VALUE!</v>
      </c>
      <c r="HQ18" t="e">
        <f>ALDO!H210+"$GJ|!Z#"</f>
        <v>#VALUE!</v>
      </c>
      <c r="HR18" t="e">
        <f>ALDO!I210+"$GJ|!Z$"</f>
        <v>#VALUE!</v>
      </c>
      <c r="HS18" t="e">
        <f>ALDO!J210+"$GJ|!Z%"</f>
        <v>#VALUE!</v>
      </c>
      <c r="HT18" t="e">
        <f>ALDO!A211+"$GJ|!Z&amp;"</f>
        <v>#VALUE!</v>
      </c>
      <c r="HU18" t="e">
        <f>ALDO!B211+"$GJ|!Z'"</f>
        <v>#VALUE!</v>
      </c>
      <c r="HV18" t="e">
        <f>ALDO!C211+"$GJ|!Z("</f>
        <v>#VALUE!</v>
      </c>
      <c r="HW18" t="e">
        <f>ALDO!D211+"$GJ|!Z)"</f>
        <v>#VALUE!</v>
      </c>
      <c r="HX18" t="e">
        <f>ALDO!E211+"$GJ|!Z."</f>
        <v>#VALUE!</v>
      </c>
      <c r="HY18" t="e">
        <f>ALDO!F211+"$GJ|!Z/"</f>
        <v>#VALUE!</v>
      </c>
      <c r="HZ18" t="e">
        <f>ALDO!G211+"$GJ|!Z0"</f>
        <v>#VALUE!</v>
      </c>
      <c r="IA18" t="e">
        <f>ALDO!H211+"$GJ|!Z1"</f>
        <v>#VALUE!</v>
      </c>
      <c r="IB18" t="e">
        <f>ALDO!I211+"$GJ|!Z2"</f>
        <v>#VALUE!</v>
      </c>
      <c r="IC18" t="e">
        <f>ALDO!J211+"$GJ|!Z3"</f>
        <v>#VALUE!</v>
      </c>
      <c r="ID18" t="e">
        <f>ALDO!A212+"$GJ|!Z4"</f>
        <v>#VALUE!</v>
      </c>
      <c r="IE18" t="e">
        <f>ALDO!B212+"$GJ|!Z5"</f>
        <v>#VALUE!</v>
      </c>
      <c r="IF18" t="e">
        <f>ALDO!C212+"$GJ|!Z6"</f>
        <v>#VALUE!</v>
      </c>
      <c r="IG18" t="e">
        <f>ALDO!D212+"$GJ|!Z7"</f>
        <v>#VALUE!</v>
      </c>
      <c r="IH18" t="e">
        <f>ALDO!E212+"$GJ|!Z8"</f>
        <v>#VALUE!</v>
      </c>
      <c r="II18" t="e">
        <f>ALDO!F212+"$GJ|!Z9"</f>
        <v>#VALUE!</v>
      </c>
      <c r="IJ18" t="e">
        <f>ALDO!G212+"$GJ|!Z:"</f>
        <v>#VALUE!</v>
      </c>
      <c r="IK18" t="e">
        <f>ALDO!H212+"$GJ|!Z;"</f>
        <v>#VALUE!</v>
      </c>
      <c r="IL18" t="e">
        <f>ALDO!I212+"$GJ|!Z&lt;"</f>
        <v>#VALUE!</v>
      </c>
      <c r="IM18" t="e">
        <f>ALDO!J212+"$GJ|!Z="</f>
        <v>#VALUE!</v>
      </c>
      <c r="IN18" t="e">
        <f>ALDO!A213+"$GJ|!Z&gt;"</f>
        <v>#VALUE!</v>
      </c>
      <c r="IO18" t="e">
        <f>ALDO!B213+"$GJ|!Z?"</f>
        <v>#VALUE!</v>
      </c>
      <c r="IP18" t="e">
        <f>ALDO!C213+"$GJ|!Z@"</f>
        <v>#VALUE!</v>
      </c>
      <c r="IQ18" t="e">
        <f>ALDO!D213+"$GJ|!ZA"</f>
        <v>#VALUE!</v>
      </c>
      <c r="IR18" t="e">
        <f>ALDO!E213+"$GJ|!ZB"</f>
        <v>#VALUE!</v>
      </c>
      <c r="IS18" t="e">
        <f>ALDO!F213+"$GJ|!ZC"</f>
        <v>#VALUE!</v>
      </c>
      <c r="IT18" t="e">
        <f>ALDO!G213+"$GJ|!ZD"</f>
        <v>#VALUE!</v>
      </c>
      <c r="IU18" t="e">
        <f>ALDO!H213+"$GJ|!ZE"</f>
        <v>#VALUE!</v>
      </c>
      <c r="IV18" t="e">
        <f>ALDO!I213+"$GJ|!ZF"</f>
        <v>#VALUE!</v>
      </c>
    </row>
    <row r="19" spans="6:256" x14ac:dyDescent="0.25">
      <c r="F19" t="e">
        <f>ALDO!J213+"$GJ|!ZG"</f>
        <v>#VALUE!</v>
      </c>
      <c r="G19" t="e">
        <f>ALDO!A214+"$GJ|!ZH"</f>
        <v>#VALUE!</v>
      </c>
      <c r="H19" t="e">
        <f>ALDO!B214+"$GJ|!ZI"</f>
        <v>#VALUE!</v>
      </c>
      <c r="I19" t="e">
        <f>ALDO!C214+"$GJ|!ZJ"</f>
        <v>#VALUE!</v>
      </c>
      <c r="J19" t="e">
        <f>ALDO!D214+"$GJ|!ZK"</f>
        <v>#VALUE!</v>
      </c>
      <c r="K19" t="e">
        <f>ALDO!E214+"$GJ|!ZL"</f>
        <v>#VALUE!</v>
      </c>
      <c r="L19" t="e">
        <f>ALDO!F214+"$GJ|!ZM"</f>
        <v>#VALUE!</v>
      </c>
      <c r="M19" t="e">
        <f>ALDO!G214+"$GJ|!ZN"</f>
        <v>#VALUE!</v>
      </c>
      <c r="N19" t="e">
        <f>ALDO!H214+"$GJ|!ZO"</f>
        <v>#VALUE!</v>
      </c>
      <c r="O19" t="e">
        <f>ALDO!I214+"$GJ|!ZP"</f>
        <v>#VALUE!</v>
      </c>
      <c r="P19" t="e">
        <f>ALDO!J214+"$GJ|!ZQ"</f>
        <v>#VALUE!</v>
      </c>
      <c r="Q19" t="e">
        <f>ALDO!A215+"$GJ|!ZR"</f>
        <v>#VALUE!</v>
      </c>
      <c r="R19" t="e">
        <f>ALDO!B215+"$GJ|!ZS"</f>
        <v>#VALUE!</v>
      </c>
      <c r="S19" t="e">
        <f>ALDO!C215+"$GJ|!ZT"</f>
        <v>#VALUE!</v>
      </c>
      <c r="T19" t="e">
        <f>ALDO!D215+"$GJ|!ZU"</f>
        <v>#VALUE!</v>
      </c>
      <c r="U19" t="e">
        <f>ALDO!E215+"$GJ|!ZV"</f>
        <v>#VALUE!</v>
      </c>
      <c r="V19" t="e">
        <f>ALDO!F215+"$GJ|!ZW"</f>
        <v>#VALUE!</v>
      </c>
      <c r="W19" t="e">
        <f>ALDO!G215+"$GJ|!ZX"</f>
        <v>#VALUE!</v>
      </c>
      <c r="X19" t="e">
        <f>ALDO!H215+"$GJ|!ZY"</f>
        <v>#VALUE!</v>
      </c>
      <c r="Y19" t="e">
        <f>ALDO!I215+"$GJ|!ZZ"</f>
        <v>#VALUE!</v>
      </c>
      <c r="Z19" t="e">
        <f>ALDO!J215+"$GJ|!Z["</f>
        <v>#VALUE!</v>
      </c>
      <c r="AA19" t="e">
        <f>ALDO!A216+"$GJ|!Z\"</f>
        <v>#VALUE!</v>
      </c>
      <c r="AB19" t="e">
        <f>ALDO!B216+"$GJ|!Z]"</f>
        <v>#VALUE!</v>
      </c>
      <c r="AC19" t="e">
        <f>ALDO!C216+"$GJ|!Z^"</f>
        <v>#VALUE!</v>
      </c>
      <c r="AD19" t="e">
        <f>ALDO!D216+"$GJ|!Z_"</f>
        <v>#VALUE!</v>
      </c>
      <c r="AE19" t="e">
        <f>ALDO!E216+"$GJ|!Z`"</f>
        <v>#VALUE!</v>
      </c>
      <c r="AF19" t="e">
        <f>ALDO!F216+"$GJ|!Za"</f>
        <v>#VALUE!</v>
      </c>
      <c r="AG19" t="e">
        <f>ALDO!G216+"$GJ|!Zb"</f>
        <v>#VALUE!</v>
      </c>
      <c r="AH19" t="e">
        <f>ALDO!H216+"$GJ|!Zc"</f>
        <v>#VALUE!</v>
      </c>
      <c r="AI19" t="e">
        <f>ALDO!I216+"$GJ|!Zd"</f>
        <v>#VALUE!</v>
      </c>
      <c r="AJ19" t="e">
        <f>ALDO!J216+"$GJ|!Ze"</f>
        <v>#VALUE!</v>
      </c>
      <c r="AK19" t="e">
        <f>ALDO!A217+"$GJ|!Zf"</f>
        <v>#VALUE!</v>
      </c>
      <c r="AL19" t="e">
        <f>ALDO!B217+"$GJ|!Zg"</f>
        <v>#VALUE!</v>
      </c>
      <c r="AM19" t="e">
        <f>ALDO!C217+"$GJ|!Zh"</f>
        <v>#VALUE!</v>
      </c>
      <c r="AN19" t="e">
        <f>ALDO!D217+"$GJ|!Zi"</f>
        <v>#VALUE!</v>
      </c>
      <c r="AO19" t="e">
        <f>ALDO!E217+"$GJ|!Zj"</f>
        <v>#VALUE!</v>
      </c>
      <c r="AP19" t="e">
        <f>ALDO!F217+"$GJ|!Zk"</f>
        <v>#VALUE!</v>
      </c>
      <c r="AQ19" t="e">
        <f>ALDO!G217+"$GJ|!Zl"</f>
        <v>#VALUE!</v>
      </c>
      <c r="AR19" t="e">
        <f>ALDO!H217+"$GJ|!Zm"</f>
        <v>#VALUE!</v>
      </c>
      <c r="AS19" t="e">
        <f>ALDO!I217+"$GJ|!Zn"</f>
        <v>#VALUE!</v>
      </c>
      <c r="AT19" t="e">
        <f>ALDO!J217+"$GJ|!Zo"</f>
        <v>#VALUE!</v>
      </c>
      <c r="AU19" t="e">
        <f>ALDO!A218+"$GJ|!Zp"</f>
        <v>#VALUE!</v>
      </c>
      <c r="AV19" t="e">
        <f>ALDO!B218+"$GJ|!Zq"</f>
        <v>#VALUE!</v>
      </c>
      <c r="AW19" t="e">
        <f>ALDO!C218+"$GJ|!Zr"</f>
        <v>#VALUE!</v>
      </c>
      <c r="AX19" t="e">
        <f>ALDO!D218+"$GJ|!Zs"</f>
        <v>#VALUE!</v>
      </c>
      <c r="AY19" t="e">
        <f>ALDO!E218+"$GJ|!Zt"</f>
        <v>#VALUE!</v>
      </c>
      <c r="AZ19" t="e">
        <f>ALDO!F218+"$GJ|!Zu"</f>
        <v>#VALUE!</v>
      </c>
      <c r="BA19" t="e">
        <f>ALDO!G218+"$GJ|!Zv"</f>
        <v>#VALUE!</v>
      </c>
      <c r="BB19" t="e">
        <f>ALDO!H218+"$GJ|!Zw"</f>
        <v>#VALUE!</v>
      </c>
      <c r="BC19" t="e">
        <f>ALDO!I218+"$GJ|!Zx"</f>
        <v>#VALUE!</v>
      </c>
      <c r="BD19" t="e">
        <f>ALDO!J218+"$GJ|!Zy"</f>
        <v>#VALUE!</v>
      </c>
      <c r="BE19" t="e">
        <f>ALDO!A219+"$GJ|!Zz"</f>
        <v>#VALUE!</v>
      </c>
      <c r="BF19" t="e">
        <f>ALDO!B219+"$GJ|!Z{"</f>
        <v>#VALUE!</v>
      </c>
      <c r="BG19" t="e">
        <f>ALDO!C219+"$GJ|!Z|"</f>
        <v>#VALUE!</v>
      </c>
      <c r="BH19" t="e">
        <f>ALDO!D219+"$GJ|!Z}"</f>
        <v>#VALUE!</v>
      </c>
      <c r="BI19" t="e">
        <f>ALDO!E219+"$GJ|!Z~"</f>
        <v>#VALUE!</v>
      </c>
      <c r="BJ19" t="e">
        <f>ALDO!F219+"$GJ|![#"</f>
        <v>#VALUE!</v>
      </c>
      <c r="BK19" t="e">
        <f>ALDO!G219+"$GJ|![$"</f>
        <v>#VALUE!</v>
      </c>
      <c r="BL19" t="e">
        <f>ALDO!H219+"$GJ|![%"</f>
        <v>#VALUE!</v>
      </c>
      <c r="BM19" t="e">
        <f>ALDO!I219+"$GJ|![&amp;"</f>
        <v>#VALUE!</v>
      </c>
      <c r="BN19" t="e">
        <f>ALDO!J219+"$GJ|!['"</f>
        <v>#VALUE!</v>
      </c>
      <c r="BO19" t="e">
        <f>ALDO!A220+"$GJ|![("</f>
        <v>#VALUE!</v>
      </c>
      <c r="BP19" t="e">
        <f>ALDO!B220+"$GJ|![)"</f>
        <v>#VALUE!</v>
      </c>
      <c r="BQ19" t="e">
        <f>ALDO!C220+"$GJ|![."</f>
        <v>#VALUE!</v>
      </c>
      <c r="BR19" t="e">
        <f>ALDO!D220+"$GJ|![/"</f>
        <v>#VALUE!</v>
      </c>
      <c r="BS19" t="e">
        <f>ALDO!E220+"$GJ|![0"</f>
        <v>#VALUE!</v>
      </c>
      <c r="BT19" t="e">
        <f>ALDO!F220+"$GJ|![1"</f>
        <v>#VALUE!</v>
      </c>
      <c r="BU19" t="e">
        <f>ALDO!G220+"$GJ|![2"</f>
        <v>#VALUE!</v>
      </c>
      <c r="BV19" t="e">
        <f>ALDO!H220+"$GJ|![3"</f>
        <v>#VALUE!</v>
      </c>
      <c r="BW19" t="e">
        <f>ALDO!I220+"$GJ|![4"</f>
        <v>#VALUE!</v>
      </c>
      <c r="BX19" t="e">
        <f>ALDO!J220+"$GJ|![5"</f>
        <v>#VALUE!</v>
      </c>
      <c r="BY19" t="e">
        <f>ALDO!A221+"$GJ|![6"</f>
        <v>#VALUE!</v>
      </c>
      <c r="BZ19" t="e">
        <f>ALDO!B221+"$GJ|![7"</f>
        <v>#VALUE!</v>
      </c>
      <c r="CA19" t="e">
        <f>ALDO!C221+"$GJ|![8"</f>
        <v>#VALUE!</v>
      </c>
      <c r="CB19" t="e">
        <f>ALDO!D221+"$GJ|![9"</f>
        <v>#VALUE!</v>
      </c>
      <c r="CC19" t="e">
        <f>ALDO!E221+"$GJ|![:"</f>
        <v>#VALUE!</v>
      </c>
      <c r="CD19" t="e">
        <f>ALDO!F221+"$GJ|![;"</f>
        <v>#VALUE!</v>
      </c>
      <c r="CE19" t="e">
        <f>ALDO!G221+"$GJ|![&lt;"</f>
        <v>#VALUE!</v>
      </c>
      <c r="CF19" t="e">
        <f>ALDO!H221+"$GJ|![="</f>
        <v>#VALUE!</v>
      </c>
      <c r="CG19" t="e">
        <f>ALDO!I221+"$GJ|![&gt;"</f>
        <v>#VALUE!</v>
      </c>
      <c r="CH19" t="e">
        <f>ALDO!J221+"$GJ|![?"</f>
        <v>#VALUE!</v>
      </c>
      <c r="CI19" t="e">
        <f>ALDO!A222+"$GJ|![@"</f>
        <v>#VALUE!</v>
      </c>
      <c r="CJ19" t="e">
        <f>ALDO!B222+"$GJ|![A"</f>
        <v>#VALUE!</v>
      </c>
      <c r="CK19" t="e">
        <f>ALDO!C222+"$GJ|![B"</f>
        <v>#VALUE!</v>
      </c>
      <c r="CL19" t="e">
        <f>ALDO!D222+"$GJ|![C"</f>
        <v>#VALUE!</v>
      </c>
      <c r="CM19" t="e">
        <f>ALDO!E222+"$GJ|![D"</f>
        <v>#VALUE!</v>
      </c>
      <c r="CN19" t="e">
        <f>ALDO!F222+"$GJ|![E"</f>
        <v>#VALUE!</v>
      </c>
      <c r="CO19" t="e">
        <f>ALDO!G222+"$GJ|![F"</f>
        <v>#VALUE!</v>
      </c>
      <c r="CP19" t="e">
        <f>ALDO!H222+"$GJ|![G"</f>
        <v>#VALUE!</v>
      </c>
      <c r="CQ19" t="e">
        <f>ALDO!I222+"$GJ|![H"</f>
        <v>#VALUE!</v>
      </c>
      <c r="CR19" t="e">
        <f>ALDO!J222+"$GJ|![I"</f>
        <v>#VALUE!</v>
      </c>
      <c r="CS19" t="e">
        <f>'FX trade'!A:A*"$GJ|![J"</f>
        <v>#VALUE!</v>
      </c>
      <c r="CT19" t="e">
        <f>'FX trade'!B:B*"$GJ|![K"</f>
        <v>#VALUE!</v>
      </c>
      <c r="CU19" t="e">
        <f>'FX trade'!C:C*"$GJ|![L"</f>
        <v>#VALUE!</v>
      </c>
      <c r="CV19" t="e">
        <f>'FX trade'!D:D*"$GJ|![M"</f>
        <v>#VALUE!</v>
      </c>
      <c r="CW19" t="e">
        <f>'FX trade'!E:E*"$GJ|![N"</f>
        <v>#VALUE!</v>
      </c>
      <c r="CX19" t="e">
        <f>'FX trade'!F:F*"$GJ|![O"</f>
        <v>#VALUE!</v>
      </c>
      <c r="CY19" t="e">
        <f>'FX trade'!G:G*"$GJ|![P"</f>
        <v>#VALUE!</v>
      </c>
      <c r="CZ19" t="e">
        <f>'FX trade'!H:H*"$GJ|![Q"</f>
        <v>#VALUE!</v>
      </c>
      <c r="DA19" t="e">
        <f>'FX trade'!I:I*"$GJ|![R"</f>
        <v>#VALUE!</v>
      </c>
      <c r="DB19" t="e">
        <f>'FX trade'!J:J*"$GJ|![S"</f>
        <v>#VALUE!</v>
      </c>
      <c r="DC19" t="e">
        <f>'FX trade'!K:K*"$GJ|![T"</f>
        <v>#VALUE!</v>
      </c>
      <c r="DD19" t="e">
        <f>'FX trade'!L:L*"$GJ|![U"</f>
        <v>#VALUE!</v>
      </c>
      <c r="DE19" t="e">
        <f>'FX trade'!M:M*"$GJ|![V"</f>
        <v>#VALUE!</v>
      </c>
      <c r="DF19" t="e">
        <f>'FX trade'!N:N*"$GJ|![W"</f>
        <v>#VALUE!</v>
      </c>
      <c r="DG19" t="e">
        <f>'FX trade'!O:O*"$GJ|![X"</f>
        <v>#VALUE!</v>
      </c>
      <c r="DH19" t="e">
        <f>'FX trade'!P:P*"$GJ|![Y"</f>
        <v>#VALUE!</v>
      </c>
      <c r="DI19" t="e">
        <f>'FX trade'!Q:Q*"$GJ|![Z"</f>
        <v>#VALUE!</v>
      </c>
      <c r="DJ19" t="e">
        <f>'FX trade'!R:R*"$GJ|![["</f>
        <v>#VALUE!</v>
      </c>
      <c r="DK19" t="e">
        <f>'FX trade'!S:S*"$GJ|![\"</f>
        <v>#VALUE!</v>
      </c>
      <c r="DL19" t="e">
        <f>'FX trade'!T:T*"$GJ|![]"</f>
        <v>#VALUE!</v>
      </c>
      <c r="DM19" t="e">
        <f>'FX trade'!U:U*"$GJ|![^"</f>
        <v>#VALUE!</v>
      </c>
      <c r="DN19" t="e">
        <f>'FX trade'!V:V*"$GJ|![_"</f>
        <v>#VALUE!</v>
      </c>
      <c r="DO19" t="e">
        <f>'FX trade'!W:W*"$GJ|![`"</f>
        <v>#VALUE!</v>
      </c>
      <c r="DP19" t="e">
        <f>'FX trade'!X:X*"$GJ|![a"</f>
        <v>#VALUE!</v>
      </c>
      <c r="DQ19" t="e">
        <f>'FX trade'!Y:Y*"$GJ|![b"</f>
        <v>#VALUE!</v>
      </c>
      <c r="DR19" t="e">
        <f>'FX trade'!Z:Z*"$GJ|![c"</f>
        <v>#VALUE!</v>
      </c>
      <c r="DS19" t="e">
        <f>'FX trade'!AA:AA*"$GJ|![d"</f>
        <v>#VALUE!</v>
      </c>
      <c r="DT19" t="e">
        <f>'FX trade'!AB:AB*"$GJ|![e"</f>
        <v>#VALUE!</v>
      </c>
      <c r="DU19" t="e">
        <f>'FX trade'!AC:AC*"$GJ|![f"</f>
        <v>#VALUE!</v>
      </c>
      <c r="DV19" t="e">
        <f>'FX trade'!AD:AD*"$GJ|![g"</f>
        <v>#VALUE!</v>
      </c>
      <c r="DW19" t="e">
        <f>'FX trade'!AE:AE*"$GJ|![h"</f>
        <v>#VALUE!</v>
      </c>
      <c r="DX19" t="e">
        <f>'FX trade'!AF:AF*"$GJ|![i"</f>
        <v>#VALUE!</v>
      </c>
      <c r="DY19" t="e">
        <f>'FX trade'!AG:AG*"$GJ|![j"</f>
        <v>#VALUE!</v>
      </c>
      <c r="DZ19" t="e">
        <f>'FX trade'!AH:AH*"$GJ|![k"</f>
        <v>#VALUE!</v>
      </c>
      <c r="EA19" t="e">
        <f>'FX trade'!AI:AI*"$GJ|![l"</f>
        <v>#VALUE!</v>
      </c>
      <c r="EB19" t="e">
        <f>'FX trade'!AJ:AJ*"$GJ|![m"</f>
        <v>#VALUE!</v>
      </c>
      <c r="EC19" t="e">
        <f>'FX trade'!AK:AK*"$GJ|![n"</f>
        <v>#VALUE!</v>
      </c>
      <c r="ED19" t="e">
        <f>'FX trade'!AL:AL*"$GJ|![o"</f>
        <v>#VALUE!</v>
      </c>
      <c r="EE19" t="e">
        <f>'FX trade'!AM:AM*"$GJ|![p"</f>
        <v>#VALUE!</v>
      </c>
      <c r="EF19" t="e">
        <f>'FX trade'!AN:AN*"$GJ|![q"</f>
        <v>#VALUE!</v>
      </c>
      <c r="EG19" t="e">
        <f>'FX trade'!AO:AO*"$GJ|![r"</f>
        <v>#VALUE!</v>
      </c>
      <c r="EH19" t="e">
        <f>'FX trade'!AP:AP*"$GJ|![s"</f>
        <v>#VALUE!</v>
      </c>
      <c r="EI19" t="e">
        <f>'FX trade'!AQ:AQ*"$GJ|![t"</f>
        <v>#VALUE!</v>
      </c>
      <c r="EJ19" t="e">
        <f>'FX trade'!AR:AR*"$GJ|![u"</f>
        <v>#VALUE!</v>
      </c>
      <c r="EK19" t="e">
        <f>'FX trade'!AS:AS*"$GJ|![v"</f>
        <v>#VALUE!</v>
      </c>
      <c r="EL19" t="e">
        <f>'FX trade'!AT:AT*"$GJ|![w"</f>
        <v>#VALUE!</v>
      </c>
      <c r="EM19" t="e">
        <f>'FX trade'!AU:AU*"$GJ|![x"</f>
        <v>#VALUE!</v>
      </c>
      <c r="EN19" t="e">
        <f>'FX trade'!AV:AV*"$GJ|![y"</f>
        <v>#VALUE!</v>
      </c>
      <c r="EO19" t="e">
        <f>'FX trade'!AW:AW*"$GJ|![z"</f>
        <v>#VALUE!</v>
      </c>
      <c r="EP19" t="e">
        <f>'FX trade'!AX:AX*"$GJ|![{"</f>
        <v>#VALUE!</v>
      </c>
      <c r="EQ19" t="e">
        <f>'FX trade'!AY:AY*"$GJ|![|"</f>
        <v>#VALUE!</v>
      </c>
      <c r="ER19" t="e">
        <f>'FX trade'!AZ:AZ*"$GJ|![}"</f>
        <v>#VALUE!</v>
      </c>
      <c r="ES19" t="e">
        <f>'FX trade'!BA:BA*"$GJ|![~"</f>
        <v>#VALUE!</v>
      </c>
      <c r="ET19" t="e">
        <f>'FX trade'!BB:BB*"$GJ|!\#"</f>
        <v>#VALUE!</v>
      </c>
      <c r="EU19" t="e">
        <f>'FX trade'!BC:BC*"$GJ|!\$"</f>
        <v>#VALUE!</v>
      </c>
      <c r="EV19" t="e">
        <f>'FX trade'!BD:BD*"$GJ|!\%"</f>
        <v>#VALUE!</v>
      </c>
      <c r="EW19" t="e">
        <f>'FX trade'!1:1-"$GJ|!\&amp;"</f>
        <v>#VALUE!</v>
      </c>
      <c r="EX19" t="e">
        <f>'FX trade'!2:2-"$GJ|!\'"</f>
        <v>#VALUE!</v>
      </c>
      <c r="EY19" t="e">
        <f>'FX trade'!3:3-"$GJ|!\("</f>
        <v>#VALUE!</v>
      </c>
      <c r="EZ19" t="e">
        <f>'FX trade'!4:4-"$GJ|!\)"</f>
        <v>#VALUE!</v>
      </c>
      <c r="FA19" t="e">
        <f>'FX trade'!5:5-"$GJ|!\."</f>
        <v>#VALUE!</v>
      </c>
      <c r="FB19" t="e">
        <f>'FX trade'!6:6-"$GJ|!\/"</f>
        <v>#VALUE!</v>
      </c>
      <c r="FC19" t="e">
        <f>'FX trade'!7:7-"$GJ|!\0"</f>
        <v>#VALUE!</v>
      </c>
      <c r="FD19" t="e">
        <f>'FX trade'!8:8-"$GJ|!\1"</f>
        <v>#VALUE!</v>
      </c>
      <c r="FE19" t="e">
        <f>'FX trade'!9:9-"$GJ|!\2"</f>
        <v>#VALUE!</v>
      </c>
      <c r="FF19" t="e">
        <f>'FX trade'!10:10-"$GJ|!\3"</f>
        <v>#VALUE!</v>
      </c>
      <c r="FG19" t="e">
        <f>'FX trade'!11:11-"$GJ|!\4"</f>
        <v>#VALUE!</v>
      </c>
      <c r="FH19" t="e">
        <f>'FX trade'!12:12-"$GJ|!\5"</f>
        <v>#VALUE!</v>
      </c>
      <c r="FI19" t="e">
        <f>'FX trade'!13:13-"$GJ|!\6"</f>
        <v>#VALUE!</v>
      </c>
      <c r="FJ19" t="e">
        <f>'FX trade'!14:14-"$GJ|!\7"</f>
        <v>#VALUE!</v>
      </c>
      <c r="FK19" t="e">
        <f>'FX trade'!15:15-"$GJ|!\8"</f>
        <v>#VALUE!</v>
      </c>
      <c r="FL19" t="e">
        <f>'FX trade'!16:16-"$GJ|!\9"</f>
        <v>#VALUE!</v>
      </c>
      <c r="FM19" t="e">
        <f>'FX trade'!17:17-"$GJ|!\:"</f>
        <v>#VALUE!</v>
      </c>
      <c r="FN19" t="e">
        <f>'FX trade'!18:18-"$GJ|!\;"</f>
        <v>#VALUE!</v>
      </c>
      <c r="FO19" t="e">
        <f>'FX trade'!19:19-"$GJ|!\&lt;"</f>
        <v>#VALUE!</v>
      </c>
      <c r="FP19" t="e">
        <f>'FX trade'!20:20-"$GJ|!\="</f>
        <v>#VALUE!</v>
      </c>
      <c r="FQ19" t="e">
        <f>'FX trade'!21:21-"$GJ|!\&gt;"</f>
        <v>#VALUE!</v>
      </c>
      <c r="FR19" t="e">
        <f>'FX trade'!22:22-"$GJ|!\?"</f>
        <v>#VALUE!</v>
      </c>
      <c r="FS19" t="e">
        <f>'FX trade'!23:23-"$GJ|!\@"</f>
        <v>#VALUE!</v>
      </c>
      <c r="FT19" t="e">
        <f>'FX trade'!24:24-"$GJ|!\A"</f>
        <v>#VALUE!</v>
      </c>
      <c r="FU19" t="e">
        <f>'FX trade'!25:25-"$GJ|!\B"</f>
        <v>#VALUE!</v>
      </c>
      <c r="FV19" t="e">
        <f>'FX trade'!26:26-"$GJ|!\C"</f>
        <v>#VALUE!</v>
      </c>
      <c r="FW19" t="e">
        <f>'FX trade'!27:27-"$GJ|!\D"</f>
        <v>#VALUE!</v>
      </c>
      <c r="FX19" t="e">
        <f>'FX trade'!28:28-"$GJ|!\E"</f>
        <v>#VALUE!</v>
      </c>
      <c r="FY19" t="e">
        <f>'FX trade'!29:29-"$GJ|!\F"</f>
        <v>#VALUE!</v>
      </c>
      <c r="FZ19" t="e">
        <f>'FX trade'!30:30-"$GJ|!\G"</f>
        <v>#VALUE!</v>
      </c>
      <c r="GA19" t="e">
        <f>'FX trade'!31:31-"$GJ|!\H"</f>
        <v>#VALUE!</v>
      </c>
      <c r="GB19" t="e">
        <f>'FX trade'!32:32-"$GJ|!\I"</f>
        <v>#VALUE!</v>
      </c>
      <c r="GC19" t="e">
        <f>'FX trade'!33:33-"$GJ|!\J"</f>
        <v>#VALUE!</v>
      </c>
      <c r="GD19" t="e">
        <f>'FX trade'!34:34-"$GJ|!\K"</f>
        <v>#VALUE!</v>
      </c>
      <c r="GE19" t="e">
        <f>'FX trade'!35:35-"$GJ|!\L"</f>
        <v>#VALUE!</v>
      </c>
      <c r="GF19" t="e">
        <f>'FX trade'!36:36-"$GJ|!\M"</f>
        <v>#VALUE!</v>
      </c>
      <c r="GG19" t="e">
        <f>'FX trade'!37:37-"$GJ|!\N"</f>
        <v>#VALUE!</v>
      </c>
      <c r="GH19" t="e">
        <f>'FX trade'!38:38-"$GJ|!\O"</f>
        <v>#VALUE!</v>
      </c>
      <c r="GI19" t="e">
        <f>'FX trade'!39:39-"$GJ|!\P"</f>
        <v>#VALUE!</v>
      </c>
      <c r="GJ19" t="e">
        <f>'FX trade'!40:40-"$GJ|!\Q"</f>
        <v>#VALUE!</v>
      </c>
      <c r="GK19" t="e">
        <f>'FX trade'!41:41-"$GJ|!\R"</f>
        <v>#VALUE!</v>
      </c>
      <c r="GL19" t="e">
        <f>'FX trade'!42:42-"$GJ|!\S"</f>
        <v>#VALUE!</v>
      </c>
      <c r="GM19" t="e">
        <f>'FX trade'!43:43-"$GJ|!\T"</f>
        <v>#VALUE!</v>
      </c>
      <c r="GN19" t="e">
        <f>'FX trade'!44:44-"$GJ|!\U"</f>
        <v>#VALUE!</v>
      </c>
      <c r="GO19" t="e">
        <f>'FX trade'!45:45-"$GJ|!\V"</f>
        <v>#VALUE!</v>
      </c>
      <c r="GP19" t="e">
        <f>'FX trade'!46:46-"$GJ|!\W"</f>
        <v>#VALUE!</v>
      </c>
      <c r="GQ19" t="e">
        <f>'FX trade'!47:47-"$GJ|!\X"</f>
        <v>#VALUE!</v>
      </c>
      <c r="GR19" t="e">
        <f>'FX trade'!48:48-"$GJ|!\Y"</f>
        <v>#VALUE!</v>
      </c>
      <c r="GS19" t="e">
        <f>'FX trade'!49:49-"$GJ|!\Z"</f>
        <v>#VALUE!</v>
      </c>
      <c r="GT19" t="e">
        <f>'FX trade'!50:50-"$GJ|!\["</f>
        <v>#VALUE!</v>
      </c>
      <c r="GU19" t="e">
        <f>'FX trade'!51:51-"$GJ|!\\"</f>
        <v>#VALUE!</v>
      </c>
      <c r="GV19" t="e">
        <f>'FX trade'!52:52-"$GJ|!\]"</f>
        <v>#VALUE!</v>
      </c>
      <c r="GW19" t="e">
        <f>'FX trade'!53:53-"$GJ|!\^"</f>
        <v>#VALUE!</v>
      </c>
      <c r="GX19" t="e">
        <f>'FX trade'!54:54-"$GJ|!\_"</f>
        <v>#VALUE!</v>
      </c>
      <c r="GY19" t="e">
        <f>'FX trade'!55:55-"$GJ|!\`"</f>
        <v>#VALUE!</v>
      </c>
      <c r="GZ19" t="e">
        <f>'FX trade'!56:56-"$GJ|!\a"</f>
        <v>#VALUE!</v>
      </c>
      <c r="HA19" t="e">
        <f>'FX trade'!57:57-"$GJ|!\b"</f>
        <v>#VALUE!</v>
      </c>
      <c r="HB19" t="e">
        <f>'FX trade'!58:58-"$GJ|!\c"</f>
        <v>#VALUE!</v>
      </c>
      <c r="HC19" t="e">
        <f>'FX trade'!59:59-"$GJ|!\d"</f>
        <v>#VALUE!</v>
      </c>
      <c r="HD19" t="e">
        <f>'FX trade'!60:60-"$GJ|!\e"</f>
        <v>#VALUE!</v>
      </c>
      <c r="HE19" t="e">
        <f>'FX trade'!61:61-"$GJ|!\f"</f>
        <v>#VALUE!</v>
      </c>
      <c r="HF19" t="e">
        <f>'FX trade'!62:62-"$GJ|!\g"</f>
        <v>#VALUE!</v>
      </c>
      <c r="HG19" t="e">
        <f>'FX trade'!63:63-"$GJ|!\h"</f>
        <v>#VALUE!</v>
      </c>
      <c r="HH19" t="e">
        <f>'FX trade'!64:64-"$GJ|!\i"</f>
        <v>#VALUE!</v>
      </c>
      <c r="HI19" t="e">
        <f>'FX trade'!65:65-"$GJ|!\j"</f>
        <v>#VALUE!</v>
      </c>
      <c r="HJ19" t="e">
        <f>'FX trade'!66:66-"$GJ|!\k"</f>
        <v>#VALUE!</v>
      </c>
      <c r="HK19" t="e">
        <f>'FX trade'!67:67-"$GJ|!\l"</f>
        <v>#VALUE!</v>
      </c>
      <c r="HL19" t="e">
        <f>'FX trade'!68:68-"$GJ|!\m"</f>
        <v>#VALUE!</v>
      </c>
      <c r="HM19" t="e">
        <f>'FX trade'!69:69-"$GJ|!\n"</f>
        <v>#VALUE!</v>
      </c>
      <c r="HN19" t="e">
        <f>'FX trade'!70:70-"$GJ|!\o"</f>
        <v>#VALUE!</v>
      </c>
      <c r="HO19" t="e">
        <f>'FX trade'!71:71-"$GJ|!\p"</f>
        <v>#VALUE!</v>
      </c>
      <c r="HP19" t="e">
        <f>'FX trade'!72:72-"$GJ|!\q"</f>
        <v>#VALUE!</v>
      </c>
      <c r="HQ19" t="e">
        <f>'FX trade'!73:73-"$GJ|!\r"</f>
        <v>#VALUE!</v>
      </c>
      <c r="HR19" t="e">
        <f>'FX trade'!74:74-"$GJ|!\s"</f>
        <v>#VALUE!</v>
      </c>
      <c r="HS19" t="e">
        <f>'FX trade'!75:75-"$GJ|!\t"</f>
        <v>#VALUE!</v>
      </c>
      <c r="HT19" t="e">
        <f>'FX trade'!76:76-"$GJ|!\u"</f>
        <v>#VALUE!</v>
      </c>
      <c r="HU19" t="e">
        <f>'FX trade'!77:77-"$GJ|!\v"</f>
        <v>#VALUE!</v>
      </c>
      <c r="HV19" t="e">
        <f>'FX trade'!78:78-"$GJ|!\w"</f>
        <v>#VALUE!</v>
      </c>
      <c r="HW19" t="e">
        <f>'FX trade'!79:79-"$GJ|!\x"</f>
        <v>#VALUE!</v>
      </c>
      <c r="HX19" t="e">
        <f>'FX trade'!80:80-"$GJ|!\y"</f>
        <v>#VALUE!</v>
      </c>
      <c r="HY19" t="e">
        <f>'FX trade'!81:81-"$GJ|!\z"</f>
        <v>#VALUE!</v>
      </c>
      <c r="HZ19" t="e">
        <f>'FX trade'!82:82-"$GJ|!\{"</f>
        <v>#VALUE!</v>
      </c>
      <c r="IA19" t="e">
        <f>'FX trade'!83:83-"$GJ|!\|"</f>
        <v>#VALUE!</v>
      </c>
      <c r="IB19" t="e">
        <f>'FX trade'!84:84-"$GJ|!\}"</f>
        <v>#VALUE!</v>
      </c>
      <c r="IC19" t="e">
        <f>'FX trade'!85:85-"$GJ|!\~"</f>
        <v>#VALUE!</v>
      </c>
      <c r="ID19" t="e">
        <f>'FX trade'!86:86-"$GJ|!]#"</f>
        <v>#VALUE!</v>
      </c>
      <c r="IE19" t="e">
        <f>'FX trade'!87:87-"$GJ|!]$"</f>
        <v>#VALUE!</v>
      </c>
      <c r="IF19" t="e">
        <f>'FX trade'!88:88-"$GJ|!]%"</f>
        <v>#VALUE!</v>
      </c>
      <c r="IG19" t="e">
        <f>'FX trade'!89:89-"$GJ|!]&amp;"</f>
        <v>#VALUE!</v>
      </c>
      <c r="IH19" t="e">
        <f>'FX trade'!90:90-"$GJ|!]'"</f>
        <v>#VALUE!</v>
      </c>
      <c r="II19" t="e">
        <f>'FX trade'!91:91-"$GJ|!]("</f>
        <v>#VALUE!</v>
      </c>
      <c r="IJ19" t="e">
        <f>'FX trade'!92:92-"$GJ|!])"</f>
        <v>#VALUE!</v>
      </c>
      <c r="IK19" t="e">
        <f>'FX trade'!93:93-"$GJ|!]."</f>
        <v>#VALUE!</v>
      </c>
      <c r="IL19" t="e">
        <f>'FX trade'!94:94-"$GJ|!]/"</f>
        <v>#VALUE!</v>
      </c>
      <c r="IM19" t="e">
        <f>'FX trade'!95:95-"$GJ|!]0"</f>
        <v>#VALUE!</v>
      </c>
      <c r="IN19" t="e">
        <f>'FX trade'!96:96-"$GJ|!]1"</f>
        <v>#VALUE!</v>
      </c>
      <c r="IO19" t="e">
        <f>'FX trade'!97:97-"$GJ|!]2"</f>
        <v>#VALUE!</v>
      </c>
      <c r="IP19" t="e">
        <f>'FX trade'!98:98-"$GJ|!]3"</f>
        <v>#VALUE!</v>
      </c>
      <c r="IQ19" t="e">
        <f>'FX trade'!99:99-"$GJ|!]4"</f>
        <v>#VALUE!</v>
      </c>
      <c r="IR19" t="e">
        <f>'FX trade'!100:100-"$GJ|!]5"</f>
        <v>#VALUE!</v>
      </c>
      <c r="IS19" t="e">
        <f>'FX trade'!101:101-"$GJ|!]6"</f>
        <v>#VALUE!</v>
      </c>
      <c r="IT19" t="e">
        <f>'FX trade'!102:102-"$GJ|!]7"</f>
        <v>#VALUE!</v>
      </c>
      <c r="IU19" t="e">
        <f>'FX trade'!103:103-"$GJ|!]8"</f>
        <v>#VALUE!</v>
      </c>
      <c r="IV19" t="e">
        <f>'FX trade'!104:104-"$GJ|!]9"</f>
        <v>#VALUE!</v>
      </c>
    </row>
    <row r="20" spans="6:256" x14ac:dyDescent="0.25">
      <c r="F20" t="e">
        <f>'FX trade'!105:105-"$GJ|!]:"</f>
        <v>#VALUE!</v>
      </c>
      <c r="G20" t="e">
        <f>'FX trade'!106:106-"$GJ|!];"</f>
        <v>#VALUE!</v>
      </c>
      <c r="H20" t="e">
        <f>'FX trade'!107:107-"$GJ|!]&lt;"</f>
        <v>#VALUE!</v>
      </c>
      <c r="I20" t="e">
        <f>'FX trade'!108:108-"$GJ|!]="</f>
        <v>#VALUE!</v>
      </c>
      <c r="J20" t="e">
        <f>'FX trade'!109:109-"$GJ|!]&gt;"</f>
        <v>#VALUE!</v>
      </c>
      <c r="K20" t="e">
        <f>'FX trade'!110:110-"$GJ|!]?"</f>
        <v>#VALUE!</v>
      </c>
      <c r="L20" t="e">
        <f>'FX trade'!111:111-"$GJ|!]@"</f>
        <v>#VALUE!</v>
      </c>
      <c r="M20" t="e">
        <f>'FX trade'!112:112-"$GJ|!]A"</f>
        <v>#VALUE!</v>
      </c>
      <c r="N20" t="e">
        <f>'FX trade'!113:113-"$GJ|!]B"</f>
        <v>#VALUE!</v>
      </c>
      <c r="O20" t="e">
        <f>'FX trade'!114:114-"$GJ|!]C"</f>
        <v>#VALUE!</v>
      </c>
      <c r="P20" t="e">
        <f>'FX trade'!115:115-"$GJ|!]D"</f>
        <v>#VALUE!</v>
      </c>
      <c r="Q20" t="e">
        <f>'FX trade'!116:116-"$GJ|!]E"</f>
        <v>#VALUE!</v>
      </c>
      <c r="R20" t="e">
        <f>'FX trade'!117:117-"$GJ|!]F"</f>
        <v>#VALUE!</v>
      </c>
      <c r="S20" t="e">
        <f>'FX trade'!118:118-"$GJ|!]G"</f>
        <v>#VALUE!</v>
      </c>
      <c r="T20" t="e">
        <f>'FX trade'!119:119-"$GJ|!]H"</f>
        <v>#VALUE!</v>
      </c>
      <c r="U20" t="e">
        <f>'FX trade'!120:120-"$GJ|!]I"</f>
        <v>#VALUE!</v>
      </c>
      <c r="V20" t="e">
        <f>'FX trade'!121:121-"$GJ|!]J"</f>
        <v>#VALUE!</v>
      </c>
      <c r="W20" t="e">
        <f>'FX trade'!122:122-"$GJ|!]K"</f>
        <v>#VALUE!</v>
      </c>
      <c r="X20" t="e">
        <f>'FX trade'!123:123-"$GJ|!]L"</f>
        <v>#VALUE!</v>
      </c>
      <c r="Y20" t="e">
        <f>'FX trade'!124:124-"$GJ|!]M"</f>
        <v>#VALUE!</v>
      </c>
      <c r="Z20" t="e">
        <f>'FX trade'!125:125-"$GJ|!]N"</f>
        <v>#VALUE!</v>
      </c>
      <c r="AA20" t="e">
        <f>'FX trade'!126:126-"$GJ|!]O"</f>
        <v>#VALUE!</v>
      </c>
      <c r="AB20" t="e">
        <f>'FX trade'!127:127-"$GJ|!]P"</f>
        <v>#VALUE!</v>
      </c>
      <c r="AC20" t="e">
        <f>'FX trade'!128:128-"$GJ|!]Q"</f>
        <v>#VALUE!</v>
      </c>
      <c r="AD20" t="e">
        <f>'FX trade'!129:129-"$GJ|!]R"</f>
        <v>#VALUE!</v>
      </c>
      <c r="AE20" t="e">
        <f>'FX trade'!130:130-"$GJ|!]S"</f>
        <v>#VALUE!</v>
      </c>
      <c r="AF20" t="e">
        <f>'FX trade'!131:131-"$GJ|!]T"</f>
        <v>#VALUE!</v>
      </c>
      <c r="AG20" t="e">
        <f>'FX trade'!132:132-"$GJ|!]U"</f>
        <v>#VALUE!</v>
      </c>
      <c r="AH20" t="e">
        <f>'FX trade'!133:133-"$GJ|!]V"</f>
        <v>#VALUE!</v>
      </c>
      <c r="AI20" t="e">
        <f>'FX trade'!134:134-"$GJ|!]W"</f>
        <v>#VALUE!</v>
      </c>
      <c r="AJ20" t="e">
        <f>'FX trade'!135:135-"$GJ|!]X"</f>
        <v>#VALUE!</v>
      </c>
      <c r="AK20" t="e">
        <f>'FX trade'!136:136-"$GJ|!]Y"</f>
        <v>#VALUE!</v>
      </c>
      <c r="AL20" t="e">
        <f>'FX trade'!137:137-"$GJ|!]Z"</f>
        <v>#VALUE!</v>
      </c>
      <c r="AM20" t="e">
        <f>'FX trade'!138:138-"$GJ|!]["</f>
        <v>#VALUE!</v>
      </c>
      <c r="AN20" t="e">
        <f>'FX trade'!139:139-"$GJ|!]\"</f>
        <v>#VALUE!</v>
      </c>
      <c r="AO20" t="e">
        <f>'FX trade'!140:140-"$GJ|!]]"</f>
        <v>#VALUE!</v>
      </c>
      <c r="AP20" t="e">
        <f>'FX trade'!141:141-"$GJ|!]^"</f>
        <v>#VALUE!</v>
      </c>
      <c r="AQ20" t="e">
        <f>'FX trade'!142:142-"$GJ|!]_"</f>
        <v>#VALUE!</v>
      </c>
      <c r="AR20" t="e">
        <f>'FX trade'!143:143-"$GJ|!]`"</f>
        <v>#VALUE!</v>
      </c>
      <c r="AS20" t="e">
        <f>'FX trade'!144:144-"$GJ|!]a"</f>
        <v>#VALUE!</v>
      </c>
      <c r="AT20" t="e">
        <f>'FX trade'!145:145-"$GJ|!]b"</f>
        <v>#VALUE!</v>
      </c>
      <c r="AU20" t="e">
        <f>'FX trade'!146:146-"$GJ|!]c"</f>
        <v>#VALUE!</v>
      </c>
      <c r="AV20" t="e">
        <f>'FX trade'!147:147-"$GJ|!]d"</f>
        <v>#VALUE!</v>
      </c>
      <c r="AW20" t="e">
        <f>'FX trade'!148:148-"$GJ|!]e"</f>
        <v>#VALUE!</v>
      </c>
      <c r="AX20" t="e">
        <f>'FX trade'!149:149-"$GJ|!]f"</f>
        <v>#VALUE!</v>
      </c>
      <c r="AY20" t="e">
        <f>'FX trade'!150:150-"$GJ|!]g"</f>
        <v>#VALUE!</v>
      </c>
      <c r="AZ20" t="e">
        <f>'FX trade'!151:151-"$GJ|!]h"</f>
        <v>#VALUE!</v>
      </c>
      <c r="BA20" t="e">
        <f>'FX trade'!152:152-"$GJ|!]i"</f>
        <v>#VALUE!</v>
      </c>
      <c r="BB20" t="e">
        <f>'FX trade'!153:153-"$GJ|!]j"</f>
        <v>#VALUE!</v>
      </c>
      <c r="BC20" t="e">
        <f>'FX trade'!154:154-"$GJ|!]k"</f>
        <v>#VALUE!</v>
      </c>
      <c r="BD20" t="e">
        <f>'FX trade'!155:155-"$GJ|!]l"</f>
        <v>#VALUE!</v>
      </c>
      <c r="BE20" t="e">
        <f>'FX trade'!156:156-"$GJ|!]m"</f>
        <v>#VALUE!</v>
      </c>
      <c r="BF20" t="e">
        <f>'FX trade'!157:157-"$GJ|!]n"</f>
        <v>#VALUE!</v>
      </c>
      <c r="BG20" t="e">
        <f>'FX trade'!158:158-"$GJ|!]o"</f>
        <v>#VALUE!</v>
      </c>
      <c r="BH20" t="e">
        <f>'FX trade'!159:159-"$GJ|!]p"</f>
        <v>#VALUE!</v>
      </c>
      <c r="BI20" t="e">
        <f>'FX trade'!160:160-"$GJ|!]q"</f>
        <v>#VALUE!</v>
      </c>
      <c r="BJ20" t="e">
        <f>'FX trade'!161:161-"$GJ|!]r"</f>
        <v>#VALUE!</v>
      </c>
      <c r="BK20" t="e">
        <f>'FX trade'!162:162-"$GJ|!]s"</f>
        <v>#VALUE!</v>
      </c>
      <c r="BL20" t="e">
        <f>'FX trade'!163:163-"$GJ|!]t"</f>
        <v>#VALUE!</v>
      </c>
      <c r="BM20" t="e">
        <f>'FX trade'!164:164-"$GJ|!]u"</f>
        <v>#VALUE!</v>
      </c>
      <c r="BN20" t="e">
        <f>'FX trade'!165:165-"$GJ|!]v"</f>
        <v>#VALUE!</v>
      </c>
      <c r="BO20" t="e">
        <f>'FX trade'!166:166-"$GJ|!]w"</f>
        <v>#VALUE!</v>
      </c>
      <c r="BP20" t="e">
        <f>'FX trade'!167:167-"$GJ|!]x"</f>
        <v>#VALUE!</v>
      </c>
      <c r="BQ20" t="e">
        <f>'FX trade'!168:168-"$GJ|!]y"</f>
        <v>#VALUE!</v>
      </c>
      <c r="BR20" t="e">
        <f>'FX trade'!169:169-"$GJ|!]z"</f>
        <v>#VALUE!</v>
      </c>
      <c r="BS20" t="e">
        <f>'FX trade'!170:170-"$GJ|!]{"</f>
        <v>#VALUE!</v>
      </c>
      <c r="BT20" t="e">
        <f>'FX trade'!171:171-"$GJ|!]|"</f>
        <v>#VALUE!</v>
      </c>
      <c r="BU20" t="e">
        <f>'FX trade'!172:172-"$GJ|!]}"</f>
        <v>#VALUE!</v>
      </c>
      <c r="BV20" t="e">
        <f>'FX trade'!173:173-"$GJ|!]~"</f>
        <v>#VALUE!</v>
      </c>
      <c r="BW20" t="e">
        <f>'FX trade'!174:174-"$GJ|!^#"</f>
        <v>#VALUE!</v>
      </c>
      <c r="BX20" t="e">
        <f>'FX trade'!175:175-"$GJ|!^$"</f>
        <v>#VALUE!</v>
      </c>
      <c r="BY20" t="e">
        <f>'FX trade'!176:176-"$GJ|!^%"</f>
        <v>#VALUE!</v>
      </c>
      <c r="BZ20" t="e">
        <f>'FX trade'!177:177-"$GJ|!^&amp;"</f>
        <v>#VALUE!</v>
      </c>
      <c r="CA20" t="e">
        <f>'FX trade'!178:178-"$GJ|!^'"</f>
        <v>#VALUE!</v>
      </c>
      <c r="CB20" t="e">
        <f>'FX trade'!179:179-"$GJ|!^("</f>
        <v>#VALUE!</v>
      </c>
      <c r="CC20" t="e">
        <f>'FX trade'!180:180-"$GJ|!^)"</f>
        <v>#VALUE!</v>
      </c>
      <c r="CD20" t="e">
        <f>'FX trade'!181:181-"$GJ|!^."</f>
        <v>#VALUE!</v>
      </c>
      <c r="CE20" t="e">
        <f>'FX trade'!182:182-"$GJ|!^/"</f>
        <v>#VALUE!</v>
      </c>
      <c r="CF20" t="e">
        <f>'FX trade'!183:183-"$GJ|!^0"</f>
        <v>#VALUE!</v>
      </c>
      <c r="CG20" t="e">
        <f>'FX trade'!184:184-"$GJ|!^1"</f>
        <v>#VALUE!</v>
      </c>
      <c r="CH20" t="e">
        <f>'FX trade'!185:185-"$GJ|!^2"</f>
        <v>#VALUE!</v>
      </c>
      <c r="CI20" t="e">
        <f>'FX trade'!186:186-"$GJ|!^3"</f>
        <v>#VALUE!</v>
      </c>
      <c r="CJ20" t="e">
        <f>'FX trade'!187:187-"$GJ|!^4"</f>
        <v>#VALUE!</v>
      </c>
      <c r="CK20" t="e">
        <f>'FX trade'!188:188-"$GJ|!^5"</f>
        <v>#VALUE!</v>
      </c>
      <c r="CL20" t="e">
        <f>'FX trade'!189:189-"$GJ|!^6"</f>
        <v>#VALUE!</v>
      </c>
      <c r="CM20" t="e">
        <f>'FX trade'!190:190-"$GJ|!^7"</f>
        <v>#VALUE!</v>
      </c>
      <c r="CN20" t="e">
        <f>'FX trade'!191:191-"$GJ|!^8"</f>
        <v>#VALUE!</v>
      </c>
      <c r="CO20" t="e">
        <f>'FX trade'!192:192-"$GJ|!^9"</f>
        <v>#VALUE!</v>
      </c>
      <c r="CP20" t="e">
        <f>'FX trade'!193:193-"$GJ|!^:"</f>
        <v>#VALUE!</v>
      </c>
      <c r="CQ20" t="e">
        <f>'FX trade'!194:194-"$GJ|!^;"</f>
        <v>#VALUE!</v>
      </c>
      <c r="CR20" t="e">
        <f>'FX trade'!195:195-"$GJ|!^&lt;"</f>
        <v>#VALUE!</v>
      </c>
      <c r="CS20" t="e">
        <f>'FX trade'!196:196-"$GJ|!^="</f>
        <v>#VALUE!</v>
      </c>
      <c r="CT20" t="e">
        <f>'FX trade'!197:197-"$GJ|!^&gt;"</f>
        <v>#VALUE!</v>
      </c>
      <c r="CU20" t="e">
        <f>'FX trade'!198:198-"$GJ|!^?"</f>
        <v>#VALUE!</v>
      </c>
      <c r="CV20" t="e">
        <f>'FX trade'!199:199-"$GJ|!^@"</f>
        <v>#VALUE!</v>
      </c>
      <c r="CW20" t="e">
        <f>'FX trade'!200:200-"$GJ|!^A"</f>
        <v>#VALUE!</v>
      </c>
      <c r="CX20" t="e">
        <f>'FX trade'!201:201-"$GJ|!^B"</f>
        <v>#VALUE!</v>
      </c>
      <c r="CY20" t="e">
        <f>'FX trade'!202:202-"$GJ|!^C"</f>
        <v>#VALUE!</v>
      </c>
      <c r="CZ20" t="e">
        <f>'FX trade'!203:203-"$GJ|!^D"</f>
        <v>#VALUE!</v>
      </c>
      <c r="DA20" t="e">
        <f>'FX trade'!204:204-"$GJ|!^E"</f>
        <v>#VALUE!</v>
      </c>
      <c r="DB20" t="e">
        <f>'FX trade'!205:205-"$GJ|!^F"</f>
        <v>#VALUE!</v>
      </c>
      <c r="DC20" t="e">
        <f>'FX trade'!206:206-"$GJ|!^G"</f>
        <v>#VALUE!</v>
      </c>
      <c r="DD20" t="e">
        <f>'FX trade'!207:207-"$GJ|!^H"</f>
        <v>#VALUE!</v>
      </c>
      <c r="DE20" t="e">
        <f>'FX trade'!208:208-"$GJ|!^I"</f>
        <v>#VALUE!</v>
      </c>
      <c r="DF20" t="e">
        <f>'FX trade'!209:209-"$GJ|!^J"</f>
        <v>#VALUE!</v>
      </c>
      <c r="DG20" t="e">
        <f>'FX trade'!210:210-"$GJ|!^K"</f>
        <v>#VALUE!</v>
      </c>
      <c r="DH20" t="e">
        <f>'FX trade'!211:211-"$GJ|!^L"</f>
        <v>#VALUE!</v>
      </c>
      <c r="DI20" t="e">
        <f>'FX trade'!212:212-"$GJ|!^M"</f>
        <v>#VALUE!</v>
      </c>
      <c r="DJ20" t="e">
        <f>'FX trade'!213:213-"$GJ|!^N"</f>
        <v>#VALUE!</v>
      </c>
      <c r="DK20" t="e">
        <f>'FX trade'!214:214-"$GJ|!^O"</f>
        <v>#VALUE!</v>
      </c>
      <c r="DL20" t="e">
        <f>'FX trade'!215:215-"$GJ|!^P"</f>
        <v>#VALUE!</v>
      </c>
      <c r="DM20" t="e">
        <f>'FX trade'!216:216-"$GJ|!^Q"</f>
        <v>#VALUE!</v>
      </c>
      <c r="DN20" t="e">
        <f>'FX trade'!217:217-"$GJ|!^R"</f>
        <v>#VALUE!</v>
      </c>
      <c r="DO20" t="e">
        <f>'FX trade'!218:218-"$GJ|!^S"</f>
        <v>#VALUE!</v>
      </c>
      <c r="DP20" t="e">
        <f>'FX trade'!219:219-"$GJ|!^T"</f>
        <v>#VALUE!</v>
      </c>
      <c r="DQ20" t="e">
        <f>'FX trade'!220:220-"$GJ|!^U"</f>
        <v>#VALUE!</v>
      </c>
      <c r="DR20" t="e">
        <f>'FX trade'!221:221-"$GJ|!^V"</f>
        <v>#VALUE!</v>
      </c>
      <c r="DS20" t="e">
        <f>'FX trade'!222:222-"$GJ|!^W"</f>
        <v>#VALUE!</v>
      </c>
      <c r="DT20" t="e">
        <f>'FX trade'!223:223-"$GJ|!^X"</f>
        <v>#VALUE!</v>
      </c>
      <c r="DU20" t="e">
        <f>'FX trade'!224:224-"$GJ|!^Y"</f>
        <v>#VALUE!</v>
      </c>
      <c r="DV20" t="e">
        <f>'FX trade'!225:225-"$GJ|!^Z"</f>
        <v>#VALUE!</v>
      </c>
      <c r="DW20" t="e">
        <f>'FX trade'!226:226-"$GJ|!^["</f>
        <v>#VALUE!</v>
      </c>
      <c r="DX20" t="e">
        <f>'FX trade'!227:227-"$GJ|!^\"</f>
        <v>#VALUE!</v>
      </c>
      <c r="DY20" t="e">
        <f>'FX trade'!228:228-"$GJ|!^]"</f>
        <v>#VALUE!</v>
      </c>
      <c r="DZ20" t="e">
        <f>'FX trade'!A1+"$GJ|!^^"</f>
        <v>#VALUE!</v>
      </c>
      <c r="EA20" t="e">
        <f>'FX trade'!B1+"$GJ|!^_"</f>
        <v>#VALUE!</v>
      </c>
      <c r="EB20" t="e">
        <f>'FX trade'!C1+"$GJ|!^`"</f>
        <v>#VALUE!</v>
      </c>
      <c r="EC20" t="e">
        <f>'FX trade'!D1+"$GJ|!^a"</f>
        <v>#VALUE!</v>
      </c>
      <c r="ED20" t="e">
        <f>'FX trade'!E1+"$GJ|!^b"</f>
        <v>#VALUE!</v>
      </c>
      <c r="EE20" t="e">
        <f>'FX trade'!F1+"$GJ|!^c"</f>
        <v>#VALUE!</v>
      </c>
      <c r="EF20" t="e">
        <f>'FX trade'!A2+"$GJ|!^d"</f>
        <v>#VALUE!</v>
      </c>
      <c r="EG20" t="e">
        <f>'FX trade'!B2+"$GJ|!^e"</f>
        <v>#VALUE!</v>
      </c>
      <c r="EH20" t="e">
        <f>'FX trade'!C2+"$GJ|!^f"</f>
        <v>#VALUE!</v>
      </c>
      <c r="EI20" t="e">
        <f>'FX trade'!D2+"$GJ|!^g"</f>
        <v>#VALUE!</v>
      </c>
      <c r="EJ20" t="e">
        <f>'FX trade'!E2+"$GJ|!^h"</f>
        <v>#VALUE!</v>
      </c>
      <c r="EK20" t="e">
        <f>'FX trade'!F2+"$GJ|!^i"</f>
        <v>#VALUE!</v>
      </c>
      <c r="EL20" t="e">
        <f>'FX trade'!A3+"$GJ|!^j"</f>
        <v>#VALUE!</v>
      </c>
      <c r="EM20" t="e">
        <f>'FX trade'!B3+"$GJ|!^k"</f>
        <v>#VALUE!</v>
      </c>
      <c r="EN20" t="e">
        <f>'FX trade'!C3+"$GJ|!^l"</f>
        <v>#VALUE!</v>
      </c>
      <c r="EO20" t="e">
        <f>'FX trade'!D3+"$GJ|!^m"</f>
        <v>#VALUE!</v>
      </c>
      <c r="EP20" t="e">
        <f>'FX trade'!E3+"$GJ|!^n"</f>
        <v>#VALUE!</v>
      </c>
      <c r="EQ20" t="e">
        <f>'FX trade'!F3+"$GJ|!^o"</f>
        <v>#VALUE!</v>
      </c>
      <c r="ER20" t="e">
        <f>'FX trade'!A4+"$GJ|!^p"</f>
        <v>#VALUE!</v>
      </c>
      <c r="ES20" t="e">
        <f>'FX trade'!B4+"$GJ|!^q"</f>
        <v>#VALUE!</v>
      </c>
      <c r="ET20" t="e">
        <f>'FX trade'!C4+"$GJ|!^r"</f>
        <v>#VALUE!</v>
      </c>
      <c r="EU20" t="e">
        <f>'FX trade'!D4+"$GJ|!^s"</f>
        <v>#VALUE!</v>
      </c>
      <c r="EV20" t="e">
        <f>'FX trade'!E4+"$GJ|!^t"</f>
        <v>#VALUE!</v>
      </c>
      <c r="EW20" t="e">
        <f>'FX trade'!F4+"$GJ|!^u"</f>
        <v>#VALUE!</v>
      </c>
      <c r="EX20" t="e">
        <f>'FX trade'!A5+"$GJ|!^v"</f>
        <v>#VALUE!</v>
      </c>
      <c r="EY20" t="e">
        <f>'FX trade'!B5+"$GJ|!^w"</f>
        <v>#VALUE!</v>
      </c>
      <c r="EZ20" t="e">
        <f>'FX trade'!C5+"$GJ|!^x"</f>
        <v>#VALUE!</v>
      </c>
      <c r="FA20" t="e">
        <f>'FX trade'!D5+"$GJ|!^y"</f>
        <v>#VALUE!</v>
      </c>
      <c r="FB20" t="e">
        <f>'FX trade'!E5+"$GJ|!^z"</f>
        <v>#VALUE!</v>
      </c>
      <c r="FC20" t="e">
        <f>'FX trade'!F5+"$GJ|!^{"</f>
        <v>#VALUE!</v>
      </c>
      <c r="FD20" t="e">
        <f>'FX trade'!A6+"$GJ|!^|"</f>
        <v>#VALUE!</v>
      </c>
      <c r="FE20" t="e">
        <f>'FX trade'!B6+"$GJ|!^}"</f>
        <v>#VALUE!</v>
      </c>
      <c r="FF20" t="e">
        <f>'FX trade'!C6+"$GJ|!^~"</f>
        <v>#VALUE!</v>
      </c>
      <c r="FG20" t="e">
        <f>'FX trade'!D6+"$GJ|!_#"</f>
        <v>#VALUE!</v>
      </c>
      <c r="FH20" t="e">
        <f>'FX trade'!E6+"$GJ|!_$"</f>
        <v>#VALUE!</v>
      </c>
      <c r="FI20" t="e">
        <f>'FX trade'!F6+"$GJ|!_%"</f>
        <v>#VALUE!</v>
      </c>
      <c r="FJ20" t="e">
        <f>'FX trade'!A7+"$GJ|!_&amp;"</f>
        <v>#VALUE!</v>
      </c>
      <c r="FK20" t="e">
        <f>'FX trade'!B7+"$GJ|!_'"</f>
        <v>#VALUE!</v>
      </c>
      <c r="FL20" t="e">
        <f>'FX trade'!C7+"$GJ|!_("</f>
        <v>#VALUE!</v>
      </c>
      <c r="FM20" t="e">
        <f>'FX trade'!D7+"$GJ|!_)"</f>
        <v>#VALUE!</v>
      </c>
      <c r="FN20" t="e">
        <f>'FX trade'!E7+"$GJ|!_."</f>
        <v>#VALUE!</v>
      </c>
      <c r="FO20" t="e">
        <f>'FX trade'!F7+"$GJ|!_/"</f>
        <v>#VALUE!</v>
      </c>
      <c r="FP20" t="e">
        <f>'FX trade'!A8+"$GJ|!_0"</f>
        <v>#VALUE!</v>
      </c>
      <c r="FQ20" t="e">
        <f>'FX trade'!B8+"$GJ|!_1"</f>
        <v>#VALUE!</v>
      </c>
      <c r="FR20" t="e">
        <f>'FX trade'!C8+"$GJ|!_2"</f>
        <v>#VALUE!</v>
      </c>
      <c r="FS20" t="e">
        <f>'FX trade'!D8+"$GJ|!_3"</f>
        <v>#VALUE!</v>
      </c>
      <c r="FT20" t="e">
        <f>'FX trade'!E8+"$GJ|!_4"</f>
        <v>#VALUE!</v>
      </c>
      <c r="FU20" t="e">
        <f>'FX trade'!F8+"$GJ|!_5"</f>
        <v>#VALUE!</v>
      </c>
      <c r="FV20" t="e">
        <f>'FX trade'!A9+"$GJ|!_6"</f>
        <v>#VALUE!</v>
      </c>
      <c r="FW20" t="e">
        <f>'FX trade'!B9+"$GJ|!_7"</f>
        <v>#VALUE!</v>
      </c>
      <c r="FX20" t="e">
        <f>'FX trade'!C9+"$GJ|!_8"</f>
        <v>#VALUE!</v>
      </c>
      <c r="FY20" t="e">
        <f>'FX trade'!D9+"$GJ|!_9"</f>
        <v>#VALUE!</v>
      </c>
      <c r="FZ20" t="e">
        <f>'FX trade'!E9+"$GJ|!_:"</f>
        <v>#VALUE!</v>
      </c>
      <c r="GA20" t="e">
        <f>'FX trade'!F9+"$GJ|!_;"</f>
        <v>#VALUE!</v>
      </c>
      <c r="GB20" t="e">
        <f>'FX trade'!A10+"$GJ|!_&lt;"</f>
        <v>#VALUE!</v>
      </c>
      <c r="GC20" t="e">
        <f>'FX trade'!B10+"$GJ|!_="</f>
        <v>#VALUE!</v>
      </c>
      <c r="GD20" t="e">
        <f>'FX trade'!C10+"$GJ|!_&gt;"</f>
        <v>#VALUE!</v>
      </c>
      <c r="GE20" t="e">
        <f>'FX trade'!D10+"$GJ|!_?"</f>
        <v>#VALUE!</v>
      </c>
      <c r="GF20" t="e">
        <f>'FX trade'!E10+"$GJ|!_@"</f>
        <v>#VALUE!</v>
      </c>
      <c r="GG20" t="e">
        <f>'FX trade'!F10+"$GJ|!_A"</f>
        <v>#VALUE!</v>
      </c>
      <c r="GH20" t="e">
        <f>'FX trade'!A11+"$GJ|!_B"</f>
        <v>#VALUE!</v>
      </c>
      <c r="GI20" t="e">
        <f>'FX trade'!B11+"$GJ|!_C"</f>
        <v>#VALUE!</v>
      </c>
      <c r="GJ20" t="e">
        <f>'FX trade'!C11+"$GJ|!_D"</f>
        <v>#VALUE!</v>
      </c>
      <c r="GK20" t="e">
        <f>'FX trade'!D11+"$GJ|!_E"</f>
        <v>#VALUE!</v>
      </c>
      <c r="GL20" t="e">
        <f>'FX trade'!E11+"$GJ|!_F"</f>
        <v>#VALUE!</v>
      </c>
      <c r="GM20" t="e">
        <f>'FX trade'!F11+"$GJ|!_G"</f>
        <v>#VALUE!</v>
      </c>
      <c r="GN20" t="e">
        <f>'FX trade'!A12+"$GJ|!_H"</f>
        <v>#VALUE!</v>
      </c>
      <c r="GO20" t="e">
        <f>'FX trade'!B12+"$GJ|!_I"</f>
        <v>#VALUE!</v>
      </c>
      <c r="GP20" t="e">
        <f>'FX trade'!C12+"$GJ|!_J"</f>
        <v>#VALUE!</v>
      </c>
      <c r="GQ20" t="e">
        <f>'FX trade'!D12+"$GJ|!_K"</f>
        <v>#VALUE!</v>
      </c>
      <c r="GR20" t="e">
        <f>'FX trade'!E12+"$GJ|!_L"</f>
        <v>#VALUE!</v>
      </c>
      <c r="GS20" t="e">
        <f>'FX trade'!F12+"$GJ|!_M"</f>
        <v>#VALUE!</v>
      </c>
      <c r="GT20" t="e">
        <f>'FX trade'!A13+"$GJ|!_N"</f>
        <v>#VALUE!</v>
      </c>
      <c r="GU20" t="e">
        <f>'FX trade'!B13+"$GJ|!_O"</f>
        <v>#VALUE!</v>
      </c>
      <c r="GV20" t="e">
        <f>'FX trade'!C13+"$GJ|!_P"</f>
        <v>#VALUE!</v>
      </c>
      <c r="GW20" t="e">
        <f>'FX trade'!D13+"$GJ|!_Q"</f>
        <v>#VALUE!</v>
      </c>
      <c r="GX20" t="e">
        <f>'FX trade'!E13+"$GJ|!_R"</f>
        <v>#VALUE!</v>
      </c>
      <c r="GY20" t="e">
        <f>'FX trade'!F13+"$GJ|!_S"</f>
        <v>#VALUE!</v>
      </c>
      <c r="GZ20" t="e">
        <f>'FX trade'!A14+"$GJ|!_T"</f>
        <v>#VALUE!</v>
      </c>
      <c r="HA20" t="e">
        <f>'FX trade'!B14+"$GJ|!_U"</f>
        <v>#VALUE!</v>
      </c>
      <c r="HB20" t="e">
        <f>'FX trade'!C14+"$GJ|!_V"</f>
        <v>#VALUE!</v>
      </c>
      <c r="HC20" t="e">
        <f>'FX trade'!D14+"$GJ|!_W"</f>
        <v>#VALUE!</v>
      </c>
      <c r="HD20" t="e">
        <f>'FX trade'!E14+"$GJ|!_X"</f>
        <v>#VALUE!</v>
      </c>
      <c r="HE20" t="e">
        <f>'FX trade'!F14+"$GJ|!_Y"</f>
        <v>#VALUE!</v>
      </c>
      <c r="HF20" t="e">
        <f>'FX trade'!A15+"$GJ|!_Z"</f>
        <v>#VALUE!</v>
      </c>
      <c r="HG20" t="e">
        <f>'FX trade'!B15+"$GJ|!_["</f>
        <v>#VALUE!</v>
      </c>
      <c r="HH20" t="e">
        <f>'FX trade'!C15+"$GJ|!_\"</f>
        <v>#VALUE!</v>
      </c>
      <c r="HI20" t="e">
        <f>'FX trade'!D15+"$GJ|!_]"</f>
        <v>#VALUE!</v>
      </c>
      <c r="HJ20" t="e">
        <f>'FX trade'!E15+"$GJ|!_^"</f>
        <v>#VALUE!</v>
      </c>
      <c r="HK20" t="e">
        <f>'FX trade'!F15+"$GJ|!__"</f>
        <v>#VALUE!</v>
      </c>
      <c r="HL20" t="e">
        <f>'FX trade'!A16+"$GJ|!_`"</f>
        <v>#VALUE!</v>
      </c>
      <c r="HM20" t="e">
        <f>'FX trade'!B16+"$GJ|!_a"</f>
        <v>#VALUE!</v>
      </c>
      <c r="HN20" t="e">
        <f>'FX trade'!C16+"$GJ|!_b"</f>
        <v>#VALUE!</v>
      </c>
      <c r="HO20" t="e">
        <f>'FX trade'!D16+"$GJ|!_c"</f>
        <v>#VALUE!</v>
      </c>
      <c r="HP20" t="e">
        <f>'FX trade'!E16+"$GJ|!_d"</f>
        <v>#VALUE!</v>
      </c>
      <c r="HQ20" t="e">
        <f>'FX trade'!F16+"$GJ|!_e"</f>
        <v>#VALUE!</v>
      </c>
      <c r="HR20" t="e">
        <f>'FX trade'!A17+"$GJ|!_f"</f>
        <v>#VALUE!</v>
      </c>
      <c r="HS20" t="e">
        <f>'FX trade'!B17+"$GJ|!_g"</f>
        <v>#VALUE!</v>
      </c>
      <c r="HT20" t="e">
        <f>'FX trade'!C17+"$GJ|!_h"</f>
        <v>#VALUE!</v>
      </c>
      <c r="HU20" t="e">
        <f>'FX trade'!D17+"$GJ|!_i"</f>
        <v>#VALUE!</v>
      </c>
      <c r="HV20" t="e">
        <f>'FX trade'!E17+"$GJ|!_j"</f>
        <v>#VALUE!</v>
      </c>
      <c r="HW20" t="e">
        <f>'FX trade'!F17+"$GJ|!_k"</f>
        <v>#VALUE!</v>
      </c>
      <c r="HX20" t="e">
        <f>'FX trade'!A18+"$GJ|!_l"</f>
        <v>#VALUE!</v>
      </c>
      <c r="HY20" t="e">
        <f>'FX trade'!B18+"$GJ|!_m"</f>
        <v>#VALUE!</v>
      </c>
      <c r="HZ20" t="e">
        <f>'FX trade'!C18+"$GJ|!_n"</f>
        <v>#VALUE!</v>
      </c>
      <c r="IA20" t="e">
        <f>'FX trade'!D18+"$GJ|!_o"</f>
        <v>#VALUE!</v>
      </c>
      <c r="IB20" t="e">
        <f>'FX trade'!E18+"$GJ|!_p"</f>
        <v>#VALUE!</v>
      </c>
      <c r="IC20" t="e">
        <f>'FX trade'!F18+"$GJ|!_q"</f>
        <v>#VALUE!</v>
      </c>
      <c r="ID20" t="e">
        <f>'FX trade'!A19+"$GJ|!_r"</f>
        <v>#VALUE!</v>
      </c>
      <c r="IE20" t="e">
        <f>'FX trade'!B19+"$GJ|!_s"</f>
        <v>#VALUE!</v>
      </c>
      <c r="IF20" t="e">
        <f>'FX trade'!C19+"$GJ|!_t"</f>
        <v>#VALUE!</v>
      </c>
      <c r="IG20" t="e">
        <f>'FX trade'!D19+"$GJ|!_u"</f>
        <v>#VALUE!</v>
      </c>
      <c r="IH20" t="e">
        <f>'FX trade'!E19+"$GJ|!_v"</f>
        <v>#VALUE!</v>
      </c>
      <c r="II20" t="e">
        <f>'FX trade'!F19+"$GJ|!_w"</f>
        <v>#VALUE!</v>
      </c>
      <c r="IJ20" t="e">
        <f>'FX trade'!A20+"$GJ|!_x"</f>
        <v>#VALUE!</v>
      </c>
      <c r="IK20" t="e">
        <f>'FX trade'!B20+"$GJ|!_y"</f>
        <v>#VALUE!</v>
      </c>
      <c r="IL20" t="e">
        <f>'FX trade'!C20+"$GJ|!_z"</f>
        <v>#VALUE!</v>
      </c>
      <c r="IM20" t="e">
        <f>'FX trade'!D20+"$GJ|!_{"</f>
        <v>#VALUE!</v>
      </c>
      <c r="IN20" t="e">
        <f>'FX trade'!E20+"$GJ|!_|"</f>
        <v>#VALUE!</v>
      </c>
      <c r="IO20" t="e">
        <f>'FX trade'!F20+"$GJ|!_}"</f>
        <v>#VALUE!</v>
      </c>
      <c r="IP20" t="e">
        <f>'FX trade'!A21+"$GJ|!_~"</f>
        <v>#VALUE!</v>
      </c>
      <c r="IQ20" t="e">
        <f>'FX trade'!B21+"$GJ|!`#"</f>
        <v>#VALUE!</v>
      </c>
      <c r="IR20" t="e">
        <f>'FX trade'!C21+"$GJ|!`$"</f>
        <v>#VALUE!</v>
      </c>
      <c r="IS20" t="e">
        <f>'FX trade'!D21+"$GJ|!`%"</f>
        <v>#VALUE!</v>
      </c>
      <c r="IT20" t="e">
        <f>'FX trade'!E21+"$GJ|!`&amp;"</f>
        <v>#VALUE!</v>
      </c>
      <c r="IU20" t="e">
        <f>'FX trade'!F21+"$GJ|!`'"</f>
        <v>#VALUE!</v>
      </c>
      <c r="IV20" t="e">
        <f>'FX trade'!A22+"$GJ|!`("</f>
        <v>#VALUE!</v>
      </c>
    </row>
    <row r="21" spans="6:256" x14ac:dyDescent="0.25">
      <c r="F21" t="e">
        <f>'FX trade'!B22+"$GJ|!`)"</f>
        <v>#VALUE!</v>
      </c>
      <c r="G21" t="e">
        <f>'FX trade'!C22+"$GJ|!`."</f>
        <v>#VALUE!</v>
      </c>
      <c r="H21" t="e">
        <f>'FX trade'!D22+"$GJ|!`/"</f>
        <v>#VALUE!</v>
      </c>
      <c r="I21" t="e">
        <f>'FX trade'!E22+"$GJ|!`0"</f>
        <v>#VALUE!</v>
      </c>
      <c r="J21" t="e">
        <f>'FX trade'!F22+"$GJ|!`1"</f>
        <v>#VALUE!</v>
      </c>
      <c r="K21" t="e">
        <f>'FX trade'!A23+"$GJ|!`2"</f>
        <v>#VALUE!</v>
      </c>
      <c r="L21" t="e">
        <f>'FX trade'!B23+"$GJ|!`3"</f>
        <v>#VALUE!</v>
      </c>
      <c r="M21" t="e">
        <f>'FX trade'!C23+"$GJ|!`4"</f>
        <v>#VALUE!</v>
      </c>
      <c r="N21" t="e">
        <f>'FX trade'!D23+"$GJ|!`5"</f>
        <v>#VALUE!</v>
      </c>
      <c r="O21" t="e">
        <f>'FX trade'!E23+"$GJ|!`6"</f>
        <v>#VALUE!</v>
      </c>
      <c r="P21" t="e">
        <f>'FX trade'!F23+"$GJ|!`7"</f>
        <v>#VALUE!</v>
      </c>
      <c r="Q21" t="e">
        <f>'FX trade'!A24+"$GJ|!`8"</f>
        <v>#VALUE!</v>
      </c>
      <c r="R21" t="e">
        <f>'FX trade'!B24+"$GJ|!`9"</f>
        <v>#VALUE!</v>
      </c>
      <c r="S21" t="e">
        <f>'FX trade'!C24+"$GJ|!`:"</f>
        <v>#VALUE!</v>
      </c>
      <c r="T21" t="e">
        <f>'FX trade'!D24+"$GJ|!`;"</f>
        <v>#VALUE!</v>
      </c>
      <c r="U21" t="e">
        <f>'FX trade'!E24+"$GJ|!`&lt;"</f>
        <v>#VALUE!</v>
      </c>
      <c r="V21" t="e">
        <f>'FX trade'!F24+"$GJ|!`="</f>
        <v>#VALUE!</v>
      </c>
      <c r="W21" t="e">
        <f>'FX trade'!A25+"$GJ|!`&gt;"</f>
        <v>#VALUE!</v>
      </c>
      <c r="X21" t="e">
        <f>'FX trade'!B25+"$GJ|!`?"</f>
        <v>#VALUE!</v>
      </c>
      <c r="Y21" t="e">
        <f>'FX trade'!C25+"$GJ|!`@"</f>
        <v>#VALUE!</v>
      </c>
      <c r="Z21" t="e">
        <f>'FX trade'!D25+"$GJ|!`A"</f>
        <v>#VALUE!</v>
      </c>
      <c r="AA21" t="e">
        <f>'FX trade'!E25+"$GJ|!`B"</f>
        <v>#VALUE!</v>
      </c>
      <c r="AB21" t="e">
        <f>'FX trade'!F25+"$GJ|!`C"</f>
        <v>#VALUE!</v>
      </c>
      <c r="AC21" t="e">
        <f>'FX trade'!A26+"$GJ|!`D"</f>
        <v>#VALUE!</v>
      </c>
      <c r="AD21" t="e">
        <f>'FX trade'!B26+"$GJ|!`E"</f>
        <v>#VALUE!</v>
      </c>
      <c r="AE21" t="e">
        <f>'FX trade'!C26+"$GJ|!`F"</f>
        <v>#VALUE!</v>
      </c>
      <c r="AF21" t="e">
        <f>'FX trade'!D26+"$GJ|!`G"</f>
        <v>#VALUE!</v>
      </c>
      <c r="AG21" t="e">
        <f>'FX trade'!E26+"$GJ|!`H"</f>
        <v>#VALUE!</v>
      </c>
      <c r="AH21" t="e">
        <f>'FX trade'!F26+"$GJ|!`I"</f>
        <v>#VALUE!</v>
      </c>
      <c r="AI21" t="e">
        <f>'FX trade'!A27+"$GJ|!`J"</f>
        <v>#VALUE!</v>
      </c>
      <c r="AJ21" t="e">
        <f>'FX trade'!B27+"$GJ|!`K"</f>
        <v>#VALUE!</v>
      </c>
      <c r="AK21" t="e">
        <f>'FX trade'!C27+"$GJ|!`L"</f>
        <v>#VALUE!</v>
      </c>
      <c r="AL21" t="e">
        <f>'FX trade'!D27+"$GJ|!`M"</f>
        <v>#VALUE!</v>
      </c>
      <c r="AM21" t="e">
        <f>'FX trade'!E27+"$GJ|!`N"</f>
        <v>#VALUE!</v>
      </c>
      <c r="AN21" t="e">
        <f>'FX trade'!F27+"$GJ|!`O"</f>
        <v>#VALUE!</v>
      </c>
      <c r="AO21" t="e">
        <f>'FX trade'!A28+"$GJ|!`P"</f>
        <v>#VALUE!</v>
      </c>
      <c r="AP21" t="e">
        <f>'FX trade'!B28+"$GJ|!`Q"</f>
        <v>#VALUE!</v>
      </c>
      <c r="AQ21" t="e">
        <f>'FX trade'!C28+"$GJ|!`R"</f>
        <v>#VALUE!</v>
      </c>
      <c r="AR21" t="e">
        <f>'FX trade'!D28+"$GJ|!`S"</f>
        <v>#VALUE!</v>
      </c>
      <c r="AS21" t="e">
        <f>'FX trade'!E28+"$GJ|!`T"</f>
        <v>#VALUE!</v>
      </c>
      <c r="AT21" t="e">
        <f>'FX trade'!F28+"$GJ|!`U"</f>
        <v>#VALUE!</v>
      </c>
      <c r="AU21" t="e">
        <f>RTSS!A:A*"$GJ|!`V"</f>
        <v>#VALUE!</v>
      </c>
      <c r="AV21" t="e">
        <f>RTSS!B:B*"$GJ|!`W"</f>
        <v>#VALUE!</v>
      </c>
      <c r="AW21" t="e">
        <f>RTSS!C:C*"$GJ|!`X"</f>
        <v>#VALUE!</v>
      </c>
      <c r="AX21" t="e">
        <f>RTSS!D:D*"$GJ|!`Y"</f>
        <v>#VALUE!</v>
      </c>
      <c r="AY21" t="e">
        <f>RTSS!E:E*"$GJ|!`Z"</f>
        <v>#VALUE!</v>
      </c>
      <c r="AZ21" t="e">
        <f>RTSS!F:F*"$GJ|!`["</f>
        <v>#VALUE!</v>
      </c>
      <c r="BA21" t="e">
        <f>RTSS!G:G*"$GJ|!`\"</f>
        <v>#VALUE!</v>
      </c>
      <c r="BB21" t="e">
        <f>RTSS!H:H*"$GJ|!`]"</f>
        <v>#VALUE!</v>
      </c>
      <c r="BC21" t="e">
        <f>RTSS!I:I*"$GJ|!`^"</f>
        <v>#VALUE!</v>
      </c>
      <c r="BD21" t="e">
        <f>RTSS!J:J*"$GJ|!`_"</f>
        <v>#VALUE!</v>
      </c>
      <c r="BE21" t="e">
        <f>RTSS!K:K*"$GJ|!``"</f>
        <v>#VALUE!</v>
      </c>
      <c r="BF21" t="e">
        <f>RTSS!L:L*"$GJ|!`a"</f>
        <v>#VALUE!</v>
      </c>
      <c r="BG21" t="e">
        <f>RTSS!M:M*"$GJ|!`b"</f>
        <v>#VALUE!</v>
      </c>
      <c r="BH21" t="e">
        <f>RTSS!N:N*"$GJ|!`c"</f>
        <v>#VALUE!</v>
      </c>
      <c r="BI21" t="e">
        <f>RTSS!O:O*"$GJ|!`d"</f>
        <v>#VALUE!</v>
      </c>
      <c r="BJ21" t="e">
        <f>RTSS!P:P*"$GJ|!`e"</f>
        <v>#VALUE!</v>
      </c>
      <c r="BK21" t="e">
        <f>RTSS!Q:Q*"$GJ|!`f"</f>
        <v>#VALUE!</v>
      </c>
      <c r="BL21" t="e">
        <f>RTSS!R:R*"$GJ|!`g"</f>
        <v>#VALUE!</v>
      </c>
      <c r="BM21" t="e">
        <f>RTSS!S:S*"$GJ|!`h"</f>
        <v>#VALUE!</v>
      </c>
      <c r="BN21" t="e">
        <f>RTSS!T:T*"$GJ|!`i"</f>
        <v>#VALUE!</v>
      </c>
      <c r="BO21" t="e">
        <f>RTSS!U:U*"$GJ|!`j"</f>
        <v>#VALUE!</v>
      </c>
      <c r="BP21" t="e">
        <f>RTSS!V:V*"$GJ|!`k"</f>
        <v>#VALUE!</v>
      </c>
      <c r="BQ21" t="e">
        <f>RTSS!W:W*"$GJ|!`l"</f>
        <v>#VALUE!</v>
      </c>
      <c r="BR21" t="e">
        <f>RTSS!X:X*"$GJ|!`m"</f>
        <v>#VALUE!</v>
      </c>
      <c r="BS21" t="e">
        <f>RTSS!Y:Y*"$GJ|!`n"</f>
        <v>#VALUE!</v>
      </c>
      <c r="BT21" t="e">
        <f>RTSS!Z:Z*"$GJ|!`o"</f>
        <v>#VALUE!</v>
      </c>
      <c r="BU21" t="e">
        <f>RTSS!AA:AA*"$GJ|!`p"</f>
        <v>#VALUE!</v>
      </c>
      <c r="BV21" t="e">
        <f>RTSS!AB:AB*"$GJ|!`q"</f>
        <v>#VALUE!</v>
      </c>
      <c r="BW21" t="e">
        <f>RTSS!AC:AC*"$GJ|!`r"</f>
        <v>#VALUE!</v>
      </c>
      <c r="BX21" t="e">
        <f>RTSS!AD:AD*"$GJ|!`s"</f>
        <v>#VALUE!</v>
      </c>
      <c r="BY21" t="e">
        <f>RTSS!AE:AE*"$GJ|!`t"</f>
        <v>#VALUE!</v>
      </c>
      <c r="BZ21" t="e">
        <f>RTSS!AF:AF*"$GJ|!`u"</f>
        <v>#VALUE!</v>
      </c>
      <c r="CA21" t="e">
        <f>RTSS!AG:AG*"$GJ|!`v"</f>
        <v>#VALUE!</v>
      </c>
      <c r="CB21" t="e">
        <f>RTSS!AH:AH*"$GJ|!`w"</f>
        <v>#VALUE!</v>
      </c>
      <c r="CC21" t="e">
        <f>RTSS!AI:AI*"$GJ|!`x"</f>
        <v>#VALUE!</v>
      </c>
      <c r="CD21" t="e">
        <f>RTSS!AJ:AJ*"$GJ|!`y"</f>
        <v>#VALUE!</v>
      </c>
      <c r="CE21" t="e">
        <f>RTSS!AK:AK*"$GJ|!`z"</f>
        <v>#VALUE!</v>
      </c>
      <c r="CF21" t="e">
        <f>RTSS!AL:AL*"$GJ|!`{"</f>
        <v>#VALUE!</v>
      </c>
      <c r="CG21" t="e">
        <f>RTSS!AM:AM*"$GJ|!`|"</f>
        <v>#VALUE!</v>
      </c>
      <c r="CH21" t="e">
        <f>RTSS!AN:AN*"$GJ|!`}"</f>
        <v>#VALUE!</v>
      </c>
      <c r="CI21" t="e">
        <f>RTSS!AO:AO*"$GJ|!`~"</f>
        <v>#VALUE!</v>
      </c>
      <c r="CJ21" t="e">
        <f>RTSS!AP:AP*"$GJ|!a#"</f>
        <v>#VALUE!</v>
      </c>
      <c r="CK21" t="e">
        <f>RTSS!AQ:AQ*"$GJ|!a$"</f>
        <v>#VALUE!</v>
      </c>
      <c r="CL21" t="e">
        <f>RTSS!AR:AR*"$GJ|!a%"</f>
        <v>#VALUE!</v>
      </c>
      <c r="CM21" t="e">
        <f>RTSS!AS:AS*"$GJ|!a&amp;"</f>
        <v>#VALUE!</v>
      </c>
      <c r="CN21" t="e">
        <f>RTSS!AT:AT*"$GJ|!a'"</f>
        <v>#VALUE!</v>
      </c>
      <c r="CO21" t="e">
        <f>RTSS!AU:AU*"$GJ|!a("</f>
        <v>#VALUE!</v>
      </c>
      <c r="CP21" t="e">
        <f>RTSS!AV:AV*"$GJ|!a)"</f>
        <v>#VALUE!</v>
      </c>
      <c r="CQ21" t="e">
        <f>RTSS!AW:AW*"$GJ|!a."</f>
        <v>#VALUE!</v>
      </c>
      <c r="CR21" t="e">
        <f>RTSS!AX:AX*"$GJ|!a/"</f>
        <v>#VALUE!</v>
      </c>
      <c r="CS21" t="e">
        <f>RTSS!AY:AY*"$GJ|!a0"</f>
        <v>#VALUE!</v>
      </c>
      <c r="CT21" t="e">
        <f>RTSS!AZ:AZ*"$GJ|!a1"</f>
        <v>#VALUE!</v>
      </c>
      <c r="CU21" t="e">
        <f>RTSS!BA:BA*"$GJ|!a2"</f>
        <v>#VALUE!</v>
      </c>
      <c r="CV21" t="e">
        <f>RTSS!BB:BB*"$GJ|!a3"</f>
        <v>#VALUE!</v>
      </c>
      <c r="CW21" t="e">
        <f>RTSS!BC:BC*"$GJ|!a4"</f>
        <v>#VALUE!</v>
      </c>
      <c r="CX21" t="e">
        <f>RTSS!BD:BD*"$GJ|!a5"</f>
        <v>#VALUE!</v>
      </c>
      <c r="CY21" t="e">
        <f>RTSS!1:1-"$GJ|!a6"</f>
        <v>#VALUE!</v>
      </c>
      <c r="CZ21" t="e">
        <f>RTSS!2:2-"$GJ|!a7"</f>
        <v>#VALUE!</v>
      </c>
      <c r="DA21" t="e">
        <f>RTSS!3:3-"$GJ|!a8"</f>
        <v>#VALUE!</v>
      </c>
      <c r="DB21" t="e">
        <f>RTSS!4:4-"$GJ|!a9"</f>
        <v>#VALUE!</v>
      </c>
      <c r="DC21" t="e">
        <f>RTSS!5:5-"$GJ|!a:"</f>
        <v>#VALUE!</v>
      </c>
      <c r="DD21" t="e">
        <f>RTSS!6:6-"$GJ|!a;"</f>
        <v>#VALUE!</v>
      </c>
      <c r="DE21" t="e">
        <f>RTSS!7:7-"$GJ|!a&lt;"</f>
        <v>#VALUE!</v>
      </c>
      <c r="DF21" t="e">
        <f>RTSS!8:8-"$GJ|!a="</f>
        <v>#VALUE!</v>
      </c>
      <c r="DG21" t="e">
        <f>RTSS!9:9-"$GJ|!a&gt;"</f>
        <v>#VALUE!</v>
      </c>
      <c r="DH21" t="e">
        <f>RTSS!10:10-"$GJ|!a?"</f>
        <v>#VALUE!</v>
      </c>
      <c r="DI21" t="e">
        <f>RTSS!11:11-"$GJ|!a@"</f>
        <v>#VALUE!</v>
      </c>
      <c r="DJ21" t="e">
        <f>RTSS!12:12-"$GJ|!aA"</f>
        <v>#VALUE!</v>
      </c>
      <c r="DK21" t="e">
        <f>RTSS!13:13-"$GJ|!aB"</f>
        <v>#VALUE!</v>
      </c>
      <c r="DL21" t="e">
        <f>RTSS!14:14-"$GJ|!aC"</f>
        <v>#VALUE!</v>
      </c>
      <c r="DM21" t="e">
        <f>RTSS!15:15-"$GJ|!aD"</f>
        <v>#VALUE!</v>
      </c>
      <c r="DN21" t="e">
        <f>RTSS!16:16-"$GJ|!aE"</f>
        <v>#VALUE!</v>
      </c>
      <c r="DO21" t="e">
        <f>RTSS!17:17-"$GJ|!aF"</f>
        <v>#VALUE!</v>
      </c>
      <c r="DP21" t="e">
        <f>RTSS!18:18-"$GJ|!aG"</f>
        <v>#VALUE!</v>
      </c>
      <c r="DQ21" t="e">
        <f>RTSS!19:19-"$GJ|!aH"</f>
        <v>#VALUE!</v>
      </c>
      <c r="DR21" t="e">
        <f>RTSS!20:20-"$GJ|!aI"</f>
        <v>#VALUE!</v>
      </c>
      <c r="DS21" t="e">
        <f>RTSS!21:21-"$GJ|!aJ"</f>
        <v>#VALUE!</v>
      </c>
      <c r="DT21" t="e">
        <f>RTSS!22:22-"$GJ|!aK"</f>
        <v>#VALUE!</v>
      </c>
      <c r="DU21" t="e">
        <f>RTSS!23:23-"$GJ|!aL"</f>
        <v>#VALUE!</v>
      </c>
      <c r="DV21" t="e">
        <f>RTSS!24:24-"$GJ|!aM"</f>
        <v>#VALUE!</v>
      </c>
      <c r="DW21" t="e">
        <f>RTSS!25:25-"$GJ|!aN"</f>
        <v>#VALUE!</v>
      </c>
      <c r="DX21" t="e">
        <f>RTSS!26:26-"$GJ|!aO"</f>
        <v>#VALUE!</v>
      </c>
      <c r="DY21" t="e">
        <f>RTSS!27:27-"$GJ|!aP"</f>
        <v>#VALUE!</v>
      </c>
      <c r="DZ21" t="e">
        <f>RTSS!28:28-"$GJ|!aQ"</f>
        <v>#VALUE!</v>
      </c>
      <c r="EA21" t="e">
        <f>RTSS!29:29-"$GJ|!aR"</f>
        <v>#VALUE!</v>
      </c>
      <c r="EB21" t="e">
        <f>RTSS!30:30-"$GJ|!aS"</f>
        <v>#VALUE!</v>
      </c>
      <c r="EC21" t="e">
        <f>RTSS!31:31-"$GJ|!aT"</f>
        <v>#VALUE!</v>
      </c>
      <c r="ED21" t="e">
        <f>RTSS!32:32-"$GJ|!aU"</f>
        <v>#VALUE!</v>
      </c>
      <c r="EE21" t="e">
        <f>RTSS!33:33-"$GJ|!aV"</f>
        <v>#VALUE!</v>
      </c>
      <c r="EF21" t="e">
        <f>RTSS!34:34-"$GJ|!aW"</f>
        <v>#VALUE!</v>
      </c>
      <c r="EG21" t="e">
        <f>RTSS!35:35-"$GJ|!aX"</f>
        <v>#VALUE!</v>
      </c>
      <c r="EH21" t="e">
        <f>RTSS!36:36-"$GJ|!aY"</f>
        <v>#VALUE!</v>
      </c>
      <c r="EI21" t="e">
        <f>RTSS!37:37-"$GJ|!aZ"</f>
        <v>#VALUE!</v>
      </c>
      <c r="EJ21" t="e">
        <f>RTSS!38:38-"$GJ|!a["</f>
        <v>#VALUE!</v>
      </c>
      <c r="EK21" t="e">
        <f>RTSS!39:39-"$GJ|!a\"</f>
        <v>#VALUE!</v>
      </c>
      <c r="EL21" t="e">
        <f>RTSS!40:40-"$GJ|!a]"</f>
        <v>#VALUE!</v>
      </c>
      <c r="EM21" t="e">
        <f>RTSS!41:41-"$GJ|!a^"</f>
        <v>#VALUE!</v>
      </c>
      <c r="EN21" t="e">
        <f>RTSS!42:42-"$GJ|!a_"</f>
        <v>#VALUE!</v>
      </c>
      <c r="EO21" t="e">
        <f>RTSS!43:43-"$GJ|!a`"</f>
        <v>#VALUE!</v>
      </c>
      <c r="EP21" t="e">
        <f>RTSS!44:44-"$GJ|!aa"</f>
        <v>#VALUE!</v>
      </c>
      <c r="EQ21" t="e">
        <f>RTSS!45:45-"$GJ|!ab"</f>
        <v>#VALUE!</v>
      </c>
      <c r="ER21" t="e">
        <f>RTSS!46:46-"$GJ|!ac"</f>
        <v>#VALUE!</v>
      </c>
      <c r="ES21" t="e">
        <f>RTSS!47:47-"$GJ|!ad"</f>
        <v>#VALUE!</v>
      </c>
      <c r="ET21" t="e">
        <f>RTSS!48:48-"$GJ|!ae"</f>
        <v>#VALUE!</v>
      </c>
      <c r="EU21" t="e">
        <f>RTSS!49:49-"$GJ|!af"</f>
        <v>#VALUE!</v>
      </c>
      <c r="EV21" t="e">
        <f>RTSS!50:50-"$GJ|!ag"</f>
        <v>#VALUE!</v>
      </c>
      <c r="EW21" t="e">
        <f>RTSS!51:51-"$GJ|!ah"</f>
        <v>#VALUE!</v>
      </c>
      <c r="EX21" t="e">
        <f>RTSS!52:52-"$GJ|!ai"</f>
        <v>#VALUE!</v>
      </c>
      <c r="EY21" t="e">
        <f>RTSS!53:53-"$GJ|!aj"</f>
        <v>#VALUE!</v>
      </c>
      <c r="EZ21" t="e">
        <f>RTSS!54:54-"$GJ|!ak"</f>
        <v>#VALUE!</v>
      </c>
      <c r="FA21" t="e">
        <f>RTSS!55:55-"$GJ|!al"</f>
        <v>#VALUE!</v>
      </c>
      <c r="FB21" t="e">
        <f>RTSS!56:56-"$GJ|!am"</f>
        <v>#VALUE!</v>
      </c>
      <c r="FC21" t="e">
        <f>RTSS!57:57-"$GJ|!an"</f>
        <v>#VALUE!</v>
      </c>
      <c r="FD21" t="e">
        <f>RTSS!58:58-"$GJ|!ao"</f>
        <v>#VALUE!</v>
      </c>
      <c r="FE21" t="e">
        <f>RTSS!59:59-"$GJ|!ap"</f>
        <v>#VALUE!</v>
      </c>
      <c r="FF21" t="e">
        <f>RTSS!60:60-"$GJ|!aq"</f>
        <v>#VALUE!</v>
      </c>
      <c r="FG21" t="e">
        <f>RTSS!61:61-"$GJ|!ar"</f>
        <v>#VALUE!</v>
      </c>
      <c r="FH21" t="e">
        <f>RTSS!62:62-"$GJ|!as"</f>
        <v>#VALUE!</v>
      </c>
      <c r="FI21" t="e">
        <f>RTSS!63:63-"$GJ|!at"</f>
        <v>#VALUE!</v>
      </c>
      <c r="FJ21" t="e">
        <f>RTSS!64:64-"$GJ|!au"</f>
        <v>#VALUE!</v>
      </c>
      <c r="FK21" t="e">
        <f>RTSS!65:65-"$GJ|!av"</f>
        <v>#VALUE!</v>
      </c>
      <c r="FL21" t="e">
        <f>RTSS!66:66-"$GJ|!aw"</f>
        <v>#VALUE!</v>
      </c>
      <c r="FM21" t="e">
        <f>RTSS!67:67-"$GJ|!ax"</f>
        <v>#VALUE!</v>
      </c>
      <c r="FN21" t="e">
        <f>RTSS!68:68-"$GJ|!ay"</f>
        <v>#VALUE!</v>
      </c>
      <c r="FO21" t="e">
        <f>RTSS!69:69-"$GJ|!az"</f>
        <v>#VALUE!</v>
      </c>
      <c r="FP21" t="e">
        <f>RTSS!70:70-"$GJ|!a{"</f>
        <v>#VALUE!</v>
      </c>
      <c r="FQ21" t="e">
        <f>RTSS!71:71-"$GJ|!a|"</f>
        <v>#VALUE!</v>
      </c>
      <c r="FR21" t="e">
        <f>RTSS!72:72-"$GJ|!a}"</f>
        <v>#VALUE!</v>
      </c>
      <c r="FS21" t="e">
        <f>RTSS!73:73-"$GJ|!a~"</f>
        <v>#VALUE!</v>
      </c>
      <c r="FT21" t="e">
        <f>RTSS!74:74-"$GJ|!b#"</f>
        <v>#VALUE!</v>
      </c>
      <c r="FU21" t="e">
        <f>RTSS!75:75-"$GJ|!b$"</f>
        <v>#VALUE!</v>
      </c>
      <c r="FV21" t="e">
        <f>RTSS!76:76-"$GJ|!b%"</f>
        <v>#VALUE!</v>
      </c>
      <c r="FW21" t="e">
        <f>RTSS!77:77-"$GJ|!b&amp;"</f>
        <v>#VALUE!</v>
      </c>
      <c r="FX21" t="e">
        <f>RTSS!78:78-"$GJ|!b'"</f>
        <v>#VALUE!</v>
      </c>
      <c r="FY21" t="e">
        <f>RTSS!79:79-"$GJ|!b("</f>
        <v>#VALUE!</v>
      </c>
      <c r="FZ21" t="e">
        <f>RTSS!80:80-"$GJ|!b)"</f>
        <v>#VALUE!</v>
      </c>
      <c r="GA21" t="e">
        <f>RTSS!81:81-"$GJ|!b."</f>
        <v>#VALUE!</v>
      </c>
      <c r="GB21" t="e">
        <f>RTSS!82:82-"$GJ|!b/"</f>
        <v>#VALUE!</v>
      </c>
      <c r="GC21" t="e">
        <f>RTSS!83:83-"$GJ|!b0"</f>
        <v>#VALUE!</v>
      </c>
      <c r="GD21" t="e">
        <f>RTSS!84:84-"$GJ|!b1"</f>
        <v>#VALUE!</v>
      </c>
      <c r="GE21" t="e">
        <f>RTSS!85:85-"$GJ|!b2"</f>
        <v>#VALUE!</v>
      </c>
      <c r="GF21" t="e">
        <f>RTSS!86:86-"$GJ|!b3"</f>
        <v>#VALUE!</v>
      </c>
      <c r="GG21" t="e">
        <f>RTSS!87:87-"$GJ|!b4"</f>
        <v>#VALUE!</v>
      </c>
      <c r="GH21" t="e">
        <f>RTSS!88:88-"$GJ|!b5"</f>
        <v>#VALUE!</v>
      </c>
      <c r="GI21" t="e">
        <f>RTSS!89:89-"$GJ|!b6"</f>
        <v>#VALUE!</v>
      </c>
      <c r="GJ21" t="e">
        <f>RTSS!90:90-"$GJ|!b7"</f>
        <v>#VALUE!</v>
      </c>
      <c r="GK21" t="e">
        <f>RTSS!91:91-"$GJ|!b8"</f>
        <v>#VALUE!</v>
      </c>
      <c r="GL21" t="e">
        <f>RTSS!92:92-"$GJ|!b9"</f>
        <v>#VALUE!</v>
      </c>
      <c r="GM21" t="e">
        <f>RTSS!93:93-"$GJ|!b:"</f>
        <v>#VALUE!</v>
      </c>
      <c r="GN21" t="e">
        <f>RTSS!94:94-"$GJ|!b;"</f>
        <v>#VALUE!</v>
      </c>
      <c r="GO21" t="e">
        <f>RTSS!95:95-"$GJ|!b&lt;"</f>
        <v>#VALUE!</v>
      </c>
      <c r="GP21" t="e">
        <f>RTSS!96:96-"$GJ|!b="</f>
        <v>#VALUE!</v>
      </c>
      <c r="GQ21" t="e">
        <f>RTSS!97:97-"$GJ|!b&gt;"</f>
        <v>#VALUE!</v>
      </c>
      <c r="GR21" t="e">
        <f>RTSS!98:98-"$GJ|!b?"</f>
        <v>#VALUE!</v>
      </c>
      <c r="GS21" t="e">
        <f>RTSS!99:99-"$GJ|!b@"</f>
        <v>#VALUE!</v>
      </c>
      <c r="GT21" t="e">
        <f>RTSS!100:100-"$GJ|!bA"</f>
        <v>#VALUE!</v>
      </c>
      <c r="GU21" t="e">
        <f>RTSS!101:101-"$GJ|!bB"</f>
        <v>#VALUE!</v>
      </c>
      <c r="GV21" t="e">
        <f>RTSS!102:102-"$GJ|!bC"</f>
        <v>#VALUE!</v>
      </c>
      <c r="GW21" t="e">
        <f>RTSS!103:103-"$GJ|!bD"</f>
        <v>#VALUE!</v>
      </c>
      <c r="GX21" t="e">
        <f>RTSS!104:104-"$GJ|!bE"</f>
        <v>#VALUE!</v>
      </c>
      <c r="GY21" t="e">
        <f>RTSS!105:105-"$GJ|!bF"</f>
        <v>#VALUE!</v>
      </c>
      <c r="GZ21" t="e">
        <f>RTSS!106:106-"$GJ|!bG"</f>
        <v>#VALUE!</v>
      </c>
      <c r="HA21" t="e">
        <f>RTSS!107:107-"$GJ|!bH"</f>
        <v>#VALUE!</v>
      </c>
      <c r="HB21" t="e">
        <f>RTSS!108:108-"$GJ|!bI"</f>
        <v>#VALUE!</v>
      </c>
      <c r="HC21" t="e">
        <f>RTSS!109:109-"$GJ|!bJ"</f>
        <v>#VALUE!</v>
      </c>
      <c r="HD21" t="e">
        <f>RTSS!110:110-"$GJ|!bK"</f>
        <v>#VALUE!</v>
      </c>
      <c r="HE21" t="e">
        <f>RTSS!111:111-"$GJ|!bL"</f>
        <v>#VALUE!</v>
      </c>
      <c r="HF21" t="e">
        <f>RTSS!112:112-"$GJ|!bM"</f>
        <v>#VALUE!</v>
      </c>
      <c r="HG21" t="e">
        <f>RTSS!113:113-"$GJ|!bN"</f>
        <v>#VALUE!</v>
      </c>
      <c r="HH21" t="e">
        <f>RTSS!114:114-"$GJ|!bO"</f>
        <v>#VALUE!</v>
      </c>
      <c r="HI21" t="e">
        <f>RTSS!115:115-"$GJ|!bP"</f>
        <v>#VALUE!</v>
      </c>
      <c r="HJ21" t="e">
        <f>RTSS!116:116-"$GJ|!bQ"</f>
        <v>#VALUE!</v>
      </c>
      <c r="HK21" t="e">
        <f>RTSS!117:117-"$GJ|!bR"</f>
        <v>#VALUE!</v>
      </c>
      <c r="HL21" t="e">
        <f>RTSS!118:118-"$GJ|!bS"</f>
        <v>#VALUE!</v>
      </c>
      <c r="HM21" t="e">
        <f>RTSS!119:119-"$GJ|!bT"</f>
        <v>#VALUE!</v>
      </c>
      <c r="HN21" t="e">
        <f>RTSS!120:120-"$GJ|!bU"</f>
        <v>#VALUE!</v>
      </c>
      <c r="HO21" t="e">
        <f>RTSS!121:121-"$GJ|!bV"</f>
        <v>#VALUE!</v>
      </c>
      <c r="HP21" t="e">
        <f>RTSS!122:122-"$GJ|!bW"</f>
        <v>#VALUE!</v>
      </c>
      <c r="HQ21" t="e">
        <f>RTSS!123:123-"$GJ|!bX"</f>
        <v>#VALUE!</v>
      </c>
      <c r="HR21" t="e">
        <f>RTSS!124:124-"$GJ|!bY"</f>
        <v>#VALUE!</v>
      </c>
      <c r="HS21" t="e">
        <f>RTSS!125:125-"$GJ|!bZ"</f>
        <v>#VALUE!</v>
      </c>
      <c r="HT21" t="e">
        <f>RTSS!126:126-"$GJ|!b["</f>
        <v>#VALUE!</v>
      </c>
      <c r="HU21" t="e">
        <f>RTSS!127:127-"$GJ|!b\"</f>
        <v>#VALUE!</v>
      </c>
      <c r="HV21" t="e">
        <f>RTSS!128:128-"$GJ|!b]"</f>
        <v>#VALUE!</v>
      </c>
      <c r="HW21" t="e">
        <f>RTSS!129:129-"$GJ|!b^"</f>
        <v>#VALUE!</v>
      </c>
      <c r="HX21" t="e">
        <f>RTSS!130:130-"$GJ|!b_"</f>
        <v>#VALUE!</v>
      </c>
      <c r="HY21" t="e">
        <f>RTSS!131:131-"$GJ|!b`"</f>
        <v>#VALUE!</v>
      </c>
      <c r="HZ21" t="e">
        <f>RTSS!132:132-"$GJ|!ba"</f>
        <v>#VALUE!</v>
      </c>
      <c r="IA21" t="e">
        <f>RTSS!133:133-"$GJ|!bb"</f>
        <v>#VALUE!</v>
      </c>
      <c r="IB21" t="e">
        <f>RTSS!134:134-"$GJ|!bc"</f>
        <v>#VALUE!</v>
      </c>
      <c r="IC21" t="e">
        <f>RTSS!135:135-"$GJ|!bd"</f>
        <v>#VALUE!</v>
      </c>
      <c r="ID21" t="e">
        <f>RTSS!136:136-"$GJ|!be"</f>
        <v>#VALUE!</v>
      </c>
      <c r="IE21" t="e">
        <f>RTSS!137:137-"$GJ|!bf"</f>
        <v>#VALUE!</v>
      </c>
      <c r="IF21" t="e">
        <f>RTSS!138:138-"$GJ|!bg"</f>
        <v>#VALUE!</v>
      </c>
      <c r="IG21" t="e">
        <f>RTSS!139:139-"$GJ|!bh"</f>
        <v>#VALUE!</v>
      </c>
      <c r="IH21" t="e">
        <f>RTSS!140:140-"$GJ|!bi"</f>
        <v>#VALUE!</v>
      </c>
      <c r="II21" t="e">
        <f>RTSS!141:141-"$GJ|!bj"</f>
        <v>#VALUE!</v>
      </c>
      <c r="IJ21" t="e">
        <f>RTSS!142:142-"$GJ|!bk"</f>
        <v>#VALUE!</v>
      </c>
      <c r="IK21" t="e">
        <f>RTSS!143:143-"$GJ|!bl"</f>
        <v>#VALUE!</v>
      </c>
      <c r="IL21" t="e">
        <f>RTSS!144:144-"$GJ|!bm"</f>
        <v>#VALUE!</v>
      </c>
      <c r="IM21" t="e">
        <f>RTSS!145:145-"$GJ|!bn"</f>
        <v>#VALUE!</v>
      </c>
      <c r="IN21" t="e">
        <f>RTSS!146:146-"$GJ|!bo"</f>
        <v>#VALUE!</v>
      </c>
      <c r="IO21" t="e">
        <f>RTSS!147:147-"$GJ|!bp"</f>
        <v>#VALUE!</v>
      </c>
      <c r="IP21" t="e">
        <f>RTSS!148:148-"$GJ|!bq"</f>
        <v>#VALUE!</v>
      </c>
      <c r="IQ21" t="e">
        <f>RTSS!149:149-"$GJ|!br"</f>
        <v>#VALUE!</v>
      </c>
      <c r="IR21" t="e">
        <f>RTSS!150:150-"$GJ|!bs"</f>
        <v>#VALUE!</v>
      </c>
      <c r="IS21" t="e">
        <f>RTSS!151:151-"$GJ|!bt"</f>
        <v>#VALUE!</v>
      </c>
      <c r="IT21" t="e">
        <f>RTSS!152:152-"$GJ|!bu"</f>
        <v>#VALUE!</v>
      </c>
      <c r="IU21" t="e">
        <f>RTSS!153:153-"$GJ|!bv"</f>
        <v>#VALUE!</v>
      </c>
      <c r="IV21" t="e">
        <f>RTSS!154:154-"$GJ|!bw"</f>
        <v>#VALUE!</v>
      </c>
    </row>
    <row r="22" spans="6:256" x14ac:dyDescent="0.25">
      <c r="F22" t="e">
        <f>RTSS!155:155-"$GJ|!bx"</f>
        <v>#VALUE!</v>
      </c>
      <c r="G22" t="e">
        <f>RTSS!156:156-"$GJ|!by"</f>
        <v>#VALUE!</v>
      </c>
      <c r="H22" t="e">
        <f>RTSS!157:157-"$GJ|!bz"</f>
        <v>#VALUE!</v>
      </c>
      <c r="I22" t="e">
        <f>RTSS!158:158-"$GJ|!b{"</f>
        <v>#VALUE!</v>
      </c>
      <c r="J22" t="e">
        <f>RTSS!159:159-"$GJ|!b|"</f>
        <v>#VALUE!</v>
      </c>
      <c r="K22" t="e">
        <f>RTSS!160:160-"$GJ|!b}"</f>
        <v>#VALUE!</v>
      </c>
      <c r="L22" t="e">
        <f>RTSS!161:161-"$GJ|!b~"</f>
        <v>#VALUE!</v>
      </c>
      <c r="M22" t="e">
        <f>RTSS!162:162-"$GJ|!c#"</f>
        <v>#VALUE!</v>
      </c>
      <c r="N22" t="e">
        <f>RTSS!163:163-"$GJ|!c$"</f>
        <v>#VALUE!</v>
      </c>
      <c r="O22" t="e">
        <f>RTSS!164:164-"$GJ|!c%"</f>
        <v>#VALUE!</v>
      </c>
      <c r="P22" t="e">
        <f>RTSS!165:165-"$GJ|!c&amp;"</f>
        <v>#VALUE!</v>
      </c>
      <c r="Q22" t="e">
        <f>RTSS!166:166-"$GJ|!c'"</f>
        <v>#VALUE!</v>
      </c>
      <c r="R22" t="e">
        <f>RTSS!167:167-"$GJ|!c("</f>
        <v>#VALUE!</v>
      </c>
      <c r="S22" t="e">
        <f>RTSS!168:168-"$GJ|!c)"</f>
        <v>#VALUE!</v>
      </c>
      <c r="T22" t="e">
        <f>RTSS!169:169-"$GJ|!c."</f>
        <v>#VALUE!</v>
      </c>
      <c r="U22" t="e">
        <f>RTSS!170:170-"$GJ|!c/"</f>
        <v>#VALUE!</v>
      </c>
      <c r="V22" t="e">
        <f>RTSS!171:171-"$GJ|!c0"</f>
        <v>#VALUE!</v>
      </c>
      <c r="W22" t="e">
        <f>RTSS!172:172-"$GJ|!c1"</f>
        <v>#VALUE!</v>
      </c>
      <c r="X22" t="e">
        <f>RTSS!173:173-"$GJ|!c2"</f>
        <v>#VALUE!</v>
      </c>
      <c r="Y22" t="e">
        <f>RTSS!174:174-"$GJ|!c3"</f>
        <v>#VALUE!</v>
      </c>
      <c r="Z22" t="e">
        <f>RTSS!175:175-"$GJ|!c4"</f>
        <v>#VALUE!</v>
      </c>
      <c r="AA22" t="e">
        <f>RTSS!176:176-"$GJ|!c5"</f>
        <v>#VALUE!</v>
      </c>
      <c r="AB22" t="e">
        <f>RTSS!177:177-"$GJ|!c6"</f>
        <v>#VALUE!</v>
      </c>
      <c r="AC22" t="e">
        <f>RTSS!178:178-"$GJ|!c7"</f>
        <v>#VALUE!</v>
      </c>
      <c r="AD22" t="e">
        <f>RTSS!179:179-"$GJ|!c8"</f>
        <v>#VALUE!</v>
      </c>
      <c r="AE22" t="e">
        <f>RTSS!180:180-"$GJ|!c9"</f>
        <v>#VALUE!</v>
      </c>
      <c r="AF22" t="e">
        <f>RTSS!181:181-"$GJ|!c:"</f>
        <v>#VALUE!</v>
      </c>
      <c r="AG22" t="e">
        <f>RTSS!182:182-"$GJ|!c;"</f>
        <v>#VALUE!</v>
      </c>
      <c r="AH22" t="e">
        <f>RTSS!183:183-"$GJ|!c&lt;"</f>
        <v>#VALUE!</v>
      </c>
      <c r="AI22" t="e">
        <f>RTSS!184:184-"$GJ|!c="</f>
        <v>#VALUE!</v>
      </c>
      <c r="AJ22" t="e">
        <f>RTSS!185:185-"$GJ|!c&gt;"</f>
        <v>#VALUE!</v>
      </c>
      <c r="AK22" t="e">
        <f>RTSS!186:186-"$GJ|!c?"</f>
        <v>#VALUE!</v>
      </c>
      <c r="AL22" t="e">
        <f>RTSS!187:187-"$GJ|!c@"</f>
        <v>#VALUE!</v>
      </c>
      <c r="AM22" t="e">
        <f>RTSS!188:188-"$GJ|!cA"</f>
        <v>#VALUE!</v>
      </c>
      <c r="AN22" t="e">
        <f>RTSS!189:189-"$GJ|!cB"</f>
        <v>#VALUE!</v>
      </c>
      <c r="AO22" t="e">
        <f>RTSS!190:190-"$GJ|!cC"</f>
        <v>#VALUE!</v>
      </c>
      <c r="AP22" t="e">
        <f>RTSS!191:191-"$GJ|!cD"</f>
        <v>#VALUE!</v>
      </c>
      <c r="AQ22" t="e">
        <f>RTSS!192:192-"$GJ|!cE"</f>
        <v>#VALUE!</v>
      </c>
      <c r="AR22" t="e">
        <f>RTSS!193:193-"$GJ|!cF"</f>
        <v>#VALUE!</v>
      </c>
      <c r="AS22" t="e">
        <f>RTSS!194:194-"$GJ|!cG"</f>
        <v>#VALUE!</v>
      </c>
      <c r="AT22" t="e">
        <f>RTSS!195:195-"$GJ|!cH"</f>
        <v>#VALUE!</v>
      </c>
      <c r="AU22" t="e">
        <f>RTSS!196:196-"$GJ|!cI"</f>
        <v>#VALUE!</v>
      </c>
      <c r="AV22" t="e">
        <f>RTSS!197:197-"$GJ|!cJ"</f>
        <v>#VALUE!</v>
      </c>
      <c r="AW22" t="e">
        <f>RTSS!198:198-"$GJ|!cK"</f>
        <v>#VALUE!</v>
      </c>
      <c r="AX22" t="e">
        <f>RTSS!199:199-"$GJ|!cL"</f>
        <v>#VALUE!</v>
      </c>
      <c r="AY22" t="e">
        <f>RTSS!200:200-"$GJ|!cM"</f>
        <v>#VALUE!</v>
      </c>
      <c r="AZ22" t="e">
        <f>RTSS!201:201-"$GJ|!cN"</f>
        <v>#VALUE!</v>
      </c>
      <c r="BA22" t="e">
        <f>RTSS!202:202-"$GJ|!cO"</f>
        <v>#VALUE!</v>
      </c>
      <c r="BB22" t="e">
        <f>RTSS!203:203-"$GJ|!cP"</f>
        <v>#VALUE!</v>
      </c>
      <c r="BC22" t="e">
        <f>RTSS!204:204-"$GJ|!cQ"</f>
        <v>#VALUE!</v>
      </c>
      <c r="BD22" t="e">
        <f>RTSS!205:205-"$GJ|!cR"</f>
        <v>#VALUE!</v>
      </c>
      <c r="BE22" t="e">
        <f>RTSS!206:206-"$GJ|!cS"</f>
        <v>#VALUE!</v>
      </c>
      <c r="BF22" t="e">
        <f>RTSS!207:207-"$GJ|!cT"</f>
        <v>#VALUE!</v>
      </c>
      <c r="BG22" t="e">
        <f>RTSS!208:208-"$GJ|!cU"</f>
        <v>#VALUE!</v>
      </c>
      <c r="BH22" t="e">
        <f>RTSS!209:209-"$GJ|!cV"</f>
        <v>#VALUE!</v>
      </c>
      <c r="BI22" t="e">
        <f>RTSS!210:210-"$GJ|!cW"</f>
        <v>#VALUE!</v>
      </c>
      <c r="BJ22" t="e">
        <f>RTSS!211:211-"$GJ|!cX"</f>
        <v>#VALUE!</v>
      </c>
      <c r="BK22" t="e">
        <f>RTSS!212:212-"$GJ|!cY"</f>
        <v>#VALUE!</v>
      </c>
      <c r="BL22" t="e">
        <f>RTSS!213:213-"$GJ|!cZ"</f>
        <v>#VALUE!</v>
      </c>
      <c r="BM22" t="e">
        <f>RTSS!214:214-"$GJ|!c["</f>
        <v>#VALUE!</v>
      </c>
      <c r="BN22" t="e">
        <f>RTSS!215:215-"$GJ|!c\"</f>
        <v>#VALUE!</v>
      </c>
      <c r="BO22" t="e">
        <f>RTSS!216:216-"$GJ|!c]"</f>
        <v>#VALUE!</v>
      </c>
      <c r="BP22" t="e">
        <f>RTSS!217:217-"$GJ|!c^"</f>
        <v>#VALUE!</v>
      </c>
      <c r="BQ22" t="e">
        <f>RTSS!218:218-"$GJ|!c_"</f>
        <v>#VALUE!</v>
      </c>
      <c r="BR22" t="e">
        <f>RTSS!219:219-"$GJ|!c`"</f>
        <v>#VALUE!</v>
      </c>
      <c r="BS22" t="e">
        <f>RTSS!220:220-"$GJ|!ca"</f>
        <v>#VALUE!</v>
      </c>
      <c r="BT22" t="e">
        <f>RTSS!221:221-"$GJ|!cb"</f>
        <v>#VALUE!</v>
      </c>
      <c r="BU22" t="e">
        <f>RTSS!222:222-"$GJ|!cc"</f>
        <v>#VALUE!</v>
      </c>
      <c r="BV22" t="e">
        <f>RTSS!223:223-"$GJ|!cd"</f>
        <v>#VALUE!</v>
      </c>
      <c r="BW22" t="e">
        <f>RTSS!224:224-"$GJ|!ce"</f>
        <v>#VALUE!</v>
      </c>
      <c r="BX22" t="e">
        <f>RTSS!225:225-"$GJ|!cf"</f>
        <v>#VALUE!</v>
      </c>
      <c r="BY22" t="e">
        <f>RTSS!226:226-"$GJ|!cg"</f>
        <v>#VALUE!</v>
      </c>
      <c r="BZ22" t="e">
        <f>RTSS!227:227-"$GJ|!ch"</f>
        <v>#VALUE!</v>
      </c>
      <c r="CA22" t="e">
        <f>RTSS!228:228-"$GJ|!ci"</f>
        <v>#VALUE!</v>
      </c>
      <c r="CB22" t="e">
        <f>RTSS!229:229-"$GJ|!cj"</f>
        <v>#VALUE!</v>
      </c>
      <c r="CC22" t="e">
        <f>RTSS!230:230-"$GJ|!ck"</f>
        <v>#VALUE!</v>
      </c>
      <c r="CD22" t="e">
        <f>RTSS!231:231-"$GJ|!cl"</f>
        <v>#VALUE!</v>
      </c>
      <c r="CE22" t="e">
        <f>RTSS!232:232-"$GJ|!cm"</f>
        <v>#VALUE!</v>
      </c>
      <c r="CF22" t="e">
        <f>RTSS!233:233-"$GJ|!cn"</f>
        <v>#VALUE!</v>
      </c>
      <c r="CG22" t="e">
        <f>RTSS!234:234-"$GJ|!co"</f>
        <v>#VALUE!</v>
      </c>
      <c r="CH22" t="e">
        <f>RTSS!235:235-"$GJ|!cp"</f>
        <v>#VALUE!</v>
      </c>
      <c r="CI22" t="e">
        <f>RTSS!236:236-"$GJ|!cq"</f>
        <v>#VALUE!</v>
      </c>
      <c r="CJ22" t="e">
        <f>RTSS!237:237-"$GJ|!cr"</f>
        <v>#VALUE!</v>
      </c>
      <c r="CK22" t="e">
        <f>RTSS!238:238-"$GJ|!cs"</f>
        <v>#VALUE!</v>
      </c>
      <c r="CL22" t="e">
        <f>RTSS!239:239-"$GJ|!ct"</f>
        <v>#VALUE!</v>
      </c>
      <c r="CM22" t="e">
        <f>RTSS!240:240-"$GJ|!cu"</f>
        <v>#VALUE!</v>
      </c>
      <c r="CN22" t="e">
        <f>RTSS!241:241-"$GJ|!cv"</f>
        <v>#VALUE!</v>
      </c>
      <c r="CO22" t="e">
        <f>RTSS!242:242-"$GJ|!cw"</f>
        <v>#VALUE!</v>
      </c>
      <c r="CP22" t="e">
        <f>RTSS!243:243-"$GJ|!cx"</f>
        <v>#VALUE!</v>
      </c>
      <c r="CQ22" t="e">
        <f>RTSS!244:244-"$GJ|!cy"</f>
        <v>#VALUE!</v>
      </c>
      <c r="CR22" t="e">
        <f>RTSS!245:245-"$GJ|!cz"</f>
        <v>#VALUE!</v>
      </c>
      <c r="CS22" t="e">
        <f>RTSS!246:246-"$GJ|!c{"</f>
        <v>#VALUE!</v>
      </c>
      <c r="CT22" t="e">
        <f>RTSS!247:247-"$GJ|!c|"</f>
        <v>#VALUE!</v>
      </c>
      <c r="CU22" t="e">
        <f>RTSS!248:248-"$GJ|!c}"</f>
        <v>#VALUE!</v>
      </c>
      <c r="CV22" t="e">
        <f>RTSS!249:249-"$GJ|!c~"</f>
        <v>#VALUE!</v>
      </c>
      <c r="CW22" t="e">
        <f>RTSS!250:250-"$GJ|!d#"</f>
        <v>#VALUE!</v>
      </c>
      <c r="CX22" t="e">
        <f>RTSS!251:251-"$GJ|!d$"</f>
        <v>#VALUE!</v>
      </c>
      <c r="CY22" t="e">
        <f>RTSS!252:252-"$GJ|!d%"</f>
        <v>#VALUE!</v>
      </c>
      <c r="CZ22" t="e">
        <f>RTSS!253:253-"$GJ|!d&amp;"</f>
        <v>#VALUE!</v>
      </c>
      <c r="DA22" t="e">
        <f>RTSS!254:254-"$GJ|!d'"</f>
        <v>#VALUE!</v>
      </c>
      <c r="DB22" t="e">
        <f>RTSS!255:255-"$GJ|!d("</f>
        <v>#VALUE!</v>
      </c>
      <c r="DC22" t="e">
        <f>RTSS!256:256-"$GJ|!d)"</f>
        <v>#VALUE!</v>
      </c>
      <c r="DD22" t="e">
        <f>RTSS!257:257-"$GJ|!d."</f>
        <v>#VALUE!</v>
      </c>
      <c r="DE22" t="e">
        <f>RTSS!258:258-"$GJ|!d/"</f>
        <v>#VALUE!</v>
      </c>
      <c r="DF22" t="e">
        <f>RTSS!259:259-"$GJ|!d0"</f>
        <v>#VALUE!</v>
      </c>
      <c r="DG22" t="e">
        <f>RTSS!260:260-"$GJ|!d1"</f>
        <v>#VALUE!</v>
      </c>
      <c r="DH22" t="e">
        <f>RTSS!261:261-"$GJ|!d2"</f>
        <v>#VALUE!</v>
      </c>
      <c r="DI22" t="e">
        <f>RTSS!262:262-"$GJ|!d3"</f>
        <v>#VALUE!</v>
      </c>
      <c r="DJ22" t="e">
        <f>RTSS!263:263-"$GJ|!d4"</f>
        <v>#VALUE!</v>
      </c>
      <c r="DK22" t="e">
        <f>RTSS!264:264-"$GJ|!d5"</f>
        <v>#VALUE!</v>
      </c>
      <c r="DL22" t="e">
        <f>RTSS!265:265-"$GJ|!d6"</f>
        <v>#VALUE!</v>
      </c>
      <c r="DM22" t="e">
        <f>RTSS!A1+"$GJ|!d7"</f>
        <v>#VALUE!</v>
      </c>
      <c r="DN22" t="e">
        <f>RTSS!B1+"$GJ|!d8"</f>
        <v>#VALUE!</v>
      </c>
      <c r="DO22" t="e">
        <f>RTSS!C1+"$GJ|!d9"</f>
        <v>#VALUE!</v>
      </c>
      <c r="DP22" t="e">
        <f>RTSS!D1+"$GJ|!d:"</f>
        <v>#VALUE!</v>
      </c>
      <c r="DQ22" t="e">
        <f>RTSS!E1+"$GJ|!d;"</f>
        <v>#VALUE!</v>
      </c>
      <c r="DR22" t="e">
        <f>RTSS!F1+"$GJ|!d&lt;"</f>
        <v>#VALUE!</v>
      </c>
      <c r="DS22" t="e">
        <f>RTSS!A2+"$GJ|!d="</f>
        <v>#VALUE!</v>
      </c>
      <c r="DT22" t="e">
        <f>RTSS!B2+"$GJ|!d&gt;"</f>
        <v>#VALUE!</v>
      </c>
      <c r="DU22" t="e">
        <f>RTSS!C2+"$GJ|!d?"</f>
        <v>#VALUE!</v>
      </c>
      <c r="DV22" t="e">
        <f>RTSS!D2+"$GJ|!d@"</f>
        <v>#VALUE!</v>
      </c>
      <c r="DW22" t="e">
        <f>RTSS!E2+"$GJ|!dA"</f>
        <v>#VALUE!</v>
      </c>
      <c r="DX22" t="e">
        <f>RTSS!F2+"$GJ|!dB"</f>
        <v>#VALUE!</v>
      </c>
      <c r="DY22" t="e">
        <f>RTSS!A3+"$GJ|!dC"</f>
        <v>#VALUE!</v>
      </c>
      <c r="DZ22" t="e">
        <f>RTSS!B3+"$GJ|!dD"</f>
        <v>#VALUE!</v>
      </c>
      <c r="EA22" t="e">
        <f>RTSS!C3+"$GJ|!dE"</f>
        <v>#VALUE!</v>
      </c>
      <c r="EB22" t="e">
        <f>RTSS!D3+"$GJ|!dF"</f>
        <v>#VALUE!</v>
      </c>
      <c r="EC22" t="e">
        <f>RTSS!E3+"$GJ|!dG"</f>
        <v>#VALUE!</v>
      </c>
      <c r="ED22" t="e">
        <f>RTSS!F3+"$GJ|!dH"</f>
        <v>#VALUE!</v>
      </c>
      <c r="EE22" t="e">
        <f>RTSS!A4+"$GJ|!dI"</f>
        <v>#VALUE!</v>
      </c>
      <c r="EF22" t="e">
        <f>RTSS!B4+"$GJ|!dJ"</f>
        <v>#VALUE!</v>
      </c>
      <c r="EG22" t="e">
        <f>RTSS!C4+"$GJ|!dK"</f>
        <v>#VALUE!</v>
      </c>
      <c r="EH22" t="e">
        <f>RTSS!D4+"$GJ|!dL"</f>
        <v>#VALUE!</v>
      </c>
      <c r="EI22" t="e">
        <f>RTSS!E4+"$GJ|!dM"</f>
        <v>#VALUE!</v>
      </c>
      <c r="EJ22" t="e">
        <f>RTSS!F4+"$GJ|!dN"</f>
        <v>#VALUE!</v>
      </c>
      <c r="EK22" t="e">
        <f>RTSS!A5+"$GJ|!dO"</f>
        <v>#VALUE!</v>
      </c>
      <c r="EL22" t="e">
        <f>RTSS!B5+"$GJ|!dP"</f>
        <v>#VALUE!</v>
      </c>
      <c r="EM22" t="e">
        <f>RTSS!C5+"$GJ|!dQ"</f>
        <v>#VALUE!</v>
      </c>
      <c r="EN22" t="e">
        <f>RTSS!D5+"$GJ|!dR"</f>
        <v>#VALUE!</v>
      </c>
      <c r="EO22" t="e">
        <f>RTSS!E5+"$GJ|!dS"</f>
        <v>#VALUE!</v>
      </c>
      <c r="EP22" t="e">
        <f>RTSS!F5+"$GJ|!dT"</f>
        <v>#VALUE!</v>
      </c>
      <c r="EQ22" t="e">
        <f>RTSS!A6+"$GJ|!dU"</f>
        <v>#VALUE!</v>
      </c>
      <c r="ER22" t="e">
        <f>RTSS!B6+"$GJ|!dV"</f>
        <v>#VALUE!</v>
      </c>
      <c r="ES22" t="e">
        <f>RTSS!C6+"$GJ|!dW"</f>
        <v>#VALUE!</v>
      </c>
      <c r="ET22" t="e">
        <f>RTSS!D6+"$GJ|!dX"</f>
        <v>#VALUE!</v>
      </c>
      <c r="EU22" t="e">
        <f>RTSS!E6+"$GJ|!dY"</f>
        <v>#VALUE!</v>
      </c>
      <c r="EV22" t="e">
        <f>RTSS!F6+"$GJ|!dZ"</f>
        <v>#VALUE!</v>
      </c>
      <c r="EW22" t="e">
        <f>RTSS!A7+"$GJ|!d["</f>
        <v>#VALUE!</v>
      </c>
      <c r="EX22" t="e">
        <f>RTSS!B7+"$GJ|!d\"</f>
        <v>#VALUE!</v>
      </c>
      <c r="EY22" t="e">
        <f>RTSS!C7+"$GJ|!d]"</f>
        <v>#VALUE!</v>
      </c>
      <c r="EZ22" t="e">
        <f>RTSS!D7+"$GJ|!d^"</f>
        <v>#VALUE!</v>
      </c>
      <c r="FA22" t="e">
        <f>RTSS!E7+"$GJ|!d_"</f>
        <v>#VALUE!</v>
      </c>
      <c r="FB22" t="e">
        <f>RTSS!F7+"$GJ|!d`"</f>
        <v>#VALUE!</v>
      </c>
      <c r="FC22" t="e">
        <f>RTSS!A8+"$GJ|!da"</f>
        <v>#VALUE!</v>
      </c>
      <c r="FD22" t="e">
        <f>RTSS!B8+"$GJ|!db"</f>
        <v>#VALUE!</v>
      </c>
      <c r="FE22" t="e">
        <f>RTSS!C8+"$GJ|!dc"</f>
        <v>#VALUE!</v>
      </c>
      <c r="FF22" t="e">
        <f>RTSS!D8+"$GJ|!dd"</f>
        <v>#VALUE!</v>
      </c>
      <c r="FG22" t="e">
        <f>RTSS!E8+"$GJ|!de"</f>
        <v>#VALUE!</v>
      </c>
      <c r="FH22" t="e">
        <f>RTSS!F8+"$GJ|!df"</f>
        <v>#VALUE!</v>
      </c>
      <c r="FI22" t="e">
        <f>RTSS!A9+"$GJ|!dg"</f>
        <v>#VALUE!</v>
      </c>
      <c r="FJ22" t="e">
        <f>RTSS!B9+"$GJ|!dh"</f>
        <v>#VALUE!</v>
      </c>
      <c r="FK22" t="e">
        <f>RTSS!C9+"$GJ|!di"</f>
        <v>#VALUE!</v>
      </c>
      <c r="FL22" t="e">
        <f>RTSS!D9+"$GJ|!dj"</f>
        <v>#VALUE!</v>
      </c>
      <c r="FM22" t="e">
        <f>RTSS!E9+"$GJ|!dk"</f>
        <v>#VALUE!</v>
      </c>
      <c r="FN22" t="e">
        <f>RTSS!F9+"$GJ|!dl"</f>
        <v>#VALUE!</v>
      </c>
      <c r="FO22" t="e">
        <f>RTSS!A10+"$GJ|!dm"</f>
        <v>#VALUE!</v>
      </c>
      <c r="FP22" t="e">
        <f>RTSS!B10+"$GJ|!dn"</f>
        <v>#VALUE!</v>
      </c>
      <c r="FQ22" t="e">
        <f>RTSS!C10+"$GJ|!do"</f>
        <v>#VALUE!</v>
      </c>
      <c r="FR22" t="e">
        <f>RTSS!D10+"$GJ|!dp"</f>
        <v>#VALUE!</v>
      </c>
      <c r="FS22" t="e">
        <f>RTSS!E10+"$GJ|!dq"</f>
        <v>#VALUE!</v>
      </c>
      <c r="FT22" t="e">
        <f>RTSS!F10+"$GJ|!dr"</f>
        <v>#VALUE!</v>
      </c>
      <c r="FU22" t="e">
        <f>RTSS!A11+"$GJ|!ds"</f>
        <v>#VALUE!</v>
      </c>
      <c r="FV22" t="e">
        <f>RTSS!B11+"$GJ|!dt"</f>
        <v>#VALUE!</v>
      </c>
      <c r="FW22" t="e">
        <f>RTSS!C11+"$GJ|!du"</f>
        <v>#VALUE!</v>
      </c>
      <c r="FX22" t="e">
        <f>RTSS!D11+"$GJ|!dv"</f>
        <v>#VALUE!</v>
      </c>
      <c r="FY22" t="e">
        <f>RTSS!E11+"$GJ|!dw"</f>
        <v>#VALUE!</v>
      </c>
      <c r="FZ22" t="e">
        <f>RTSS!F11+"$GJ|!dx"</f>
        <v>#VALUE!</v>
      </c>
      <c r="GA22" t="e">
        <f>RTSS!A12+"$GJ|!dy"</f>
        <v>#VALUE!</v>
      </c>
      <c r="GB22" t="e">
        <f>RTSS!B12+"$GJ|!dz"</f>
        <v>#VALUE!</v>
      </c>
      <c r="GC22" t="e">
        <f>RTSS!C12+"$GJ|!d{"</f>
        <v>#VALUE!</v>
      </c>
      <c r="GD22" t="e">
        <f>RTSS!D12+"$GJ|!d|"</f>
        <v>#VALUE!</v>
      </c>
      <c r="GE22" t="e">
        <f>RTSS!E12+"$GJ|!d}"</f>
        <v>#VALUE!</v>
      </c>
      <c r="GF22" t="e">
        <f>RTSS!F12+"$GJ|!d~"</f>
        <v>#VALUE!</v>
      </c>
      <c r="GG22" t="e">
        <f>RTSS!A13+"$GJ|!e#"</f>
        <v>#VALUE!</v>
      </c>
      <c r="GH22" t="e">
        <f>RTSS!B13+"$GJ|!e$"</f>
        <v>#VALUE!</v>
      </c>
      <c r="GI22" t="e">
        <f>RTSS!C13+"$GJ|!e%"</f>
        <v>#VALUE!</v>
      </c>
      <c r="GJ22" t="e">
        <f>RTSS!D13+"$GJ|!e&amp;"</f>
        <v>#VALUE!</v>
      </c>
      <c r="GK22" t="e">
        <f>RTSS!E13+"$GJ|!e'"</f>
        <v>#VALUE!</v>
      </c>
      <c r="GL22" t="e">
        <f>RTSS!F13+"$GJ|!e("</f>
        <v>#VALUE!</v>
      </c>
      <c r="GM22" t="e">
        <f>RTSS!A14+"$GJ|!e)"</f>
        <v>#VALUE!</v>
      </c>
      <c r="GN22" t="e">
        <f>RTSS!B14+"$GJ|!e."</f>
        <v>#VALUE!</v>
      </c>
      <c r="GO22" t="e">
        <f>RTSS!C14+"$GJ|!e/"</f>
        <v>#VALUE!</v>
      </c>
      <c r="GP22" t="e">
        <f>RTSS!D14+"$GJ|!e0"</f>
        <v>#VALUE!</v>
      </c>
      <c r="GQ22" t="e">
        <f>RTSS!E14+"$GJ|!e1"</f>
        <v>#VALUE!</v>
      </c>
      <c r="GR22" t="e">
        <f>RTSS!F14+"$GJ|!e2"</f>
        <v>#VALUE!</v>
      </c>
      <c r="GS22" t="e">
        <f>RTSS!A15+"$GJ|!e3"</f>
        <v>#VALUE!</v>
      </c>
      <c r="GT22" t="e">
        <f>RTSS!B15+"$GJ|!e4"</f>
        <v>#VALUE!</v>
      </c>
      <c r="GU22" t="e">
        <f>RTSS!C15+"$GJ|!e5"</f>
        <v>#VALUE!</v>
      </c>
      <c r="GV22" t="e">
        <f>RTSS!D15+"$GJ|!e6"</f>
        <v>#VALUE!</v>
      </c>
      <c r="GW22" t="e">
        <f>RTSS!E15+"$GJ|!e7"</f>
        <v>#VALUE!</v>
      </c>
      <c r="GX22" t="e">
        <f>RTSS!F15+"$GJ|!e8"</f>
        <v>#VALUE!</v>
      </c>
      <c r="GY22" t="e">
        <f>RTSS!A16+"$GJ|!e9"</f>
        <v>#VALUE!</v>
      </c>
      <c r="GZ22" t="e">
        <f>RTSS!B16+"$GJ|!e:"</f>
        <v>#VALUE!</v>
      </c>
      <c r="HA22" t="e">
        <f>RTSS!C16+"$GJ|!e;"</f>
        <v>#VALUE!</v>
      </c>
      <c r="HB22" t="e">
        <f>RTSS!D16+"$GJ|!e&lt;"</f>
        <v>#VALUE!</v>
      </c>
      <c r="HC22" t="e">
        <f>RTSS!E16+"$GJ|!e="</f>
        <v>#VALUE!</v>
      </c>
      <c r="HD22" t="e">
        <f>RTSS!F16+"$GJ|!e&gt;"</f>
        <v>#VALUE!</v>
      </c>
      <c r="HE22" t="e">
        <f>RTSS!A17+"$GJ|!e?"</f>
        <v>#VALUE!</v>
      </c>
      <c r="HF22" t="e">
        <f>RTSS!B17+"$GJ|!e@"</f>
        <v>#VALUE!</v>
      </c>
      <c r="HG22" t="e">
        <f>RTSS!C17+"$GJ|!eA"</f>
        <v>#VALUE!</v>
      </c>
      <c r="HH22" t="e">
        <f>RTSS!D17+"$GJ|!eB"</f>
        <v>#VALUE!</v>
      </c>
      <c r="HI22" t="e">
        <f>RTSS!E17+"$GJ|!eC"</f>
        <v>#VALUE!</v>
      </c>
      <c r="HJ22" t="e">
        <f>RTSS!F17+"$GJ|!eD"</f>
        <v>#VALUE!</v>
      </c>
      <c r="HK22" t="e">
        <f>RTSS!A18+"$GJ|!eE"</f>
        <v>#VALUE!</v>
      </c>
      <c r="HL22" t="e">
        <f>RTSS!B18+"$GJ|!eF"</f>
        <v>#VALUE!</v>
      </c>
      <c r="HM22" t="e">
        <f>RTSS!C18+"$GJ|!eG"</f>
        <v>#VALUE!</v>
      </c>
      <c r="HN22" t="e">
        <f>RTSS!D18+"$GJ|!eH"</f>
        <v>#VALUE!</v>
      </c>
      <c r="HO22" t="e">
        <f>RTSS!E18+"$GJ|!eI"</f>
        <v>#VALUE!</v>
      </c>
      <c r="HP22" t="e">
        <f>RTSS!F18+"$GJ|!eJ"</f>
        <v>#VALUE!</v>
      </c>
      <c r="HQ22" t="e">
        <f>RTSS!A19+"$GJ|!eK"</f>
        <v>#VALUE!</v>
      </c>
      <c r="HR22" t="e">
        <f>RTSS!B19+"$GJ|!eL"</f>
        <v>#VALUE!</v>
      </c>
      <c r="HS22" t="e">
        <f>RTSS!C19+"$GJ|!eM"</f>
        <v>#VALUE!</v>
      </c>
      <c r="HT22" t="e">
        <f>RTSS!D19+"$GJ|!eN"</f>
        <v>#VALUE!</v>
      </c>
      <c r="HU22" t="e">
        <f>RTSS!E19+"$GJ|!eO"</f>
        <v>#VALUE!</v>
      </c>
      <c r="HV22" t="e">
        <f>RTSS!F19+"$GJ|!eP"</f>
        <v>#VALUE!</v>
      </c>
      <c r="HW22" t="e">
        <f>RTSS!A20+"$GJ|!eQ"</f>
        <v>#VALUE!</v>
      </c>
      <c r="HX22" t="e">
        <f>RTSS!B20+"$GJ|!eR"</f>
        <v>#VALUE!</v>
      </c>
      <c r="HY22" t="e">
        <f>RTSS!C20+"$GJ|!eS"</f>
        <v>#VALUE!</v>
      </c>
      <c r="HZ22" t="e">
        <f>RTSS!D20+"$GJ|!eT"</f>
        <v>#VALUE!</v>
      </c>
      <c r="IA22" t="e">
        <f>RTSS!E20+"$GJ|!eU"</f>
        <v>#VALUE!</v>
      </c>
      <c r="IB22" t="e">
        <f>RTSS!F20+"$GJ|!eV"</f>
        <v>#VALUE!</v>
      </c>
      <c r="IC22" t="e">
        <f>RTSS!A21+"$GJ|!eW"</f>
        <v>#VALUE!</v>
      </c>
      <c r="ID22" t="e">
        <f>RTSS!B21+"$GJ|!eX"</f>
        <v>#VALUE!</v>
      </c>
      <c r="IE22" t="e">
        <f>RTSS!C21+"$GJ|!eY"</f>
        <v>#VALUE!</v>
      </c>
      <c r="IF22" t="e">
        <f>RTSS!D21+"$GJ|!eZ"</f>
        <v>#VALUE!</v>
      </c>
      <c r="IG22" t="e">
        <f>RTSS!E21+"$GJ|!e["</f>
        <v>#VALUE!</v>
      </c>
      <c r="IH22" t="e">
        <f>RTSS!F21+"$GJ|!e\"</f>
        <v>#VALUE!</v>
      </c>
      <c r="II22" t="e">
        <f>RTSS!A22+"$GJ|!e]"</f>
        <v>#VALUE!</v>
      </c>
      <c r="IJ22" t="e">
        <f>RTSS!B22+"$GJ|!e^"</f>
        <v>#VALUE!</v>
      </c>
      <c r="IK22" t="e">
        <f>RTSS!C22+"$GJ|!e_"</f>
        <v>#VALUE!</v>
      </c>
      <c r="IL22" t="e">
        <f>RTSS!D22+"$GJ|!e`"</f>
        <v>#VALUE!</v>
      </c>
      <c r="IM22" t="e">
        <f>RTSS!E22+"$GJ|!ea"</f>
        <v>#VALUE!</v>
      </c>
      <c r="IN22" t="e">
        <f>RTSS!F22+"$GJ|!eb"</f>
        <v>#VALUE!</v>
      </c>
      <c r="IO22" t="e">
        <f>RTSS!A23+"$GJ|!ec"</f>
        <v>#VALUE!</v>
      </c>
      <c r="IP22" t="e">
        <f>RTSS!B23+"$GJ|!ed"</f>
        <v>#VALUE!</v>
      </c>
      <c r="IQ22" t="e">
        <f>RTSS!C23+"$GJ|!ee"</f>
        <v>#VALUE!</v>
      </c>
      <c r="IR22" t="e">
        <f>RTSS!D23+"$GJ|!ef"</f>
        <v>#VALUE!</v>
      </c>
      <c r="IS22" t="e">
        <f>RTSS!E23+"$GJ|!eg"</f>
        <v>#VALUE!</v>
      </c>
      <c r="IT22" t="e">
        <f>RTSS!F23+"$GJ|!eh"</f>
        <v>#VALUE!</v>
      </c>
      <c r="IU22" t="e">
        <f>RTSS!A24+"$GJ|!ei"</f>
        <v>#VALUE!</v>
      </c>
      <c r="IV22" t="e">
        <f>RTSS!B24+"$GJ|!ej"</f>
        <v>#VALUE!</v>
      </c>
    </row>
    <row r="23" spans="6:256" x14ac:dyDescent="0.25">
      <c r="F23" t="e">
        <f>RTSS!C24+"$GJ|!ek"</f>
        <v>#VALUE!</v>
      </c>
      <c r="G23" t="e">
        <f>RTSS!D24+"$GJ|!el"</f>
        <v>#VALUE!</v>
      </c>
      <c r="H23" t="e">
        <f>RTSS!E24+"$GJ|!em"</f>
        <v>#VALUE!</v>
      </c>
      <c r="I23" t="e">
        <f>RTSS!F24+"$GJ|!en"</f>
        <v>#VALUE!</v>
      </c>
      <c r="J23" t="e">
        <f>RTSS!A25+"$GJ|!eo"</f>
        <v>#VALUE!</v>
      </c>
      <c r="K23" t="e">
        <f>RTSS!B25+"$GJ|!ep"</f>
        <v>#VALUE!</v>
      </c>
      <c r="L23" t="e">
        <f>RTSS!C25+"$GJ|!eq"</f>
        <v>#VALUE!</v>
      </c>
      <c r="M23" t="e">
        <f>RTSS!D25+"$GJ|!er"</f>
        <v>#VALUE!</v>
      </c>
      <c r="N23" t="e">
        <f>RTSS!E25+"$GJ|!es"</f>
        <v>#VALUE!</v>
      </c>
      <c r="O23" t="e">
        <f>RTSS!F25+"$GJ|!et"</f>
        <v>#VALUE!</v>
      </c>
      <c r="P23" t="e">
        <f>RTSS!A26+"$GJ|!eu"</f>
        <v>#VALUE!</v>
      </c>
      <c r="Q23" t="e">
        <f>RTSS!B26+"$GJ|!ev"</f>
        <v>#VALUE!</v>
      </c>
      <c r="R23" t="e">
        <f>RTSS!C26+"$GJ|!ew"</f>
        <v>#VALUE!</v>
      </c>
      <c r="S23" t="e">
        <f>RTSS!D26+"$GJ|!ex"</f>
        <v>#VALUE!</v>
      </c>
      <c r="T23" t="e">
        <f>RTSS!E26+"$GJ|!ey"</f>
        <v>#VALUE!</v>
      </c>
      <c r="U23" t="e">
        <f>RTSS!F26+"$GJ|!ez"</f>
        <v>#VALUE!</v>
      </c>
      <c r="V23" t="e">
        <f>RTSS!A27+"$GJ|!e{"</f>
        <v>#VALUE!</v>
      </c>
      <c r="W23" t="e">
        <f>RTSS!B27+"$GJ|!e|"</f>
        <v>#VALUE!</v>
      </c>
      <c r="X23" t="e">
        <f>RTSS!C27+"$GJ|!e}"</f>
        <v>#VALUE!</v>
      </c>
      <c r="Y23" t="e">
        <f>RTSS!D27+"$GJ|!e~"</f>
        <v>#VALUE!</v>
      </c>
      <c r="Z23" t="e">
        <f>RTSS!E27+"$GJ|!f#"</f>
        <v>#VALUE!</v>
      </c>
      <c r="AA23" t="e">
        <f>RTSS!F27+"$GJ|!f$"</f>
        <v>#VALUE!</v>
      </c>
      <c r="AB23" t="e">
        <f>RTSS!A28+"$GJ|!f%"</f>
        <v>#VALUE!</v>
      </c>
      <c r="AC23" t="e">
        <f>RTSS!B28+"$GJ|!f&amp;"</f>
        <v>#VALUE!</v>
      </c>
      <c r="AD23" t="e">
        <f>RTSS!C28+"$GJ|!f'"</f>
        <v>#VALUE!</v>
      </c>
      <c r="AE23" t="e">
        <f>RTSS!D28+"$GJ|!f("</f>
        <v>#VALUE!</v>
      </c>
      <c r="AF23" t="e">
        <f>RTSS!E28+"$GJ|!f)"</f>
        <v>#VALUE!</v>
      </c>
      <c r="AG23" t="e">
        <f>RTSS!F28+"$GJ|!f."</f>
        <v>#VALUE!</v>
      </c>
      <c r="AH23" t="e">
        <f>RTSS!A29+"$GJ|!f/"</f>
        <v>#VALUE!</v>
      </c>
      <c r="AI23" t="e">
        <f>RTSS!B29+"$GJ|!f0"</f>
        <v>#VALUE!</v>
      </c>
      <c r="AJ23" t="e">
        <f>RTSS!C29+"$GJ|!f1"</f>
        <v>#VALUE!</v>
      </c>
      <c r="AK23" t="e">
        <f>RTSS!D29+"$GJ|!f2"</f>
        <v>#VALUE!</v>
      </c>
      <c r="AL23" t="e">
        <f>RTSS!E29+"$GJ|!f3"</f>
        <v>#VALUE!</v>
      </c>
      <c r="AM23" t="e">
        <f>RTSS!F29+"$GJ|!f4"</f>
        <v>#VALUE!</v>
      </c>
      <c r="AN23" t="e">
        <f>RTSS!A30+"$GJ|!f5"</f>
        <v>#VALUE!</v>
      </c>
      <c r="AO23" t="e">
        <f>RTSS!B30+"$GJ|!f6"</f>
        <v>#VALUE!</v>
      </c>
      <c r="AP23" t="e">
        <f>RTSS!C30+"$GJ|!f7"</f>
        <v>#VALUE!</v>
      </c>
      <c r="AQ23" t="e">
        <f>RTSS!D30+"$GJ|!f8"</f>
        <v>#VALUE!</v>
      </c>
      <c r="AR23" t="e">
        <f>RTSS!E30+"$GJ|!f9"</f>
        <v>#VALUE!</v>
      </c>
      <c r="AS23" t="e">
        <f>RTSS!F30+"$GJ|!f:"</f>
        <v>#VALUE!</v>
      </c>
      <c r="AT23" t="e">
        <f>RTSS!A31+"$GJ|!f;"</f>
        <v>#VALUE!</v>
      </c>
      <c r="AU23" t="e">
        <f>RTSS!B31+"$GJ|!f&lt;"</f>
        <v>#VALUE!</v>
      </c>
      <c r="AV23" t="e">
        <f>RTSS!C31+"$GJ|!f="</f>
        <v>#VALUE!</v>
      </c>
      <c r="AW23" t="e">
        <f>RTSS!D31+"$GJ|!f&gt;"</f>
        <v>#VALUE!</v>
      </c>
      <c r="AX23" t="e">
        <f>RTSS!E31+"$GJ|!f?"</f>
        <v>#VALUE!</v>
      </c>
      <c r="AY23" t="e">
        <f>RTSS!F31+"$GJ|!f@"</f>
        <v>#VALUE!</v>
      </c>
      <c r="AZ23" t="e">
        <f>RTSS!A32+"$GJ|!fA"</f>
        <v>#VALUE!</v>
      </c>
      <c r="BA23" t="e">
        <f>RTSS!B32+"$GJ|!fB"</f>
        <v>#VALUE!</v>
      </c>
      <c r="BB23" t="e">
        <f>RTSS!C32+"$GJ|!fC"</f>
        <v>#VALUE!</v>
      </c>
      <c r="BC23" t="e">
        <f>RTSS!D32+"$GJ|!fD"</f>
        <v>#VALUE!</v>
      </c>
      <c r="BD23" t="e">
        <f>RTSS!E32+"$GJ|!fE"</f>
        <v>#VALUE!</v>
      </c>
      <c r="BE23" t="e">
        <f>RTSS!F32+"$GJ|!fF"</f>
        <v>#VALUE!</v>
      </c>
      <c r="BF23" t="e">
        <f>RTSS!A33+"$GJ|!fG"</f>
        <v>#VALUE!</v>
      </c>
      <c r="BG23" t="e">
        <f>RTSS!B33+"$GJ|!fH"</f>
        <v>#VALUE!</v>
      </c>
      <c r="BH23" t="e">
        <f>RTSS!C33+"$GJ|!fI"</f>
        <v>#VALUE!</v>
      </c>
      <c r="BI23" t="e">
        <f>RTSS!D33+"$GJ|!fJ"</f>
        <v>#VALUE!</v>
      </c>
      <c r="BJ23" t="e">
        <f>RTSS!E33+"$GJ|!fK"</f>
        <v>#VALUE!</v>
      </c>
      <c r="BK23" t="e">
        <f>RTSS!F33+"$GJ|!fL"</f>
        <v>#VALUE!</v>
      </c>
      <c r="BL23" t="e">
        <f>RTSS!A34+"$GJ|!fM"</f>
        <v>#VALUE!</v>
      </c>
      <c r="BM23" t="e">
        <f>RTSS!B34+"$GJ|!fN"</f>
        <v>#VALUE!</v>
      </c>
      <c r="BN23" t="e">
        <f>RTSS!C34+"$GJ|!fO"</f>
        <v>#VALUE!</v>
      </c>
      <c r="BO23" t="e">
        <f>RTSS!D34+"$GJ|!fP"</f>
        <v>#VALUE!</v>
      </c>
      <c r="BP23" t="e">
        <f>RTSS!E34+"$GJ|!fQ"</f>
        <v>#VALUE!</v>
      </c>
      <c r="BQ23" t="e">
        <f>RTSS!F34+"$GJ|!fR"</f>
        <v>#VALUE!</v>
      </c>
      <c r="BR23" t="e">
        <f>RTSS!A35+"$GJ|!fS"</f>
        <v>#VALUE!</v>
      </c>
      <c r="BS23" t="e">
        <f>RTSS!B35+"$GJ|!fT"</f>
        <v>#VALUE!</v>
      </c>
      <c r="BT23" t="e">
        <f>RTSS!C35+"$GJ|!fU"</f>
        <v>#VALUE!</v>
      </c>
      <c r="BU23" t="e">
        <f>RTSS!D35+"$GJ|!fV"</f>
        <v>#VALUE!</v>
      </c>
      <c r="BV23" t="e">
        <f>RTSS!E35+"$GJ|!fW"</f>
        <v>#VALUE!</v>
      </c>
      <c r="BW23" t="e">
        <f>RTSS!F35+"$GJ|!fX"</f>
        <v>#VALUE!</v>
      </c>
      <c r="BX23" t="e">
        <f>RTSS!A36+"$GJ|!fY"</f>
        <v>#VALUE!</v>
      </c>
      <c r="BY23" t="e">
        <f>RTSS!B36+"$GJ|!fZ"</f>
        <v>#VALUE!</v>
      </c>
      <c r="BZ23" t="e">
        <f>RTSS!C36+"$GJ|!f["</f>
        <v>#VALUE!</v>
      </c>
      <c r="CA23" t="e">
        <f>RTSS!D36+"$GJ|!f\"</f>
        <v>#VALUE!</v>
      </c>
      <c r="CB23" t="e">
        <f>RTSS!E36+"$GJ|!f]"</f>
        <v>#VALUE!</v>
      </c>
      <c r="CC23" t="e">
        <f>RTSS!F36+"$GJ|!f^"</f>
        <v>#VALUE!</v>
      </c>
      <c r="CD23" t="e">
        <f>RTSS!A37+"$GJ|!f_"</f>
        <v>#VALUE!</v>
      </c>
      <c r="CE23" t="e">
        <f>RTSS!B37+"$GJ|!f`"</f>
        <v>#VALUE!</v>
      </c>
      <c r="CF23" t="e">
        <f>RTSS!C37+"$GJ|!fa"</f>
        <v>#VALUE!</v>
      </c>
      <c r="CG23" t="e">
        <f>RTSS!D37+"$GJ|!fb"</f>
        <v>#VALUE!</v>
      </c>
      <c r="CH23" t="e">
        <f>RTSS!E37+"$GJ|!fc"</f>
        <v>#VALUE!</v>
      </c>
      <c r="CI23" t="e">
        <f>RTSS!F37+"$GJ|!fd"</f>
        <v>#VALUE!</v>
      </c>
      <c r="CJ23" t="e">
        <f>RTSS!A41+"$GJ|!fe"</f>
        <v>#VALUE!</v>
      </c>
      <c r="CK23" t="e">
        <f>RTSS!B41+"$GJ|!ff"</f>
        <v>#VALUE!</v>
      </c>
      <c r="CL23" t="e">
        <f>RTSS!A42+"$GJ|!fg"</f>
        <v>#VALUE!</v>
      </c>
      <c r="CM23" t="e">
        <f>RTSS!B42+"$GJ|!fh"</f>
        <v>#VALUE!</v>
      </c>
      <c r="CN23" t="e">
        <f>RTSS!C42+"$GJ|!fi"</f>
        <v>#VALUE!</v>
      </c>
      <c r="CO23" t="e">
        <f>RTSS!A43+"$GJ|!fj"</f>
        <v>#VALUE!</v>
      </c>
      <c r="CP23" t="e">
        <f>RTSS!B43+"$GJ|!fk"</f>
        <v>#VALUE!</v>
      </c>
      <c r="CQ23" t="e">
        <f>RTSS!C43+"$GJ|!fl"</f>
        <v>#VALUE!</v>
      </c>
      <c r="CR23" t="e">
        <f>RTSS!A44+"$GJ|!fm"</f>
        <v>#VALUE!</v>
      </c>
      <c r="CS23" t="e">
        <f>RTSS!B44+"$GJ|!fn"</f>
        <v>#VALUE!</v>
      </c>
      <c r="CT23" t="e">
        <f>RTSS!C44+"$GJ|!fo"</f>
        <v>#VALUE!</v>
      </c>
      <c r="CU23" t="e">
        <f>RTSS!A45+"$GJ|!fp"</f>
        <v>#VALUE!</v>
      </c>
      <c r="CV23" t="e">
        <f>RTSS!B45+"$GJ|!fq"</f>
        <v>#VALUE!</v>
      </c>
      <c r="CW23" t="e">
        <f>RTSS!C45+"$GJ|!fr"</f>
        <v>#VALUE!</v>
      </c>
      <c r="CX23" t="e">
        <f>RTSS!A46+"$GJ|!fs"</f>
        <v>#VALUE!</v>
      </c>
      <c r="CY23" t="e">
        <f>RTSS!B46+"$GJ|!ft"</f>
        <v>#VALUE!</v>
      </c>
      <c r="CZ23" t="e">
        <f>RTSS!C46+"$GJ|!fu"</f>
        <v>#VALUE!</v>
      </c>
      <c r="DA23" t="e">
        <f>RTSS!A47+"$GJ|!fv"</f>
        <v>#VALUE!</v>
      </c>
      <c r="DB23" t="e">
        <f>RTSS!B47+"$GJ|!fw"</f>
        <v>#VALUE!</v>
      </c>
      <c r="DC23" t="e">
        <f>RTSS!C47+"$GJ|!fx"</f>
        <v>#VALUE!</v>
      </c>
      <c r="DD23" t="e">
        <f>RTSS!A48+"$GJ|!fy"</f>
        <v>#VALUE!</v>
      </c>
      <c r="DE23" t="e">
        <f>RTSS!B48+"$GJ|!fz"</f>
        <v>#VALUE!</v>
      </c>
      <c r="DF23" t="e">
        <f>RTSS!C48+"$GJ|!f{"</f>
        <v>#VALUE!</v>
      </c>
      <c r="DG23" t="e">
        <f>RTSS!A49+"$GJ|!f|"</f>
        <v>#VALUE!</v>
      </c>
      <c r="DH23" t="e">
        <f>RTSS!B49+"$GJ|!f}"</f>
        <v>#VALUE!</v>
      </c>
      <c r="DI23" t="e">
        <f>RTSS!C49+"$GJ|!f~"</f>
        <v>#VALUE!</v>
      </c>
      <c r="DJ23" t="e">
        <f>RTSS!A50+"$GJ|!g#"</f>
        <v>#VALUE!</v>
      </c>
      <c r="DK23" t="e">
        <f>RTSS!B50+"$GJ|!g$"</f>
        <v>#VALUE!</v>
      </c>
      <c r="DL23" t="e">
        <f>RTSS!C50+"$GJ|!g%"</f>
        <v>#VALUE!</v>
      </c>
      <c r="DM23" t="e">
        <f>RTSS!A51+"$GJ|!g&amp;"</f>
        <v>#VALUE!</v>
      </c>
      <c r="DN23" t="e">
        <f>RTSS!B51+"$GJ|!g'"</f>
        <v>#VALUE!</v>
      </c>
      <c r="DO23" t="e">
        <f>RTSS!C51+"$GJ|!g("</f>
        <v>#VALUE!</v>
      </c>
      <c r="DP23" t="e">
        <f>RTSS!A52+"$GJ|!g)"</f>
        <v>#VALUE!</v>
      </c>
      <c r="DQ23" t="e">
        <f>RTSS!B52+"$GJ|!g."</f>
        <v>#VALUE!</v>
      </c>
      <c r="DR23" t="e">
        <f>RTSS!C52+"$GJ|!g/"</f>
        <v>#VALUE!</v>
      </c>
      <c r="DS23" t="e">
        <f>RTSS!A53+"$GJ|!g0"</f>
        <v>#VALUE!</v>
      </c>
      <c r="DT23" t="e">
        <f>RTSS!B53+"$GJ|!g1"</f>
        <v>#VALUE!</v>
      </c>
      <c r="DU23" t="e">
        <f>RTSS!C53+"$GJ|!g2"</f>
        <v>#VALUE!</v>
      </c>
      <c r="DV23" t="e">
        <f>RTSS!A54+"$GJ|!g3"</f>
        <v>#VALUE!</v>
      </c>
      <c r="DW23" t="e">
        <f>RTSS!B54+"$GJ|!g4"</f>
        <v>#VALUE!</v>
      </c>
      <c r="DX23" t="e">
        <f>RTSS!C54+"$GJ|!g5"</f>
        <v>#VALUE!</v>
      </c>
      <c r="DY23" t="e">
        <f>RTSS!A55+"$GJ|!g6"</f>
        <v>#VALUE!</v>
      </c>
      <c r="DZ23" t="e">
        <f>RTSS!B55+"$GJ|!g7"</f>
        <v>#VALUE!</v>
      </c>
      <c r="EA23" t="e">
        <f>RTSS!C55+"$GJ|!g8"</f>
        <v>#VALUE!</v>
      </c>
      <c r="EB23" t="e">
        <f>RTSS!A56+"$GJ|!g9"</f>
        <v>#VALUE!</v>
      </c>
      <c r="EC23" t="e">
        <f>RTSS!B56+"$GJ|!g:"</f>
        <v>#VALUE!</v>
      </c>
      <c r="ED23" t="e">
        <f>RTSS!C56+"$GJ|!g;"</f>
        <v>#VALUE!</v>
      </c>
      <c r="EE23" t="e">
        <f>RTSS!A57+"$GJ|!g&lt;"</f>
        <v>#VALUE!</v>
      </c>
      <c r="EF23" t="e">
        <f>RTSS!B57+"$GJ|!g="</f>
        <v>#VALUE!</v>
      </c>
      <c r="EG23" t="e">
        <f>RTSS!C57+"$GJ|!g&gt;"</f>
        <v>#VALUE!</v>
      </c>
      <c r="EH23" t="e">
        <f>RTSS!A58+"$GJ|!g?"</f>
        <v>#VALUE!</v>
      </c>
      <c r="EI23" t="e">
        <f>RTSS!B58+"$GJ|!g@"</f>
        <v>#VALUE!</v>
      </c>
      <c r="EJ23" t="e">
        <f>RTSS!C58+"$GJ|!gA"</f>
        <v>#VALUE!</v>
      </c>
      <c r="EK23" t="e">
        <f>RTSS!A59+"$GJ|!gB"</f>
        <v>#VALUE!</v>
      </c>
      <c r="EL23" t="e">
        <f>RTSS!B59+"$GJ|!gC"</f>
        <v>#VALUE!</v>
      </c>
      <c r="EM23" t="e">
        <f>RTSS!C59+"$GJ|!gD"</f>
        <v>#VALUE!</v>
      </c>
      <c r="EN23" t="e">
        <f>RTSS!A60+"$GJ|!gE"</f>
        <v>#VALUE!</v>
      </c>
      <c r="EO23" t="e">
        <f>RTSS!B60+"$GJ|!gF"</f>
        <v>#VALUE!</v>
      </c>
      <c r="EP23" t="e">
        <f>RTSS!C60+"$GJ|!gG"</f>
        <v>#VALUE!</v>
      </c>
      <c r="EQ23" t="e">
        <f>RTSS!A61+"$GJ|!gH"</f>
        <v>#VALUE!</v>
      </c>
      <c r="ER23" t="e">
        <f>RTSS!B61+"$GJ|!gI"</f>
        <v>#VALUE!</v>
      </c>
      <c r="ES23" t="e">
        <f>RTSS!C61+"$GJ|!gJ"</f>
        <v>#VALUE!</v>
      </c>
      <c r="ET23" t="e">
        <f>'Equity or FI trade'!H40+"$GJ|!gK"</f>
        <v>#VALUE!</v>
      </c>
      <c r="EU23" t="e">
        <f>ALDO!423:423-"$GJ|!gL"</f>
        <v>#VALUE!</v>
      </c>
      <c r="EV23" t="e">
        <f>ALDO!424:424-"$GJ|!gM"</f>
        <v>#VALUE!</v>
      </c>
      <c r="EW23" t="e">
        <f>ALDO!425:425-"$GJ|!gN"</f>
        <v>#VALUE!</v>
      </c>
      <c r="EX23" t="e">
        <f>ALDO!426:426-"$GJ|!gO"</f>
        <v>#VALUE!</v>
      </c>
      <c r="EY23" t="e">
        <f>ALDO!427:427-"$GJ|!gP"</f>
        <v>#VALUE!</v>
      </c>
      <c r="EZ23" t="e">
        <f>ALDO!428:428-"$GJ|!gQ"</f>
        <v>#VALUE!</v>
      </c>
      <c r="FA23" t="e">
        <f>ALDO!429:429-"$GJ|!gR"</f>
        <v>#VALUE!</v>
      </c>
      <c r="FB23" t="e">
        <f>ALDO!430:430-"$GJ|!gS"</f>
        <v>#VALUE!</v>
      </c>
      <c r="FC23" t="e">
        <f>ALDO!431:431-"$GJ|!gT"</f>
        <v>#VALUE!</v>
      </c>
      <c r="FD23" t="e">
        <f>ALDO!432:432-"$GJ|!gU"</f>
        <v>#VALUE!</v>
      </c>
      <c r="FE23" t="e">
        <f>ALDO!433:433-"$GJ|!gV"</f>
        <v>#VALUE!</v>
      </c>
      <c r="FF23" t="e">
        <f>ALDO!434:434-"$GJ|!gW"</f>
        <v>#VALUE!</v>
      </c>
      <c r="FG23" t="e">
        <f>ALDO!435:435-"$GJ|!gX"</f>
        <v>#VALUE!</v>
      </c>
      <c r="FH23" t="e">
        <f>ALDO!436:436-"$GJ|!gY"</f>
        <v>#VALUE!</v>
      </c>
      <c r="FI23" t="e">
        <f>ALDO!437:437-"$GJ|!gZ"</f>
        <v>#VALUE!</v>
      </c>
      <c r="FJ23" t="e">
        <f>ALDO!438:438-"$GJ|!g["</f>
        <v>#VALUE!</v>
      </c>
      <c r="FK23" t="e">
        <f>ALDO!439:439-"$GJ|!g\"</f>
        <v>#VALUE!</v>
      </c>
      <c r="FL23" t="e">
        <f>ALDO!440:440-"$GJ|!g]"</f>
        <v>#VALUE!</v>
      </c>
      <c r="FM23" t="e">
        <f>ALDO!441:441-"$GJ|!g^"</f>
        <v>#VALUE!</v>
      </c>
      <c r="FN23" t="e">
        <f>ALDO!442:442-"$GJ|!g_"</f>
        <v>#VALUE!</v>
      </c>
      <c r="FO23" t="e">
        <f>ALDO!443:443-"$GJ|!g`"</f>
        <v>#VALUE!</v>
      </c>
      <c r="FP23" t="e">
        <f>ALDO!444:444-"$GJ|!ga"</f>
        <v>#VALUE!</v>
      </c>
      <c r="FQ23" t="e">
        <f>ALDO!445:445-"$GJ|!gb"</f>
        <v>#VALUE!</v>
      </c>
      <c r="FR23" t="e">
        <f>ALDO!446:446-"$GJ|!gc"</f>
        <v>#VALUE!</v>
      </c>
      <c r="FS23" t="e">
        <f>ALDO!447:447-"$GJ|!gd"</f>
        <v>#VALUE!</v>
      </c>
      <c r="FT23" t="e">
        <f>ALDO!448:448-"$GJ|!ge"</f>
        <v>#VALUE!</v>
      </c>
      <c r="FU23" t="e">
        <f>ALDO!449:449-"$GJ|!gf"</f>
        <v>#VALUE!</v>
      </c>
      <c r="FV23" t="e">
        <f>ALDO!450:450-"$GJ|!gg"</f>
        <v>#VALUE!</v>
      </c>
      <c r="FW23" t="e">
        <f>ALDO!451:451-"$GJ|!gh"</f>
        <v>#VALUE!</v>
      </c>
      <c r="FX23" t="e">
        <f>ALDO!452:452-"$GJ|!gi"</f>
        <v>#VALUE!</v>
      </c>
      <c r="FY23" t="e">
        <f>ALDO!453:453-"$GJ|!gj"</f>
        <v>#VALUE!</v>
      </c>
      <c r="FZ23" t="e">
        <f>ALDO!B224+"$GJ|!gk"</f>
        <v>#VALUE!</v>
      </c>
      <c r="GA23" t="e">
        <f>ALDO!C224+"$GJ|!gl"</f>
        <v>#VALUE!</v>
      </c>
      <c r="GB23" t="e">
        <f>ALDO!D224+"$GJ|!gm"</f>
        <v>#VALUE!</v>
      </c>
      <c r="GC23" t="e">
        <f>ALDO!E224+"$GJ|!gn"</f>
        <v>#VALUE!</v>
      </c>
      <c r="GD23" t="e">
        <f>ALDO!F224+"$GJ|!go"</f>
        <v>#VALUE!</v>
      </c>
      <c r="GE23" t="e">
        <f>ALDO!G224+"$GJ|!gp"</f>
        <v>#VALUE!</v>
      </c>
      <c r="GF23" t="e">
        <f>ALDO!I224+"$GJ|!gq"</f>
        <v>#VALUE!</v>
      </c>
      <c r="GG23" t="e">
        <f>ALDO!J224+"$GJ|!gr"</f>
        <v>#VALUE!</v>
      </c>
      <c r="GH23" t="e">
        <f>ALDO!B225+"$GJ|!gs"</f>
        <v>#VALUE!</v>
      </c>
      <c r="GI23" t="e">
        <f>ALDO!C225+"$GJ|!gt"</f>
        <v>#VALUE!</v>
      </c>
      <c r="GJ23" t="e">
        <f>ALDO!D225+"$GJ|!gu"</f>
        <v>#VALUE!</v>
      </c>
      <c r="GK23" t="e">
        <f>ALDO!E225+"$GJ|!gv"</f>
        <v>#VALUE!</v>
      </c>
      <c r="GL23" t="e">
        <f>ALDO!F225+"$GJ|!gw"</f>
        <v>#VALUE!</v>
      </c>
      <c r="GM23" t="e">
        <f>ALDO!G225+"$GJ|!gx"</f>
        <v>#VALUE!</v>
      </c>
      <c r="GN23" t="e">
        <f>ALDO!I225+"$GJ|!gy"</f>
        <v>#VALUE!</v>
      </c>
      <c r="GO23" t="e">
        <f>ALDO!J225+"$GJ|!gz"</f>
        <v>#VALUE!</v>
      </c>
      <c r="GP23" t="e">
        <f>ALDO!B226+"$GJ|!g{"</f>
        <v>#VALUE!</v>
      </c>
      <c r="GQ23" t="e">
        <f>ALDO!C226+"$GJ|!g|"</f>
        <v>#VALUE!</v>
      </c>
      <c r="GR23" t="e">
        <f>ALDO!D226+"$GJ|!g}"</f>
        <v>#VALUE!</v>
      </c>
      <c r="GS23" t="e">
        <f>ALDO!E226+"$GJ|!g~"</f>
        <v>#VALUE!</v>
      </c>
      <c r="GT23" t="e">
        <f>ALDO!F226+"$GJ|!h#"</f>
        <v>#VALUE!</v>
      </c>
      <c r="GU23" t="e">
        <f>ALDO!G226+"$GJ|!h$"</f>
        <v>#VALUE!</v>
      </c>
      <c r="GV23" t="e">
        <f>ALDO!I226+"$GJ|!h%"</f>
        <v>#VALUE!</v>
      </c>
      <c r="GW23" t="e">
        <f>ALDO!J226+"$GJ|!h&amp;"</f>
        <v>#VALUE!</v>
      </c>
      <c r="GX23" t="e">
        <f>ALDO!B227+"$GJ|!h'"</f>
        <v>#VALUE!</v>
      </c>
      <c r="GY23" t="e">
        <f>ALDO!C227+"$GJ|!h("</f>
        <v>#VALUE!</v>
      </c>
      <c r="GZ23" t="e">
        <f>ALDO!D227+"$GJ|!h)"</f>
        <v>#VALUE!</v>
      </c>
      <c r="HA23" t="e">
        <f>ALDO!E227+"$GJ|!h."</f>
        <v>#VALUE!</v>
      </c>
      <c r="HB23" t="e">
        <f>ALDO!F227+"$GJ|!h/"</f>
        <v>#VALUE!</v>
      </c>
      <c r="HC23" t="e">
        <f>ALDO!G227+"$GJ|!h0"</f>
        <v>#VALUE!</v>
      </c>
      <c r="HD23" t="e">
        <f>ALDO!B228+"$GJ|!h1"</f>
        <v>#VALUE!</v>
      </c>
      <c r="HE23" t="e">
        <f>ALDO!C228+"$GJ|!h2"</f>
        <v>#VALUE!</v>
      </c>
      <c r="HF23" t="e">
        <f>ALDO!D228+"$GJ|!h3"</f>
        <v>#VALUE!</v>
      </c>
      <c r="HG23" t="e">
        <f>ALDO!E228+"$GJ|!h4"</f>
        <v>#VALUE!</v>
      </c>
      <c r="HH23" t="e">
        <f>ALDO!F228+"$GJ|!h5"</f>
        <v>#VALUE!</v>
      </c>
      <c r="HI23" t="e">
        <f>ALDO!G228+"$GJ|!h6"</f>
        <v>#VALUE!</v>
      </c>
      <c r="HJ23" t="e">
        <f>ALDO!B229+"$GJ|!h7"</f>
        <v>#VALUE!</v>
      </c>
      <c r="HK23" t="e">
        <f>ALDO!C229+"$GJ|!h8"</f>
        <v>#VALUE!</v>
      </c>
      <c r="HL23" t="e">
        <f>ALDO!D229+"$GJ|!h9"</f>
        <v>#VALUE!</v>
      </c>
      <c r="HM23" t="e">
        <f>ALDO!E229+"$GJ|!h:"</f>
        <v>#VALUE!</v>
      </c>
      <c r="HN23" t="e">
        <f>ALDO!F229+"$GJ|!h;"</f>
        <v>#VALUE!</v>
      </c>
      <c r="HO23" t="e">
        <f>ALDO!G229+"$GJ|!h&lt;"</f>
        <v>#VALUE!</v>
      </c>
      <c r="HP23" t="e">
        <f>ALDO!B230+"$GJ|!h="</f>
        <v>#VALUE!</v>
      </c>
      <c r="HQ23" t="e">
        <f>ALDO!C230+"$GJ|!h&gt;"</f>
        <v>#VALUE!</v>
      </c>
      <c r="HR23" t="e">
        <f>ALDO!D230+"$GJ|!h?"</f>
        <v>#VALUE!</v>
      </c>
      <c r="HS23" t="e">
        <f>ALDO!E230+"$GJ|!h@"</f>
        <v>#VALUE!</v>
      </c>
      <c r="HT23" t="e">
        <f>ALDO!F230+"$GJ|!hA"</f>
        <v>#VALUE!</v>
      </c>
      <c r="HU23" t="e">
        <f>ALDO!G230+"$GJ|!hB"</f>
        <v>#VALUE!</v>
      </c>
      <c r="HV23" t="e">
        <f>ALDO!I230+"$GJ|!hC"</f>
        <v>#VALUE!</v>
      </c>
      <c r="HW23" t="e">
        <f>ALDO!J230+"$GJ|!hD"</f>
        <v>#VALUE!</v>
      </c>
      <c r="HX23" t="e">
        <f>ALDO!B231+"$GJ|!hE"</f>
        <v>#VALUE!</v>
      </c>
      <c r="HY23" t="e">
        <f>ALDO!C231+"$GJ|!hF"</f>
        <v>#VALUE!</v>
      </c>
      <c r="HZ23" t="e">
        <f>ALDO!D231+"$GJ|!hG"</f>
        <v>#VALUE!</v>
      </c>
      <c r="IA23" t="e">
        <f>ALDO!E231+"$GJ|!hH"</f>
        <v>#VALUE!</v>
      </c>
      <c r="IB23" t="e">
        <f>ALDO!F231+"$GJ|!hI"</f>
        <v>#VALUE!</v>
      </c>
      <c r="IC23" t="e">
        <f>ALDO!G231+"$GJ|!hJ"</f>
        <v>#VALUE!</v>
      </c>
      <c r="ID23" t="e">
        <f>ALDO!B232+"$GJ|!hK"</f>
        <v>#VALUE!</v>
      </c>
      <c r="IE23" t="e">
        <f>ALDO!C232+"$GJ|!hL"</f>
        <v>#VALUE!</v>
      </c>
      <c r="IF23" t="e">
        <f>ALDO!D232+"$GJ|!hM"</f>
        <v>#VALUE!</v>
      </c>
      <c r="IG23" t="e">
        <f>ALDO!E232+"$GJ|!hN"</f>
        <v>#VALUE!</v>
      </c>
      <c r="IH23" t="e">
        <f>ALDO!F232+"$GJ|!hO"</f>
        <v>#VALUE!</v>
      </c>
      <c r="II23" t="e">
        <f>ALDO!G232+"$GJ|!hP"</f>
        <v>#VALUE!</v>
      </c>
      <c r="IJ23" t="e">
        <f>ALDO!B233+"$GJ|!hQ"</f>
        <v>#VALUE!</v>
      </c>
      <c r="IK23" t="e">
        <f>ALDO!C233+"$GJ|!hR"</f>
        <v>#VALUE!</v>
      </c>
      <c r="IL23" t="e">
        <f>ALDO!D233+"$GJ|!hS"</f>
        <v>#VALUE!</v>
      </c>
      <c r="IM23" t="e">
        <f>ALDO!E233+"$GJ|!hT"</f>
        <v>#VALUE!</v>
      </c>
      <c r="IN23" t="e">
        <f>ALDO!F233+"$GJ|!hU"</f>
        <v>#VALUE!</v>
      </c>
      <c r="IO23" t="e">
        <f>ALDO!G233+"$GJ|!hV"</f>
        <v>#VALUE!</v>
      </c>
      <c r="IP23" t="e">
        <f>ALDO!J233+"$GJ|!hW"</f>
        <v>#VALUE!</v>
      </c>
      <c r="IQ23" t="e">
        <f>ALDO!B234+"$GJ|!hX"</f>
        <v>#VALUE!</v>
      </c>
      <c r="IR23" t="e">
        <f>ALDO!C234+"$GJ|!hY"</f>
        <v>#VALUE!</v>
      </c>
      <c r="IS23" t="e">
        <f>ALDO!D234+"$GJ|!hZ"</f>
        <v>#VALUE!</v>
      </c>
      <c r="IT23" t="e">
        <f>ALDO!E234+"$GJ|!h["</f>
        <v>#VALUE!</v>
      </c>
      <c r="IU23" t="e">
        <f>ALDO!F234+"$GJ|!h\"</f>
        <v>#VALUE!</v>
      </c>
      <c r="IV23" t="e">
        <f>ALDO!G234+"$GJ|!h]"</f>
        <v>#VALUE!</v>
      </c>
    </row>
    <row r="24" spans="6:256" x14ac:dyDescent="0.25">
      <c r="F24" t="e">
        <f>ALDO!B235+"$GJ|!h^"</f>
        <v>#VALUE!</v>
      </c>
      <c r="G24" t="e">
        <f>ALDO!C235+"$GJ|!h_"</f>
        <v>#VALUE!</v>
      </c>
      <c r="H24" t="e">
        <f>ALDO!D235+"$GJ|!h`"</f>
        <v>#VALUE!</v>
      </c>
      <c r="I24" t="e">
        <f>ALDO!E235+"$GJ|!ha"</f>
        <v>#VALUE!</v>
      </c>
      <c r="J24" t="e">
        <f>ALDO!F235+"$GJ|!hb"</f>
        <v>#VALUE!</v>
      </c>
      <c r="K24" t="e">
        <f>ALDO!G235+"$GJ|!hc"</f>
        <v>#VALUE!</v>
      </c>
      <c r="L24" t="e">
        <f>ALDO!I235+"$GJ|!hd"</f>
        <v>#VALUE!</v>
      </c>
      <c r="M24" t="e">
        <f>ALDO!J235+"$GJ|!he"</f>
        <v>#VALUE!</v>
      </c>
      <c r="N24" t="e">
        <f>ALDO!B236+"$GJ|!hf"</f>
        <v>#VALUE!</v>
      </c>
      <c r="O24" t="e">
        <f>ALDO!C236+"$GJ|!hg"</f>
        <v>#VALUE!</v>
      </c>
      <c r="P24" t="e">
        <f>ALDO!D236+"$GJ|!hh"</f>
        <v>#VALUE!</v>
      </c>
      <c r="Q24" t="e">
        <f>ALDO!E236+"$GJ|!hi"</f>
        <v>#VALUE!</v>
      </c>
      <c r="R24" t="e">
        <f>ALDO!F236+"$GJ|!hj"</f>
        <v>#VALUE!</v>
      </c>
      <c r="S24" t="e">
        <f>ALDO!G236+"$GJ|!hk"</f>
        <v>#VALUE!</v>
      </c>
      <c r="T24" t="e">
        <f>ALDO!B237+"$GJ|!hl"</f>
        <v>#VALUE!</v>
      </c>
      <c r="U24" t="e">
        <f>ALDO!C237+"$GJ|!hm"</f>
        <v>#VALUE!</v>
      </c>
      <c r="V24" t="e">
        <f>ALDO!D237+"$GJ|!hn"</f>
        <v>#VALUE!</v>
      </c>
      <c r="W24" t="e">
        <f>ALDO!E237+"$GJ|!ho"</f>
        <v>#VALUE!</v>
      </c>
      <c r="X24" t="e">
        <f>ALDO!F237+"$GJ|!hp"</f>
        <v>#VALUE!</v>
      </c>
      <c r="Y24" t="e">
        <f>ALDO!G237+"$GJ|!hq"</f>
        <v>#VALUE!</v>
      </c>
      <c r="Z24" t="e">
        <f>ALDO!B238+"$GJ|!hr"</f>
        <v>#VALUE!</v>
      </c>
      <c r="AA24" t="e">
        <f>ALDO!C238+"$GJ|!hs"</f>
        <v>#VALUE!</v>
      </c>
      <c r="AB24" t="e">
        <f>ALDO!D238+"$GJ|!ht"</f>
        <v>#VALUE!</v>
      </c>
      <c r="AC24" t="e">
        <f>ALDO!E238+"$GJ|!hu"</f>
        <v>#VALUE!</v>
      </c>
      <c r="AD24" t="e">
        <f>ALDO!F238+"$GJ|!hv"</f>
        <v>#VALUE!</v>
      </c>
      <c r="AE24" t="e">
        <f>ALDO!G238+"$GJ|!hw"</f>
        <v>#VALUE!</v>
      </c>
      <c r="AF24" t="e">
        <f>ALDO!B239+"$GJ|!hx"</f>
        <v>#VALUE!</v>
      </c>
      <c r="AG24" t="e">
        <f>ALDO!C239+"$GJ|!hy"</f>
        <v>#VALUE!</v>
      </c>
      <c r="AH24" t="e">
        <f>ALDO!D239+"$GJ|!hz"</f>
        <v>#VALUE!</v>
      </c>
      <c r="AI24" t="e">
        <f>ALDO!E239+"$GJ|!h{"</f>
        <v>#VALUE!</v>
      </c>
      <c r="AJ24" t="e">
        <f>ALDO!F239+"$GJ|!h|"</f>
        <v>#VALUE!</v>
      </c>
      <c r="AK24" t="e">
        <f>ALDO!G239+"$GJ|!h}"</f>
        <v>#VALUE!</v>
      </c>
      <c r="AL24" t="e">
        <f>ALDO!B240+"$GJ|!h~"</f>
        <v>#VALUE!</v>
      </c>
      <c r="AM24" t="e">
        <f>ALDO!C240+"$GJ|!i#"</f>
        <v>#VALUE!</v>
      </c>
      <c r="AN24" t="e">
        <f>ALDO!D240+"$GJ|!i$"</f>
        <v>#VALUE!</v>
      </c>
      <c r="AO24" t="e">
        <f>ALDO!E240+"$GJ|!i%"</f>
        <v>#VALUE!</v>
      </c>
      <c r="AP24" t="e">
        <f>ALDO!F240+"$GJ|!i&amp;"</f>
        <v>#VALUE!</v>
      </c>
      <c r="AQ24" t="e">
        <f>ALDO!G240+"$GJ|!i'"</f>
        <v>#VALUE!</v>
      </c>
      <c r="AR24" t="e">
        <f>ALDO!B241+"$GJ|!i("</f>
        <v>#VALUE!</v>
      </c>
      <c r="AS24" t="e">
        <f>ALDO!C241+"$GJ|!i)"</f>
        <v>#VALUE!</v>
      </c>
      <c r="AT24" t="e">
        <f>ALDO!D241+"$GJ|!i."</f>
        <v>#VALUE!</v>
      </c>
      <c r="AU24" t="e">
        <f>ALDO!E241+"$GJ|!i/"</f>
        <v>#VALUE!</v>
      </c>
      <c r="AV24" t="e">
        <f>ALDO!F241+"$GJ|!i0"</f>
        <v>#VALUE!</v>
      </c>
      <c r="AW24" t="e">
        <f>ALDO!G241+"$GJ|!i1"</f>
        <v>#VALUE!</v>
      </c>
      <c r="AX24" t="e">
        <f>ALDO!J241+"$GJ|!i2"</f>
        <v>#VALUE!</v>
      </c>
      <c r="AY24" t="e">
        <f>ALDO!B242+"$GJ|!i3"</f>
        <v>#VALUE!</v>
      </c>
      <c r="AZ24" t="e">
        <f>ALDO!C242+"$GJ|!i4"</f>
        <v>#VALUE!</v>
      </c>
      <c r="BA24" t="e">
        <f>ALDO!D242+"$GJ|!i5"</f>
        <v>#VALUE!</v>
      </c>
      <c r="BB24" t="e">
        <f>ALDO!E242+"$GJ|!i6"</f>
        <v>#VALUE!</v>
      </c>
      <c r="BC24" t="e">
        <f>ALDO!F242+"$GJ|!i7"</f>
        <v>#VALUE!</v>
      </c>
      <c r="BD24" t="e">
        <f>ALDO!G242+"$GJ|!i8"</f>
        <v>#VALUE!</v>
      </c>
      <c r="BE24" t="e">
        <f>ALDO!B243+"$GJ|!i9"</f>
        <v>#VALUE!</v>
      </c>
      <c r="BF24" t="e">
        <f>ALDO!C243+"$GJ|!i:"</f>
        <v>#VALUE!</v>
      </c>
      <c r="BG24" t="e">
        <f>ALDO!D243+"$GJ|!i;"</f>
        <v>#VALUE!</v>
      </c>
      <c r="BH24" t="e">
        <f>ALDO!E243+"$GJ|!i&lt;"</f>
        <v>#VALUE!</v>
      </c>
      <c r="BI24" t="e">
        <f>ALDO!F243+"$GJ|!i="</f>
        <v>#VALUE!</v>
      </c>
      <c r="BJ24" t="e">
        <f>ALDO!G243+"$GJ|!i&gt;"</f>
        <v>#VALUE!</v>
      </c>
      <c r="BK24" t="e">
        <f>ALDO!B244+"$GJ|!i?"</f>
        <v>#VALUE!</v>
      </c>
      <c r="BL24" t="e">
        <f>ALDO!C244+"$GJ|!i@"</f>
        <v>#VALUE!</v>
      </c>
      <c r="BM24" t="e">
        <f>ALDO!D244+"$GJ|!iA"</f>
        <v>#VALUE!</v>
      </c>
      <c r="BN24" t="e">
        <f>ALDO!E244+"$GJ|!iB"</f>
        <v>#VALUE!</v>
      </c>
      <c r="BO24" t="e">
        <f>ALDO!F244+"$GJ|!iC"</f>
        <v>#VALUE!</v>
      </c>
      <c r="BP24" t="e">
        <f>ALDO!G244+"$GJ|!iD"</f>
        <v>#VALUE!</v>
      </c>
      <c r="BQ24" t="e">
        <f>ALDO!B245+"$GJ|!iE"</f>
        <v>#VALUE!</v>
      </c>
      <c r="BR24" t="e">
        <f>ALDO!C245+"$GJ|!iF"</f>
        <v>#VALUE!</v>
      </c>
      <c r="BS24" t="e">
        <f>ALDO!D245+"$GJ|!iG"</f>
        <v>#VALUE!</v>
      </c>
      <c r="BT24" t="e">
        <f>ALDO!E245+"$GJ|!iH"</f>
        <v>#VALUE!</v>
      </c>
      <c r="BU24" t="e">
        <f>ALDO!F245+"$GJ|!iI"</f>
        <v>#VALUE!</v>
      </c>
      <c r="BV24" t="e">
        <f>ALDO!G245+"$GJ|!iJ"</f>
        <v>#VALUE!</v>
      </c>
      <c r="BW24" t="e">
        <f>ALDO!B246+"$GJ|!iK"</f>
        <v>#VALUE!</v>
      </c>
      <c r="BX24" t="e">
        <f>ALDO!C246+"$GJ|!iL"</f>
        <v>#VALUE!</v>
      </c>
      <c r="BY24" t="e">
        <f>ALDO!D246+"$GJ|!iM"</f>
        <v>#VALUE!</v>
      </c>
      <c r="BZ24" t="e">
        <f>ALDO!E246+"$GJ|!iN"</f>
        <v>#VALUE!</v>
      </c>
      <c r="CA24" t="e">
        <f>ALDO!F246+"$GJ|!iO"</f>
        <v>#VALUE!</v>
      </c>
      <c r="CB24" t="e">
        <f>ALDO!G246+"$GJ|!iP"</f>
        <v>#VALUE!</v>
      </c>
      <c r="CC24" t="e">
        <f>ALDO!B247+"$GJ|!iQ"</f>
        <v>#VALUE!</v>
      </c>
      <c r="CD24" t="e">
        <f>ALDO!C247+"$GJ|!iR"</f>
        <v>#VALUE!</v>
      </c>
      <c r="CE24" t="e">
        <f>ALDO!D247+"$GJ|!iS"</f>
        <v>#VALUE!</v>
      </c>
      <c r="CF24" t="e">
        <f>ALDO!E247+"$GJ|!iT"</f>
        <v>#VALUE!</v>
      </c>
      <c r="CG24" t="e">
        <f>ALDO!F247+"$GJ|!iU"</f>
        <v>#VALUE!</v>
      </c>
      <c r="CH24" t="e">
        <f>ALDO!G247+"$GJ|!iV"</f>
        <v>#VALUE!</v>
      </c>
      <c r="CI24" t="e">
        <f>ALDO!B248+"$GJ|!iW"</f>
        <v>#VALUE!</v>
      </c>
      <c r="CJ24" t="e">
        <f>ALDO!C248+"$GJ|!iX"</f>
        <v>#VALUE!</v>
      </c>
      <c r="CK24" t="e">
        <f>ALDO!D248+"$GJ|!iY"</f>
        <v>#VALUE!</v>
      </c>
      <c r="CL24" t="e">
        <f>ALDO!E248+"$GJ|!iZ"</f>
        <v>#VALUE!</v>
      </c>
      <c r="CM24" t="e">
        <f>ALDO!F248+"$GJ|!i["</f>
        <v>#VALUE!</v>
      </c>
      <c r="CN24" t="e">
        <f>ALDO!G248+"$GJ|!i\"</f>
        <v>#VALUE!</v>
      </c>
      <c r="CO24" t="e">
        <f>ALDO!B249+"$GJ|!i]"</f>
        <v>#VALUE!</v>
      </c>
      <c r="CP24" t="e">
        <f>ALDO!C249+"$GJ|!i^"</f>
        <v>#VALUE!</v>
      </c>
      <c r="CQ24" t="e">
        <f>ALDO!D249+"$GJ|!i_"</f>
        <v>#VALUE!</v>
      </c>
      <c r="CR24" t="e">
        <f>ALDO!E249+"$GJ|!i`"</f>
        <v>#VALUE!</v>
      </c>
      <c r="CS24" t="e">
        <f>ALDO!F249+"$GJ|!ia"</f>
        <v>#VALUE!</v>
      </c>
      <c r="CT24" t="e">
        <f>ALDO!G249+"$GJ|!ib"</f>
        <v>#VALUE!</v>
      </c>
      <c r="CU24" t="e">
        <f>ALDO!B250+"$GJ|!ic"</f>
        <v>#VALUE!</v>
      </c>
      <c r="CV24" t="e">
        <f>ALDO!C250+"$GJ|!id"</f>
        <v>#VALUE!</v>
      </c>
      <c r="CW24" t="e">
        <f>ALDO!D250+"$GJ|!ie"</f>
        <v>#VALUE!</v>
      </c>
      <c r="CX24" t="e">
        <f>ALDO!E250+"$GJ|!if"</f>
        <v>#VALUE!</v>
      </c>
      <c r="CY24" t="e">
        <f>ALDO!F250+"$GJ|!ig"</f>
        <v>#VALUE!</v>
      </c>
      <c r="CZ24" t="e">
        <f>ALDO!G250+"$GJ|!ih"</f>
        <v>#VALUE!</v>
      </c>
      <c r="DA24" t="e">
        <f>ALDO!B251+"$GJ|!ii"</f>
        <v>#VALUE!</v>
      </c>
      <c r="DB24" t="e">
        <f>ALDO!C251+"$GJ|!ij"</f>
        <v>#VALUE!</v>
      </c>
      <c r="DC24" t="e">
        <f>ALDO!D251+"$GJ|!ik"</f>
        <v>#VALUE!</v>
      </c>
      <c r="DD24" t="e">
        <f>ALDO!E251+"$GJ|!il"</f>
        <v>#VALUE!</v>
      </c>
      <c r="DE24" t="e">
        <f>ALDO!F251+"$GJ|!im"</f>
        <v>#VALUE!</v>
      </c>
      <c r="DF24" t="e">
        <f>ALDO!G251+"$GJ|!in"</f>
        <v>#VALUE!</v>
      </c>
      <c r="DG24" t="e">
        <f>ALDO!B252+"$GJ|!io"</f>
        <v>#VALUE!</v>
      </c>
      <c r="DH24" t="e">
        <f>ALDO!C252+"$GJ|!ip"</f>
        <v>#VALUE!</v>
      </c>
      <c r="DI24" t="e">
        <f>ALDO!D252+"$GJ|!iq"</f>
        <v>#VALUE!</v>
      </c>
      <c r="DJ24" t="e">
        <f>ALDO!E252+"$GJ|!ir"</f>
        <v>#VALUE!</v>
      </c>
      <c r="DK24" t="e">
        <f>ALDO!F252+"$GJ|!is"</f>
        <v>#VALUE!</v>
      </c>
      <c r="DL24" t="e">
        <f>ALDO!G252+"$GJ|!it"</f>
        <v>#VALUE!</v>
      </c>
      <c r="DM24" t="e">
        <f>ALDO!B253+"$GJ|!iu"</f>
        <v>#VALUE!</v>
      </c>
      <c r="DN24" t="e">
        <f>ALDO!C253+"$GJ|!iv"</f>
        <v>#VALUE!</v>
      </c>
      <c r="DO24" t="e">
        <f>ALDO!D253+"$GJ|!iw"</f>
        <v>#VALUE!</v>
      </c>
      <c r="DP24" t="e">
        <f>ALDO!E253+"$GJ|!ix"</f>
        <v>#VALUE!</v>
      </c>
      <c r="DQ24" t="e">
        <f>ALDO!F253+"$GJ|!iy"</f>
        <v>#VALUE!</v>
      </c>
      <c r="DR24" t="e">
        <f>ALDO!G253+"$GJ|!iz"</f>
        <v>#VALUE!</v>
      </c>
      <c r="DS24" t="e">
        <f>ALDO!I227+"$?X3!%"</f>
        <v>#VALUE!</v>
      </c>
      <c r="DT24" t="e">
        <f>ALDO!I229+"$?X3!&amp;"</f>
        <v>#VALUE!</v>
      </c>
      <c r="DU24" t="e">
        <f>ALDO!I232+"$?X3!'"</f>
        <v>#VALUE!</v>
      </c>
      <c r="DV24" t="e">
        <f>ALDO!I234+"$?X3!("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 or FI trade</vt:lpstr>
      <vt:lpstr>ALDO</vt:lpstr>
      <vt:lpstr>FX trade</vt:lpstr>
      <vt:lpstr>RTSS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2019-06-03T17:25:05Z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631382</vt:lpwstr>
  </property>
  <property fmtid="{D5CDD505-2E9C-101B-9397-08002B2CF9AE}" pid="3" name="Offisync_ServerID">
    <vt:lpwstr>f652768b-7268-4b99-9af2-1a69b39202e2</vt:lpwstr>
  </property>
  <property fmtid="{D5CDD505-2E9C-101B-9397-08002B2CF9AE}" pid="4" name="Offisync_UpdateToken">
    <vt:lpwstr>12</vt:lpwstr>
  </property>
  <property fmtid="{D5CDD505-2E9C-101B-9397-08002B2CF9AE}" pid="5" name="Jive_VersionGuid">
    <vt:lpwstr>57b41a69a1624d69ab860862098ead20</vt:lpwstr>
  </property>
  <property fmtid="{D5CDD505-2E9C-101B-9397-08002B2CF9AE}" pid="6" name="Offisync_ProviderInitializationData">
    <vt:lpwstr>https://sbc.safe.socgen</vt:lpwstr>
  </property>
  <property fmtid="{D5CDD505-2E9C-101B-9397-08002B2CF9AE}" pid="7" name="Jive_LatestUserAccountName">
    <vt:lpwstr>x175724</vt:lpwstr>
  </property>
  <property fmtid="{D5CDD505-2E9C-101B-9397-08002B2CF9AE}" pid="8" name="Jive_ModifiedButNotPublished">
    <vt:lpwstr/>
  </property>
  <property fmtid="{D5CDD505-2E9C-101B-9397-08002B2CF9AE}" pid="9" name="Jive_PrevVersionNumber">
    <vt:lpwstr/>
  </property>
  <property fmtid="{D5CDD505-2E9C-101B-9397-08002B2CF9AE}" pid="10" name="Jive_VersionGuid_v2.5">
    <vt:lpwstr/>
  </property>
  <property fmtid="{D5CDD505-2E9C-101B-9397-08002B2CF9AE}" pid="11" name="Jive_LatestFileFullName">
    <vt:lpwstr>a06d7a5537f8c7739de70932a1bb2143</vt:lpwstr>
  </property>
</Properties>
</file>