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kwan/software/PyKIE/Data_Analysis/"/>
    </mc:Choice>
  </mc:AlternateContent>
  <xr:revisionPtr revIDLastSave="0" documentId="13_ncr:1_{F87153A8-DBF0-0341-92BF-95215D6C25CC}" xr6:coauthVersionLast="31" xr6:coauthVersionMax="31" xr10:uidLastSave="{00000000-0000-0000-0000-000000000000}"/>
  <bookViews>
    <workbookView xWindow="0" yWindow="460" windowWidth="28800" windowHeight="17540" activeTab="24" xr2:uid="{00000000-000D-0000-FFFF-FFFF00000000}"/>
  </bookViews>
  <sheets>
    <sheet name="CVTSCT" sheetId="5" state="hidden" r:id="rId1"/>
    <sheet name="KIE_2_26 old2" sheetId="6" state="hidden" r:id="rId2"/>
    <sheet name="KIE_3_2 old" sheetId="7" state="hidden" r:id="rId3"/>
    <sheet name="KIE_3_2 old2" sheetId="8" state="hidden" r:id="rId4"/>
    <sheet name="KIE_3_5 Harrison" sheetId="9" state="hidden" r:id="rId5"/>
    <sheet name="pOCF3 BnBr KIE" sheetId="10" state="hidden" r:id="rId6"/>
    <sheet name="KIE_2_26 old" sheetId="11" state="hidden" r:id="rId7"/>
    <sheet name="KIE_3_5 Yuwen" sheetId="12" state="hidden" r:id="rId8"/>
    <sheet name="KIE_3_5 Eugene" sheetId="13" state="hidden" r:id="rId9"/>
    <sheet name="KIE_2_26 old3" sheetId="14" state="hidden" r:id="rId10"/>
    <sheet name="KIE_3_2 old3" sheetId="20" state="hidden" r:id="rId11"/>
    <sheet name="KIE_3_7 old" sheetId="21" state="hidden" r:id="rId12"/>
    <sheet name="KIE_3_28_old" sheetId="22" state="hidden" r:id="rId13"/>
    <sheet name="YZ-KIE_3_28" sheetId="23" state="hidden" r:id="rId14"/>
    <sheet name="KIE_4_2 old" sheetId="24" state="hidden" r:id="rId15"/>
    <sheet name="YZ- KIE_4_2" sheetId="25" state="hidden" r:id="rId16"/>
    <sheet name="KIE search" sheetId="26" state="hidden" r:id="rId17"/>
    <sheet name="SnAr Screen" sheetId="27" state="hidden" r:id="rId18"/>
    <sheet name="stability_5_4" sheetId="28" state="hidden" r:id="rId19"/>
    <sheet name="KIE_6_22 old" sheetId="29" state="hidden" r:id="rId20"/>
    <sheet name="SN2 KIEs old" sheetId="31" state="hidden" r:id="rId21"/>
    <sheet name="KIE_5_5" sheetId="32" state="hidden" r:id="rId22"/>
    <sheet name="KIE_5_20_batch1" sheetId="33" state="hidden" r:id="rId23"/>
    <sheet name="KIE_5_20_batch2" sheetId="34" state="hidden" r:id="rId24"/>
    <sheet name="SM Analysis KIE Calculation" sheetId="38" r:id="rId25"/>
    <sheet name="Prod Analysis KIE Calculation" sheetId="56" r:id="rId26"/>
    <sheet name="KIE_6_3_Cl_F old" sheetId="39" state="hidden" r:id="rId27"/>
    <sheet name="KIE_6_9_Cl_F old" sheetId="40" state="hidden" r:id="rId28"/>
    <sheet name="KIE_6_9_Cl_F old2" sheetId="41" state="hidden" r:id="rId29"/>
    <sheet name="KIE_6_9_F_OMe old" sheetId="42" state="hidden" r:id="rId30"/>
    <sheet name="KIE_6_30_anis" sheetId="44" state="hidden" r:id="rId31"/>
    <sheet name="KIE_6_16_nico old" sheetId="45" state="hidden" r:id="rId32"/>
    <sheet name="intermediates old" sheetId="46" state="hidden" r:id="rId33"/>
    <sheet name="intermediate_screen" sheetId="48" state="hidden" r:id="rId34"/>
    <sheet name="bond lengths" sheetId="49" state="hidden" r:id="rId35"/>
    <sheet name="tempcal" sheetId="50" state="hidden" r:id="rId36"/>
    <sheet name="chemicals" sheetId="51" state="hidden" r:id="rId37"/>
    <sheet name="schedule" sheetId="52" state="hidden" r:id="rId38"/>
    <sheet name="KIE_3_2 Schedule" sheetId="54" state="hidden" r:id="rId39"/>
  </sheets>
  <definedNames>
    <definedName name="_xlnm._FilterDatabase" localSheetId="16" hidden="1">'KIE search'!$A$3:$F$55</definedName>
  </definedNames>
  <calcPr calcId="179017"/>
</workbook>
</file>

<file path=xl/calcChain.xml><?xml version="1.0" encoding="utf-8"?>
<calcChain xmlns="http://schemas.openxmlformats.org/spreadsheetml/2006/main">
  <c r="C17" i="56" l="1"/>
  <c r="B17" i="56"/>
  <c r="C16" i="56"/>
  <c r="B22" i="56" s="1"/>
  <c r="D22" i="56" s="1"/>
  <c r="B16" i="56"/>
  <c r="B16" i="38"/>
  <c r="C16" i="38"/>
  <c r="B17" i="38"/>
  <c r="C17" i="38"/>
  <c r="B23" i="38" s="1"/>
  <c r="L10" i="56"/>
  <c r="M10" i="56"/>
  <c r="L11" i="56"/>
  <c r="M11" i="56"/>
  <c r="L12" i="56"/>
  <c r="L16" i="56" s="1"/>
  <c r="M12" i="56"/>
  <c r="M16" i="56" s="1"/>
  <c r="B33" i="56" s="1"/>
  <c r="B35" i="56" s="1"/>
  <c r="B42" i="56" s="1"/>
  <c r="L13" i="56"/>
  <c r="L17" i="56" s="1"/>
  <c r="M13" i="56"/>
  <c r="M17" i="56" s="1"/>
  <c r="C33" i="56" s="1"/>
  <c r="C35" i="56" s="1"/>
  <c r="C42" i="56" s="1"/>
  <c r="B18" i="56"/>
  <c r="C18" i="56"/>
  <c r="C22" i="56" s="1"/>
  <c r="L18" i="56"/>
  <c r="M18" i="56"/>
  <c r="B34" i="56" s="1"/>
  <c r="C34" i="56" s="1"/>
  <c r="B23" i="56"/>
  <c r="B15" i="50"/>
  <c r="B14" i="50"/>
  <c r="B13" i="50"/>
  <c r="B12" i="50"/>
  <c r="B11" i="50"/>
  <c r="B10" i="50"/>
  <c r="B9" i="50"/>
  <c r="B8" i="50"/>
  <c r="B7" i="50"/>
  <c r="B6" i="50"/>
  <c r="G82" i="49"/>
  <c r="F82" i="49"/>
  <c r="G81" i="49"/>
  <c r="F81" i="49"/>
  <c r="H82" i="49"/>
  <c r="G80" i="49"/>
  <c r="F80" i="49"/>
  <c r="H81" i="49" s="1"/>
  <c r="F78" i="49"/>
  <c r="H79" i="49" s="1"/>
  <c r="G78" i="49"/>
  <c r="G79" i="49"/>
  <c r="F79" i="49"/>
  <c r="H80" i="49"/>
  <c r="G77" i="49"/>
  <c r="F77" i="49"/>
  <c r="H78" i="49"/>
  <c r="G76" i="49"/>
  <c r="F76" i="49"/>
  <c r="H77" i="49"/>
  <c r="G75" i="49"/>
  <c r="F75" i="49"/>
  <c r="H76" i="49"/>
  <c r="G74" i="49"/>
  <c r="F74" i="49"/>
  <c r="H75" i="49" s="1"/>
  <c r="G73" i="49"/>
  <c r="F73" i="49"/>
  <c r="H74" i="49"/>
  <c r="G72" i="49"/>
  <c r="F72" i="49"/>
  <c r="H73" i="49" s="1"/>
  <c r="F70" i="49"/>
  <c r="H71" i="49" s="1"/>
  <c r="G70" i="49"/>
  <c r="G71" i="49"/>
  <c r="F71" i="49"/>
  <c r="H72" i="49"/>
  <c r="G69" i="49"/>
  <c r="F69" i="49"/>
  <c r="H70" i="49"/>
  <c r="G68" i="49"/>
  <c r="F68" i="49"/>
  <c r="H69" i="49"/>
  <c r="F66" i="49"/>
  <c r="G66" i="49"/>
  <c r="H67" i="49"/>
  <c r="G67" i="49"/>
  <c r="F67" i="49"/>
  <c r="H68" i="49" s="1"/>
  <c r="G65" i="49"/>
  <c r="F65" i="49"/>
  <c r="H66" i="49"/>
  <c r="G64" i="49"/>
  <c r="F64" i="49"/>
  <c r="H65" i="49" s="1"/>
  <c r="F62" i="49"/>
  <c r="H63" i="49" s="1"/>
  <c r="G62" i="49"/>
  <c r="G63" i="49"/>
  <c r="F63" i="49"/>
  <c r="H64" i="49"/>
  <c r="G61" i="49"/>
  <c r="F61" i="49"/>
  <c r="H62" i="49"/>
  <c r="G60" i="49"/>
  <c r="F60" i="49"/>
  <c r="H61" i="49"/>
  <c r="G59" i="49"/>
  <c r="F59" i="49"/>
  <c r="H60" i="49"/>
  <c r="G58" i="49"/>
  <c r="F58" i="49"/>
  <c r="H59" i="49" s="1"/>
  <c r="G57" i="49"/>
  <c r="F57" i="49"/>
  <c r="H58" i="49"/>
  <c r="G56" i="49"/>
  <c r="F56" i="49"/>
  <c r="H57" i="49" s="1"/>
  <c r="F54" i="49"/>
  <c r="H55" i="49" s="1"/>
  <c r="G54" i="49"/>
  <c r="G55" i="49"/>
  <c r="F55" i="49"/>
  <c r="H56" i="49"/>
  <c r="G53" i="49"/>
  <c r="F53" i="49"/>
  <c r="H54" i="49"/>
  <c r="G52" i="49"/>
  <c r="F52" i="49"/>
  <c r="H53" i="49"/>
  <c r="F50" i="49"/>
  <c r="G50" i="49"/>
  <c r="H51" i="49"/>
  <c r="G51" i="49"/>
  <c r="F51" i="49"/>
  <c r="H52" i="49" s="1"/>
  <c r="G49" i="49"/>
  <c r="F49" i="49"/>
  <c r="H50" i="49"/>
  <c r="G48" i="49"/>
  <c r="F48" i="49"/>
  <c r="H49" i="49" s="1"/>
  <c r="F46" i="49"/>
  <c r="H47" i="49" s="1"/>
  <c r="G46" i="49"/>
  <c r="G47" i="49"/>
  <c r="F47" i="49"/>
  <c r="H48" i="49"/>
  <c r="G45" i="49"/>
  <c r="F45" i="49"/>
  <c r="H46" i="49"/>
  <c r="G44" i="49"/>
  <c r="F44" i="49"/>
  <c r="H45" i="49"/>
  <c r="G43" i="49"/>
  <c r="F43" i="49"/>
  <c r="H44" i="49"/>
  <c r="G42" i="49"/>
  <c r="F42" i="49"/>
  <c r="H43" i="49" s="1"/>
  <c r="G41" i="49"/>
  <c r="F41" i="49"/>
  <c r="H42" i="49"/>
  <c r="G40" i="49"/>
  <c r="F40" i="49"/>
  <c r="H41" i="49" s="1"/>
  <c r="F38" i="49"/>
  <c r="H39" i="49" s="1"/>
  <c r="G38" i="49"/>
  <c r="G39" i="49"/>
  <c r="F39" i="49"/>
  <c r="H40" i="49"/>
  <c r="G37" i="49"/>
  <c r="F37" i="49"/>
  <c r="H38" i="49"/>
  <c r="G36" i="49"/>
  <c r="F36" i="49"/>
  <c r="H37" i="49"/>
  <c r="F34" i="49"/>
  <c r="G34" i="49"/>
  <c r="H35" i="49"/>
  <c r="G35" i="49"/>
  <c r="F35" i="49"/>
  <c r="H36" i="49" s="1"/>
  <c r="G33" i="49"/>
  <c r="F33" i="49"/>
  <c r="H34" i="49"/>
  <c r="G32" i="49"/>
  <c r="F32" i="49"/>
  <c r="H33" i="49" s="1"/>
  <c r="G31" i="49"/>
  <c r="H32" i="49" s="1"/>
  <c r="F31" i="49"/>
  <c r="G30" i="49"/>
  <c r="F30" i="49"/>
  <c r="H31" i="49"/>
  <c r="G29" i="49"/>
  <c r="F29" i="49"/>
  <c r="H30" i="49"/>
  <c r="G28" i="49"/>
  <c r="F28" i="49"/>
  <c r="H29" i="49"/>
  <c r="G27" i="49"/>
  <c r="F27" i="49"/>
  <c r="H28" i="49"/>
  <c r="G26" i="49"/>
  <c r="F26" i="49"/>
  <c r="H27" i="49" s="1"/>
  <c r="G25" i="49"/>
  <c r="F25" i="49"/>
  <c r="H26" i="49"/>
  <c r="G24" i="49"/>
  <c r="F24" i="49"/>
  <c r="H25" i="49"/>
  <c r="F22" i="49"/>
  <c r="H23" i="49" s="1"/>
  <c r="G22" i="49"/>
  <c r="G23" i="49"/>
  <c r="F23" i="49"/>
  <c r="H24" i="49"/>
  <c r="G21" i="49"/>
  <c r="F21" i="49"/>
  <c r="H22" i="49"/>
  <c r="G20" i="49"/>
  <c r="F20" i="49"/>
  <c r="H21" i="49"/>
  <c r="F18" i="49"/>
  <c r="G18" i="49"/>
  <c r="H19" i="49"/>
  <c r="G19" i="49"/>
  <c r="F19" i="49"/>
  <c r="H20" i="49" s="1"/>
  <c r="G17" i="49"/>
  <c r="F17" i="49"/>
  <c r="G16" i="49"/>
  <c r="F16" i="49"/>
  <c r="H17" i="49"/>
  <c r="F15" i="49"/>
  <c r="H15" i="49" s="1"/>
  <c r="G15" i="49"/>
  <c r="G14" i="49"/>
  <c r="F14" i="49"/>
  <c r="H14" i="49"/>
  <c r="G13" i="49"/>
  <c r="F13" i="49"/>
  <c r="H13" i="49"/>
  <c r="G12" i="49"/>
  <c r="F12" i="49"/>
  <c r="H12" i="49"/>
  <c r="F11" i="49"/>
  <c r="G11" i="49"/>
  <c r="H11" i="49"/>
  <c r="G10" i="49"/>
  <c r="F10" i="49"/>
  <c r="H10" i="49" s="1"/>
  <c r="G9" i="49"/>
  <c r="F9" i="49"/>
  <c r="G8" i="49"/>
  <c r="F8" i="49"/>
  <c r="H8" i="49"/>
  <c r="F7" i="49"/>
  <c r="H7" i="49" s="1"/>
  <c r="G7" i="49"/>
  <c r="G6" i="49"/>
  <c r="F6" i="49"/>
  <c r="H6" i="49"/>
  <c r="G5" i="49"/>
  <c r="F5" i="49"/>
  <c r="H5" i="49" s="1"/>
  <c r="G4" i="49"/>
  <c r="H4" i="49" s="1"/>
  <c r="F4" i="49"/>
  <c r="F3" i="49"/>
  <c r="G3" i="49"/>
  <c r="H3" i="49"/>
  <c r="G2" i="49"/>
  <c r="F2" i="49"/>
  <c r="H2" i="49"/>
  <c r="C37" i="45"/>
  <c r="B37" i="45"/>
  <c r="F13" i="45"/>
  <c r="F15" i="45"/>
  <c r="F18" i="45"/>
  <c r="F19" i="45"/>
  <c r="B33" i="45" s="1"/>
  <c r="C32" i="45" s="1"/>
  <c r="F12" i="45"/>
  <c r="B31" i="45" s="1"/>
  <c r="F17" i="45"/>
  <c r="B27" i="45"/>
  <c r="C27" i="45"/>
  <c r="D27" i="45"/>
  <c r="E27" i="45"/>
  <c r="B26" i="45"/>
  <c r="D26" i="45" s="1"/>
  <c r="E26" i="45" s="1"/>
  <c r="C26" i="45"/>
  <c r="C25" i="45"/>
  <c r="B25" i="45"/>
  <c r="D25" i="45"/>
  <c r="E25" i="45"/>
  <c r="B24" i="45"/>
  <c r="D24" i="45" s="1"/>
  <c r="E24" i="45" s="1"/>
  <c r="C24" i="45"/>
  <c r="G20" i="45"/>
  <c r="F20" i="45"/>
  <c r="G19" i="45"/>
  <c r="G18" i="45"/>
  <c r="G17" i="45"/>
  <c r="D31" i="45" s="1"/>
  <c r="E31" i="45" s="1"/>
  <c r="B39" i="45" s="1"/>
  <c r="U15" i="45"/>
  <c r="T15" i="45"/>
  <c r="S15" i="45"/>
  <c r="R15" i="45"/>
  <c r="G15" i="45"/>
  <c r="D33" i="45" s="1"/>
  <c r="U14" i="45"/>
  <c r="T14" i="45"/>
  <c r="S14" i="45"/>
  <c r="R14" i="45"/>
  <c r="G14" i="45"/>
  <c r="D32" i="45"/>
  <c r="F14" i="45"/>
  <c r="B32" i="45"/>
  <c r="U13" i="45"/>
  <c r="T13" i="45"/>
  <c r="S13" i="45"/>
  <c r="R13" i="45"/>
  <c r="G13" i="45"/>
  <c r="G12" i="45"/>
  <c r="U12" i="45"/>
  <c r="T12" i="45"/>
  <c r="S12" i="45"/>
  <c r="R12" i="45"/>
  <c r="C18" i="44"/>
  <c r="B18" i="44"/>
  <c r="C23" i="44"/>
  <c r="C22" i="44"/>
  <c r="C17" i="44"/>
  <c r="B23" i="44" s="1"/>
  <c r="D23" i="44" s="1"/>
  <c r="C32" i="44" s="1"/>
  <c r="B17" i="44"/>
  <c r="C16" i="44"/>
  <c r="B16" i="44"/>
  <c r="M13" i="44"/>
  <c r="M17" i="44"/>
  <c r="C33" i="44" s="1"/>
  <c r="L13" i="44"/>
  <c r="L17" i="44"/>
  <c r="M12" i="44"/>
  <c r="M16" i="44" s="1"/>
  <c r="B33" i="44" s="1"/>
  <c r="B35" i="44" s="1"/>
  <c r="B42" i="44" s="1"/>
  <c r="L12" i="44"/>
  <c r="L16" i="44"/>
  <c r="M11" i="44"/>
  <c r="L11" i="44"/>
  <c r="M10" i="44"/>
  <c r="M18" i="44" s="1"/>
  <c r="L10" i="44"/>
  <c r="L18" i="44" s="1"/>
  <c r="C62" i="42"/>
  <c r="E69" i="42" s="1"/>
  <c r="F73" i="42"/>
  <c r="E73" i="42"/>
  <c r="D73" i="42"/>
  <c r="F69" i="42"/>
  <c r="C50" i="42"/>
  <c r="M33" i="42"/>
  <c r="G33" i="42"/>
  <c r="D41" i="42"/>
  <c r="M34" i="42"/>
  <c r="D40" i="42" s="1"/>
  <c r="D42" i="42" s="1"/>
  <c r="G34" i="42"/>
  <c r="R34" i="42"/>
  <c r="L34" i="42"/>
  <c r="I34" i="42"/>
  <c r="O34" i="42"/>
  <c r="F40" i="42" s="1"/>
  <c r="F46" i="42"/>
  <c r="Q34" i="42"/>
  <c r="K34" i="42"/>
  <c r="H34" i="42"/>
  <c r="N34" i="42"/>
  <c r="E46" i="42"/>
  <c r="P34" i="42"/>
  <c r="E40" i="42"/>
  <c r="J34" i="42"/>
  <c r="D46" i="42" s="1"/>
  <c r="F34" i="42"/>
  <c r="E34" i="42"/>
  <c r="D34" i="42"/>
  <c r="C34" i="42"/>
  <c r="C46" i="42"/>
  <c r="C40" i="42"/>
  <c r="R33" i="42"/>
  <c r="Q33" i="42"/>
  <c r="P33" i="42"/>
  <c r="O33" i="42"/>
  <c r="F41" i="42" s="1"/>
  <c r="F42" i="42" s="1"/>
  <c r="N33" i="42"/>
  <c r="L33" i="42"/>
  <c r="K33" i="42"/>
  <c r="J33" i="42"/>
  <c r="D47" i="42" s="1"/>
  <c r="I33" i="42"/>
  <c r="H33" i="42"/>
  <c r="F33" i="42"/>
  <c r="C47" i="42" s="1"/>
  <c r="E33" i="42"/>
  <c r="C41" i="42" s="1"/>
  <c r="C42" i="42" s="1"/>
  <c r="C51" i="42" s="1"/>
  <c r="D33" i="42"/>
  <c r="C33" i="42"/>
  <c r="C24" i="42"/>
  <c r="C25" i="42"/>
  <c r="C26" i="42"/>
  <c r="C27" i="42"/>
  <c r="F19" i="42"/>
  <c r="F21" i="42" s="1"/>
  <c r="F22" i="42" s="1"/>
  <c r="F20" i="42"/>
  <c r="E19" i="42"/>
  <c r="E20" i="42"/>
  <c r="E21" i="42"/>
  <c r="E22" i="42"/>
  <c r="D20" i="42"/>
  <c r="D21" i="42" s="1"/>
  <c r="D22" i="42" s="1"/>
  <c r="C20" i="42"/>
  <c r="C21" i="42" s="1"/>
  <c r="C22" i="42" s="1"/>
  <c r="D19" i="42"/>
  <c r="C19" i="42"/>
  <c r="C63" i="41"/>
  <c r="K33" i="41"/>
  <c r="E47" i="41" s="1"/>
  <c r="H33" i="41"/>
  <c r="Q33" i="41"/>
  <c r="N33" i="41"/>
  <c r="F34" i="41"/>
  <c r="C46" i="41" s="1"/>
  <c r="E34" i="41"/>
  <c r="C40" i="41" s="1"/>
  <c r="C42" i="41" s="1"/>
  <c r="C51" i="41" s="1"/>
  <c r="C52" i="41" s="1"/>
  <c r="C54" i="41" s="1"/>
  <c r="D34" i="41"/>
  <c r="C34" i="41"/>
  <c r="O33" i="41"/>
  <c r="I33" i="41"/>
  <c r="F41" i="41"/>
  <c r="E41" i="41"/>
  <c r="N34" i="41"/>
  <c r="H34" i="41"/>
  <c r="E46" i="41" s="1"/>
  <c r="E48" i="41" s="1"/>
  <c r="E55" i="41" s="1"/>
  <c r="E40" i="41"/>
  <c r="E42" i="41" s="1"/>
  <c r="R34" i="41"/>
  <c r="Q34" i="41"/>
  <c r="K34" i="41"/>
  <c r="P34" i="41"/>
  <c r="O34" i="41"/>
  <c r="M34" i="41"/>
  <c r="G34" i="41"/>
  <c r="D40" i="41"/>
  <c r="L34" i="41"/>
  <c r="J34" i="41"/>
  <c r="I34" i="41"/>
  <c r="F46" i="41"/>
  <c r="R33" i="41"/>
  <c r="P33" i="41"/>
  <c r="M33" i="41"/>
  <c r="G33" i="41"/>
  <c r="D41" i="41"/>
  <c r="L33" i="41"/>
  <c r="F47" i="41" s="1"/>
  <c r="J33" i="41"/>
  <c r="F33" i="41"/>
  <c r="E33" i="41"/>
  <c r="D33" i="41"/>
  <c r="C33" i="41"/>
  <c r="C47" i="41"/>
  <c r="C24" i="41"/>
  <c r="C26" i="41" s="1"/>
  <c r="C27" i="41" s="1"/>
  <c r="C25" i="41"/>
  <c r="F20" i="41"/>
  <c r="E20" i="41"/>
  <c r="D20" i="41"/>
  <c r="C20" i="41"/>
  <c r="F19" i="41"/>
  <c r="F21" i="41"/>
  <c r="F22" i="41" s="1"/>
  <c r="E19" i="41"/>
  <c r="E21" i="41" s="1"/>
  <c r="E22" i="41" s="1"/>
  <c r="D19" i="41"/>
  <c r="D21" i="41"/>
  <c r="D22" i="41"/>
  <c r="C19" i="41"/>
  <c r="C21" i="41" s="1"/>
  <c r="C22" i="41" s="1"/>
  <c r="C63" i="40"/>
  <c r="F34" i="40"/>
  <c r="E34" i="40"/>
  <c r="D34" i="40"/>
  <c r="C34" i="40"/>
  <c r="C40" i="40" s="1"/>
  <c r="C42" i="40" s="1"/>
  <c r="C50" i="40" s="1"/>
  <c r="C46" i="40"/>
  <c r="C48" i="40" s="1"/>
  <c r="F33" i="40"/>
  <c r="E33" i="40"/>
  <c r="D33" i="40"/>
  <c r="C33" i="40"/>
  <c r="C47" i="40"/>
  <c r="M34" i="40"/>
  <c r="D40" i="40" s="1"/>
  <c r="D42" i="40" s="1"/>
  <c r="D50" i="40" s="1"/>
  <c r="G34" i="40"/>
  <c r="D46" i="40" s="1"/>
  <c r="M33" i="40"/>
  <c r="G33" i="40"/>
  <c r="D41" i="40"/>
  <c r="C41" i="40"/>
  <c r="R34" i="40"/>
  <c r="F46" i="40" s="1"/>
  <c r="F48" i="40" s="1"/>
  <c r="F55" i="40" s="1"/>
  <c r="L34" i="40"/>
  <c r="I34" i="40"/>
  <c r="O34" i="40"/>
  <c r="Q34" i="40"/>
  <c r="P34" i="40"/>
  <c r="F40" i="40"/>
  <c r="N34" i="40"/>
  <c r="E40" i="40" s="1"/>
  <c r="H34" i="40"/>
  <c r="K34" i="40"/>
  <c r="J34" i="40"/>
  <c r="R33" i="40"/>
  <c r="L33" i="40"/>
  <c r="I33" i="40"/>
  <c r="O33" i="40"/>
  <c r="F47" i="40"/>
  <c r="Q33" i="40"/>
  <c r="P33" i="40"/>
  <c r="D47" i="40" s="1"/>
  <c r="D48" i="40" s="1"/>
  <c r="D55" i="40" s="1"/>
  <c r="D58" i="40" s="1"/>
  <c r="D61" i="40" s="1"/>
  <c r="F41" i="40"/>
  <c r="N33" i="40"/>
  <c r="E41" i="40" s="1"/>
  <c r="H33" i="40"/>
  <c r="K33" i="40"/>
  <c r="J33" i="40"/>
  <c r="C25" i="40"/>
  <c r="C24" i="40"/>
  <c r="F20" i="40"/>
  <c r="E20" i="40"/>
  <c r="D20" i="40"/>
  <c r="C20" i="40"/>
  <c r="F19" i="40"/>
  <c r="F21" i="40"/>
  <c r="F22" i="40"/>
  <c r="E19" i="40"/>
  <c r="E21" i="40" s="1"/>
  <c r="E22" i="40" s="1"/>
  <c r="D19" i="40"/>
  <c r="D21" i="40"/>
  <c r="D22" i="40"/>
  <c r="C19" i="40"/>
  <c r="C21" i="40"/>
  <c r="C22" i="40"/>
  <c r="B32" i="39"/>
  <c r="C22" i="39"/>
  <c r="C25" i="39" s="1"/>
  <c r="H25" i="39" s="1"/>
  <c r="C23" i="39"/>
  <c r="C26" i="39"/>
  <c r="B23" i="39"/>
  <c r="B26" i="39"/>
  <c r="H26" i="39" s="1"/>
  <c r="B22" i="39"/>
  <c r="B25" i="39" s="1"/>
  <c r="C18" i="39"/>
  <c r="B18" i="39"/>
  <c r="C17" i="39"/>
  <c r="B17" i="39"/>
  <c r="H17" i="39"/>
  <c r="K10" i="39"/>
  <c r="M10" i="39" s="1"/>
  <c r="O10" i="39" s="1"/>
  <c r="L10" i="39"/>
  <c r="K9" i="39"/>
  <c r="L9" i="39"/>
  <c r="M9" i="39"/>
  <c r="O9" i="39"/>
  <c r="L8" i="39"/>
  <c r="M8" i="39" s="1"/>
  <c r="O8" i="39" s="1"/>
  <c r="K8" i="39"/>
  <c r="B32" i="38"/>
  <c r="B39" i="38"/>
  <c r="C33" i="38"/>
  <c r="B33" i="38"/>
  <c r="C32" i="38"/>
  <c r="C39" i="38" s="1"/>
  <c r="C18" i="38"/>
  <c r="B18" i="38"/>
  <c r="C22" i="38" s="1"/>
  <c r="D22" i="38" s="1"/>
  <c r="L12" i="38"/>
  <c r="L16" i="38" s="1"/>
  <c r="B22" i="38"/>
  <c r="M13" i="38"/>
  <c r="M17" i="38" s="1"/>
  <c r="L13" i="38"/>
  <c r="L17" i="38"/>
  <c r="C35" i="38" s="1"/>
  <c r="M12" i="38"/>
  <c r="M16" i="38"/>
  <c r="B35" i="38" s="1"/>
  <c r="M11" i="38"/>
  <c r="L11" i="38"/>
  <c r="L10" i="38"/>
  <c r="M10" i="38"/>
  <c r="G46" i="34"/>
  <c r="I46" i="34"/>
  <c r="E50" i="34" s="1"/>
  <c r="E66" i="34"/>
  <c r="D47" i="34"/>
  <c r="H44" i="34"/>
  <c r="H47" i="34" s="1"/>
  <c r="D67" i="34" s="1"/>
  <c r="N56" i="34" s="1"/>
  <c r="H39" i="34"/>
  <c r="N53" i="34"/>
  <c r="N52" i="34"/>
  <c r="N54" i="34"/>
  <c r="N55" i="34" s="1"/>
  <c r="L53" i="34"/>
  <c r="L54" i="34" s="1"/>
  <c r="L55" i="34" s="1"/>
  <c r="B70" i="34" s="1"/>
  <c r="L52" i="34"/>
  <c r="O53" i="34"/>
  <c r="O52" i="34"/>
  <c r="M53" i="34"/>
  <c r="M52" i="34"/>
  <c r="M54" i="34" s="1"/>
  <c r="M55" i="34" s="1"/>
  <c r="C47" i="34"/>
  <c r="I47" i="34"/>
  <c r="L45" i="34"/>
  <c r="L46" i="34" s="1"/>
  <c r="L47" i="34" s="1"/>
  <c r="L44" i="34"/>
  <c r="G47" i="34"/>
  <c r="E67" i="34"/>
  <c r="F47" i="34"/>
  <c r="E47" i="34"/>
  <c r="B47" i="34"/>
  <c r="O45" i="34"/>
  <c r="O44" i="34"/>
  <c r="O46" i="34"/>
  <c r="O47" i="34"/>
  <c r="C46" i="34"/>
  <c r="F46" i="34"/>
  <c r="E46" i="34"/>
  <c r="D46" i="34"/>
  <c r="B46" i="34"/>
  <c r="N45" i="34"/>
  <c r="M45" i="34"/>
  <c r="M46" i="34" s="1"/>
  <c r="M47" i="34" s="1"/>
  <c r="M44" i="34"/>
  <c r="N44" i="34"/>
  <c r="H43" i="34"/>
  <c r="H46" i="34"/>
  <c r="L37" i="34"/>
  <c r="L38" i="34" s="1"/>
  <c r="L39" i="34" s="1"/>
  <c r="B54" i="34" s="1"/>
  <c r="L36" i="34"/>
  <c r="O37" i="34"/>
  <c r="O36" i="34"/>
  <c r="O38" i="34"/>
  <c r="O39" i="34"/>
  <c r="M37" i="34"/>
  <c r="M36" i="34"/>
  <c r="M38" i="34" s="1"/>
  <c r="M39" i="34" s="1"/>
  <c r="C54" i="34" s="1"/>
  <c r="N37" i="34"/>
  <c r="N36" i="34"/>
  <c r="C19" i="34"/>
  <c r="G19" i="34"/>
  <c r="F19" i="34"/>
  <c r="C18" i="34"/>
  <c r="M30" i="34" s="1"/>
  <c r="G18" i="34"/>
  <c r="N16" i="34" s="1"/>
  <c r="N30" i="34"/>
  <c r="F18" i="34"/>
  <c r="M16" i="34" s="1"/>
  <c r="E18" i="34"/>
  <c r="N23" i="34"/>
  <c r="N22" i="34"/>
  <c r="N24" i="34"/>
  <c r="N25" i="34"/>
  <c r="L23" i="34"/>
  <c r="L24" i="34" s="1"/>
  <c r="L25" i="34" s="1"/>
  <c r="L22" i="34"/>
  <c r="M23" i="34"/>
  <c r="K23" i="34"/>
  <c r="K22" i="34"/>
  <c r="K24" i="34"/>
  <c r="K25" i="34"/>
  <c r="D26" i="34" s="1"/>
  <c r="M22" i="34"/>
  <c r="E19" i="34"/>
  <c r="D19" i="34"/>
  <c r="B19" i="34"/>
  <c r="M17" i="34" s="1"/>
  <c r="D18" i="34"/>
  <c r="B18" i="34"/>
  <c r="L16" i="34" s="1"/>
  <c r="K16" i="34"/>
  <c r="N17" i="34"/>
  <c r="N9" i="34"/>
  <c r="M9" i="34"/>
  <c r="M8" i="34"/>
  <c r="M10" i="34"/>
  <c r="M11" i="34" s="1"/>
  <c r="L9" i="34"/>
  <c r="K9" i="34"/>
  <c r="K8" i="34"/>
  <c r="K10" i="34" s="1"/>
  <c r="K11" i="34" s="1"/>
  <c r="N8" i="34"/>
  <c r="N10" i="34" s="1"/>
  <c r="N11" i="34" s="1"/>
  <c r="L8" i="34"/>
  <c r="L10" i="34" s="1"/>
  <c r="L11" i="34" s="1"/>
  <c r="E25" i="34" s="1"/>
  <c r="G45" i="33"/>
  <c r="H45" i="33"/>
  <c r="D65" i="33" s="1"/>
  <c r="F45" i="33"/>
  <c r="I45" i="33"/>
  <c r="C65" i="33"/>
  <c r="E45" i="33"/>
  <c r="E57" i="33"/>
  <c r="M53" i="33"/>
  <c r="M52" i="33"/>
  <c r="M54" i="33" s="1"/>
  <c r="M55" i="33" s="1"/>
  <c r="F44" i="33"/>
  <c r="I44" i="33"/>
  <c r="E48" i="33" s="1"/>
  <c r="O53" i="33"/>
  <c r="O52" i="33"/>
  <c r="O54" i="33"/>
  <c r="O55" i="33" s="1"/>
  <c r="N53" i="33"/>
  <c r="N52" i="33"/>
  <c r="N54" i="33" s="1"/>
  <c r="N55" i="33" s="1"/>
  <c r="L53" i="33"/>
  <c r="L52" i="33"/>
  <c r="L54" i="33" s="1"/>
  <c r="L55" i="33" s="1"/>
  <c r="C45" i="33"/>
  <c r="D49" i="33" s="1"/>
  <c r="E49" i="33"/>
  <c r="B45" i="33"/>
  <c r="C49" i="33"/>
  <c r="C44" i="33"/>
  <c r="H44" i="33"/>
  <c r="D48" i="33" s="1"/>
  <c r="B44" i="33"/>
  <c r="B48" i="33" s="1"/>
  <c r="C48" i="33"/>
  <c r="O45" i="33"/>
  <c r="O46" i="33" s="1"/>
  <c r="O47" i="33" s="1"/>
  <c r="O44" i="33"/>
  <c r="M45" i="33"/>
  <c r="M44" i="33"/>
  <c r="M46" i="33"/>
  <c r="M47" i="33"/>
  <c r="N45" i="33"/>
  <c r="L45" i="33"/>
  <c r="L44" i="33"/>
  <c r="L46" i="33" s="1"/>
  <c r="L47" i="33" s="1"/>
  <c r="E65" i="33"/>
  <c r="B65" i="33"/>
  <c r="D45" i="33"/>
  <c r="B57" i="33" s="1"/>
  <c r="B49" i="33"/>
  <c r="N44" i="33"/>
  <c r="G44" i="33"/>
  <c r="D64" i="33" s="1"/>
  <c r="B64" i="33"/>
  <c r="E44" i="33"/>
  <c r="D44" i="33"/>
  <c r="B56" i="33" s="1"/>
  <c r="O37" i="33"/>
  <c r="O36" i="33"/>
  <c r="O38" i="33"/>
  <c r="O39" i="33"/>
  <c r="N37" i="33"/>
  <c r="M37" i="33"/>
  <c r="L37" i="33"/>
  <c r="L38" i="33" s="1"/>
  <c r="L39" i="33" s="1"/>
  <c r="L36" i="33"/>
  <c r="N36" i="33"/>
  <c r="M36" i="33"/>
  <c r="G17" i="33"/>
  <c r="N31" i="33" s="1"/>
  <c r="C17" i="33"/>
  <c r="F17" i="33"/>
  <c r="M31" i="33"/>
  <c r="E16" i="33"/>
  <c r="C16" i="33"/>
  <c r="L30" i="33"/>
  <c r="L23" i="33"/>
  <c r="L24" i="33" s="1"/>
  <c r="L25" i="33" s="1"/>
  <c r="L22" i="33"/>
  <c r="N23" i="33"/>
  <c r="N22" i="33"/>
  <c r="N24" i="33"/>
  <c r="N25" i="33"/>
  <c r="G24" i="33"/>
  <c r="M23" i="33"/>
  <c r="M22" i="33"/>
  <c r="M24" i="33" s="1"/>
  <c r="M25" i="33" s="1"/>
  <c r="K23" i="33"/>
  <c r="K22" i="33"/>
  <c r="K24" i="33"/>
  <c r="K25" i="33"/>
  <c r="B17" i="33"/>
  <c r="M17" i="33"/>
  <c r="E17" i="33"/>
  <c r="L17" i="33"/>
  <c r="L31" i="33"/>
  <c r="D17" i="33"/>
  <c r="K31" i="33"/>
  <c r="F16" i="33"/>
  <c r="B16" i="33"/>
  <c r="G16" i="33"/>
  <c r="L16" i="33"/>
  <c r="D16" i="33"/>
  <c r="K30" i="33"/>
  <c r="N16" i="33"/>
  <c r="N9" i="33"/>
  <c r="N10" i="33" s="1"/>
  <c r="N11" i="33" s="1"/>
  <c r="N8" i="33"/>
  <c r="M9" i="33"/>
  <c r="M8" i="33"/>
  <c r="M10" i="33"/>
  <c r="M11" i="33" s="1"/>
  <c r="L9" i="33"/>
  <c r="L10" i="33" s="1"/>
  <c r="L11" i="33" s="1"/>
  <c r="L8" i="33"/>
  <c r="K9" i="33"/>
  <c r="K8" i="33"/>
  <c r="K10" i="33"/>
  <c r="K11" i="33"/>
  <c r="E144" i="32"/>
  <c r="D144" i="32"/>
  <c r="B144" i="32"/>
  <c r="E138" i="32"/>
  <c r="D138" i="32"/>
  <c r="C138" i="32"/>
  <c r="B138" i="32"/>
  <c r="H138" i="32"/>
  <c r="D134" i="32"/>
  <c r="D137" i="32"/>
  <c r="E134" i="32"/>
  <c r="E137" i="32"/>
  <c r="C134" i="32"/>
  <c r="C137" i="32"/>
  <c r="B134" i="32"/>
  <c r="B137" i="32"/>
  <c r="H137" i="32" s="1"/>
  <c r="B129" i="32"/>
  <c r="C129" i="32"/>
  <c r="I129" i="32" s="1"/>
  <c r="I131" i="32" s="1"/>
  <c r="H130" i="32"/>
  <c r="J130" i="32"/>
  <c r="I130" i="32"/>
  <c r="D129" i="32"/>
  <c r="E129" i="32"/>
  <c r="E118" i="32"/>
  <c r="D118" i="32"/>
  <c r="B118" i="32"/>
  <c r="E112" i="32"/>
  <c r="D112" i="32"/>
  <c r="C112" i="32"/>
  <c r="J112" i="32"/>
  <c r="B112" i="32"/>
  <c r="H112" i="32"/>
  <c r="E108" i="32"/>
  <c r="E111" i="32" s="1"/>
  <c r="C108" i="32"/>
  <c r="C111" i="32"/>
  <c r="D108" i="32"/>
  <c r="D111" i="32"/>
  <c r="D103" i="32"/>
  <c r="C103" i="32"/>
  <c r="I103" i="32" s="1"/>
  <c r="I105" i="32" s="1"/>
  <c r="I106" i="32" s="1"/>
  <c r="I111" i="32"/>
  <c r="B108" i="32"/>
  <c r="B111" i="32" s="1"/>
  <c r="H111" i="32" s="1"/>
  <c r="B103" i="32"/>
  <c r="J104" i="32"/>
  <c r="I104" i="32"/>
  <c r="H104" i="32"/>
  <c r="E103" i="32"/>
  <c r="J103" i="32"/>
  <c r="E92" i="32"/>
  <c r="D92" i="32"/>
  <c r="B92" i="32"/>
  <c r="C86" i="32"/>
  <c r="J86" i="32" s="1"/>
  <c r="E86" i="32"/>
  <c r="D86" i="32"/>
  <c r="I86" i="32"/>
  <c r="B86" i="32"/>
  <c r="E82" i="32"/>
  <c r="E85" i="32" s="1"/>
  <c r="E77" i="32"/>
  <c r="C82" i="32"/>
  <c r="C85" i="32"/>
  <c r="C77" i="32"/>
  <c r="J77" i="32" s="1"/>
  <c r="J79" i="32" s="1"/>
  <c r="J80" i="32" s="1"/>
  <c r="J85" i="32"/>
  <c r="D82" i="32"/>
  <c r="D85" i="32" s="1"/>
  <c r="B82" i="32"/>
  <c r="B85" i="32"/>
  <c r="H85" i="32" s="1"/>
  <c r="B77" i="32"/>
  <c r="J78" i="32"/>
  <c r="I78" i="32"/>
  <c r="H78" i="32"/>
  <c r="D77" i="32"/>
  <c r="I77" i="32" s="1"/>
  <c r="I79" i="32" s="1"/>
  <c r="E65" i="32"/>
  <c r="D65" i="32"/>
  <c r="B65" i="32"/>
  <c r="C59" i="32"/>
  <c r="E59" i="32"/>
  <c r="D59" i="32"/>
  <c r="B59" i="32"/>
  <c r="H59" i="32" s="1"/>
  <c r="E55" i="32"/>
  <c r="E58" i="32" s="1"/>
  <c r="J58" i="32" s="1"/>
  <c r="D55" i="32"/>
  <c r="D58" i="32" s="1"/>
  <c r="C55" i="32"/>
  <c r="C58" i="32" s="1"/>
  <c r="D50" i="32"/>
  <c r="C50" i="32"/>
  <c r="I58" i="32"/>
  <c r="B55" i="32"/>
  <c r="B58" i="32"/>
  <c r="H58" i="32" s="1"/>
  <c r="J51" i="32"/>
  <c r="I51" i="32"/>
  <c r="H51" i="32"/>
  <c r="E50" i="32"/>
  <c r="J50" i="32" s="1"/>
  <c r="J52" i="32"/>
  <c r="B50" i="32"/>
  <c r="H50" i="32"/>
  <c r="H52" i="32" s="1"/>
  <c r="E39" i="32"/>
  <c r="D39" i="32"/>
  <c r="B39" i="32"/>
  <c r="E33" i="32"/>
  <c r="D33" i="32"/>
  <c r="C33" i="32"/>
  <c r="H33" i="32" s="1"/>
  <c r="J33" i="32"/>
  <c r="B33" i="32"/>
  <c r="E29" i="32"/>
  <c r="E32" i="32"/>
  <c r="J32" i="32" s="1"/>
  <c r="E24" i="32"/>
  <c r="C29" i="32"/>
  <c r="C32" i="32"/>
  <c r="C24" i="32"/>
  <c r="I24" i="32" s="1"/>
  <c r="I26" i="32" s="1"/>
  <c r="D29" i="32"/>
  <c r="D32" i="32" s="1"/>
  <c r="I32" i="32" s="1"/>
  <c r="D24" i="32"/>
  <c r="B29" i="32"/>
  <c r="B32" i="32" s="1"/>
  <c r="H32" i="32" s="1"/>
  <c r="J25" i="32"/>
  <c r="I25" i="32"/>
  <c r="H25" i="32"/>
  <c r="B24" i="32"/>
  <c r="C14" i="31"/>
  <c r="B14" i="31"/>
  <c r="C18" i="29"/>
  <c r="C20" i="29" s="1"/>
  <c r="C27" i="29" s="1"/>
  <c r="C19" i="29"/>
  <c r="C14" i="29"/>
  <c r="C15" i="29"/>
  <c r="C16" i="29"/>
  <c r="C22" i="29" s="1"/>
  <c r="C23" i="29"/>
  <c r="I15" i="29"/>
  <c r="I14" i="29"/>
  <c r="F50" i="28"/>
  <c r="B50" i="28"/>
  <c r="L49" i="28"/>
  <c r="K49" i="28"/>
  <c r="J49" i="28"/>
  <c r="H49" i="28"/>
  <c r="H53" i="28" s="1"/>
  <c r="G49" i="28"/>
  <c r="F49" i="28"/>
  <c r="D49" i="28"/>
  <c r="C49" i="28"/>
  <c r="B49" i="28"/>
  <c r="L48" i="28"/>
  <c r="K48" i="28"/>
  <c r="J48" i="28"/>
  <c r="J52" i="28" s="1"/>
  <c r="H48" i="28"/>
  <c r="G48" i="28"/>
  <c r="F48" i="28"/>
  <c r="D48" i="28"/>
  <c r="C48" i="28"/>
  <c r="B48" i="28"/>
  <c r="F45" i="28"/>
  <c r="F54" i="28"/>
  <c r="B45" i="28"/>
  <c r="B54" i="28"/>
  <c r="L44" i="28"/>
  <c r="L53" i="28"/>
  <c r="K44" i="28"/>
  <c r="K53" i="28"/>
  <c r="J44" i="28"/>
  <c r="J53" i="28"/>
  <c r="H44" i="28"/>
  <c r="G44" i="28"/>
  <c r="G53" i="28"/>
  <c r="F44" i="28"/>
  <c r="F53" i="28"/>
  <c r="D44" i="28"/>
  <c r="D53" i="28"/>
  <c r="C44" i="28"/>
  <c r="C53" i="28"/>
  <c r="B44" i="28"/>
  <c r="B53" i="28"/>
  <c r="L43" i="28"/>
  <c r="L52" i="28"/>
  <c r="K43" i="28"/>
  <c r="K52" i="28"/>
  <c r="J43" i="28"/>
  <c r="H43" i="28"/>
  <c r="H52" i="28"/>
  <c r="G43" i="28"/>
  <c r="G52" i="28"/>
  <c r="F43" i="28"/>
  <c r="F52" i="28"/>
  <c r="D43" i="28"/>
  <c r="D52" i="28"/>
  <c r="C43" i="28"/>
  <c r="C52" i="28"/>
  <c r="B43" i="28"/>
  <c r="B52" i="28"/>
  <c r="J20" i="28"/>
  <c r="J21" i="28"/>
  <c r="H21" i="28"/>
  <c r="G21" i="28"/>
  <c r="H20" i="28"/>
  <c r="G20" i="28"/>
  <c r="G22" i="28"/>
  <c r="G14" i="28"/>
  <c r="G16" i="28" s="1"/>
  <c r="G15" i="28"/>
  <c r="J15" i="28"/>
  <c r="H15" i="28"/>
  <c r="J14" i="28"/>
  <c r="H14" i="28"/>
  <c r="H16" i="28"/>
  <c r="H8" i="28"/>
  <c r="H10" i="28" s="1"/>
  <c r="H9" i="28"/>
  <c r="G8" i="28"/>
  <c r="G10" i="28" s="1"/>
  <c r="G9" i="28"/>
  <c r="J9" i="28"/>
  <c r="J8" i="28"/>
  <c r="J10" i="28"/>
  <c r="O113" i="26"/>
  <c r="J113" i="26"/>
  <c r="D113" i="26"/>
  <c r="O112" i="26"/>
  <c r="J112" i="26"/>
  <c r="D112" i="26"/>
  <c r="O111" i="26"/>
  <c r="J111" i="26"/>
  <c r="D111" i="26"/>
  <c r="O110" i="26"/>
  <c r="J110" i="26"/>
  <c r="D110" i="26"/>
  <c r="O109" i="26"/>
  <c r="J109" i="26"/>
  <c r="D109" i="26"/>
  <c r="O108" i="26"/>
  <c r="J108" i="26"/>
  <c r="D108" i="26"/>
  <c r="O107" i="26"/>
  <c r="J107" i="26"/>
  <c r="D107" i="26"/>
  <c r="O106" i="26"/>
  <c r="J106" i="26"/>
  <c r="D106" i="26"/>
  <c r="O105" i="26"/>
  <c r="J105" i="26"/>
  <c r="D105" i="26"/>
  <c r="O104" i="26"/>
  <c r="J104" i="26"/>
  <c r="D104" i="26"/>
  <c r="O103" i="26"/>
  <c r="J103" i="26"/>
  <c r="D103" i="26"/>
  <c r="O102" i="26"/>
  <c r="J102" i="26"/>
  <c r="D102" i="26"/>
  <c r="O101" i="26"/>
  <c r="J101" i="26"/>
  <c r="D101" i="26"/>
  <c r="O100" i="26"/>
  <c r="J100" i="26"/>
  <c r="D100" i="26"/>
  <c r="O99" i="26"/>
  <c r="J99" i="26"/>
  <c r="D99" i="26"/>
  <c r="O98" i="26"/>
  <c r="J98" i="26"/>
  <c r="D98" i="26"/>
  <c r="O97" i="26"/>
  <c r="J97" i="26"/>
  <c r="D97" i="26"/>
  <c r="O96" i="26"/>
  <c r="J96" i="26"/>
  <c r="D96" i="26"/>
  <c r="O95" i="26"/>
  <c r="J95" i="26"/>
  <c r="D95" i="26"/>
  <c r="O94" i="26"/>
  <c r="J94" i="26"/>
  <c r="D94" i="26"/>
  <c r="O93" i="26"/>
  <c r="J93" i="26"/>
  <c r="D93" i="26"/>
  <c r="O92" i="26"/>
  <c r="J92" i="26"/>
  <c r="D92" i="26"/>
  <c r="O91" i="26"/>
  <c r="J91" i="26"/>
  <c r="D91" i="26"/>
  <c r="O90" i="26"/>
  <c r="J90" i="26"/>
  <c r="D90" i="26"/>
  <c r="O89" i="26"/>
  <c r="J89" i="26"/>
  <c r="D89" i="26"/>
  <c r="O88" i="26"/>
  <c r="J88" i="26"/>
  <c r="D88" i="26"/>
  <c r="O87" i="26"/>
  <c r="J87" i="26"/>
  <c r="D87" i="26"/>
  <c r="O86" i="26"/>
  <c r="J86" i="26"/>
  <c r="D86" i="26"/>
  <c r="O85" i="26"/>
  <c r="J85" i="26"/>
  <c r="D85" i="26"/>
  <c r="O84" i="26"/>
  <c r="J84" i="26"/>
  <c r="D84" i="26"/>
  <c r="O83" i="26"/>
  <c r="J83" i="26"/>
  <c r="D83" i="26"/>
  <c r="O82" i="26"/>
  <c r="J82" i="26"/>
  <c r="D82" i="26"/>
  <c r="O81" i="26"/>
  <c r="J81" i="26"/>
  <c r="D81" i="26"/>
  <c r="O80" i="26"/>
  <c r="J80" i="26"/>
  <c r="D80" i="26"/>
  <c r="O79" i="26"/>
  <c r="J79" i="26"/>
  <c r="D79" i="26"/>
  <c r="O78" i="26"/>
  <c r="J78" i="26"/>
  <c r="D78" i="26"/>
  <c r="O77" i="26"/>
  <c r="J77" i="26"/>
  <c r="D77" i="26"/>
  <c r="O76" i="26"/>
  <c r="J76" i="26"/>
  <c r="D76" i="26"/>
  <c r="O75" i="26"/>
  <c r="J75" i="26"/>
  <c r="D75" i="26"/>
  <c r="O74" i="26"/>
  <c r="J74" i="26"/>
  <c r="D74" i="26"/>
  <c r="O73" i="26"/>
  <c r="J73" i="26"/>
  <c r="D73" i="26"/>
  <c r="O72" i="26"/>
  <c r="J72" i="26"/>
  <c r="D72" i="26"/>
  <c r="O71" i="26"/>
  <c r="J71" i="26"/>
  <c r="D71" i="26"/>
  <c r="O70" i="26"/>
  <c r="J70" i="26"/>
  <c r="D70" i="26"/>
  <c r="O69" i="26"/>
  <c r="J69" i="26"/>
  <c r="D69" i="26"/>
  <c r="O68" i="26"/>
  <c r="J68" i="26"/>
  <c r="D68" i="26"/>
  <c r="O67" i="26"/>
  <c r="J67" i="26"/>
  <c r="D67" i="26"/>
  <c r="O66" i="26"/>
  <c r="J66" i="26"/>
  <c r="D66" i="26"/>
  <c r="O65" i="26"/>
  <c r="J65" i="26"/>
  <c r="D65" i="26"/>
  <c r="O64" i="26"/>
  <c r="J64" i="26"/>
  <c r="D64" i="26"/>
  <c r="O63" i="26"/>
  <c r="J63" i="26"/>
  <c r="D63" i="26"/>
  <c r="O62" i="26"/>
  <c r="J62" i="26"/>
  <c r="D62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H9" i="25"/>
  <c r="H10" i="25" s="1"/>
  <c r="B25" i="25" s="1"/>
  <c r="H8" i="25"/>
  <c r="E23" i="25"/>
  <c r="D23" i="25"/>
  <c r="B23" i="25"/>
  <c r="C17" i="25"/>
  <c r="D17" i="25"/>
  <c r="E17" i="25"/>
  <c r="B17" i="25"/>
  <c r="H17" i="25" s="1"/>
  <c r="E16" i="25"/>
  <c r="J16" i="25" s="1"/>
  <c r="D16" i="25"/>
  <c r="C16" i="25"/>
  <c r="B16" i="25"/>
  <c r="H16" i="25" s="1"/>
  <c r="J9" i="25"/>
  <c r="J8" i="25"/>
  <c r="J10" i="25"/>
  <c r="J11" i="25"/>
  <c r="E24" i="25"/>
  <c r="E26" i="25" s="1"/>
  <c r="I9" i="25"/>
  <c r="I8" i="25"/>
  <c r="I10" i="25" s="1"/>
  <c r="I9" i="24"/>
  <c r="I8" i="24"/>
  <c r="I10" i="24"/>
  <c r="D25" i="24"/>
  <c r="E23" i="24"/>
  <c r="E26" i="24" s="1"/>
  <c r="J12" i="24" s="1"/>
  <c r="T39" i="31" s="1"/>
  <c r="D23" i="24"/>
  <c r="B23" i="24"/>
  <c r="C17" i="24"/>
  <c r="J17" i="24" s="1"/>
  <c r="E17" i="24"/>
  <c r="D17" i="24"/>
  <c r="I17" i="24"/>
  <c r="B17" i="24"/>
  <c r="H17" i="24" s="1"/>
  <c r="E16" i="24"/>
  <c r="J16" i="24" s="1"/>
  <c r="D16" i="24"/>
  <c r="C16" i="24"/>
  <c r="B16" i="24"/>
  <c r="J9" i="24"/>
  <c r="J10" i="24" s="1"/>
  <c r="J8" i="24"/>
  <c r="H9" i="24"/>
  <c r="H10" i="24" s="1"/>
  <c r="H8" i="24"/>
  <c r="E23" i="23"/>
  <c r="D23" i="23"/>
  <c r="B23" i="23"/>
  <c r="E17" i="23"/>
  <c r="D17" i="23"/>
  <c r="C17" i="23"/>
  <c r="H17" i="23" s="1"/>
  <c r="B17" i="23"/>
  <c r="E16" i="23"/>
  <c r="C16" i="23"/>
  <c r="J16" i="23"/>
  <c r="D16" i="23"/>
  <c r="B16" i="23"/>
  <c r="H9" i="23"/>
  <c r="H8" i="23"/>
  <c r="H10" i="23"/>
  <c r="H11" i="23"/>
  <c r="B24" i="23"/>
  <c r="J9" i="23"/>
  <c r="J8" i="23"/>
  <c r="J10" i="23" s="1"/>
  <c r="I9" i="23"/>
  <c r="I8" i="23"/>
  <c r="I10" i="23"/>
  <c r="E23" i="22"/>
  <c r="D23" i="22"/>
  <c r="B23" i="22"/>
  <c r="E17" i="22"/>
  <c r="D17" i="22"/>
  <c r="C17" i="22"/>
  <c r="J17" i="22" s="1"/>
  <c r="B17" i="22"/>
  <c r="H17" i="22"/>
  <c r="E16" i="22"/>
  <c r="J16" i="22" s="1"/>
  <c r="C16" i="22"/>
  <c r="D16" i="22"/>
  <c r="I16" i="22"/>
  <c r="B16" i="22"/>
  <c r="H16" i="22"/>
  <c r="I9" i="22"/>
  <c r="I8" i="22"/>
  <c r="H9" i="22"/>
  <c r="H10" i="22" s="1"/>
  <c r="H8" i="22"/>
  <c r="J9" i="22"/>
  <c r="J8" i="22"/>
  <c r="H128" i="21"/>
  <c r="H127" i="21"/>
  <c r="H129" i="21" s="1"/>
  <c r="B144" i="21" s="1"/>
  <c r="E142" i="21"/>
  <c r="D142" i="21"/>
  <c r="B142" i="21"/>
  <c r="C136" i="21"/>
  <c r="D136" i="21"/>
  <c r="E136" i="21"/>
  <c r="J136" i="21"/>
  <c r="B136" i="21"/>
  <c r="E135" i="21"/>
  <c r="J135" i="21" s="1"/>
  <c r="D135" i="21"/>
  <c r="I135" i="21" s="1"/>
  <c r="C135" i="21"/>
  <c r="B135" i="21"/>
  <c r="H135" i="21"/>
  <c r="J128" i="21"/>
  <c r="J127" i="21"/>
  <c r="J129" i="21" s="1"/>
  <c r="I128" i="21"/>
  <c r="I129" i="21" s="1"/>
  <c r="I130" i="21" s="1"/>
  <c r="I127" i="21"/>
  <c r="E111" i="21"/>
  <c r="D111" i="21"/>
  <c r="B111" i="21"/>
  <c r="C105" i="21"/>
  <c r="E105" i="21"/>
  <c r="D105" i="21"/>
  <c r="B105" i="21"/>
  <c r="H105" i="21" s="1"/>
  <c r="D104" i="21"/>
  <c r="C104" i="21"/>
  <c r="E104" i="21"/>
  <c r="B104" i="21"/>
  <c r="J97" i="21"/>
  <c r="J96" i="21"/>
  <c r="J98" i="21"/>
  <c r="J99" i="21" s="1"/>
  <c r="I97" i="21"/>
  <c r="I98" i="21" s="1"/>
  <c r="I96" i="21"/>
  <c r="H97" i="21"/>
  <c r="H96" i="21"/>
  <c r="H98" i="21"/>
  <c r="E82" i="21"/>
  <c r="D82" i="21"/>
  <c r="B82" i="21"/>
  <c r="E76" i="21"/>
  <c r="D76" i="21"/>
  <c r="C76" i="21"/>
  <c r="J76" i="21" s="1"/>
  <c r="B76" i="21"/>
  <c r="H76" i="21"/>
  <c r="E75" i="21"/>
  <c r="J75" i="21" s="1"/>
  <c r="C75" i="21"/>
  <c r="D75" i="21"/>
  <c r="I75" i="21"/>
  <c r="B75" i="21"/>
  <c r="H75" i="21"/>
  <c r="H68" i="21"/>
  <c r="H67" i="21"/>
  <c r="J68" i="21"/>
  <c r="J69" i="21" s="1"/>
  <c r="J67" i="21"/>
  <c r="I68" i="21"/>
  <c r="I67" i="21"/>
  <c r="I69" i="21" s="1"/>
  <c r="E54" i="21"/>
  <c r="D54" i="21"/>
  <c r="B54" i="21"/>
  <c r="E48" i="21"/>
  <c r="D48" i="21"/>
  <c r="C48" i="21"/>
  <c r="I48" i="21" s="1"/>
  <c r="J48" i="21"/>
  <c r="J43" i="21" s="1"/>
  <c r="T38" i="31" s="1"/>
  <c r="B48" i="21"/>
  <c r="H48" i="21" s="1"/>
  <c r="E47" i="21"/>
  <c r="D47" i="21"/>
  <c r="C47" i="21"/>
  <c r="J47" i="21" s="1"/>
  <c r="B47" i="21"/>
  <c r="H47" i="21"/>
  <c r="I40" i="21"/>
  <c r="I41" i="21" s="1"/>
  <c r="I39" i="21"/>
  <c r="H40" i="21"/>
  <c r="H39" i="21"/>
  <c r="H41" i="21" s="1"/>
  <c r="B56" i="21" s="1"/>
  <c r="J40" i="21"/>
  <c r="J41" i="21" s="1"/>
  <c r="J39" i="21"/>
  <c r="C30" i="21"/>
  <c r="E23" i="21"/>
  <c r="D23" i="21"/>
  <c r="B23" i="21"/>
  <c r="C17" i="21"/>
  <c r="E17" i="21"/>
  <c r="D17" i="21"/>
  <c r="B17" i="21"/>
  <c r="D16" i="21"/>
  <c r="C16" i="21"/>
  <c r="I16" i="21"/>
  <c r="E16" i="21"/>
  <c r="B16" i="21"/>
  <c r="J9" i="21"/>
  <c r="J8" i="21"/>
  <c r="J10" i="21" s="1"/>
  <c r="I9" i="21"/>
  <c r="I10" i="21" s="1"/>
  <c r="I8" i="21"/>
  <c r="H9" i="21"/>
  <c r="H10" i="21" s="1"/>
  <c r="B25" i="21" s="1"/>
  <c r="H8" i="21"/>
  <c r="D110" i="20"/>
  <c r="C110" i="20"/>
  <c r="C101" i="20"/>
  <c r="C102" i="20" s="1"/>
  <c r="C106" i="20" s="1"/>
  <c r="I36" i="31" s="1"/>
  <c r="C100" i="20"/>
  <c r="D101" i="20"/>
  <c r="D100" i="20"/>
  <c r="D102" i="20"/>
  <c r="D106" i="20" s="1"/>
  <c r="N36" i="31" s="1"/>
  <c r="C112" i="20"/>
  <c r="D97" i="20"/>
  <c r="C97" i="20"/>
  <c r="C104" i="20" s="1"/>
  <c r="B97" i="20"/>
  <c r="D96" i="20"/>
  <c r="C96" i="20"/>
  <c r="D103" i="20"/>
  <c r="B96" i="20"/>
  <c r="C103" i="20" s="1"/>
  <c r="G73" i="20"/>
  <c r="F73" i="20"/>
  <c r="E73" i="20"/>
  <c r="D73" i="20"/>
  <c r="C73" i="20"/>
  <c r="B73" i="20"/>
  <c r="G60" i="20"/>
  <c r="F60" i="20"/>
  <c r="E60" i="20"/>
  <c r="D60" i="20"/>
  <c r="C60" i="20"/>
  <c r="B60" i="20"/>
  <c r="G59" i="20"/>
  <c r="F59" i="20"/>
  <c r="E59" i="20"/>
  <c r="D59" i="20"/>
  <c r="C59" i="20"/>
  <c r="B59" i="20"/>
  <c r="G33" i="20"/>
  <c r="F33" i="20"/>
  <c r="E33" i="20"/>
  <c r="D33" i="20"/>
  <c r="C33" i="20"/>
  <c r="B33" i="20"/>
  <c r="G20" i="20"/>
  <c r="F20" i="20"/>
  <c r="E20" i="20"/>
  <c r="D20" i="20"/>
  <c r="C20" i="20"/>
  <c r="B20" i="20"/>
  <c r="G19" i="20"/>
  <c r="F19" i="20"/>
  <c r="E19" i="20"/>
  <c r="D19" i="20"/>
  <c r="C19" i="20"/>
  <c r="B19" i="20"/>
  <c r="D129" i="14"/>
  <c r="C129" i="14"/>
  <c r="D126" i="14"/>
  <c r="C126" i="14"/>
  <c r="D121" i="14"/>
  <c r="C121" i="14"/>
  <c r="B108" i="14"/>
  <c r="C108" i="14"/>
  <c r="C115" i="14"/>
  <c r="D112" i="14"/>
  <c r="D111" i="14"/>
  <c r="C112" i="14"/>
  <c r="C113" i="14" s="1"/>
  <c r="C111" i="14"/>
  <c r="D108" i="14"/>
  <c r="D115" i="14" s="1"/>
  <c r="D107" i="14"/>
  <c r="D114" i="14" s="1"/>
  <c r="C107" i="14"/>
  <c r="B107" i="14"/>
  <c r="D84" i="14"/>
  <c r="C84" i="14"/>
  <c r="D81" i="14"/>
  <c r="C81" i="14"/>
  <c r="D76" i="14"/>
  <c r="C76" i="14"/>
  <c r="D63" i="14"/>
  <c r="D70" i="14" s="1"/>
  <c r="C63" i="14"/>
  <c r="D67" i="14"/>
  <c r="C67" i="14"/>
  <c r="C66" i="14"/>
  <c r="D66" i="14"/>
  <c r="D68" i="14"/>
  <c r="B63" i="14"/>
  <c r="C70" i="14"/>
  <c r="D62" i="14"/>
  <c r="C62" i="14"/>
  <c r="D69" i="14"/>
  <c r="B62" i="14"/>
  <c r="D34" i="14"/>
  <c r="C34" i="14"/>
  <c r="D21" i="14"/>
  <c r="C21" i="14"/>
  <c r="D28" i="14"/>
  <c r="D25" i="14"/>
  <c r="D24" i="14"/>
  <c r="C25" i="14"/>
  <c r="C26" i="14" s="1"/>
  <c r="C24" i="14"/>
  <c r="B21" i="14"/>
  <c r="C28" i="14"/>
  <c r="D20" i="14"/>
  <c r="C20" i="14"/>
  <c r="B20" i="14"/>
  <c r="C27" i="14" s="1"/>
  <c r="C29" i="13"/>
  <c r="D23" i="13"/>
  <c r="B23" i="13"/>
  <c r="D17" i="13"/>
  <c r="C17" i="13"/>
  <c r="B17" i="13"/>
  <c r="B16" i="13"/>
  <c r="G16" i="13" s="1"/>
  <c r="C16" i="13"/>
  <c r="D16" i="13"/>
  <c r="H16" i="13"/>
  <c r="H9" i="13"/>
  <c r="H10" i="13" s="1"/>
  <c r="G9" i="13"/>
  <c r="G10" i="13" s="1"/>
  <c r="H8" i="13"/>
  <c r="G8" i="13"/>
  <c r="C29" i="12"/>
  <c r="H9" i="12"/>
  <c r="H8" i="12"/>
  <c r="D23" i="12"/>
  <c r="B23" i="12"/>
  <c r="E17" i="12"/>
  <c r="D17" i="12"/>
  <c r="H17" i="12"/>
  <c r="C17" i="12"/>
  <c r="B17" i="12"/>
  <c r="G17" i="12" s="1"/>
  <c r="E16" i="12"/>
  <c r="H16" i="12" s="1"/>
  <c r="C16" i="12"/>
  <c r="D16" i="12"/>
  <c r="B16" i="12"/>
  <c r="G16" i="12"/>
  <c r="G9" i="12"/>
  <c r="G10" i="12" s="1"/>
  <c r="G8" i="12"/>
  <c r="D62" i="11"/>
  <c r="D66" i="11" s="1"/>
  <c r="D63" i="11"/>
  <c r="B63" i="11"/>
  <c r="B62" i="11"/>
  <c r="B66" i="11" s="1"/>
  <c r="D61" i="11"/>
  <c r="B61" i="11"/>
  <c r="D60" i="11"/>
  <c r="D65" i="11"/>
  <c r="B60" i="11"/>
  <c r="B65" i="11"/>
  <c r="D54" i="11"/>
  <c r="B54" i="11"/>
  <c r="D51" i="11"/>
  <c r="C51" i="11"/>
  <c r="B51" i="11"/>
  <c r="D50" i="11"/>
  <c r="C50" i="11"/>
  <c r="B50" i="11"/>
  <c r="G40" i="11"/>
  <c r="G43" i="11" s="1"/>
  <c r="G41" i="11"/>
  <c r="G38" i="11"/>
  <c r="G39" i="11"/>
  <c r="H41" i="11"/>
  <c r="H40" i="11"/>
  <c r="H38" i="11"/>
  <c r="H43" i="11" s="1"/>
  <c r="H39" i="11"/>
  <c r="F31" i="11"/>
  <c r="C32" i="11" s="1"/>
  <c r="C31" i="11"/>
  <c r="B31" i="11"/>
  <c r="G7" i="11"/>
  <c r="G8" i="11"/>
  <c r="J8" i="11" s="1"/>
  <c r="G5" i="11"/>
  <c r="G6" i="11"/>
  <c r="J6" i="11" s="1"/>
  <c r="H8" i="11"/>
  <c r="H7" i="11"/>
  <c r="H6" i="11"/>
  <c r="H5" i="11"/>
  <c r="D81" i="10"/>
  <c r="C81" i="10"/>
  <c r="B81" i="10"/>
  <c r="D73" i="10"/>
  <c r="D77" i="10" s="1"/>
  <c r="D74" i="10"/>
  <c r="C71" i="10"/>
  <c r="C76" i="10" s="1"/>
  <c r="C72" i="10"/>
  <c r="C74" i="10"/>
  <c r="B74" i="10"/>
  <c r="B77" i="10" s="1"/>
  <c r="C73" i="10"/>
  <c r="C77" i="10" s="1"/>
  <c r="B73" i="10"/>
  <c r="D72" i="10"/>
  <c r="B72" i="10"/>
  <c r="D71" i="10"/>
  <c r="D76" i="10"/>
  <c r="B71" i="10"/>
  <c r="B76" i="10" s="1"/>
  <c r="I48" i="10"/>
  <c r="I49" i="10"/>
  <c r="I54" i="10" s="1"/>
  <c r="I50" i="10"/>
  <c r="I51" i="10"/>
  <c r="I53" i="10"/>
  <c r="I55" i="10"/>
  <c r="H50" i="10"/>
  <c r="H53" i="10" s="1"/>
  <c r="H55" i="10" s="1"/>
  <c r="H51" i="10"/>
  <c r="T51" i="10"/>
  <c r="S51" i="10"/>
  <c r="R51" i="10"/>
  <c r="Q51" i="10"/>
  <c r="J51" i="10"/>
  <c r="T50" i="10"/>
  <c r="S50" i="10"/>
  <c r="R50" i="10"/>
  <c r="Q50" i="10"/>
  <c r="J50" i="10"/>
  <c r="T49" i="10"/>
  <c r="T53" i="10" s="1"/>
  <c r="S49" i="10"/>
  <c r="R49" i="10"/>
  <c r="Q49" i="10"/>
  <c r="J49" i="10"/>
  <c r="J48" i="10"/>
  <c r="J54" i="10"/>
  <c r="H49" i="10"/>
  <c r="H54" i="10" s="1"/>
  <c r="T48" i="10"/>
  <c r="S48" i="10"/>
  <c r="S53" i="10"/>
  <c r="R48" i="10"/>
  <c r="R53" i="10" s="1"/>
  <c r="Q48" i="10"/>
  <c r="H48" i="10"/>
  <c r="D31" i="10"/>
  <c r="B31" i="10"/>
  <c r="B34" i="10" s="1"/>
  <c r="D30" i="10"/>
  <c r="D34" i="10" s="1"/>
  <c r="B30" i="10"/>
  <c r="D29" i="10"/>
  <c r="B29" i="10"/>
  <c r="D28" i="10"/>
  <c r="D33" i="10"/>
  <c r="B28" i="10"/>
  <c r="B33" i="10" s="1"/>
  <c r="D22" i="10"/>
  <c r="B22" i="10"/>
  <c r="H12" i="10"/>
  <c r="G12" i="10"/>
  <c r="H11" i="10"/>
  <c r="H9" i="10"/>
  <c r="H10" i="10"/>
  <c r="G11" i="10"/>
  <c r="G10" i="10"/>
  <c r="G9" i="10"/>
  <c r="C29" i="9"/>
  <c r="D23" i="9"/>
  <c r="B23" i="9"/>
  <c r="C17" i="9"/>
  <c r="H17" i="9" s="1"/>
  <c r="D17" i="9"/>
  <c r="B17" i="9"/>
  <c r="D16" i="9"/>
  <c r="C16" i="9"/>
  <c r="B16" i="9"/>
  <c r="G16" i="9"/>
  <c r="H9" i="9"/>
  <c r="H10" i="9" s="1"/>
  <c r="H8" i="9"/>
  <c r="G9" i="9"/>
  <c r="G8" i="9"/>
  <c r="G10" i="9" s="1"/>
  <c r="D54" i="8"/>
  <c r="C54" i="8"/>
  <c r="B54" i="8"/>
  <c r="B46" i="8"/>
  <c r="B47" i="8"/>
  <c r="D47" i="8"/>
  <c r="C47" i="8"/>
  <c r="D46" i="8"/>
  <c r="D50" i="8" s="1"/>
  <c r="C46" i="8"/>
  <c r="C50" i="8" s="1"/>
  <c r="D45" i="8"/>
  <c r="D49" i="8" s="1"/>
  <c r="C45" i="8"/>
  <c r="B45" i="8"/>
  <c r="D44" i="8"/>
  <c r="C44" i="8"/>
  <c r="C49" i="8" s="1"/>
  <c r="B44" i="8"/>
  <c r="B49" i="8"/>
  <c r="H23" i="8"/>
  <c r="H24" i="8"/>
  <c r="H26" i="8" s="1"/>
  <c r="H21" i="8"/>
  <c r="H27" i="8" s="1"/>
  <c r="H22" i="8"/>
  <c r="T23" i="8"/>
  <c r="T26" i="8" s="1"/>
  <c r="T24" i="8"/>
  <c r="J23" i="8"/>
  <c r="J24" i="8"/>
  <c r="J26" i="8"/>
  <c r="J28" i="8" s="1"/>
  <c r="S21" i="8"/>
  <c r="S25" i="8" s="1"/>
  <c r="T21" i="8"/>
  <c r="S22" i="8"/>
  <c r="T22" i="8"/>
  <c r="S24" i="8"/>
  <c r="R24" i="8"/>
  <c r="R26" i="8" s="1"/>
  <c r="Q24" i="8"/>
  <c r="I24" i="8"/>
  <c r="S23" i="8"/>
  <c r="R23" i="8"/>
  <c r="Q23" i="8"/>
  <c r="I23" i="8"/>
  <c r="R22" i="8"/>
  <c r="Q22" i="8"/>
  <c r="J22" i="8"/>
  <c r="J27" i="8" s="1"/>
  <c r="I22" i="8"/>
  <c r="I27" i="8" s="1"/>
  <c r="I21" i="8"/>
  <c r="T25" i="8"/>
  <c r="T27" i="8"/>
  <c r="T28" i="8" s="1"/>
  <c r="R21" i="8"/>
  <c r="R25" i="8"/>
  <c r="Q21" i="8"/>
  <c r="Q25" i="8" s="1"/>
  <c r="J21" i="8"/>
  <c r="T7" i="8"/>
  <c r="T12" i="8" s="1"/>
  <c r="T8" i="8"/>
  <c r="T9" i="8"/>
  <c r="T10" i="8"/>
  <c r="S13" i="8" s="1"/>
  <c r="S14" i="8" s="1"/>
  <c r="S15" i="8" s="1"/>
  <c r="T13" i="8"/>
  <c r="J9" i="8"/>
  <c r="J12" i="8" s="1"/>
  <c r="J10" i="8"/>
  <c r="S10" i="8"/>
  <c r="R10" i="8"/>
  <c r="Q10" i="8"/>
  <c r="I10" i="8"/>
  <c r="H10" i="8"/>
  <c r="S9" i="8"/>
  <c r="R9" i="8"/>
  <c r="Q9" i="8"/>
  <c r="I9" i="8"/>
  <c r="I12" i="8" s="1"/>
  <c r="I7" i="8"/>
  <c r="I8" i="8"/>
  <c r="I13" i="8"/>
  <c r="H9" i="8"/>
  <c r="H12" i="8" s="1"/>
  <c r="H14" i="8" s="1"/>
  <c r="H15" i="8" s="1"/>
  <c r="S8" i="8"/>
  <c r="R8" i="8"/>
  <c r="Q8" i="8"/>
  <c r="J8" i="8"/>
  <c r="H8" i="8"/>
  <c r="H7" i="8"/>
  <c r="H13" i="8" s="1"/>
  <c r="S7" i="8"/>
  <c r="S12" i="8" s="1"/>
  <c r="R7" i="8"/>
  <c r="Q7" i="8"/>
  <c r="Q12" i="8"/>
  <c r="Q14" i="8" s="1"/>
  <c r="Q15" i="8" s="1"/>
  <c r="J7" i="8"/>
  <c r="D54" i="7"/>
  <c r="C54" i="7"/>
  <c r="B54" i="7"/>
  <c r="D47" i="7"/>
  <c r="C47" i="7"/>
  <c r="B47" i="7"/>
  <c r="B50" i="7" s="1"/>
  <c r="B51" i="7" s="1"/>
  <c r="B52" i="7" s="1"/>
  <c r="H30" i="7" s="1"/>
  <c r="D46" i="7"/>
  <c r="D50" i="7" s="1"/>
  <c r="C46" i="7"/>
  <c r="B46" i="7"/>
  <c r="D45" i="7"/>
  <c r="C45" i="7"/>
  <c r="B45" i="7"/>
  <c r="B49" i="7" s="1"/>
  <c r="D44" i="7"/>
  <c r="D49" i="7" s="1"/>
  <c r="C44" i="7"/>
  <c r="C49" i="7" s="1"/>
  <c r="B44" i="7"/>
  <c r="T23" i="7"/>
  <c r="T24" i="7"/>
  <c r="S23" i="7"/>
  <c r="S26" i="7" s="1"/>
  <c r="S24" i="7"/>
  <c r="J23" i="7"/>
  <c r="J24" i="7"/>
  <c r="J26" i="7"/>
  <c r="I23" i="7"/>
  <c r="I26" i="7" s="1"/>
  <c r="I24" i="7"/>
  <c r="R24" i="7"/>
  <c r="Q24" i="7"/>
  <c r="H24" i="7"/>
  <c r="R23" i="7"/>
  <c r="R26" i="7" s="1"/>
  <c r="Q23" i="7"/>
  <c r="Q26" i="7"/>
  <c r="H23" i="7"/>
  <c r="T22" i="7"/>
  <c r="S22" i="7"/>
  <c r="R22" i="7"/>
  <c r="Q22" i="7"/>
  <c r="J22" i="7"/>
  <c r="J21" i="7"/>
  <c r="J27" i="7"/>
  <c r="I22" i="7"/>
  <c r="I27" i="7" s="1"/>
  <c r="H22" i="7"/>
  <c r="H27" i="7" s="1"/>
  <c r="H21" i="7"/>
  <c r="T21" i="7"/>
  <c r="S21" i="7"/>
  <c r="S25" i="7"/>
  <c r="S27" i="7"/>
  <c r="S28" i="7" s="1"/>
  <c r="R21" i="7"/>
  <c r="Q21" i="7"/>
  <c r="I21" i="7"/>
  <c r="T9" i="7"/>
  <c r="Q13" i="7" s="1"/>
  <c r="T10" i="7"/>
  <c r="T13" i="7"/>
  <c r="T14" i="7" s="1"/>
  <c r="T15" i="7" s="1"/>
  <c r="J9" i="7"/>
  <c r="J12" i="7" s="1"/>
  <c r="J14" i="7" s="1"/>
  <c r="J15" i="7" s="1"/>
  <c r="J10" i="7"/>
  <c r="I9" i="7"/>
  <c r="I10" i="7"/>
  <c r="I12" i="7"/>
  <c r="S10" i="7"/>
  <c r="R10" i="7"/>
  <c r="Q10" i="7"/>
  <c r="H10" i="7"/>
  <c r="S9" i="7"/>
  <c r="S13" i="7" s="1"/>
  <c r="R9" i="7"/>
  <c r="Q9" i="7"/>
  <c r="H9" i="7"/>
  <c r="H12" i="7" s="1"/>
  <c r="T8" i="7"/>
  <c r="S8" i="7"/>
  <c r="R8" i="7"/>
  <c r="Q8" i="7"/>
  <c r="J8" i="7"/>
  <c r="J7" i="7"/>
  <c r="J13" i="7"/>
  <c r="I8" i="7"/>
  <c r="I13" i="7" s="1"/>
  <c r="H8" i="7"/>
  <c r="H7" i="7"/>
  <c r="H13" i="7" s="1"/>
  <c r="T7" i="7"/>
  <c r="S7" i="7"/>
  <c r="S12" i="7"/>
  <c r="S14" i="7" s="1"/>
  <c r="S15" i="7" s="1"/>
  <c r="R7" i="7"/>
  <c r="Q7" i="7"/>
  <c r="I7" i="7"/>
  <c r="D63" i="6"/>
  <c r="B63" i="6"/>
  <c r="B62" i="6"/>
  <c r="B66" i="6" s="1"/>
  <c r="D62" i="6"/>
  <c r="D66" i="6" s="1"/>
  <c r="D61" i="6"/>
  <c r="B61" i="6"/>
  <c r="D60" i="6"/>
  <c r="D65" i="6"/>
  <c r="B60" i="6"/>
  <c r="B65" i="6" s="1"/>
  <c r="H40" i="6"/>
  <c r="H43" i="6" s="1"/>
  <c r="H41" i="6"/>
  <c r="H38" i="6"/>
  <c r="H39" i="6"/>
  <c r="D56" i="6"/>
  <c r="D54" i="6"/>
  <c r="B54" i="6"/>
  <c r="D51" i="6"/>
  <c r="C51" i="6"/>
  <c r="B51" i="6"/>
  <c r="D50" i="6"/>
  <c r="C50" i="6"/>
  <c r="B50" i="6"/>
  <c r="G41" i="6"/>
  <c r="G40" i="6"/>
  <c r="G43" i="6" s="1"/>
  <c r="G38" i="6"/>
  <c r="G39" i="6"/>
  <c r="F31" i="6"/>
  <c r="C31" i="6"/>
  <c r="B31" i="6"/>
  <c r="H8" i="6"/>
  <c r="K8" i="6" s="1"/>
  <c r="G8" i="6"/>
  <c r="J8" i="6" s="1"/>
  <c r="G7" i="6"/>
  <c r="H7" i="6"/>
  <c r="H6" i="6"/>
  <c r="H5" i="6"/>
  <c r="K6" i="6"/>
  <c r="G6" i="6"/>
  <c r="J6" i="6" s="1"/>
  <c r="M8" i="6" s="1"/>
  <c r="G5" i="6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F60" i="5" s="1"/>
  <c r="B28" i="5"/>
  <c r="F27" i="5"/>
  <c r="B27" i="5"/>
  <c r="D83" i="14"/>
  <c r="D78" i="14"/>
  <c r="D72" i="14"/>
  <c r="B28" i="13"/>
  <c r="B25" i="13"/>
  <c r="S54" i="10"/>
  <c r="K8" i="11"/>
  <c r="B28" i="12"/>
  <c r="B25" i="12"/>
  <c r="H17" i="13"/>
  <c r="G17" i="13"/>
  <c r="C36" i="14"/>
  <c r="C30" i="14"/>
  <c r="J53" i="32"/>
  <c r="E66" i="32" s="1"/>
  <c r="E68" i="32" s="1"/>
  <c r="E67" i="32"/>
  <c r="C32" i="6"/>
  <c r="B32" i="6"/>
  <c r="T12" i="7"/>
  <c r="R13" i="7"/>
  <c r="R14" i="7" s="1"/>
  <c r="R15" i="7" s="1"/>
  <c r="T25" i="7"/>
  <c r="H26" i="7"/>
  <c r="H28" i="7" s="1"/>
  <c r="R12" i="8"/>
  <c r="B28" i="9"/>
  <c r="B24" i="9"/>
  <c r="B25" i="9"/>
  <c r="G14" i="10"/>
  <c r="C128" i="14"/>
  <c r="Q12" i="7"/>
  <c r="Q14" i="7"/>
  <c r="Q15" i="7" s="1"/>
  <c r="R12" i="7"/>
  <c r="Q13" i="8"/>
  <c r="I26" i="8"/>
  <c r="I28" i="8"/>
  <c r="S26" i="8"/>
  <c r="S27" i="8"/>
  <c r="S28" i="8" s="1"/>
  <c r="H16" i="9"/>
  <c r="H44" i="11"/>
  <c r="D28" i="13"/>
  <c r="D25" i="13"/>
  <c r="C114" i="14"/>
  <c r="H11" i="21"/>
  <c r="G38" i="31" s="1"/>
  <c r="G42" i="31" s="1"/>
  <c r="E94" i="32"/>
  <c r="D25" i="33"/>
  <c r="K16" i="33"/>
  <c r="K17" i="33"/>
  <c r="I11" i="21"/>
  <c r="D24" i="21" s="1"/>
  <c r="D26" i="21" s="1"/>
  <c r="D25" i="21"/>
  <c r="E23" i="33"/>
  <c r="L12" i="33" s="1"/>
  <c r="E25" i="33"/>
  <c r="D25" i="23"/>
  <c r="I11" i="23"/>
  <c r="J11" i="23"/>
  <c r="D24" i="23"/>
  <c r="J11" i="24"/>
  <c r="E24" i="24"/>
  <c r="E25" i="24"/>
  <c r="I11" i="25"/>
  <c r="D24" i="25"/>
  <c r="D26" i="25" s="1"/>
  <c r="D25" i="25"/>
  <c r="J16" i="28"/>
  <c r="H24" i="32"/>
  <c r="H26" i="32" s="1"/>
  <c r="J24" i="32"/>
  <c r="D119" i="32"/>
  <c r="D120" i="32"/>
  <c r="D121" i="32"/>
  <c r="B60" i="33"/>
  <c r="C60" i="33"/>
  <c r="C56" i="33"/>
  <c r="C57" i="33"/>
  <c r="D66" i="34"/>
  <c r="D70" i="34"/>
  <c r="D58" i="34"/>
  <c r="B113" i="21"/>
  <c r="H99" i="21"/>
  <c r="B112" i="21"/>
  <c r="B114" i="21"/>
  <c r="G10" i="6"/>
  <c r="G11" i="6" s="1"/>
  <c r="D104" i="20"/>
  <c r="D112" i="20"/>
  <c r="J11" i="21"/>
  <c r="J70" i="21"/>
  <c r="E83" i="21"/>
  <c r="E85" i="21" s="1"/>
  <c r="J71" i="21" s="1"/>
  <c r="E84" i="21"/>
  <c r="E113" i="21"/>
  <c r="H11" i="22"/>
  <c r="B24" i="22"/>
  <c r="B26" i="22" s="1"/>
  <c r="B25" i="22"/>
  <c r="E25" i="23"/>
  <c r="H11" i="25"/>
  <c r="C24" i="29"/>
  <c r="C26" i="29" s="1"/>
  <c r="C25" i="29"/>
  <c r="C32" i="29"/>
  <c r="D146" i="32"/>
  <c r="I132" i="32"/>
  <c r="D145" i="32"/>
  <c r="G23" i="33"/>
  <c r="E24" i="33"/>
  <c r="L26" i="33"/>
  <c r="N38" i="33"/>
  <c r="N39" i="33"/>
  <c r="B62" i="34"/>
  <c r="B58" i="34"/>
  <c r="C111" i="20"/>
  <c r="D41" i="32"/>
  <c r="I27" i="32"/>
  <c r="J111" i="32"/>
  <c r="F24" i="33"/>
  <c r="B56" i="11"/>
  <c r="G44" i="11"/>
  <c r="B55" i="11"/>
  <c r="B57" i="11"/>
  <c r="E56" i="21"/>
  <c r="J42" i="21"/>
  <c r="E55" i="21" s="1"/>
  <c r="E57" i="21" s="1"/>
  <c r="H42" i="21"/>
  <c r="H130" i="21"/>
  <c r="I17" i="22"/>
  <c r="J17" i="23"/>
  <c r="J12" i="23" s="1"/>
  <c r="D26" i="23"/>
  <c r="B25" i="24"/>
  <c r="H11" i="24"/>
  <c r="I11" i="24"/>
  <c r="D24" i="24" s="1"/>
  <c r="D26" i="24" s="1"/>
  <c r="H16" i="24"/>
  <c r="I16" i="24"/>
  <c r="H22" i="28"/>
  <c r="I16" i="29"/>
  <c r="I17" i="29" s="1"/>
  <c r="J26" i="32"/>
  <c r="J137" i="32"/>
  <c r="G25" i="33"/>
  <c r="E52" i="33"/>
  <c r="O40" i="33" s="1"/>
  <c r="F25" i="34"/>
  <c r="F27" i="34"/>
  <c r="M12" i="34"/>
  <c r="E26" i="34"/>
  <c r="D50" i="34"/>
  <c r="I16" i="25"/>
  <c r="I50" i="32"/>
  <c r="I52" i="32"/>
  <c r="I112" i="32"/>
  <c r="E60" i="33"/>
  <c r="E56" i="33"/>
  <c r="N38" i="34"/>
  <c r="N39" i="34"/>
  <c r="N46" i="34"/>
  <c r="N47" i="34"/>
  <c r="D62" i="34" s="1"/>
  <c r="C58" i="34"/>
  <c r="C67" i="34"/>
  <c r="C23" i="38"/>
  <c r="E42" i="40"/>
  <c r="E50" i="40"/>
  <c r="F48" i="41"/>
  <c r="F55" i="41"/>
  <c r="I47" i="21"/>
  <c r="D56" i="21"/>
  <c r="I76" i="21"/>
  <c r="I17" i="23"/>
  <c r="B25" i="23"/>
  <c r="B26" i="23"/>
  <c r="E25" i="25"/>
  <c r="I33" i="32"/>
  <c r="J129" i="32"/>
  <c r="J131" i="32" s="1"/>
  <c r="I137" i="32"/>
  <c r="D24" i="33"/>
  <c r="K26" i="33" s="1"/>
  <c r="N46" i="33"/>
  <c r="N47" i="33"/>
  <c r="B68" i="33"/>
  <c r="L56" i="33" s="1"/>
  <c r="E64" i="33"/>
  <c r="H86" i="32"/>
  <c r="J138" i="32"/>
  <c r="I138" i="32"/>
  <c r="N30" i="33"/>
  <c r="N26" i="33"/>
  <c r="N17" i="33"/>
  <c r="N12" i="33" s="1"/>
  <c r="M38" i="33"/>
  <c r="M39" i="33" s="1"/>
  <c r="D57" i="33"/>
  <c r="K31" i="34"/>
  <c r="L31" i="34"/>
  <c r="C50" i="34"/>
  <c r="B50" i="34"/>
  <c r="C66" i="34"/>
  <c r="B66" i="34"/>
  <c r="B52" i="33"/>
  <c r="L40" i="33"/>
  <c r="D56" i="33"/>
  <c r="K17" i="34"/>
  <c r="L17" i="34"/>
  <c r="M24" i="34"/>
  <c r="M25" i="34"/>
  <c r="F26" i="34" s="1"/>
  <c r="C70" i="34"/>
  <c r="M56" i="34"/>
  <c r="F42" i="40"/>
  <c r="E60" i="40"/>
  <c r="D60" i="40"/>
  <c r="D51" i="40"/>
  <c r="C60" i="40"/>
  <c r="C55" i="40"/>
  <c r="C51" i="40"/>
  <c r="C48" i="41"/>
  <c r="C55" i="41"/>
  <c r="F47" i="42"/>
  <c r="F48" i="42" s="1"/>
  <c r="F54" i="42" s="1"/>
  <c r="E47" i="42"/>
  <c r="E78" i="42" s="1"/>
  <c r="E48" i="42"/>
  <c r="E54" i="42" s="1"/>
  <c r="E32" i="45"/>
  <c r="C39" i="45" s="1"/>
  <c r="C46" i="45" s="1"/>
  <c r="H18" i="39"/>
  <c r="H19" i="39"/>
  <c r="E41" i="42"/>
  <c r="E42" i="42" s="1"/>
  <c r="D48" i="42"/>
  <c r="D54" i="42"/>
  <c r="D78" i="42"/>
  <c r="E47" i="40"/>
  <c r="E46" i="40"/>
  <c r="D42" i="41"/>
  <c r="D50" i="41"/>
  <c r="F40" i="41"/>
  <c r="F42" i="41"/>
  <c r="C38" i="45"/>
  <c r="C42" i="45" s="1"/>
  <c r="C41" i="45"/>
  <c r="C52" i="45"/>
  <c r="C26" i="40"/>
  <c r="C27" i="40" s="1"/>
  <c r="D47" i="41"/>
  <c r="D46" i="41"/>
  <c r="D48" i="41"/>
  <c r="D55" i="41"/>
  <c r="C41" i="41"/>
  <c r="D51" i="41"/>
  <c r="B34" i="44"/>
  <c r="C34" i="44" s="1"/>
  <c r="C35" i="44" s="1"/>
  <c r="C42" i="44" s="1"/>
  <c r="B22" i="44"/>
  <c r="D22" i="44" s="1"/>
  <c r="B26" i="44" s="1"/>
  <c r="G8" i="50"/>
  <c r="G7" i="50"/>
  <c r="G6" i="50"/>
  <c r="D18" i="50" s="1"/>
  <c r="D27" i="34"/>
  <c r="D25" i="34"/>
  <c r="K12" i="34"/>
  <c r="K30" i="34"/>
  <c r="K26" i="34"/>
  <c r="C62" i="34"/>
  <c r="M48" i="34" s="1"/>
  <c r="C59" i="34"/>
  <c r="C31" i="45"/>
  <c r="B52" i="45" s="1"/>
  <c r="B46" i="45"/>
  <c r="C73" i="42"/>
  <c r="C69" i="42"/>
  <c r="D59" i="42"/>
  <c r="D72" i="42" s="1"/>
  <c r="D74" i="42" s="1"/>
  <c r="D77" i="42" s="1"/>
  <c r="D50" i="42"/>
  <c r="D69" i="42"/>
  <c r="H9" i="49"/>
  <c r="H18" i="49"/>
  <c r="I53" i="32"/>
  <c r="D66" i="32"/>
  <c r="D67" i="32"/>
  <c r="H27" i="32"/>
  <c r="B40" i="32"/>
  <c r="B41" i="32"/>
  <c r="E14" i="50"/>
  <c r="D14" i="50"/>
  <c r="E10" i="50"/>
  <c r="D10" i="50" s="1"/>
  <c r="E11" i="50"/>
  <c r="D11" i="50"/>
  <c r="E12" i="50"/>
  <c r="D12" i="50" s="1"/>
  <c r="E7" i="50"/>
  <c r="D7" i="50"/>
  <c r="E8" i="50"/>
  <c r="D8" i="50" s="1"/>
  <c r="E48" i="40"/>
  <c r="E55" i="40"/>
  <c r="B27" i="44"/>
  <c r="D52" i="40"/>
  <c r="D54" i="40"/>
  <c r="D53" i="40"/>
  <c r="D57" i="40"/>
  <c r="E51" i="40"/>
  <c r="F50" i="40"/>
  <c r="F51" i="40"/>
  <c r="F52" i="40" s="1"/>
  <c r="F54" i="40" s="1"/>
  <c r="F60" i="40"/>
  <c r="D54" i="34"/>
  <c r="S38" i="31"/>
  <c r="S39" i="31"/>
  <c r="D24" i="13"/>
  <c r="D26" i="13"/>
  <c r="D29" i="13"/>
  <c r="B38" i="45"/>
  <c r="F50" i="41"/>
  <c r="F60" i="41"/>
  <c r="F51" i="41"/>
  <c r="E27" i="34"/>
  <c r="I38" i="31"/>
  <c r="D111" i="20"/>
  <c r="D113" i="20"/>
  <c r="D107" i="20"/>
  <c r="O36" i="31"/>
  <c r="N37" i="31"/>
  <c r="D82" i="14"/>
  <c r="D85" i="14"/>
  <c r="D77" i="14"/>
  <c r="D79" i="14" s="1"/>
  <c r="C43" i="45"/>
  <c r="C47" i="45" s="1"/>
  <c r="C45" i="45"/>
  <c r="D68" i="42"/>
  <c r="D70" i="42" s="1"/>
  <c r="D76" i="42" s="1"/>
  <c r="D60" i="41"/>
  <c r="B34" i="39"/>
  <c r="B35" i="39" s="1"/>
  <c r="H20" i="39"/>
  <c r="B33" i="39"/>
  <c r="C52" i="40"/>
  <c r="C56" i="40"/>
  <c r="C58" i="40" s="1"/>
  <c r="C54" i="40"/>
  <c r="C53" i="40"/>
  <c r="C57" i="40" s="1"/>
  <c r="D60" i="33"/>
  <c r="N48" i="33"/>
  <c r="N39" i="31"/>
  <c r="I12" i="24"/>
  <c r="O39" i="31"/>
  <c r="H12" i="22"/>
  <c r="Q38" i="31"/>
  <c r="Q42" i="31"/>
  <c r="B24" i="10"/>
  <c r="G15" i="10"/>
  <c r="B23" i="10" s="1"/>
  <c r="B25" i="10" s="1"/>
  <c r="B35" i="10" s="1"/>
  <c r="B36" i="10" s="1"/>
  <c r="G16" i="10"/>
  <c r="J29" i="8"/>
  <c r="D55" i="8"/>
  <c r="D56" i="8"/>
  <c r="G37" i="31"/>
  <c r="C35" i="14"/>
  <c r="C37" i="14"/>
  <c r="C31" i="14" s="1"/>
  <c r="H37" i="31" s="1"/>
  <c r="B32" i="44"/>
  <c r="B38" i="44" s="1"/>
  <c r="E59" i="42"/>
  <c r="E51" i="42"/>
  <c r="C52" i="33"/>
  <c r="M40" i="33"/>
  <c r="F78" i="42"/>
  <c r="J27" i="32"/>
  <c r="E40" i="32"/>
  <c r="E42" i="32" s="1"/>
  <c r="J28" i="32" s="1"/>
  <c r="E41" i="32"/>
  <c r="I39" i="31"/>
  <c r="B24" i="24"/>
  <c r="B26" i="24"/>
  <c r="H12" i="24" s="1"/>
  <c r="J39" i="31" s="1"/>
  <c r="B143" i="21"/>
  <c r="B145" i="21"/>
  <c r="B55" i="21"/>
  <c r="B57" i="21" s="1"/>
  <c r="H43" i="21" s="1"/>
  <c r="J38" i="31" s="1"/>
  <c r="E24" i="23"/>
  <c r="E26" i="23"/>
  <c r="I29" i="8"/>
  <c r="C55" i="8" s="1"/>
  <c r="C57" i="8" s="1"/>
  <c r="C51" i="8" s="1"/>
  <c r="C52" i="8" s="1"/>
  <c r="I30" i="8" s="1"/>
  <c r="C56" i="8"/>
  <c r="B56" i="7"/>
  <c r="H29" i="7"/>
  <c r="B55" i="7"/>
  <c r="B57" i="7"/>
  <c r="E53" i="42"/>
  <c r="E52" i="42"/>
  <c r="B37" i="44"/>
  <c r="E68" i="42"/>
  <c r="E70" i="42" s="1"/>
  <c r="E76" i="42" s="1"/>
  <c r="E80" i="42" s="1"/>
  <c r="E72" i="42"/>
  <c r="E74" i="42"/>
  <c r="E77" i="42"/>
  <c r="E55" i="42"/>
  <c r="E57" i="42"/>
  <c r="B41" i="45"/>
  <c r="B42" i="45"/>
  <c r="D56" i="40"/>
  <c r="B43" i="45"/>
  <c r="B44" i="45" s="1"/>
  <c r="B48" i="45" s="1"/>
  <c r="B45" i="45"/>
  <c r="F61" i="5"/>
  <c r="I56" i="20"/>
  <c r="I16" i="20"/>
  <c r="I59" i="20"/>
  <c r="I49" i="20"/>
  <c r="I14" i="20"/>
  <c r="I15" i="20"/>
  <c r="I8" i="20"/>
  <c r="I47" i="20"/>
  <c r="I13" i="20"/>
  <c r="I19" i="20"/>
  <c r="I55" i="20"/>
  <c r="I9" i="20"/>
  <c r="I60" i="20"/>
  <c r="I53" i="20"/>
  <c r="I7" i="20"/>
  <c r="I20" i="20"/>
  <c r="I50" i="20"/>
  <c r="I54" i="20"/>
  <c r="I10" i="20"/>
  <c r="I48" i="20"/>
  <c r="M18" i="38" l="1"/>
  <c r="B34" i="38"/>
  <c r="B40" i="38" s="1"/>
  <c r="B44" i="38" s="1"/>
  <c r="B26" i="38"/>
  <c r="B28" i="38" s="1"/>
  <c r="D23" i="38"/>
  <c r="B27" i="38" s="1"/>
  <c r="C63" i="20"/>
  <c r="D63" i="20"/>
  <c r="F63" i="20"/>
  <c r="D23" i="20"/>
  <c r="B63" i="20"/>
  <c r="C23" i="20"/>
  <c r="E63" i="20"/>
  <c r="F23" i="20"/>
  <c r="E23" i="20"/>
  <c r="G63" i="20"/>
  <c r="B23" i="20"/>
  <c r="G23" i="20"/>
  <c r="G64" i="20"/>
  <c r="E24" i="20"/>
  <c r="C64" i="20"/>
  <c r="F64" i="20"/>
  <c r="F24" i="20"/>
  <c r="D24" i="20"/>
  <c r="E64" i="20"/>
  <c r="D64" i="20"/>
  <c r="B64" i="20"/>
  <c r="C24" i="20"/>
  <c r="B24" i="20"/>
  <c r="G24" i="20"/>
  <c r="F66" i="20"/>
  <c r="C66" i="20"/>
  <c r="G66" i="20"/>
  <c r="B26" i="20"/>
  <c r="D66" i="20"/>
  <c r="D26" i="20"/>
  <c r="C26" i="20"/>
  <c r="E26" i="20"/>
  <c r="F26" i="20"/>
  <c r="B66" i="20"/>
  <c r="F67" i="20"/>
  <c r="E67" i="20"/>
  <c r="D67" i="20"/>
  <c r="D27" i="20"/>
  <c r="B67" i="20"/>
  <c r="E27" i="20"/>
  <c r="C67" i="20"/>
  <c r="C27" i="20"/>
  <c r="G27" i="20"/>
  <c r="F27" i="20"/>
  <c r="G67" i="20"/>
  <c r="B27" i="20"/>
  <c r="B53" i="45"/>
  <c r="C37" i="44"/>
  <c r="C38" i="44"/>
  <c r="B83" i="10"/>
  <c r="H56" i="10"/>
  <c r="B82" i="10" s="1"/>
  <c r="B84" i="10" s="1"/>
  <c r="B78" i="10" s="1"/>
  <c r="B79" i="10" s="1"/>
  <c r="H57" i="10" s="1"/>
  <c r="C52" i="42"/>
  <c r="C53" i="42"/>
  <c r="C49" i="45"/>
  <c r="H12" i="25"/>
  <c r="G26" i="34"/>
  <c r="N26" i="34"/>
  <c r="E50" i="41"/>
  <c r="E60" i="41"/>
  <c r="E51" i="41"/>
  <c r="D51" i="42"/>
  <c r="D55" i="42"/>
  <c r="D57" i="42" s="1"/>
  <c r="N12" i="34"/>
  <c r="B42" i="32"/>
  <c r="H28" i="32" s="1"/>
  <c r="J28" i="7"/>
  <c r="R27" i="8"/>
  <c r="R28" i="8" s="1"/>
  <c r="H14" i="10"/>
  <c r="K6" i="11"/>
  <c r="M8" i="11" s="1"/>
  <c r="H10" i="11"/>
  <c r="H11" i="11" s="1"/>
  <c r="E54" i="34"/>
  <c r="O40" i="34"/>
  <c r="B45" i="44"/>
  <c r="C26" i="44" s="1"/>
  <c r="B39" i="44"/>
  <c r="B41" i="44" s="1"/>
  <c r="B43" i="44"/>
  <c r="C34" i="38"/>
  <c r="Q27" i="8"/>
  <c r="Q28" i="8" s="1"/>
  <c r="B26" i="21"/>
  <c r="H79" i="32"/>
  <c r="E62" i="34"/>
  <c r="O48" i="34" s="1"/>
  <c r="D57" i="8"/>
  <c r="D51" i="8" s="1"/>
  <c r="D52" i="8" s="1"/>
  <c r="J30" i="8" s="1"/>
  <c r="B28" i="44"/>
  <c r="D52" i="33"/>
  <c r="N40" i="33"/>
  <c r="I107" i="32"/>
  <c r="B24" i="13"/>
  <c r="B26" i="13" s="1"/>
  <c r="B29" i="13" s="1"/>
  <c r="B26" i="9"/>
  <c r="D84" i="21"/>
  <c r="I70" i="21"/>
  <c r="D83" i="21" s="1"/>
  <c r="D85" i="21" s="1"/>
  <c r="F56" i="40"/>
  <c r="F58" i="40" s="1"/>
  <c r="O54" i="34"/>
  <c r="O55" i="34" s="1"/>
  <c r="C78" i="42"/>
  <c r="C48" i="42"/>
  <c r="C54" i="42" s="1"/>
  <c r="E52" i="40"/>
  <c r="E54" i="40" s="1"/>
  <c r="E56" i="40"/>
  <c r="E58" i="40" s="1"/>
  <c r="E146" i="32"/>
  <c r="J132" i="32"/>
  <c r="E145" i="32"/>
  <c r="E147" i="32" s="1"/>
  <c r="C44" i="45"/>
  <c r="C48" i="45" s="1"/>
  <c r="C53" i="45" s="1"/>
  <c r="G27" i="34"/>
  <c r="H21" i="39"/>
  <c r="C59" i="42"/>
  <c r="D52" i="41"/>
  <c r="D54" i="41" s="1"/>
  <c r="D113" i="21"/>
  <c r="I99" i="21"/>
  <c r="D112" i="21"/>
  <c r="D68" i="33"/>
  <c r="N56" i="33"/>
  <c r="F59" i="42"/>
  <c r="F51" i="42"/>
  <c r="F55" i="42"/>
  <c r="F57" i="42" s="1"/>
  <c r="J81" i="32"/>
  <c r="D68" i="32"/>
  <c r="O48" i="33"/>
  <c r="G25" i="34"/>
  <c r="I54" i="32"/>
  <c r="B41" i="38"/>
  <c r="B42" i="38"/>
  <c r="C61" i="40"/>
  <c r="C55" i="42"/>
  <c r="C60" i="41"/>
  <c r="F52" i="41"/>
  <c r="F53" i="41" s="1"/>
  <c r="B47" i="45"/>
  <c r="B49" i="45" s="1"/>
  <c r="F53" i="40"/>
  <c r="F57" i="40" s="1"/>
  <c r="F61" i="40" s="1"/>
  <c r="D80" i="42"/>
  <c r="L38" i="31"/>
  <c r="C50" i="41"/>
  <c r="C57" i="41" s="1"/>
  <c r="D40" i="32"/>
  <c r="D42" i="32" s="1"/>
  <c r="I28" i="32"/>
  <c r="E112" i="21"/>
  <c r="E114" i="21" s="1"/>
  <c r="J100" i="21" s="1"/>
  <c r="H100" i="21"/>
  <c r="B24" i="21"/>
  <c r="D73" i="14"/>
  <c r="O37" i="31" s="1"/>
  <c r="I80" i="32"/>
  <c r="D94" i="32"/>
  <c r="D93" i="32"/>
  <c r="D95" i="32" s="1"/>
  <c r="B59" i="34"/>
  <c r="L48" i="34" s="1"/>
  <c r="D59" i="34"/>
  <c r="N48" i="34" s="1"/>
  <c r="B67" i="34"/>
  <c r="L56" i="34" s="1"/>
  <c r="B51" i="34"/>
  <c r="E144" i="21"/>
  <c r="J130" i="21"/>
  <c r="D51" i="34"/>
  <c r="N40" i="34" s="1"/>
  <c r="C53" i="41"/>
  <c r="C56" i="41"/>
  <c r="C58" i="41" s="1"/>
  <c r="L12" i="34"/>
  <c r="E4" i="50"/>
  <c r="D4" i="50" s="1"/>
  <c r="E5" i="50"/>
  <c r="D5" i="50" s="1"/>
  <c r="E13" i="50"/>
  <c r="D13" i="50" s="1"/>
  <c r="E15" i="50"/>
  <c r="D15" i="50" s="1"/>
  <c r="E9" i="50"/>
  <c r="D9" i="50" s="1"/>
  <c r="E6" i="50"/>
  <c r="D6" i="50" s="1"/>
  <c r="B67" i="11"/>
  <c r="B68" i="11" s="1"/>
  <c r="G45" i="11" s="1"/>
  <c r="B24" i="25"/>
  <c r="B26" i="25" s="1"/>
  <c r="B29" i="12"/>
  <c r="G44" i="6"/>
  <c r="B55" i="6"/>
  <c r="B57" i="6" s="1"/>
  <c r="B67" i="6" s="1"/>
  <c r="B68" i="6" s="1"/>
  <c r="G45" i="6" s="1"/>
  <c r="B56" i="6"/>
  <c r="B24" i="12"/>
  <c r="B26" i="12" s="1"/>
  <c r="D28" i="9"/>
  <c r="D25" i="9"/>
  <c r="D24" i="9"/>
  <c r="D26" i="9" s="1"/>
  <c r="R55" i="10"/>
  <c r="R56" i="10" s="1"/>
  <c r="T54" i="10"/>
  <c r="T55" i="10" s="1"/>
  <c r="T56" i="10" s="1"/>
  <c r="R54" i="10"/>
  <c r="C83" i="10"/>
  <c r="I56" i="10"/>
  <c r="C123" i="14"/>
  <c r="C117" i="14"/>
  <c r="H53" i="32"/>
  <c r="B66" i="32"/>
  <c r="B68" i="32" s="1"/>
  <c r="E68" i="33"/>
  <c r="O56" i="33" s="1"/>
  <c r="Q25" i="7"/>
  <c r="Q27" i="7" s="1"/>
  <c r="Q28" i="7" s="1"/>
  <c r="R25" i="7"/>
  <c r="R27" i="7" s="1"/>
  <c r="R28" i="7" s="1"/>
  <c r="B50" i="8"/>
  <c r="S55" i="10"/>
  <c r="S56" i="10" s="1"/>
  <c r="C68" i="14"/>
  <c r="G26" i="20"/>
  <c r="E66" i="20"/>
  <c r="J10" i="22"/>
  <c r="F25" i="33"/>
  <c r="F23" i="33"/>
  <c r="M12" i="33"/>
  <c r="C82" i="10"/>
  <c r="C84" i="10" s="1"/>
  <c r="C78" i="10" s="1"/>
  <c r="C79" i="10" s="1"/>
  <c r="I57" i="10" s="1"/>
  <c r="R13" i="8"/>
  <c r="R14" i="8" s="1"/>
  <c r="R15" i="8" s="1"/>
  <c r="D56" i="11"/>
  <c r="D55" i="11"/>
  <c r="H10" i="12"/>
  <c r="D26" i="14"/>
  <c r="I136" i="21"/>
  <c r="H136" i="21"/>
  <c r="H131" i="21" s="1"/>
  <c r="C113" i="20"/>
  <c r="C107" i="20" s="1"/>
  <c r="J36" i="31" s="1"/>
  <c r="C29" i="29"/>
  <c r="C33" i="29" s="1"/>
  <c r="H14" i="7"/>
  <c r="H15" i="7" s="1"/>
  <c r="H28" i="8"/>
  <c r="E24" i="21"/>
  <c r="E25" i="21"/>
  <c r="D23" i="33"/>
  <c r="K12" i="33"/>
  <c r="M26" i="34"/>
  <c r="L40" i="34"/>
  <c r="M48" i="33"/>
  <c r="H10" i="6"/>
  <c r="H11" i="6" s="1"/>
  <c r="I14" i="7"/>
  <c r="I15" i="7" s="1"/>
  <c r="T26" i="7"/>
  <c r="T27" i="7" s="1"/>
  <c r="T28" i="7" s="1"/>
  <c r="J53" i="10"/>
  <c r="J55" i="10" s="1"/>
  <c r="J104" i="21"/>
  <c r="H104" i="21"/>
  <c r="M40" i="34"/>
  <c r="D147" i="32"/>
  <c r="I133" i="32" s="1"/>
  <c r="L48" i="33"/>
  <c r="B67" i="32"/>
  <c r="H44" i="6"/>
  <c r="D55" i="6"/>
  <c r="D57" i="6" s="1"/>
  <c r="D67" i="6" s="1"/>
  <c r="D68" i="6" s="1"/>
  <c r="H45" i="6" s="1"/>
  <c r="I28" i="7"/>
  <c r="C50" i="7"/>
  <c r="J13" i="8"/>
  <c r="J14" i="8" s="1"/>
  <c r="J15" i="8" s="1"/>
  <c r="Q26" i="8"/>
  <c r="G10" i="11"/>
  <c r="G11" i="11" s="1"/>
  <c r="I104" i="21"/>
  <c r="I85" i="32"/>
  <c r="J16" i="21"/>
  <c r="H16" i="21"/>
  <c r="I42" i="21"/>
  <c r="C28" i="29"/>
  <c r="C30" i="29" s="1"/>
  <c r="E93" i="32"/>
  <c r="E95" i="32" s="1"/>
  <c r="I14" i="8"/>
  <c r="I15" i="8" s="1"/>
  <c r="D27" i="14"/>
  <c r="D113" i="14"/>
  <c r="M16" i="33"/>
  <c r="M30" i="33"/>
  <c r="M26" i="33" s="1"/>
  <c r="N31" i="34"/>
  <c r="M31" i="34"/>
  <c r="Q53" i="10"/>
  <c r="Q55" i="10" s="1"/>
  <c r="Q56" i="10" s="1"/>
  <c r="H17" i="21"/>
  <c r="I17" i="25"/>
  <c r="I12" i="25" s="1"/>
  <c r="J17" i="25"/>
  <c r="J12" i="25" s="1"/>
  <c r="J59" i="32"/>
  <c r="J54" i="32" s="1"/>
  <c r="I59" i="32"/>
  <c r="J105" i="32"/>
  <c r="C64" i="33"/>
  <c r="E59" i="34"/>
  <c r="C51" i="34"/>
  <c r="D144" i="21"/>
  <c r="T14" i="8"/>
  <c r="T15" i="8" s="1"/>
  <c r="J105" i="21"/>
  <c r="I105" i="21"/>
  <c r="I10" i="22"/>
  <c r="E51" i="34"/>
  <c r="B32" i="56"/>
  <c r="B26" i="56"/>
  <c r="B28" i="56" s="1"/>
  <c r="D143" i="21"/>
  <c r="D145" i="21" s="1"/>
  <c r="I131" i="21" s="1"/>
  <c r="G17" i="9"/>
  <c r="Q54" i="10"/>
  <c r="H69" i="21"/>
  <c r="H16" i="23"/>
  <c r="H12" i="23" s="1"/>
  <c r="J22" i="28"/>
  <c r="E58" i="34"/>
  <c r="L18" i="38"/>
  <c r="B36" i="38" s="1"/>
  <c r="C69" i="14"/>
  <c r="J17" i="21"/>
  <c r="I17" i="21"/>
  <c r="I12" i="21" s="1"/>
  <c r="M38" i="31" s="1"/>
  <c r="I16" i="23"/>
  <c r="I12" i="23" s="1"/>
  <c r="C68" i="33"/>
  <c r="M56" i="33" s="1"/>
  <c r="H103" i="32"/>
  <c r="H105" i="32" s="1"/>
  <c r="H129" i="32"/>
  <c r="H131" i="32" s="1"/>
  <c r="C23" i="56"/>
  <c r="D23" i="56" s="1"/>
  <c r="B32" i="11"/>
  <c r="H77" i="32"/>
  <c r="L30" i="34"/>
  <c r="L26" i="34" s="1"/>
  <c r="E50" i="42"/>
  <c r="E56" i="42" s="1"/>
  <c r="E60" i="42" s="1"/>
  <c r="F50" i="42"/>
  <c r="H16" i="49"/>
  <c r="D65" i="20" l="1"/>
  <c r="G65" i="20"/>
  <c r="B65" i="20"/>
  <c r="B69" i="20" s="1"/>
  <c r="G25" i="20"/>
  <c r="F65" i="20"/>
  <c r="F69" i="20" s="1"/>
  <c r="B25" i="20"/>
  <c r="B29" i="20" s="1"/>
  <c r="C65" i="20"/>
  <c r="C75" i="20" s="1"/>
  <c r="E25" i="20"/>
  <c r="E29" i="20" s="1"/>
  <c r="B120" i="32"/>
  <c r="H106" i="32"/>
  <c r="B119" i="32"/>
  <c r="B121" i="32" s="1"/>
  <c r="C36" i="38"/>
  <c r="C37" i="38" s="1"/>
  <c r="C43" i="38" s="1"/>
  <c r="B37" i="38"/>
  <c r="B43" i="38" s="1"/>
  <c r="B46" i="38" s="1"/>
  <c r="F57" i="41"/>
  <c r="F61" i="41" s="1"/>
  <c r="B27" i="56"/>
  <c r="C32" i="56"/>
  <c r="H12" i="21"/>
  <c r="H38" i="31" s="1"/>
  <c r="B94" i="32"/>
  <c r="H80" i="32"/>
  <c r="C83" i="14"/>
  <c r="C78" i="14"/>
  <c r="C72" i="14"/>
  <c r="F52" i="42"/>
  <c r="F53" i="42"/>
  <c r="D53" i="41"/>
  <c r="D57" i="41" s="1"/>
  <c r="D61" i="41" s="1"/>
  <c r="B75" i="20"/>
  <c r="G75" i="20"/>
  <c r="G69" i="20"/>
  <c r="G35" i="20"/>
  <c r="G29" i="20"/>
  <c r="D56" i="41"/>
  <c r="D58" i="41" s="1"/>
  <c r="F56" i="42"/>
  <c r="F60" i="42" s="1"/>
  <c r="C72" i="42"/>
  <c r="C74" i="42" s="1"/>
  <c r="C77" i="42" s="1"/>
  <c r="C68" i="42"/>
  <c r="C70" i="42" s="1"/>
  <c r="C76" i="42" s="1"/>
  <c r="C80" i="42" s="1"/>
  <c r="C40" i="38"/>
  <c r="C44" i="38" s="1"/>
  <c r="D52" i="42"/>
  <c r="D53" i="42"/>
  <c r="D69" i="20"/>
  <c r="D75" i="20"/>
  <c r="I43" i="21"/>
  <c r="O38" i="31" s="1"/>
  <c r="N38" i="31"/>
  <c r="L42" i="31" s="1"/>
  <c r="D56" i="7"/>
  <c r="J29" i="7"/>
  <c r="D55" i="7"/>
  <c r="D57" i="7" s="1"/>
  <c r="D51" i="7" s="1"/>
  <c r="D52" i="7" s="1"/>
  <c r="J30" i="7" s="1"/>
  <c r="I29" i="7"/>
  <c r="C55" i="7"/>
  <c r="C56" i="7"/>
  <c r="B45" i="38"/>
  <c r="H54" i="32"/>
  <c r="I71" i="21"/>
  <c r="C25" i="20"/>
  <c r="F72" i="42"/>
  <c r="F74" i="42" s="1"/>
  <c r="F77" i="42" s="1"/>
  <c r="F68" i="42"/>
  <c r="F70" i="42" s="1"/>
  <c r="F76" i="42" s="1"/>
  <c r="F80" i="42" s="1"/>
  <c r="H70" i="21"/>
  <c r="B84" i="21"/>
  <c r="I11" i="22"/>
  <c r="D24" i="22"/>
  <c r="D25" i="22"/>
  <c r="E26" i="21"/>
  <c r="J12" i="21" s="1"/>
  <c r="R38" i="31" s="1"/>
  <c r="D36" i="14"/>
  <c r="D30" i="14"/>
  <c r="E52" i="41"/>
  <c r="E54" i="41" s="1"/>
  <c r="C39" i="44"/>
  <c r="C41" i="44" s="1"/>
  <c r="C43" i="44"/>
  <c r="C45" i="44" s="1"/>
  <c r="C27" i="44" s="1"/>
  <c r="E65" i="20"/>
  <c r="D117" i="14"/>
  <c r="D123" i="14"/>
  <c r="D128" i="14"/>
  <c r="J133" i="32"/>
  <c r="D83" i="10"/>
  <c r="J56" i="10"/>
  <c r="D82" i="10" s="1"/>
  <c r="D84" i="10" s="1"/>
  <c r="D78" i="10" s="1"/>
  <c r="D79" i="10" s="1"/>
  <c r="J57" i="10" s="1"/>
  <c r="C122" i="14"/>
  <c r="C124" i="14" s="1"/>
  <c r="C118" i="14" s="1"/>
  <c r="C127" i="14"/>
  <c r="C130" i="14" s="1"/>
  <c r="E143" i="21"/>
  <c r="E145" i="21" s="1"/>
  <c r="J131" i="21" s="1"/>
  <c r="I81" i="32"/>
  <c r="J106" i="32"/>
  <c r="E120" i="32"/>
  <c r="E119" i="32"/>
  <c r="E121" i="32" s="1"/>
  <c r="B56" i="8"/>
  <c r="H29" i="8"/>
  <c r="B55" i="8"/>
  <c r="B57" i="8" s="1"/>
  <c r="B51" i="8" s="1"/>
  <c r="B52" i="8" s="1"/>
  <c r="H30" i="8" s="1"/>
  <c r="D28" i="12"/>
  <c r="D24" i="12"/>
  <c r="D25" i="12"/>
  <c r="E53" i="40"/>
  <c r="E57" i="40" s="1"/>
  <c r="E61" i="40" s="1"/>
  <c r="C61" i="41"/>
  <c r="D114" i="21"/>
  <c r="C57" i="42"/>
  <c r="B29" i="9"/>
  <c r="D24" i="10"/>
  <c r="H15" i="10"/>
  <c r="D23" i="10"/>
  <c r="D25" i="10" s="1"/>
  <c r="D35" i="10" s="1"/>
  <c r="D36" i="10" s="1"/>
  <c r="H16" i="10" s="1"/>
  <c r="D25" i="20"/>
  <c r="E70" i="34"/>
  <c r="O56" i="34"/>
  <c r="H132" i="32"/>
  <c r="B145" i="32"/>
  <c r="B146" i="32"/>
  <c r="B38" i="56"/>
  <c r="B37" i="56"/>
  <c r="F56" i="41"/>
  <c r="F58" i="41" s="1"/>
  <c r="F54" i="41"/>
  <c r="D29" i="9"/>
  <c r="D55" i="21"/>
  <c r="D57" i="21" s="1"/>
  <c r="D57" i="11"/>
  <c r="D67" i="11" s="1"/>
  <c r="D68" i="11" s="1"/>
  <c r="H45" i="11" s="1"/>
  <c r="E24" i="22"/>
  <c r="E25" i="22"/>
  <c r="J11" i="22"/>
  <c r="I100" i="21"/>
  <c r="B40" i="44"/>
  <c r="B44" i="44" s="1"/>
  <c r="C56" i="42"/>
  <c r="C60" i="42" s="1"/>
  <c r="F25" i="20"/>
  <c r="E35" i="20" l="1"/>
  <c r="F75" i="20"/>
  <c r="C69" i="20"/>
  <c r="B35" i="20"/>
  <c r="C46" i="38"/>
  <c r="C26" i="38"/>
  <c r="B39" i="56"/>
  <c r="B41" i="56" s="1"/>
  <c r="B43" i="56"/>
  <c r="B45" i="56" s="1"/>
  <c r="C26" i="56" s="1"/>
  <c r="B40" i="56"/>
  <c r="D127" i="14"/>
  <c r="D130" i="14" s="1"/>
  <c r="D122" i="14"/>
  <c r="D124" i="14" s="1"/>
  <c r="D118" i="14"/>
  <c r="D36" i="31"/>
  <c r="C42" i="31" s="1"/>
  <c r="G74" i="20"/>
  <c r="G76" i="20" s="1"/>
  <c r="G70" i="20" s="1"/>
  <c r="E36" i="31" s="1"/>
  <c r="C74" i="20"/>
  <c r="C76" i="20" s="1"/>
  <c r="C70" i="20" s="1"/>
  <c r="E69" i="20"/>
  <c r="E75" i="20"/>
  <c r="H81" i="32"/>
  <c r="D26" i="12"/>
  <c r="D29" i="12" s="1"/>
  <c r="C57" i="7"/>
  <c r="C51" i="7" s="1"/>
  <c r="C52" i="7" s="1"/>
  <c r="I30" i="7" s="1"/>
  <c r="D35" i="14"/>
  <c r="D37" i="14" s="1"/>
  <c r="D31" i="14" s="1"/>
  <c r="M37" i="31" s="1"/>
  <c r="L37" i="31"/>
  <c r="L41" i="31" s="1"/>
  <c r="B34" i="20"/>
  <c r="B36" i="20" s="1"/>
  <c r="B30" i="20" s="1"/>
  <c r="C37" i="56"/>
  <c r="C38" i="56"/>
  <c r="F35" i="20"/>
  <c r="F29" i="20"/>
  <c r="J107" i="32"/>
  <c r="C40" i="44"/>
  <c r="C44" i="44" s="1"/>
  <c r="I12" i="22"/>
  <c r="D56" i="42"/>
  <c r="D60" i="42" s="1"/>
  <c r="H71" i="21"/>
  <c r="D74" i="20"/>
  <c r="D76" i="20" s="1"/>
  <c r="D70" i="20" s="1"/>
  <c r="D26" i="22"/>
  <c r="F74" i="20"/>
  <c r="F76" i="20" s="1"/>
  <c r="F70" i="20" s="1"/>
  <c r="H107" i="32"/>
  <c r="D29" i="20"/>
  <c r="D35" i="20"/>
  <c r="E26" i="22"/>
  <c r="E34" i="20"/>
  <c r="E36" i="20" s="1"/>
  <c r="E30" i="20" s="1"/>
  <c r="B74" i="20"/>
  <c r="B76" i="20" s="1"/>
  <c r="B70" i="20" s="1"/>
  <c r="B147" i="32"/>
  <c r="H133" i="32" s="1"/>
  <c r="C29" i="20"/>
  <c r="C35" i="20"/>
  <c r="B93" i="32"/>
  <c r="B95" i="32" s="1"/>
  <c r="E56" i="41"/>
  <c r="E58" i="41" s="1"/>
  <c r="B36" i="31"/>
  <c r="G34" i="20"/>
  <c r="G36" i="20" s="1"/>
  <c r="G30" i="20" s="1"/>
  <c r="C36" i="31" s="1"/>
  <c r="J12" i="22"/>
  <c r="B44" i="56"/>
  <c r="E53" i="41"/>
  <c r="E57" i="41" s="1"/>
  <c r="E61" i="41" s="1"/>
  <c r="B83" i="21"/>
  <c r="B85" i="21" s="1"/>
  <c r="C42" i="38"/>
  <c r="C41" i="38"/>
  <c r="C45" i="38" s="1"/>
  <c r="C27" i="38" s="1"/>
  <c r="I37" i="31"/>
  <c r="G41" i="31" s="1"/>
  <c r="C82" i="14"/>
  <c r="C85" i="14" s="1"/>
  <c r="C77" i="14"/>
  <c r="C79" i="14" s="1"/>
  <c r="C73" i="14" s="1"/>
  <c r="J37" i="31" s="1"/>
  <c r="C34" i="20" l="1"/>
  <c r="C36" i="20" s="1"/>
  <c r="C30" i="20" s="1"/>
  <c r="D34" i="20"/>
  <c r="D36" i="20" s="1"/>
  <c r="D30" i="20" s="1"/>
  <c r="C39" i="56"/>
  <c r="C41" i="56" s="1"/>
  <c r="C40" i="56"/>
  <c r="C43" i="56"/>
  <c r="C45" i="56" s="1"/>
  <c r="C27" i="56" s="1"/>
  <c r="C44" i="56"/>
  <c r="C41" i="31"/>
  <c r="C44" i="31"/>
  <c r="C43" i="31"/>
  <c r="E74" i="20"/>
  <c r="E76" i="20" s="1"/>
  <c r="E70" i="20" s="1"/>
  <c r="F34" i="20"/>
  <c r="F36" i="20" s="1"/>
  <c r="F30" i="20"/>
</calcChain>
</file>

<file path=xl/sharedStrings.xml><?xml version="1.0" encoding="utf-8"?>
<sst xmlns="http://schemas.openxmlformats.org/spreadsheetml/2006/main" count="5737" uniqueCount="978">
  <si>
    <t>KIE</t>
  </si>
  <si>
    <t>notes</t>
  </si>
  <si>
    <t>F</t>
  </si>
  <si>
    <t>production run</t>
  </si>
  <si>
    <t>50 mg of pOCF3 BnF in CDCl3</t>
  </si>
  <si>
    <t>line broadening</t>
  </si>
  <si>
    <t>first-order baseline for filtered, second-order for fluorine</t>
  </si>
  <si>
    <t>MQF blocks</t>
  </si>
  <si>
    <t>no lb for 19F</t>
  </si>
  <si>
    <t>conversion</t>
  </si>
  <si>
    <t>19F blocks</t>
  </si>
  <si>
    <t>SP2 had spinning in it, so only used SP2_redo_1</t>
  </si>
  <si>
    <t>est. error(conversion)</t>
  </si>
  <si>
    <t>MQF</t>
  </si>
  <si>
    <t>19F</t>
  </si>
  <si>
    <t>INTEGRALS</t>
  </si>
  <si>
    <t>CF3</t>
  </si>
  <si>
    <t>13C-F</t>
  </si>
  <si>
    <t>12C-F</t>
  </si>
  <si>
    <t>STDEV</t>
  </si>
  <si>
    <t>68% ERR</t>
  </si>
  <si>
    <t>SF1</t>
  </si>
  <si>
    <t>SF2</t>
  </si>
  <si>
    <t>12C</t>
  </si>
  <si>
    <t>13C</t>
  </si>
  <si>
    <t>SP1</t>
  </si>
  <si>
    <t>full</t>
  </si>
  <si>
    <t>R0</t>
  </si>
  <si>
    <t>SP2</t>
  </si>
  <si>
    <t>partial</t>
  </si>
  <si>
    <t>R</t>
  </si>
  <si>
    <t>R/R0</t>
  </si>
  <si>
    <t>AVERAGES</t>
  </si>
  <si>
    <t>AVG 68% ERR</t>
  </si>
  <si>
    <t>error</t>
  </si>
  <si>
    <t>FRACTIONATION</t>
  </si>
  <si>
    <t>sample 1</t>
  </si>
  <si>
    <t>sample 2</t>
  </si>
  <si>
    <t>std err</t>
  </si>
  <si>
    <t>ln(1-F) / ln(1 - F R/R0)</t>
  </si>
  <si>
    <t>sqrt( (A/B - 1/C)^2 * deltaF^2 + D/E )</t>
  </si>
  <si>
    <t>ERROR CALC</t>
  </si>
  <si>
    <t>(deltaR/R)^2</t>
  </si>
  <si>
    <t>( stderr(integral1)/integral1 )^2 + ( stderr(integral2)/integral2) ^2</t>
  </si>
  <si>
    <t>(deltaR0/R0)^2</t>
  </si>
  <si>
    <t>delta(R/R0)^2</t>
  </si>
  <si>
    <t>(deltaR/R)^2 + (deltaR0/R0)^2</t>
  </si>
  <si>
    <t>A</t>
  </si>
  <si>
    <t>celsius</t>
  </si>
  <si>
    <t>R/R0 * ln(1-F)</t>
  </si>
  <si>
    <t>w1</t>
  </si>
  <si>
    <t>w1 = 1-F*R/R0</t>
  </si>
  <si>
    <t>w2</t>
  </si>
  <si>
    <t>w2 = ln(w1)</t>
  </si>
  <si>
    <t>B</t>
  </si>
  <si>
    <t>w1 * w2^2</t>
  </si>
  <si>
    <t>C</t>
  </si>
  <si>
    <t>(1-F) * w2</t>
  </si>
  <si>
    <t>D</t>
  </si>
  <si>
    <t>F^2 * ln(1-F)^2 * delta(R/R0)^2</t>
  </si>
  <si>
    <t>E</t>
  </si>
  <si>
    <t>w1^2 * w2^4</t>
  </si>
  <si>
    <t>(A/B - 1/C)^2 * deltaF^2</t>
  </si>
  <si>
    <t>conversion-related error</t>
  </si>
  <si>
    <t>D/E</t>
  </si>
  <si>
    <t>fractionation-related error</t>
  </si>
  <si>
    <t>slope</t>
  </si>
  <si>
    <t>intercept</t>
  </si>
  <si>
    <t>sample</t>
  </si>
  <si>
    <t>CF3 13C integral</t>
  </si>
  <si>
    <t>CF 13C integral</t>
  </si>
  <si>
    <t>CF 12C integral</t>
  </si>
  <si>
    <t>13C ref ratio</t>
  </si>
  <si>
    <t>12C ref ratio</t>
  </si>
  <si>
    <t>SP2_redo</t>
  </si>
  <si>
    <t>location</t>
  </si>
  <si>
    <t>s_min/s_max</t>
  </si>
  <si>
    <t>initial steps</t>
  </si>
  <si>
    <t>regular step size</t>
  </si>
  <si>
    <t>extrapolation</t>
  </si>
  <si>
    <t>RODS</t>
  </si>
  <si>
    <t>M06-2X CVT/SCT @ 298 K</t>
  </si>
  <si>
    <t>batch1</t>
  </si>
  <si>
    <t>off</t>
  </si>
  <si>
    <t>on</t>
  </si>
  <si>
    <t>1 point jump</t>
  </si>
  <si>
    <t>batch2</t>
  </si>
  <si>
    <t>tiny 1 point jump</t>
  </si>
  <si>
    <t>500 x 0.00002</t>
  </si>
  <si>
    <t>?</t>
  </si>
  <si>
    <t>CRASH</t>
  </si>
  <si>
    <t>batch3</t>
  </si>
  <si>
    <t>ody redo3</t>
  </si>
  <si>
    <t>batch4</t>
  </si>
  <si>
    <t>500 x 0.0005</t>
  </si>
  <si>
    <t>lb=0</t>
  </si>
  <si>
    <t>bad discontinuity at end</t>
  </si>
  <si>
    <t>sherlock pcm3</t>
  </si>
  <si>
    <t>batch5</t>
  </si>
  <si>
    <t>giant jump at end</t>
  </si>
  <si>
    <t xml:space="preserve">sherlock pcm2 </t>
  </si>
  <si>
    <t>sherlock pcm</t>
  </si>
  <si>
    <t>test1</t>
  </si>
  <si>
    <t>S/N (SP2 13C)</t>
  </si>
  <si>
    <t>sherlock</t>
  </si>
  <si>
    <t>jump at start</t>
  </si>
  <si>
    <t>next, repeat in curvilinear coordinates</t>
  </si>
  <si>
    <t>test2</t>
  </si>
  <si>
    <t>500 x 0.0001</t>
  </si>
  <si>
    <t>test3</t>
  </si>
  <si>
    <t>test4</t>
  </si>
  <si>
    <t>jacobsen</t>
  </si>
  <si>
    <t>discontinuity</t>
  </si>
  <si>
    <t>test5</t>
  </si>
  <si>
    <t>S/N (SP2 MQF)</t>
  </si>
  <si>
    <t>lb=0.25</t>
  </si>
  <si>
    <t>test6</t>
  </si>
  <si>
    <t>lb=1</t>
  </si>
  <si>
    <t>test7</t>
  </si>
  <si>
    <t>jacobsen_amd</t>
  </si>
  <si>
    <t>lb=2</t>
  </si>
  <si>
    <t>smooth</t>
  </si>
  <si>
    <t>test8</t>
  </si>
  <si>
    <t>best</t>
  </si>
  <si>
    <t>test9</t>
  </si>
  <si>
    <t>gammaF</t>
  </si>
  <si>
    <t>gammaC</t>
  </si>
  <si>
    <t>test10</t>
  </si>
  <si>
    <t>test11</t>
  </si>
  <si>
    <t>boost</t>
  </si>
  <si>
    <t>test12</t>
  </si>
  <si>
    <t>test13</t>
  </si>
  <si>
    <t>test14</t>
  </si>
  <si>
    <t>Temp</t>
  </si>
  <si>
    <t>uncorrected kie</t>
  </si>
  <si>
    <t>Bell KIE</t>
  </si>
  <si>
    <t>CVT_SCT</t>
  </si>
  <si>
    <t>polyrate KIE</t>
  </si>
  <si>
    <t>max boost</t>
  </si>
  <si>
    <t>theoretical</t>
  </si>
  <si>
    <t>loss from indirect</t>
  </si>
  <si>
    <t>Conversion</t>
  </si>
  <si>
    <t>blocks</t>
  </si>
  <si>
    <t>CF3 13C error</t>
  </si>
  <si>
    <t>CF 13C error</t>
  </si>
  <si>
    <t>CF 12C error</t>
  </si>
  <si>
    <t>SF_Avg_Stdev</t>
  </si>
  <si>
    <t>SP_Avg_Stdev</t>
  </si>
  <si>
    <t>ERROR</t>
  </si>
  <si>
    <t>B1</t>
  </si>
  <si>
    <t>B2</t>
  </si>
  <si>
    <t>B3</t>
  </si>
  <si>
    <t>300 mg of pOCF3 BnF in CDCl3, comparison with Singleton method</t>
  </si>
  <si>
    <t>peak 3</t>
  </si>
  <si>
    <t>peak 6</t>
  </si>
  <si>
    <t>peak 2</t>
  </si>
  <si>
    <t>peak 5</t>
  </si>
  <si>
    <t>other KIEs, which should be close to 1</t>
  </si>
  <si>
    <t>OCF3 ipso</t>
  </si>
  <si>
    <t>CF ipso</t>
  </si>
  <si>
    <t>OCF3 ortho</t>
  </si>
  <si>
    <t>CF ortho</t>
  </si>
  <si>
    <t>MQF1D</t>
  </si>
  <si>
    <t>ratio</t>
  </si>
  <si>
    <t>ratios</t>
  </si>
  <si>
    <t>19F - 13C based</t>
  </si>
  <si>
    <t>19F - 12C based</t>
  </si>
  <si>
    <t>13C based</t>
  </si>
  <si>
    <t>peak 1</t>
  </si>
  <si>
    <t>peak 4</t>
  </si>
  <si>
    <t>LF1_1</t>
  </si>
  <si>
    <t>13/13</t>
  </si>
  <si>
    <t>deltaR/R</t>
  </si>
  <si>
    <t>13/12</t>
  </si>
  <si>
    <t>LF2_1</t>
  </si>
  <si>
    <t>deltaR0/R0</t>
  </si>
  <si>
    <t>LP1_1</t>
  </si>
  <si>
    <t>LP2_1</t>
  </si>
  <si>
    <t>B^2 * sum_sq_err</t>
  </si>
  <si>
    <t>average R</t>
  </si>
  <si>
    <t>overall error</t>
  </si>
  <si>
    <t>average R0</t>
  </si>
  <si>
    <t xml:space="preserve">Harrison's Phasing </t>
  </si>
  <si>
    <t>ERROR ANALYSIS</t>
  </si>
  <si>
    <t>stdev</t>
  </si>
  <si>
    <t>LF1</t>
  </si>
  <si>
    <t>LF2</t>
  </si>
  <si>
    <t>LP1</t>
  </si>
  <si>
    <t>LP2</t>
  </si>
  <si>
    <t>19-13</t>
  </si>
  <si>
    <t>19-12</t>
  </si>
  <si>
    <t>B^2 * sum_sqerr</t>
  </si>
  <si>
    <t>10 mg of pOCF3 BnF in CDCl3 (Shigemi)</t>
  </si>
  <si>
    <t>ref = 13C</t>
  </si>
  <si>
    <t>ref = 12C</t>
  </si>
  <si>
    <t>full conversion</t>
  </si>
  <si>
    <t>partial conversion</t>
  </si>
  <si>
    <t>full conversion stderr</t>
  </si>
  <si>
    <t>partial conversion stderr</t>
  </si>
  <si>
    <t>2_26</t>
  </si>
  <si>
    <t>Sample:</t>
  </si>
  <si>
    <t>4x50 mg of pOCF3 BnF in CDCl3</t>
  </si>
  <si>
    <t>Data:</t>
  </si>
  <si>
    <t>i500b/jacobsen/ekwan/p-OCF3-benzyl_fluoride/KIE_2_26</t>
  </si>
  <si>
    <t>Harrison's Data:</t>
  </si>
  <si>
    <t>Jacobsen/NMR/Fluorine/2_26</t>
  </si>
  <si>
    <t>S = small (50 mg), F = full conversion, P = partial conversion</t>
  </si>
  <si>
    <t>PROCESSING PARAMETERS</t>
  </si>
  <si>
    <t>( stdev / sqrt(n) )</t>
  </si>
  <si>
    <t>( stdev(integral1)/integral1 )^2 + ( stdev(integral2)/integral2) ^2</t>
  </si>
  <si>
    <t>due to unequal experiment sizes for MQF and 19F, standard errors are calculated from stdevs first</t>
  </si>
  <si>
    <t>CF3 13C integral (peak 3)</t>
  </si>
  <si>
    <t>CF 13C integral (peak 6)</t>
  </si>
  <si>
    <t>CF 12C integral (peak 2)</t>
  </si>
  <si>
    <t>lb</t>
  </si>
  <si>
    <t>formula</t>
  </si>
  <si>
    <t>19F integration width (peak 2)</t>
  </si>
  <si>
    <t>F / ln(1-F)</t>
  </si>
  <si>
    <t>MQF integration width (peak 3)</t>
  </si>
  <si>
    <t>MQF integration width (peak 6)</t>
  </si>
  <si>
    <t>KIE * R/R0</t>
  </si>
  <si>
    <t>1-F * R/R0</t>
  </si>
  <si>
    <t>Phases</t>
  </si>
  <si>
    <t>p0</t>
  </si>
  <si>
    <t>p1</t>
  </si>
  <si>
    <t>B1 * B2 * B3</t>
  </si>
  <si>
    <t>KIE * sqrt[B^2 * ((deltaR0/R0)^2 + (deltaR/R)^2)) ]</t>
  </si>
  <si>
    <t>(book is missing a plus sign here!)</t>
  </si>
  <si>
    <t>(assumes no error in conversion, which would come from the "A" term)</t>
  </si>
  <si>
    <t>3_2</t>
  </si>
  <si>
    <t>4x300 mg of pOCF3 BnF in CDCl3</t>
  </si>
  <si>
    <t>i500b/jacobsen/ekwan/p-OCF3-benzyl_fluoride/KIE_3_2</t>
  </si>
  <si>
    <t>Jacobsen/NMR/Fluorine/3_2</t>
  </si>
  <si>
    <t>L = large (300 mg), F = full conversion, P = partial conversion (_1 for block 1, but we only ended up doing one block)</t>
  </si>
  <si>
    <t>one sample was 8 and one was 10% conv</t>
  </si>
  <si>
    <t>CF 12C+13C</t>
  </si>
  <si>
    <t>13C integration width (peak 5)</t>
  </si>
  <si>
    <t>13C integration width (peak 6)</t>
  </si>
  <si>
    <t>STDERR</t>
  </si>
  <si>
    <t>stdev/sqrt(n)</t>
  </si>
  <si>
    <t>300 mg of pOCF3 BnF in CDCl3</t>
  </si>
  <si>
    <t>CH2F</t>
  </si>
  <si>
    <t>19F second order baseline, first order for rest</t>
  </si>
  <si>
    <t>overall B</t>
  </si>
  <si>
    <t>no lb for 1H, 19F</t>
  </si>
  <si>
    <t>B1 * B2 / B3</t>
  </si>
  <si>
    <t>Harrison's Phasing</t>
  </si>
  <si>
    <t>REPHASED/BASELINE CORRECTED 4/4/2017</t>
  </si>
  <si>
    <t>second order for 19F</t>
  </si>
  <si>
    <t>first order for MQF</t>
  </si>
  <si>
    <t>unpurified sample of pOCF3 BnF, 0.5 M</t>
  </si>
  <si>
    <t>A1</t>
  </si>
  <si>
    <t>A2</t>
  </si>
  <si>
    <t>A3</t>
  </si>
  <si>
    <t>1/(1 - F*R/R0)</t>
  </si>
  <si>
    <t>A4</t>
  </si>
  <si>
    <t>1/(1 -  F)</t>
  </si>
  <si>
    <t>overall A</t>
  </si>
  <si>
    <t>A1 * (A2*A3 - A4)</t>
  </si>
  <si>
    <t>cov in conversion</t>
  </si>
  <si>
    <t>first-order baseline for both</t>
  </si>
  <si>
    <t>"impure2"</t>
  </si>
  <si>
    <t>first-order baseline</t>
  </si>
  <si>
    <t>MQF_H</t>
  </si>
  <si>
    <t>Singleton method only</t>
  </si>
  <si>
    <t>ref peak column</t>
  </si>
  <si>
    <t>quat carbons are not completely relaxed</t>
  </si>
  <si>
    <t>CF3 quat</t>
  </si>
  <si>
    <t>reference</t>
  </si>
  <si>
    <t>1H</t>
  </si>
  <si>
    <t>10 mg of pOCF3 BnF in CDCl3 (Shigemi), roughly 5 h/sample</t>
  </si>
  <si>
    <t>"impure"</t>
  </si>
  <si>
    <t>19F/1H blocks</t>
  </si>
  <si>
    <t>Harrison</t>
  </si>
  <si>
    <t>REPHASED/BASELINE CORRECTED - 4/4/2017</t>
  </si>
  <si>
    <t>CF 12C+13C integral</t>
  </si>
  <si>
    <t>CF 12C+13C error</t>
  </si>
  <si>
    <t xml:space="preserve">Different fluorine integration width </t>
  </si>
  <si>
    <t>With "extra" data</t>
  </si>
  <si>
    <t>With "extra" without MQF_2</t>
  </si>
  <si>
    <t>File Name</t>
  </si>
  <si>
    <t>Substrate</t>
  </si>
  <si>
    <t>Leaving Group</t>
  </si>
  <si>
    <t>Nucleophile</t>
  </si>
  <si>
    <t>Intermediate?</t>
  </si>
  <si>
    <t>Carbon #</t>
  </si>
  <si>
    <t>Nucleophile #</t>
  </si>
  <si>
    <t>LG #</t>
  </si>
  <si>
    <t>GS File Name</t>
  </si>
  <si>
    <t>GS Carbon #</t>
  </si>
  <si>
    <t>Status</t>
  </si>
  <si>
    <t>3_COCH3_benzene_OH2_Br</t>
  </si>
  <si>
    <t>3-COCH3</t>
  </si>
  <si>
    <t>sample A</t>
  </si>
  <si>
    <t>50 mg unreacted DNFB in CDCl3</t>
  </si>
  <si>
    <t>nt=8x4, d1=45</t>
  </si>
  <si>
    <t>sample B</t>
  </si>
  <si>
    <t>identically prepared vs. sample A</t>
  </si>
  <si>
    <t>nt=8x4, d1 = 15</t>
  </si>
  <si>
    <t>nt=2x5x32, d1 = 45</t>
  </si>
  <si>
    <t>MQF_F</t>
  </si>
  <si>
    <t>nt=2x5x32, d1 = 15</t>
  </si>
  <si>
    <t>FLUORINE</t>
  </si>
  <si>
    <t>left satellite</t>
  </si>
  <si>
    <t>central</t>
  </si>
  <si>
    <t>right satellite</t>
  </si>
  <si>
    <t>left</t>
  </si>
  <si>
    <t>right</t>
  </si>
  <si>
    <t>both</t>
  </si>
  <si>
    <t>MQF 13C / 19F-12C</t>
  </si>
  <si>
    <t>standard 19F integral</t>
  </si>
  <si>
    <t>Br</t>
  </si>
  <si>
    <t>H2O</t>
  </si>
  <si>
    <t>no (SM)</t>
  </si>
  <si>
    <t>3_COCH3_benzene_Br</t>
  </si>
  <si>
    <t>Abandoned</t>
  </si>
  <si>
    <t>3_COCH3_benzene_OH2_Cl</t>
  </si>
  <si>
    <t>Cl</t>
  </si>
  <si>
    <t>3_COCH3_benzene_Cl</t>
  </si>
  <si>
    <t>3_COCH3_benzene_OH2_F</t>
  </si>
  <si>
    <t>MQF integral</t>
  </si>
  <si>
    <t>n/a</t>
  </si>
  <si>
    <t>19F-13C/19F-12C</t>
  </si>
  <si>
    <t>3_COCH3_benzene_F</t>
  </si>
  <si>
    <t>3_COCH3_benzene_NH2_Br</t>
  </si>
  <si>
    <t>NH2-</t>
  </si>
  <si>
    <t>no (product)</t>
  </si>
  <si>
    <t>TS NOT FOUND</t>
  </si>
  <si>
    <t>Vibration wrong</t>
  </si>
  <si>
    <t>3_COCH3_benzene_NH2_Cl</t>
  </si>
  <si>
    <t>Nucleophile scan failed</t>
  </si>
  <si>
    <t>3_COCH3_benzene_NH2_F</t>
  </si>
  <si>
    <t>yes</t>
  </si>
  <si>
    <t>Step1/2 Found</t>
  </si>
  <si>
    <t>3_COCH3_benzene_NH3_Br</t>
  </si>
  <si>
    <t>NH3</t>
  </si>
  <si>
    <t>3_COCH3_benzene_NH3_Cl</t>
  </si>
  <si>
    <t>3_COCH3_benzene_NH3_F</t>
  </si>
  <si>
    <t>3_COCH3_benzene_OH_Br</t>
  </si>
  <si>
    <t>OH-</t>
  </si>
  <si>
    <t>Didn't converge</t>
  </si>
  <si>
    <t>3_COCH3_benzene_OH_Cl</t>
  </si>
  <si>
    <t>3_COCH3_benzene_OH_F</t>
  </si>
  <si>
    <t>3_NO2_benzene_OH2_Br</t>
  </si>
  <si>
    <t>3-NO2</t>
  </si>
  <si>
    <t>3_NO2_benzene_Br</t>
  </si>
  <si>
    <t>3_NO2_benzene_OH2_Cl</t>
  </si>
  <si>
    <t>3_NO2_benzene_Cl</t>
  </si>
  <si>
    <t>3_NO2_benzene_OH2_F</t>
  </si>
  <si>
    <t>3_NO2_benzene_F</t>
  </si>
  <si>
    <t>3_NO2_benzene_NH2_Br</t>
  </si>
  <si>
    <t>3_NO2_benzene_NH2_Cl</t>
  </si>
  <si>
    <t>Try again with different Cl distance?</t>
  </si>
  <si>
    <t>3_NO2_benzene_NH2_F</t>
  </si>
  <si>
    <t>3_NO2_benzene_NH3_Br</t>
  </si>
  <si>
    <t>3_NO2_benzene_NH3_Cl</t>
  </si>
  <si>
    <t>19F-12C / 1H-12 C</t>
  </si>
  <si>
    <t>3_NO2_benzene_NH3_F</t>
  </si>
  <si>
    <t>3_NO2_benzene_OH_Br</t>
  </si>
  <si>
    <t>3_NO2_benzene_OH_Cl</t>
  </si>
  <si>
    <t>3_NO2_benzene_OH_F</t>
  </si>
  <si>
    <t>13_NO2_benzene_OH2_Br</t>
  </si>
  <si>
    <t>1,3-NO2</t>
  </si>
  <si>
    <t>13_NO2_benzene_Br</t>
  </si>
  <si>
    <t>13_NO2_benzene_OH2_Cl</t>
  </si>
  <si>
    <t>13_NO2_benzene_Cl</t>
  </si>
  <si>
    <t>13_NO2_benzene_OH2_F</t>
  </si>
  <si>
    <t>13_NO2_benzene_F</t>
  </si>
  <si>
    <t>13_NO2_benzene_NH2_Br</t>
  </si>
  <si>
    <t>13_NO2_benzene_NH2_Cl</t>
  </si>
  <si>
    <t>13_NO2_benzene_NH2_F</t>
  </si>
  <si>
    <t>13_NO2_benzene_NH3_Br</t>
  </si>
  <si>
    <t>13_NO2_benzene_NH3_Cl</t>
  </si>
  <si>
    <t>13_NO2_benzene_NH3_F</t>
  </si>
  <si>
    <t>13_NO2_benzene_OH_Br</t>
  </si>
  <si>
    <t>Step1 ONLY</t>
  </si>
  <si>
    <t>Didn't Converge</t>
  </si>
  <si>
    <t>13_NO2_benzene_OH_Cl</t>
  </si>
  <si>
    <t>13_NO2_benzene_OH_F</t>
  </si>
  <si>
    <t>PROTON</t>
  </si>
  <si>
    <t>integrals</t>
  </si>
  <si>
    <t>135_NO2_benzene_OH2_Br</t>
  </si>
  <si>
    <t>1,3,5-NO2</t>
  </si>
  <si>
    <t>standard 1H integral</t>
  </si>
  <si>
    <t>135_NO2_benzene_Br</t>
  </si>
  <si>
    <t>135_NO2_benzene_OH2_Cl</t>
  </si>
  <si>
    <t>135_NO2_benzene_Cl</t>
  </si>
  <si>
    <t>135_NO2_benzene_OH2_F</t>
  </si>
  <si>
    <t>MQF 13C / 1H 12C</t>
  </si>
  <si>
    <t>135_NO2_benzene_F</t>
  </si>
  <si>
    <t>135_NO2_benzene_NH2_Br</t>
  </si>
  <si>
    <t>135_NO2_benzene_NH2_Cl</t>
  </si>
  <si>
    <t>135_NO2_benzene_NH2_F</t>
  </si>
  <si>
    <t>135_NO2_benzene_NH3_Br</t>
  </si>
  <si>
    <t>135_NO2_benzene_NH3_Cl</t>
  </si>
  <si>
    <t>135_NO2_benzene_NH3_F</t>
  </si>
  <si>
    <t>135_NO2_benzene_OH_Br</t>
  </si>
  <si>
    <t>135_NO2_benzene_OH_Cl</t>
  </si>
  <si>
    <t>135_NO2_benzene_OH_F</t>
  </si>
  <si>
    <t>benzene_F_F</t>
  </si>
  <si>
    <t>benzene</t>
  </si>
  <si>
    <t>benzene_F</t>
  </si>
  <si>
    <t>Running</t>
  </si>
  <si>
    <t>benzene_F_OMe</t>
  </si>
  <si>
    <t>OMe</t>
  </si>
  <si>
    <t>benzene_F_N3</t>
  </si>
  <si>
    <t>N3</t>
  </si>
  <si>
    <t>1H 13C / 1H 12C</t>
  </si>
  <si>
    <t>benzene_F_NMe2</t>
  </si>
  <si>
    <t>NMe2</t>
  </si>
  <si>
    <t>benzene_F_COOH</t>
  </si>
  <si>
    <t>COOH</t>
  </si>
  <si>
    <t>benzene_Cl_F</t>
  </si>
  <si>
    <t>benzene_Cl</t>
  </si>
  <si>
    <t>benzene_Cl_OMe</t>
  </si>
  <si>
    <t>benzene_Cl_N3</t>
  </si>
  <si>
    <t>benzene_Cl_NMe2</t>
  </si>
  <si>
    <t>benzene_Cl_COOH</t>
  </si>
  <si>
    <t>benzene_Br_F</t>
  </si>
  <si>
    <t>benzene_Br</t>
  </si>
  <si>
    <t>benzene_Br_OMe</t>
  </si>
  <si>
    <t>benzene_Br_N3</t>
  </si>
  <si>
    <t>benzene_Br_NMe2</t>
  </si>
  <si>
    <t>benzene_Br_COOH</t>
  </si>
  <si>
    <t>pyridine_F_F</t>
  </si>
  <si>
    <t>pyridine</t>
  </si>
  <si>
    <t>pyidine_F</t>
  </si>
  <si>
    <t>pyridine_F_OMe</t>
  </si>
  <si>
    <t>pyridine_F_N3</t>
  </si>
  <si>
    <t>pyridine_F_NMe2</t>
  </si>
  <si>
    <t>pyridine_F_COOH</t>
  </si>
  <si>
    <t>pyridine_Cl_F</t>
  </si>
  <si>
    <t>1H 12C / 1H 12C</t>
  </si>
  <si>
    <t>pyridine_Cl</t>
  </si>
  <si>
    <t>pyridine_Cl_OMe</t>
  </si>
  <si>
    <t>pyridine_Cl_N3</t>
  </si>
  <si>
    <t>pyridine_Cl_NMe2</t>
  </si>
  <si>
    <t>pyridine_Cl_COOH</t>
  </si>
  <si>
    <t>pyridine_Br_F</t>
  </si>
  <si>
    <t>pyridine_Br</t>
  </si>
  <si>
    <t>pyridine_Br_OMe</t>
  </si>
  <si>
    <t>pyridine_Br_N3</t>
  </si>
  <si>
    <t>pyridine_Br_NMe2</t>
  </si>
  <si>
    <t>pyridine_Br_COOH</t>
  </si>
  <si>
    <t>pyrazine_F_F</t>
  </si>
  <si>
    <t>pyrazine</t>
  </si>
  <si>
    <t>pyrazine_F</t>
  </si>
  <si>
    <t>pyrazine_F_OMe</t>
  </si>
  <si>
    <t>pyrazine_F_N3</t>
  </si>
  <si>
    <t>pyrazine_F_NMe2</t>
  </si>
  <si>
    <t>pyrazine_F_COOH</t>
  </si>
  <si>
    <t>pyrazine_Cl_F</t>
  </si>
  <si>
    <t>pyrazine_Cl</t>
  </si>
  <si>
    <t>pyrazine_Cl_OMe</t>
  </si>
  <si>
    <t>pyrazine_Cl_N3</t>
  </si>
  <si>
    <t>pyrazine_Cl_NMe2</t>
  </si>
  <si>
    <t>pyrazine_Cl_COOH</t>
  </si>
  <si>
    <t>pyrazine_Br_F</t>
  </si>
  <si>
    <t>pyrazine_Br</t>
  </si>
  <si>
    <t>pyrazine_Br_OMe</t>
  </si>
  <si>
    <t>pyrazine_Br_N3</t>
  </si>
  <si>
    <t>pyrazine_Br_NMe2</t>
  </si>
  <si>
    <t>pyrazine_Br_COOH</t>
  </si>
  <si>
    <t>3_COCH3_benzene_F_NMe2</t>
  </si>
  <si>
    <t>3_COCH3</t>
  </si>
  <si>
    <t>3_COCH3_benzene_F_OMe</t>
  </si>
  <si>
    <t>3_COCH3_benzene_F_F</t>
  </si>
  <si>
    <t>3_COCH3_benzene_F_N3</t>
  </si>
  <si>
    <t>3_COCH3_benzene_F_COOH</t>
  </si>
  <si>
    <t>3_COCH3_benzene_Cl_NMe2</t>
  </si>
  <si>
    <t>3_COCH3_benzene_Cl_OMe</t>
  </si>
  <si>
    <t>3_COCH3_benzene_Cl_F</t>
  </si>
  <si>
    <t>3_COCH3_benzene_Cl_N3</t>
  </si>
  <si>
    <t>3_COCH3_benzne_Cl_COOH</t>
  </si>
  <si>
    <t>3_COCH3_benzene_Br_NMe2</t>
  </si>
  <si>
    <t>3_COCH3_benzene_Br_OMe</t>
  </si>
  <si>
    <t>3_COCH3_benzene_Br_F</t>
  </si>
  <si>
    <t>3_COCH3_benzene_Br_N3</t>
  </si>
  <si>
    <t>3_COCH3_benzene_Br_COOH</t>
  </si>
  <si>
    <t>3_NO2_benzene_F_NMe2</t>
  </si>
  <si>
    <t>3_NO2</t>
  </si>
  <si>
    <t>3_NO2_benzene_F_OMe</t>
  </si>
  <si>
    <t>3_NO2_benzene_F_F</t>
  </si>
  <si>
    <t>3_NO2_benzene_F_N3</t>
  </si>
  <si>
    <t>3_NO2_benzene_F_COOH</t>
  </si>
  <si>
    <t>3_NO2_benzene_Cl_NMe2</t>
  </si>
  <si>
    <t>3_NO2_benzene_Cl_OMe</t>
  </si>
  <si>
    <t>3_NO2_benzene_Cl_F</t>
  </si>
  <si>
    <t>3_NO2_benzne_Cl_N3</t>
  </si>
  <si>
    <t>3_NO2_benzne_Cl_COOH</t>
  </si>
  <si>
    <t>3_NO2_benzene_Br_NMe2</t>
  </si>
  <si>
    <t>3_NO2_benzene_Br_OMe</t>
  </si>
  <si>
    <t>3_NO2_benzene_Br_F</t>
  </si>
  <si>
    <t>3_NO2_benzene_Br_N3</t>
  </si>
  <si>
    <t>3_NO2_benzene_Br_COOH</t>
  </si>
  <si>
    <t>13_NO2_benzene_F_NMe2</t>
  </si>
  <si>
    <t>13_NO2</t>
  </si>
  <si>
    <t>13_NO2_benzene_F_OMe</t>
  </si>
  <si>
    <t>13_NO2_benzene_F_F</t>
  </si>
  <si>
    <t>13_NO2_benzene_F_N3</t>
  </si>
  <si>
    <t>13_NO2_benzene_F_COOH</t>
  </si>
  <si>
    <t>13_NO2_benzene_Cl_NMe2</t>
  </si>
  <si>
    <t>13_NO2_benzene_Cl_OMe</t>
  </si>
  <si>
    <t>13_NO2_benzene_Cl_F</t>
  </si>
  <si>
    <t>13_NO2_benzne_Cl_N3</t>
  </si>
  <si>
    <t>13_NO2_benzne_Cl_COOH</t>
  </si>
  <si>
    <t>13_NO2_benzene_Br_NMe2</t>
  </si>
  <si>
    <t>13_NO2_benzene_Br_OMe</t>
  </si>
  <si>
    <t>13_NO2_benzene_Br_F</t>
  </si>
  <si>
    <t>13_NO2_benzene_Br_N3</t>
  </si>
  <si>
    <t>13_NO2_benzene_Br_COOH</t>
  </si>
  <si>
    <t>135_NO2_benzene_F_NMe2</t>
  </si>
  <si>
    <t>135_NO2</t>
  </si>
  <si>
    <t>135_NO2_benzene_F_OMe</t>
  </si>
  <si>
    <t>135_NO2_benzene_F_F</t>
  </si>
  <si>
    <t>135_NO2_benzene_F_N3</t>
  </si>
  <si>
    <t>135_NO2_benzene_F_COOH</t>
  </si>
  <si>
    <t>135_NO2_benzene_Cl_NMe2</t>
  </si>
  <si>
    <t>135_NO2_benzene_Cl_OMe</t>
  </si>
  <si>
    <t>135_NO2_benzene_Cl_F</t>
  </si>
  <si>
    <t>135_NO2_benzne_Cl_N3</t>
  </si>
  <si>
    <t>135_NO2_benzne_Cl_COOH</t>
  </si>
  <si>
    <t>135_NO2_benzene_Br_NMe2</t>
  </si>
  <si>
    <t>135_NO2_benzene_Br_OMe</t>
  </si>
  <si>
    <t>135_NO2_benzene_Br_F</t>
  </si>
  <si>
    <t>MQF R/R0</t>
  </si>
  <si>
    <t>135_NO2_benzene_Br_N3</t>
  </si>
  <si>
    <t>135_NO2_benzene_Br_COOH</t>
  </si>
  <si>
    <t>1H R/R0</t>
  </si>
  <si>
    <t>directory: Cl_6_9</t>
  </si>
  <si>
    <t>baseline order</t>
  </si>
  <si>
    <t>see conversions.txt for some file naming problems</t>
  </si>
  <si>
    <t>transients/block</t>
  </si>
  <si>
    <t>RAW INTEGRALS</t>
  </si>
  <si>
    <t>1H: 12C integral</t>
  </si>
  <si>
    <t>MQF_H: 13C integral (sum of peaks)</t>
  </si>
  <si>
    <t>50 mg</t>
  </si>
  <si>
    <t>pure</t>
  </si>
  <si>
    <t>std dev</t>
  </si>
  <si>
    <t>300 mg</t>
  </si>
  <si>
    <t>impure</t>
  </si>
  <si>
    <t>average</t>
  </si>
  <si>
    <t>FRACTIONATIONS</t>
  </si>
  <si>
    <t>KIEs for pOCF3-BnF</t>
  </si>
  <si>
    <t>Method</t>
  </si>
  <si>
    <t>Singleton</t>
  </si>
  <si>
    <t>Filtered with 13C reference</t>
  </si>
  <si>
    <t>Filtered with 19F reference</t>
  </si>
  <si>
    <t>Filtered with 1H reference</t>
  </si>
  <si>
    <t>MQF_H test</t>
  </si>
  <si>
    <t>stderr</t>
  </si>
  <si>
    <t>ERRORS</t>
  </si>
  <si>
    <t>From 3_2</t>
  </si>
  <si>
    <t>All from 2_26</t>
  </si>
  <si>
    <t>10 mg</t>
  </si>
  <si>
    <t>All from 3_7</t>
  </si>
  <si>
    <t>Impure1</t>
  </si>
  <si>
    <t>+/- 0.003</t>
  </si>
  <si>
    <t>From 3_28</t>
  </si>
  <si>
    <t>Impure2</t>
  </si>
  <si>
    <t>delta(R/R0)</t>
  </si>
  <si>
    <t>From 4_2</t>
  </si>
  <si>
    <t>impure 0.5 M</t>
  </si>
  <si>
    <t>6_22 (MQF_H test)</t>
  </si>
  <si>
    <t>recomputed with mathematica</t>
  </si>
  <si>
    <t>average excludes impure 13C ref</t>
  </si>
  <si>
    <t>Sample</t>
  </si>
  <si>
    <t>searching for SN2 reactions with a lot of tunneling</t>
  </si>
  <si>
    <t>M06-2X/DZ/PCM(THF) 298 K</t>
  </si>
  <si>
    <t>Substance</t>
  </si>
  <si>
    <t>No_Correct</t>
  </si>
  <si>
    <t>Correct</t>
  </si>
  <si>
    <t>FINAL RESULT</t>
  </si>
  <si>
    <t>Diff</t>
  </si>
  <si>
    <t>Forming</t>
  </si>
  <si>
    <t>Breaking</t>
  </si>
  <si>
    <t>pCN-benzyl_chloride</t>
  </si>
  <si>
    <t>std error</t>
  </si>
  <si>
    <t>est. delta(conv)</t>
  </si>
  <si>
    <t>pNO2-benzyl_chloride</t>
  </si>
  <si>
    <t>pOCF3-benzyl_chloride</t>
  </si>
  <si>
    <t>pCl-benzyl_chloride</t>
  </si>
  <si>
    <t>mCN-benzyl_chloride</t>
  </si>
  <si>
    <t>pEst-benzyl_chloride</t>
  </si>
  <si>
    <t>pVin-benzyl_chloride</t>
  </si>
  <si>
    <t>mCF3-benzyl_chloride</t>
  </si>
  <si>
    <t>mCl-benzyl_chloride</t>
  </si>
  <si>
    <t>ooCl2-benzyl_chloride</t>
  </si>
  <si>
    <t>oCl-benzyl_chloride</t>
  </si>
  <si>
    <t>pyrene-chloride</t>
  </si>
  <si>
    <t>pCH3-benzyl_chloride</t>
  </si>
  <si>
    <t>ptBu-benzyl_chloride</t>
  </si>
  <si>
    <t>naph-chloride</t>
  </si>
  <si>
    <t>piPr-benzyl_chloride</t>
  </si>
  <si>
    <t>benzyl_chloride</t>
  </si>
  <si>
    <t>pOCH3-benzyl_chloride</t>
  </si>
  <si>
    <t>2naph-chloride</t>
  </si>
  <si>
    <t>4Me-naph-chloride</t>
  </si>
  <si>
    <t>anthr-chloride</t>
  </si>
  <si>
    <t>2Me-naph-chloride</t>
  </si>
  <si>
    <t>mmCF32-benzyl_bromide</t>
  </si>
  <si>
    <t>23Cl2-benzyl_bromide</t>
  </si>
  <si>
    <t>pOCF3 BnF, 0.5M</t>
  </si>
  <si>
    <t>temperature scan</t>
  </si>
  <si>
    <t>pNO2-benzyl_bromide</t>
  </si>
  <si>
    <t>mEst-benzyl_bromide</t>
  </si>
  <si>
    <t>pCN-benzyl_bromide</t>
  </si>
  <si>
    <t>fullA</t>
  </si>
  <si>
    <t>fullB</t>
  </si>
  <si>
    <t>pCF3-benzyl_bromide</t>
  </si>
  <si>
    <t>pCOOH-benzyl_bromide</t>
  </si>
  <si>
    <t>pEst-benzyl_bromide</t>
  </si>
  <si>
    <t>BAD SHIMMING</t>
  </si>
  <si>
    <t>pBr-benzyl_bromide</t>
  </si>
  <si>
    <t>ooCl2-benzyl_bromide</t>
  </si>
  <si>
    <t>pCONH2-benzyl_bromide</t>
  </si>
  <si>
    <t>full_average</t>
  </si>
  <si>
    <t>pCl-benzyl_bromide</t>
  </si>
  <si>
    <t>mCF3-benzyl_bromide</t>
  </si>
  <si>
    <t>"consensus" Eugene</t>
  </si>
  <si>
    <t>pOCF3-benzyl_bromide</t>
  </si>
  <si>
    <t>ooF2-benzyl_bromide</t>
  </si>
  <si>
    <t>benzyl_bromide</t>
  </si>
  <si>
    <t>pF-benzyl_bromide</t>
  </si>
  <si>
    <t>piPr-benzyl_bromide</t>
  </si>
  <si>
    <t>2naph-bromide</t>
  </si>
  <si>
    <t>"consensus" Harrison</t>
  </si>
  <si>
    <t>mCHF2-benzyl_bromide</t>
  </si>
  <si>
    <t>mCH3-benzyl_bromide</t>
  </si>
  <si>
    <t>naph-bromide</t>
  </si>
  <si>
    <t>pCH3-benzyl_bromide</t>
  </si>
  <si>
    <t>ptBu-benzyl_bromide</t>
  </si>
  <si>
    <t>partial_-78</t>
  </si>
  <si>
    <t>overall average</t>
  </si>
  <si>
    <t>pSCH3-benzyl_bromide</t>
  </si>
  <si>
    <t>oCH3-benzyl_bromide</t>
  </si>
  <si>
    <t>pOCH3-benzyl_bromide</t>
  </si>
  <si>
    <t>standard deviation</t>
  </si>
  <si>
    <t>Me-phenanth-bromide</t>
  </si>
  <si>
    <t>mEt-benzyl_bromide</t>
  </si>
  <si>
    <t>bisph-chloride</t>
  </si>
  <si>
    <t>M06-2X/DZ/PCM(THF) 195 K</t>
  </si>
  <si>
    <t>M06-2X/DZ/PCM(THF) 273 K</t>
  </si>
  <si>
    <t>M06-2X/DZ/PCM(THF) 473 K</t>
  </si>
  <si>
    <t>dinitro-fluoro-benzene</t>
  </si>
  <si>
    <t>MQF_F blocks</t>
  </si>
  <si>
    <t>Error in conversion</t>
  </si>
  <si>
    <t>MQF_H blocks</t>
  </si>
  <si>
    <t>MQF peak3</t>
  </si>
  <si>
    <t>peak3</t>
  </si>
  <si>
    <t>peak1</t>
  </si>
  <si>
    <t>peak2</t>
  </si>
  <si>
    <t>peak5</t>
  </si>
  <si>
    <t>peak8</t>
  </si>
  <si>
    <t>ref = peak2</t>
  </si>
  <si>
    <t>ref = peak5</t>
  </si>
  <si>
    <t>ref = peak8</t>
  </si>
  <si>
    <t>pure_A</t>
  </si>
  <si>
    <t>partial_C</t>
  </si>
  <si>
    <t>peak2 error</t>
  </si>
  <si>
    <t>peak5 error</t>
  </si>
  <si>
    <t>peak8 error</t>
  </si>
  <si>
    <t>Impurity Near CF3</t>
  </si>
  <si>
    <t>MQF peak1</t>
  </si>
  <si>
    <t>B_peak3</t>
  </si>
  <si>
    <t>partial_0</t>
  </si>
  <si>
    <t>KIE^2/ln(1-f)</t>
  </si>
  <si>
    <t>B_peak1</t>
  </si>
  <si>
    <t>ln(1-F) / ln((1- F) R/R0)</t>
  </si>
  <si>
    <t>leftmost proton peak</t>
  </si>
  <si>
    <t>middle proton peak</t>
  </si>
  <si>
    <t>rightmost proton peak</t>
  </si>
  <si>
    <t>peak4</t>
  </si>
  <si>
    <t>peak6</t>
  </si>
  <si>
    <t>peak7</t>
  </si>
  <si>
    <t>peak9</t>
  </si>
  <si>
    <t>pure_B</t>
  </si>
  <si>
    <t>Broad lines</t>
  </si>
  <si>
    <t>partial_A_1</t>
  </si>
  <si>
    <t>partial_A_2</t>
  </si>
  <si>
    <t>x</t>
  </si>
  <si>
    <t>partial_23</t>
  </si>
  <si>
    <t>peak1, ref = 19F</t>
  </si>
  <si>
    <t>peak1, ref = 1H</t>
  </si>
  <si>
    <t>peak3, ref = 19F</t>
  </si>
  <si>
    <t>peak3, ref = 1H</t>
  </si>
  <si>
    <t>peak4, ref = 19F</t>
  </si>
  <si>
    <t>peak4, ref = 1H</t>
  </si>
  <si>
    <t>peak6, ref = 19F</t>
  </si>
  <si>
    <t>peak6, ref = 1H</t>
  </si>
  <si>
    <t>Impurity near CF3</t>
  </si>
  <si>
    <t>peak7, ref = 19F</t>
  </si>
  <si>
    <t>peak7, ref = 1H</t>
  </si>
  <si>
    <t>peak9, ref = 19F</t>
  </si>
  <si>
    <t>peak9, ref = 1H</t>
  </si>
  <si>
    <t>partial_80</t>
  </si>
  <si>
    <t>partial_A</t>
  </si>
  <si>
    <t>pyrimidine_F_F</t>
  </si>
  <si>
    <t>pyrimidine</t>
  </si>
  <si>
    <t>pyrimidine_F_OMe</t>
  </si>
  <si>
    <t>pyrimidine_F_N3</t>
  </si>
  <si>
    <t>pyrimidine_F_COOH</t>
  </si>
  <si>
    <t>pyrimidine_Cl_F</t>
  </si>
  <si>
    <t>pyrimidine_Cl_OMe</t>
  </si>
  <si>
    <t>pyrimidine_Cl_N3</t>
  </si>
  <si>
    <t>pyrimidine_Cl_COOH</t>
  </si>
  <si>
    <t>pyrimidine_Br_F</t>
  </si>
  <si>
    <t>pyrimidine_Br_OMe</t>
  </si>
  <si>
    <t>pyrimidine_Br_N3</t>
  </si>
  <si>
    <t>pyrimidine_Br_COOH</t>
  </si>
  <si>
    <t>3_COCH3_benzene_Cl_COOH</t>
  </si>
  <si>
    <t>partial_140</t>
  </si>
  <si>
    <t>3_NO2_benzene_Cl_N3</t>
  </si>
  <si>
    <t>3_NO2_benzene_Cl_COOH</t>
  </si>
  <si>
    <t>135_NO2_benzene_Cl_COOH</t>
  </si>
  <si>
    <t>C-F</t>
  </si>
  <si>
    <t>C-Cl</t>
  </si>
  <si>
    <t>C-Br</t>
  </si>
  <si>
    <t>sample A conversion</t>
  </si>
  <si>
    <t>1-fluoro-2,4-dinitrobenzene + MeO-</t>
  </si>
  <si>
    <t>sample B conversion</t>
  </si>
  <si>
    <t>full_A</t>
  </si>
  <si>
    <t>test run</t>
  </si>
  <si>
    <t>full_B</t>
  </si>
  <si>
    <t>1-chloro-2,4-dinitrobenzene + F- (50 mg, std tube)</t>
  </si>
  <si>
    <t>second order baselines for everything</t>
  </si>
  <si>
    <t>directory: Cl_6_3</t>
  </si>
  <si>
    <t>this run has a helium boiloff artifact +/- 64 Hz</t>
  </si>
  <si>
    <t>50 mg in CDCl3, standard tube</t>
  </si>
  <si>
    <t>partial_B</t>
  </si>
  <si>
    <t>directory: OMe_6_9</t>
  </si>
  <si>
    <t>partial A</t>
  </si>
  <si>
    <t>partial B</t>
  </si>
  <si>
    <t>full_A_repeat</t>
  </si>
  <si>
    <t>erroneously marked as "full_C"</t>
  </si>
  <si>
    <t>A_repeat</t>
  </si>
  <si>
    <t>partial_A_repeat</t>
  </si>
  <si>
    <t>AVG INTEGRALS</t>
  </si>
  <si>
    <t>KIE CALCULATION</t>
  </si>
  <si>
    <t>ln(1-F) / ln((1 - F) R/R0)</t>
  </si>
  <si>
    <t>deltaF</t>
  </si>
  <si>
    <t>ln(1-F)</t>
  </si>
  <si>
    <t>w</t>
  </si>
  <si>
    <t>w = ln( (1-F)*(R/R0) )</t>
  </si>
  <si>
    <t>(1-F) * w^2</t>
  </si>
  <si>
    <t>(1-F) * w</t>
  </si>
  <si>
    <t>ln(1-F)^2 * delta(R/R0)^2</t>
  </si>
  <si>
    <t>(R/R0)^2 * w^4</t>
  </si>
  <si>
    <t>1-chloro-2,4-dinitrobenzene + F-</t>
  </si>
  <si>
    <t>boiloff artifact has been fixed</t>
  </si>
  <si>
    <t>no MQF_H for sample B due to time constraints</t>
  </si>
  <si>
    <t>1H: 12C integrals</t>
  </si>
  <si>
    <t>1H: 12C std devs</t>
  </si>
  <si>
    <t>MQF-H: 13C integrals (satellites chosen: left peak, right peak, right peak)</t>
  </si>
  <si>
    <t>19F: 12C integral</t>
  </si>
  <si>
    <t>MQF_F: 13C integral (right peak)</t>
  </si>
  <si>
    <t>middle</t>
  </si>
  <si>
    <t>CF</t>
  </si>
  <si>
    <t>pNO2</t>
  </si>
  <si>
    <t>o,o-NO2</t>
  </si>
  <si>
    <t>o-F</t>
  </si>
  <si>
    <t>some extra blocks used for B samples but more conservative count given here</t>
  </si>
  <si>
    <t>not measured</t>
  </si>
  <si>
    <t>CHECK</t>
  </si>
  <si>
    <t>quantity</t>
  </si>
  <si>
    <t>no average here because no MQF_H is available for sample B</t>
  </si>
  <si>
    <t>1H: 12C std errors</t>
  </si>
  <si>
    <t>MQF-H</t>
  </si>
  <si>
    <t>standard deviations converted to standard errors</t>
  </si>
  <si>
    <t>recomputed with Mathematica</t>
  </si>
  <si>
    <t>avg conversion</t>
  </si>
  <si>
    <t>old analysis looks wrong:</t>
  </si>
  <si>
    <t>(KIE-1)*F</t>
  </si>
  <si>
    <t>1-F*ln(1-F)</t>
  </si>
  <si>
    <t>A1/A2</t>
  </si>
  <si>
    <t>KIE^2</t>
  </si>
  <si>
    <t>B1/B2</t>
  </si>
  <si>
    <t>C1</t>
  </si>
  <si>
    <t>A^2 * (deltaF/F)^2</t>
  </si>
  <si>
    <t>this term looks too small</t>
  </si>
  <si>
    <t>C2</t>
  </si>
  <si>
    <t>B^2</t>
  </si>
  <si>
    <t>C3</t>
  </si>
  <si>
    <t>2-bromo methyl nicotinate + TMAF in DMF</t>
  </si>
  <si>
    <t>KIE * sqrt(C1+C2*C3)</t>
  </si>
  <si>
    <t>p-Me-phenol + MeI, 1 mg in Shigemi</t>
  </si>
  <si>
    <t>80 mg fluoride + 100 mg bromide in CDCl3, standard tube</t>
  </si>
  <si>
    <t>directory: Br_to_F_6_16</t>
  </si>
  <si>
    <t>two randomized blocks</t>
  </si>
  <si>
    <t>delta conv</t>
  </si>
  <si>
    <t>(delta(ratio)/ratio)^2</t>
  </si>
  <si>
    <t>full A1</t>
  </si>
  <si>
    <t>partial A1</t>
  </si>
  <si>
    <t>full A2</t>
  </si>
  <si>
    <t>full B1</t>
  </si>
  <si>
    <t>partial B1</t>
  </si>
  <si>
    <t>full B2</t>
  </si>
  <si>
    <t>partial A2</t>
  </si>
  <si>
    <t>partial B2</t>
  </si>
  <si>
    <t>noisy sample so last two thirds dropped</t>
  </si>
  <si>
    <t>samples</t>
  </si>
  <si>
    <t>is there an intermediate?</t>
  </si>
  <si>
    <t>x = no</t>
  </si>
  <si>
    <t>done</t>
  </si>
  <si>
    <t>freeze in progress</t>
  </si>
  <si>
    <t>scan in progress</t>
  </si>
  <si>
    <t>not found</t>
  </si>
  <si>
    <t>B3LYP-D3BJ/6-31+G*/PCM(DMSO)</t>
  </si>
  <si>
    <t>TS in progress</t>
  </si>
  <si>
    <t>freeze done</t>
  </si>
  <si>
    <t>scan done</t>
  </si>
  <si>
    <t>135NO2benzene</t>
  </si>
  <si>
    <t>13NO2benzene</t>
  </si>
  <si>
    <t>3C=OMe benzene</t>
  </si>
  <si>
    <t>jobs11</t>
  </si>
  <si>
    <t>jobs13</t>
  </si>
  <si>
    <t>jobs8</t>
  </si>
  <si>
    <t>3NO2benzene</t>
  </si>
  <si>
    <t>jobs16</t>
  </si>
  <si>
    <t>jobs9</t>
  </si>
  <si>
    <t>jobs10</t>
  </si>
  <si>
    <t>kcal</t>
  </si>
  <si>
    <t>length</t>
  </si>
  <si>
    <t>pka(H2O)</t>
  </si>
  <si>
    <t>HBr</t>
  </si>
  <si>
    <t>C-N</t>
  </si>
  <si>
    <t>HCl</t>
  </si>
  <si>
    <t>HF</t>
  </si>
  <si>
    <t>C-C</t>
  </si>
  <si>
    <t>Hformate</t>
  </si>
  <si>
    <t>C-O</t>
  </si>
  <si>
    <t>HN3</t>
  </si>
  <si>
    <t>jobs14</t>
  </si>
  <si>
    <t>jobs12</t>
  </si>
  <si>
    <t>HNMe2</t>
  </si>
  <si>
    <t>KIEs, electronic barrier (kcal/mol)</t>
  </si>
  <si>
    <t>1.029 (0.4)</t>
  </si>
  <si>
    <t>1.035 (29.4)</t>
  </si>
  <si>
    <t>1.044 (39.5)</t>
  </si>
  <si>
    <t>1.048 (28.6)</t>
  </si>
  <si>
    <t>1.054 (28.0)</t>
  </si>
  <si>
    <t>1.005 (-13.0), 1.020 (-41.6)</t>
  </si>
  <si>
    <t>1.009 (65.8)</t>
  </si>
  <si>
    <t>1.035 (5.8)</t>
  </si>
  <si>
    <t>1.008 (61.8)</t>
  </si>
  <si>
    <t>1.044 (12.3)</t>
  </si>
  <si>
    <t>1.044 (14.4)</t>
  </si>
  <si>
    <t>1.048 (10.5)</t>
  </si>
  <si>
    <t>1.051 (23.9)</t>
  </si>
  <si>
    <t>1.052 (30.6)</t>
  </si>
  <si>
    <t>1.055 (25.8)</t>
  </si>
  <si>
    <t>1.034 (-0.1)</t>
  </si>
  <si>
    <t>1.051 (35.0)</t>
  </si>
  <si>
    <t>1.053 (30.1)</t>
  </si>
  <si>
    <t>temperature calibration</t>
  </si>
  <si>
    <t>anova (F)</t>
  </si>
  <si>
    <t>anova (C)</t>
  </si>
  <si>
    <t>thermocouple (C)</t>
  </si>
  <si>
    <t>deviation</t>
  </si>
  <si>
    <t>fit</t>
  </si>
  <si>
    <t>1.030 (21.1)</t>
  </si>
  <si>
    <t>1.002 (17.9), 1.002 (49.2)</t>
  </si>
  <si>
    <t>no step1,    1.003 (60.4)</t>
  </si>
  <si>
    <t>1.052 (17.2)</t>
  </si>
  <si>
    <t>1.050 (15.2)</t>
  </si>
  <si>
    <t>1.048 (19.2)</t>
  </si>
  <si>
    <t>1.048 (21.7)</t>
  </si>
  <si>
    <t>1.052 (21.4)</t>
  </si>
  <si>
    <t>1.003 (70.2), 1.003 (70.2)</t>
  </si>
  <si>
    <t>1.035 (18.2)</t>
  </si>
  <si>
    <t>1.045 (11.6)</t>
  </si>
  <si>
    <t>1.055 (12.3)</t>
  </si>
  <si>
    <t>1.005 (56.0), 1.017 (28.2)</t>
  </si>
  <si>
    <t>1.027  (0.9)</t>
  </si>
  <si>
    <t>1.022 (-1.5)</t>
  </si>
  <si>
    <t>1.042 (57.2), 1.010 (58.2)</t>
  </si>
  <si>
    <t>1.052 (15.5)</t>
  </si>
  <si>
    <t>1.056 (16.8)</t>
  </si>
  <si>
    <t>1.002 (-4.5), 1.013 (6.0)</t>
  </si>
  <si>
    <t>1.003 (-1.9)</t>
  </si>
  <si>
    <t>1.036 (60.2), 1.022 (62.2)</t>
  </si>
  <si>
    <t>1.040 (18.9)</t>
  </si>
  <si>
    <t>1.054 (21.4)</t>
  </si>
  <si>
    <t>1.058 (19.1)</t>
  </si>
  <si>
    <t>delta(E) (kcal/mol)</t>
  </si>
  <si>
    <t>R^2</t>
  </si>
  <si>
    <t>chemical</t>
  </si>
  <si>
    <t>supplier</t>
  </si>
  <si>
    <t>catalog #</t>
  </si>
  <si>
    <t>order #</t>
  </si>
  <si>
    <t>status</t>
  </si>
  <si>
    <t>Methyl 4-bromomethylbenzoate</t>
  </si>
  <si>
    <t>oakwood</t>
  </si>
  <si>
    <t>2-Chloropyrimidine</t>
  </si>
  <si>
    <t>036368-25g</t>
  </si>
  <si>
    <t>Methyl 6-fluoropyridine-3-carboxylate</t>
  </si>
  <si>
    <t>078417-1g</t>
  </si>
  <si>
    <t>3 week lead time</t>
  </si>
  <si>
    <t>4-Fluorophthalic anhydride</t>
  </si>
  <si>
    <t>006356-5g</t>
  </si>
  <si>
    <t>Dimethyl fluoroterephthalate</t>
  </si>
  <si>
    <t>009154-1g</t>
  </si>
  <si>
    <t>Methyl 2-Fluoronicotinate</t>
  </si>
  <si>
    <t>066892-1g</t>
  </si>
  <si>
    <t>2-3 week lead time</t>
  </si>
  <si>
    <t>ethyl 6-chloronicotinate</t>
  </si>
  <si>
    <t>vwr</t>
  </si>
  <si>
    <t>shipped 4/17</t>
  </si>
  <si>
    <t>4-fluorophthalic anhydride</t>
  </si>
  <si>
    <t>sigma</t>
  </si>
  <si>
    <t>641375-5g</t>
  </si>
  <si>
    <t>ordered</t>
  </si>
  <si>
    <t>4-fluorophthalonitrile</t>
  </si>
  <si>
    <t>AAB22624-03</t>
  </si>
  <si>
    <t>4-chloroquinoline</t>
  </si>
  <si>
    <t>C70509-1g</t>
  </si>
  <si>
    <t>4,6-dichloro-8-methylquinoline</t>
  </si>
  <si>
    <t>BBO000144-1g</t>
  </si>
  <si>
    <t>4,6-dichloro-2-methylquinoline</t>
  </si>
  <si>
    <t>BBO000070-1g</t>
  </si>
  <si>
    <t>6-bromo-4-chloroquinoline</t>
  </si>
  <si>
    <t>JRD0187-1g</t>
  </si>
  <si>
    <t>4-bromoquinoline</t>
  </si>
  <si>
    <t>693944-1g</t>
  </si>
  <si>
    <t>2-chloroquinoline</t>
  </si>
  <si>
    <t>C70401-1g</t>
  </si>
  <si>
    <t>2-bromoquinoline</t>
  </si>
  <si>
    <t>716278-1g</t>
  </si>
  <si>
    <t>1-chloroisoquinoline</t>
  </si>
  <si>
    <t>156744-1g</t>
  </si>
  <si>
    <t>1-bromoisoquinoline</t>
  </si>
  <si>
    <t>716510-1g</t>
  </si>
  <si>
    <t>5-bromo-2-fluoropyridine</t>
  </si>
  <si>
    <t>astatech</t>
  </si>
  <si>
    <t>25 g</t>
  </si>
  <si>
    <t>two week lead time</t>
  </si>
  <si>
    <t>2,5-dibromopyridine</t>
  </si>
  <si>
    <t>10 g</t>
  </si>
  <si>
    <t>methyl 6-bromonicotinate</t>
  </si>
  <si>
    <t>in stock</t>
  </si>
  <si>
    <t>person</t>
  </si>
  <si>
    <t>day</t>
  </si>
  <si>
    <t>time started</t>
  </si>
  <si>
    <t>time finished</t>
  </si>
  <si>
    <t>5h 15min</t>
  </si>
  <si>
    <t>SN2_full_A</t>
  </si>
  <si>
    <t>Friday</t>
  </si>
  <si>
    <t>Saturday</t>
  </si>
  <si>
    <t>SN2_partial_-78</t>
  </si>
  <si>
    <t>Eugene</t>
  </si>
  <si>
    <t>SN2_partial_0</t>
  </si>
  <si>
    <t>SN2_partial_RT</t>
  </si>
  <si>
    <t>SN2_full_B</t>
  </si>
  <si>
    <t>SN2_partial_80</t>
  </si>
  <si>
    <t>SN2_partial_100</t>
  </si>
  <si>
    <t>SN2_full_C</t>
  </si>
  <si>
    <t>SN2_full_120</t>
  </si>
  <si>
    <t>SN2_partial_140</t>
  </si>
  <si>
    <t>Yuwen</t>
  </si>
  <si>
    <t>6 h / block</t>
  </si>
  <si>
    <t>thursday</t>
  </si>
  <si>
    <t>friday</t>
  </si>
  <si>
    <t>saturday</t>
  </si>
  <si>
    <t>sunday</t>
  </si>
  <si>
    <t>monday</t>
  </si>
  <si>
    <t>(4/5/6)</t>
  </si>
  <si>
    <t>HAB</t>
  </si>
  <si>
    <t>(8/9/10)</t>
  </si>
  <si>
    <t>EEK</t>
  </si>
  <si>
    <t xml:space="preserve"> blank</t>
  </si>
  <si>
    <t>ts c-nu length</t>
  </si>
  <si>
    <t>ts c-lg length</t>
  </si>
  <si>
    <t>gs c-nu length</t>
  </si>
  <si>
    <t>gs c-lg length</t>
  </si>
  <si>
    <t>nu elongation</t>
  </si>
  <si>
    <t>lg elongation</t>
  </si>
  <si>
    <t>total elongation</t>
  </si>
  <si>
    <t>enter description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</si>
</sst>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m/d"/>
  </numFmts>
  <fonts count="22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&quot;Helvetica Neue&quot;"/>
    </font>
    <font>
      <sz val="11"/>
      <color rgb="FF000000"/>
      <name val="Arial"/>
      <family val="2"/>
    </font>
    <font>
      <sz val="11"/>
      <color rgb="FF000000"/>
      <name val="Inconsolata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Helvetica Neue"/>
      <family val="2"/>
    </font>
    <font>
      <b/>
      <sz val="11"/>
      <color rgb="FF000000"/>
      <name val="&quot;Helvetica Neue&quot;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3"/>
      <color rgb="FF222222"/>
      <name val="Arial"/>
      <family val="2"/>
    </font>
    <font>
      <sz val="10"/>
      <color rgb="FF1155CC"/>
      <name val="Arial"/>
      <family val="2"/>
    </font>
    <font>
      <b/>
      <strike/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2" fillId="2" borderId="0" xfId="0" applyFont="1" applyFill="1" applyAlignment="1"/>
    <xf numFmtId="0" fontId="2" fillId="0" borderId="0" xfId="0" applyFont="1"/>
    <xf numFmtId="165" fontId="2" fillId="0" borderId="0" xfId="0" applyNumberFormat="1" applyFont="1"/>
    <xf numFmtId="165" fontId="2" fillId="0" borderId="0" xfId="0" applyNumberFormat="1" applyFont="1" applyAlignment="1"/>
    <xf numFmtId="0" fontId="1" fillId="0" borderId="0" xfId="0" applyFont="1"/>
    <xf numFmtId="4" fontId="2" fillId="0" borderId="0" xfId="0" applyNumberFormat="1" applyFont="1"/>
    <xf numFmtId="0" fontId="5" fillId="0" borderId="0" xfId="0" applyFont="1" applyAlignment="1">
      <alignment horizontal="left"/>
    </xf>
    <xf numFmtId="165" fontId="4" fillId="0" borderId="0" xfId="0" applyNumberFormat="1" applyFont="1"/>
    <xf numFmtId="0" fontId="4" fillId="2" borderId="0" xfId="0" applyFont="1" applyFill="1" applyAlignment="1"/>
    <xf numFmtId="11" fontId="2" fillId="0" borderId="0" xfId="0" applyNumberFormat="1" applyFont="1"/>
    <xf numFmtId="0" fontId="4" fillId="0" borderId="0" xfId="0" applyFont="1" applyAlignment="1"/>
    <xf numFmtId="11" fontId="2" fillId="0" borderId="0" xfId="0" applyNumberFormat="1" applyFont="1" applyAlignment="1"/>
    <xf numFmtId="165" fontId="5" fillId="0" borderId="0" xfId="0" applyNumberFormat="1" applyFont="1" applyAlignment="1">
      <alignment horizontal="left"/>
    </xf>
    <xf numFmtId="165" fontId="5" fillId="3" borderId="0" xfId="0" applyNumberFormat="1" applyFont="1" applyFill="1" applyAlignment="1">
      <alignment horizontal="left"/>
    </xf>
    <xf numFmtId="10" fontId="2" fillId="0" borderId="0" xfId="0" applyNumberFormat="1" applyFont="1"/>
    <xf numFmtId="0" fontId="4" fillId="4" borderId="0" xfId="0" applyFont="1" applyFill="1" applyAlignment="1"/>
    <xf numFmtId="165" fontId="6" fillId="3" borderId="0" xfId="0" applyNumberFormat="1" applyFont="1" applyFill="1" applyAlignment="1">
      <alignment horizontal="left"/>
    </xf>
    <xf numFmtId="164" fontId="4" fillId="0" borderId="0" xfId="0" applyNumberFormat="1" applyFont="1"/>
    <xf numFmtId="165" fontId="2" fillId="0" borderId="0" xfId="0" applyNumberFormat="1" applyFont="1" applyAlignment="1"/>
    <xf numFmtId="165" fontId="2" fillId="0" borderId="0" xfId="0" applyNumberFormat="1" applyFont="1"/>
    <xf numFmtId="165" fontId="5" fillId="3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5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64" fontId="2" fillId="0" borderId="0" xfId="0" applyNumberFormat="1" applyFont="1"/>
    <xf numFmtId="11" fontId="4" fillId="0" borderId="0" xfId="0" applyNumberFormat="1" applyFont="1"/>
    <xf numFmtId="0" fontId="2" fillId="4" borderId="0" xfId="0" applyFont="1" applyFill="1" applyAlignment="1"/>
    <xf numFmtId="165" fontId="4" fillId="5" borderId="0" xfId="0" applyNumberFormat="1" applyFont="1" applyFill="1"/>
    <xf numFmtId="0" fontId="3" fillId="6" borderId="0" xfId="0" applyFont="1" applyFill="1" applyAlignment="1"/>
    <xf numFmtId="165" fontId="2" fillId="5" borderId="0" xfId="0" applyNumberFormat="1" applyFont="1" applyFill="1"/>
    <xf numFmtId="0" fontId="1" fillId="6" borderId="0" xfId="0" applyFont="1" applyFill="1" applyAlignment="1"/>
    <xf numFmtId="0" fontId="1" fillId="2" borderId="0" xfId="0" applyFont="1" applyFill="1" applyAlignment="1"/>
    <xf numFmtId="165" fontId="5" fillId="3" borderId="2" xfId="0" applyNumberFormat="1" applyFont="1" applyFill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left"/>
    </xf>
    <xf numFmtId="165" fontId="5" fillId="3" borderId="5" xfId="0" applyNumberFormat="1" applyFont="1" applyFill="1" applyBorder="1" applyAlignment="1">
      <alignment horizontal="left"/>
    </xf>
    <xf numFmtId="165" fontId="5" fillId="3" borderId="6" xfId="0" applyNumberFormat="1" applyFont="1" applyFill="1" applyBorder="1" applyAlignment="1">
      <alignment horizontal="left"/>
    </xf>
    <xf numFmtId="165" fontId="2" fillId="0" borderId="3" xfId="0" applyNumberFormat="1" applyFont="1" applyBorder="1" applyAlignment="1"/>
    <xf numFmtId="165" fontId="2" fillId="0" borderId="6" xfId="0" applyNumberFormat="1" applyFont="1" applyBorder="1" applyAlignment="1"/>
    <xf numFmtId="0" fontId="7" fillId="3" borderId="0" xfId="0" applyFont="1" applyFill="1"/>
    <xf numFmtId="165" fontId="4" fillId="0" borderId="0" xfId="0" applyNumberFormat="1" applyFont="1"/>
    <xf numFmtId="11" fontId="4" fillId="0" borderId="0" xfId="0" applyNumberFormat="1" applyFont="1" applyAlignment="1"/>
    <xf numFmtId="165" fontId="10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left"/>
    </xf>
    <xf numFmtId="165" fontId="10" fillId="3" borderId="1" xfId="0" applyNumberFormat="1" applyFont="1" applyFill="1" applyBorder="1" applyAlignment="1">
      <alignment horizontal="left"/>
    </xf>
    <xf numFmtId="165" fontId="10" fillId="3" borderId="7" xfId="0" applyNumberFormat="1" applyFont="1" applyFill="1" applyBorder="1" applyAlignment="1">
      <alignment horizontal="left"/>
    </xf>
    <xf numFmtId="165" fontId="10" fillId="3" borderId="8" xfId="0" applyNumberFormat="1" applyFont="1" applyFill="1" applyBorder="1" applyAlignment="1">
      <alignment horizontal="left"/>
    </xf>
    <xf numFmtId="165" fontId="10" fillId="3" borderId="9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left"/>
    </xf>
    <xf numFmtId="0" fontId="1" fillId="4" borderId="0" xfId="0" applyFont="1" applyFill="1" applyAlignment="1"/>
    <xf numFmtId="0" fontId="2" fillId="0" borderId="10" xfId="0" applyFont="1" applyBorder="1" applyAlignment="1"/>
    <xf numFmtId="165" fontId="12" fillId="0" borderId="0" xfId="0" applyNumberFormat="1" applyFont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165" fontId="12" fillId="0" borderId="0" xfId="0" applyNumberFormat="1" applyFo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9" xfId="0" applyFont="1" applyBorder="1" applyAlignment="1"/>
    <xf numFmtId="0" fontId="4" fillId="0" borderId="10" xfId="0" applyFont="1" applyBorder="1" applyAlignment="1"/>
    <xf numFmtId="0" fontId="4" fillId="0" borderId="13" xfId="0" applyFont="1" applyBorder="1" applyAlignment="1"/>
    <xf numFmtId="0" fontId="4" fillId="0" borderId="15" xfId="0" applyFont="1" applyBorder="1" applyAlignment="1"/>
    <xf numFmtId="0" fontId="4" fillId="0" borderId="0" xfId="0" applyFont="1" applyAlignment="1"/>
    <xf numFmtId="2" fontId="2" fillId="0" borderId="10" xfId="0" applyNumberFormat="1" applyFont="1" applyBorder="1" applyAlignment="1"/>
    <xf numFmtId="2" fontId="2" fillId="0" borderId="12" xfId="0" applyNumberFormat="1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166" fontId="2" fillId="0" borderId="0" xfId="0" applyNumberFormat="1" applyFont="1" applyAlignment="1"/>
    <xf numFmtId="165" fontId="4" fillId="0" borderId="0" xfId="0" applyNumberFormat="1" applyFont="1" applyAlignment="1"/>
    <xf numFmtId="165" fontId="2" fillId="0" borderId="10" xfId="0" applyNumberFormat="1" applyFont="1" applyBorder="1" applyAlignment="1"/>
    <xf numFmtId="165" fontId="4" fillId="0" borderId="11" xfId="0" applyNumberFormat="1" applyFont="1" applyBorder="1" applyAlignment="1"/>
    <xf numFmtId="165" fontId="2" fillId="0" borderId="11" xfId="0" applyNumberFormat="1" applyFont="1" applyBorder="1" applyAlignment="1"/>
    <xf numFmtId="165" fontId="4" fillId="0" borderId="12" xfId="0" applyNumberFormat="1" applyFont="1" applyBorder="1" applyAlignment="1"/>
    <xf numFmtId="165" fontId="2" fillId="0" borderId="15" xfId="0" applyNumberFormat="1" applyFont="1" applyBorder="1" applyAlignment="1"/>
    <xf numFmtId="166" fontId="2" fillId="0" borderId="0" xfId="0" applyNumberFormat="1" applyFont="1"/>
    <xf numFmtId="165" fontId="4" fillId="0" borderId="16" xfId="0" applyNumberFormat="1" applyFont="1" applyBorder="1" applyAlignment="1"/>
    <xf numFmtId="165" fontId="2" fillId="0" borderId="16" xfId="0" applyNumberFormat="1" applyFont="1" applyBorder="1" applyAlignment="1"/>
    <xf numFmtId="165" fontId="4" fillId="0" borderId="9" xfId="0" applyNumberFormat="1" applyFont="1" applyBorder="1" applyAlignment="1"/>
    <xf numFmtId="165" fontId="4" fillId="0" borderId="17" xfId="0" applyNumberFormat="1" applyFont="1" applyBorder="1"/>
    <xf numFmtId="165" fontId="4" fillId="0" borderId="18" xfId="0" applyNumberFormat="1" applyFont="1" applyBorder="1"/>
    <xf numFmtId="165" fontId="4" fillId="0" borderId="8" xfId="0" applyNumberFormat="1" applyFont="1" applyBorder="1"/>
    <xf numFmtId="0" fontId="13" fillId="0" borderId="0" xfId="0" applyFont="1" applyAlignment="1"/>
    <xf numFmtId="164" fontId="2" fillId="0" borderId="0" xfId="0" applyNumberFormat="1" applyFont="1" applyAlignment="1"/>
    <xf numFmtId="0" fontId="14" fillId="0" borderId="0" xfId="0" applyFont="1" applyAlignment="1"/>
    <xf numFmtId="164" fontId="14" fillId="0" borderId="0" xfId="0" applyNumberFormat="1" applyFont="1" applyAlignment="1"/>
    <xf numFmtId="164" fontId="2" fillId="7" borderId="0" xfId="0" applyNumberFormat="1" applyFont="1" applyFill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/>
    <xf numFmtId="165" fontId="5" fillId="3" borderId="0" xfId="0" applyNumberFormat="1" applyFont="1" applyFill="1" applyAlignment="1">
      <alignment horizontal="left"/>
    </xf>
    <xf numFmtId="167" fontId="5" fillId="3" borderId="0" xfId="0" applyNumberFormat="1" applyFont="1" applyFill="1" applyAlignment="1">
      <alignment horizontal="left"/>
    </xf>
    <xf numFmtId="165" fontId="0" fillId="3" borderId="0" xfId="0" applyNumberFormat="1" applyFont="1" applyFill="1" applyAlignment="1">
      <alignment horizontal="right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right"/>
    </xf>
    <xf numFmtId="165" fontId="9" fillId="0" borderId="0" xfId="0" applyNumberFormat="1" applyFont="1"/>
    <xf numFmtId="165" fontId="0" fillId="3" borderId="0" xfId="0" applyNumberFormat="1" applyFont="1" applyFill="1"/>
    <xf numFmtId="11" fontId="0" fillId="3" borderId="0" xfId="0" applyNumberFormat="1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0" fontId="3" fillId="6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6" borderId="0" xfId="0" applyFont="1" applyFill="1" applyAlignment="1"/>
    <xf numFmtId="165" fontId="8" fillId="0" borderId="0" xfId="0" applyNumberFormat="1" applyFont="1"/>
    <xf numFmtId="0" fontId="3" fillId="0" borderId="16" xfId="0" applyFont="1" applyBorder="1" applyAlignment="1"/>
    <xf numFmtId="0" fontId="3" fillId="0" borderId="14" xfId="0" applyFont="1" applyBorder="1" applyAlignment="1"/>
    <xf numFmtId="2" fontId="4" fillId="0" borderId="14" xfId="0" applyNumberFormat="1" applyFont="1" applyBorder="1" applyAlignment="1">
      <alignment horizontal="right"/>
    </xf>
    <xf numFmtId="0" fontId="3" fillId="0" borderId="14" xfId="0" applyFont="1" applyBorder="1" applyAlignment="1"/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3" fillId="0" borderId="14" xfId="0" applyFont="1" applyBorder="1" applyAlignment="1"/>
    <xf numFmtId="0" fontId="4" fillId="0" borderId="9" xfId="0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164" fontId="4" fillId="0" borderId="0" xfId="0" applyNumberFormat="1" applyFont="1" applyAlignment="1"/>
    <xf numFmtId="0" fontId="4" fillId="2" borderId="0" xfId="0" applyFont="1" applyFill="1"/>
    <xf numFmtId="165" fontId="3" fillId="0" borderId="0" xfId="0" applyNumberFormat="1" applyFont="1" applyAlignment="1"/>
    <xf numFmtId="0" fontId="4" fillId="0" borderId="0" xfId="0" applyFont="1" applyAlignment="1"/>
    <xf numFmtId="2" fontId="2" fillId="0" borderId="11" xfId="0" applyNumberFormat="1" applyFont="1" applyBorder="1" applyAlignment="1"/>
    <xf numFmtId="0" fontId="4" fillId="0" borderId="16" xfId="0" applyFont="1" applyBorder="1" applyAlignment="1"/>
    <xf numFmtId="165" fontId="4" fillId="0" borderId="10" xfId="0" applyNumberFormat="1" applyFont="1" applyBorder="1" applyAlignment="1"/>
    <xf numFmtId="165" fontId="2" fillId="0" borderId="12" xfId="0" applyNumberFormat="1" applyFont="1" applyBorder="1" applyAlignment="1"/>
    <xf numFmtId="165" fontId="2" fillId="0" borderId="13" xfId="0" applyNumberFormat="1" applyFont="1" applyBorder="1" applyAlignment="1"/>
    <xf numFmtId="165" fontId="4" fillId="0" borderId="14" xfId="0" applyNumberFormat="1" applyFont="1" applyBorder="1" applyAlignment="1"/>
    <xf numFmtId="165" fontId="4" fillId="0" borderId="13" xfId="0" applyNumberFormat="1" applyFont="1" applyBorder="1" applyAlignment="1"/>
    <xf numFmtId="165" fontId="2" fillId="0" borderId="14" xfId="0" applyNumberFormat="1" applyFont="1" applyBorder="1" applyAlignment="1"/>
    <xf numFmtId="165" fontId="2" fillId="8" borderId="13" xfId="0" applyNumberFormat="1" applyFont="1" applyFill="1" applyBorder="1" applyAlignment="1"/>
    <xf numFmtId="165" fontId="2" fillId="8" borderId="0" xfId="0" applyNumberFormat="1" applyFont="1" applyFill="1"/>
    <xf numFmtId="165" fontId="2" fillId="8" borderId="14" xfId="0" applyNumberFormat="1" applyFont="1" applyFill="1" applyBorder="1"/>
    <xf numFmtId="165" fontId="2" fillId="8" borderId="13" xfId="0" applyNumberFormat="1" applyFont="1" applyFill="1" applyBorder="1"/>
    <xf numFmtId="165" fontId="4" fillId="0" borderId="15" xfId="0" applyNumberFormat="1" applyFont="1" applyBorder="1" applyAlignment="1"/>
    <xf numFmtId="165" fontId="2" fillId="0" borderId="9" xfId="0" applyNumberFormat="1" applyFont="1" applyBorder="1" applyAlignment="1"/>
    <xf numFmtId="165" fontId="2" fillId="8" borderId="15" xfId="0" applyNumberFormat="1" applyFont="1" applyFill="1" applyBorder="1"/>
    <xf numFmtId="165" fontId="2" fillId="8" borderId="16" xfId="0" applyNumberFormat="1" applyFont="1" applyFill="1" applyBorder="1"/>
    <xf numFmtId="165" fontId="2" fillId="8" borderId="9" xfId="0" applyNumberFormat="1" applyFont="1" applyFill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165" fontId="4" fillId="0" borderId="12" xfId="0" applyNumberFormat="1" applyFont="1" applyBorder="1"/>
    <xf numFmtId="165" fontId="4" fillId="0" borderId="13" xfId="0" applyNumberFormat="1" applyFont="1" applyBorder="1"/>
    <xf numFmtId="165" fontId="4" fillId="0" borderId="14" xfId="0" applyNumberFormat="1" applyFont="1" applyBorder="1"/>
    <xf numFmtId="165" fontId="4" fillId="0" borderId="15" xfId="0" applyNumberFormat="1" applyFont="1" applyBorder="1"/>
    <xf numFmtId="165" fontId="4" fillId="0" borderId="16" xfId="0" applyNumberFormat="1" applyFont="1" applyBorder="1"/>
    <xf numFmtId="165" fontId="4" fillId="0" borderId="9" xfId="0" applyNumberFormat="1" applyFont="1" applyBorder="1"/>
    <xf numFmtId="164" fontId="4" fillId="0" borderId="0" xfId="0" applyNumberFormat="1" applyFont="1"/>
    <xf numFmtId="0" fontId="4" fillId="8" borderId="11" xfId="0" applyFont="1" applyFill="1" applyBorder="1"/>
    <xf numFmtId="0" fontId="4" fillId="8" borderId="12" xfId="0" applyFont="1" applyFill="1" applyBorder="1"/>
    <xf numFmtId="0" fontId="4" fillId="8" borderId="0" xfId="0" applyFont="1" applyFill="1"/>
    <xf numFmtId="0" fontId="4" fillId="8" borderId="14" xfId="0" applyFont="1" applyFill="1" applyBorder="1"/>
    <xf numFmtId="0" fontId="4" fillId="8" borderId="16" xfId="0" applyFont="1" applyFill="1" applyBorder="1"/>
    <xf numFmtId="0" fontId="4" fillId="8" borderId="9" xfId="0" applyFont="1" applyFill="1" applyBorder="1"/>
    <xf numFmtId="164" fontId="4" fillId="0" borderId="0" xfId="0" applyNumberFormat="1" applyFont="1" applyAlignment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165" fontId="4" fillId="0" borderId="14" xfId="0" applyNumberFormat="1" applyFont="1" applyBorder="1"/>
    <xf numFmtId="164" fontId="2" fillId="2" borderId="19" xfId="0" applyNumberFormat="1" applyFont="1" applyFill="1" applyBorder="1" applyAlignment="1"/>
    <xf numFmtId="164" fontId="2" fillId="2" borderId="20" xfId="0" applyNumberFormat="1" applyFont="1" applyFill="1" applyBorder="1" applyAlignment="1"/>
    <xf numFmtId="164" fontId="2" fillId="2" borderId="7" xfId="0" applyNumberFormat="1" applyFont="1" applyFill="1" applyBorder="1" applyAlignment="1"/>
    <xf numFmtId="0" fontId="14" fillId="0" borderId="0" xfId="0" applyFont="1"/>
    <xf numFmtId="165" fontId="2" fillId="6" borderId="0" xfId="0" applyNumberFormat="1" applyFont="1" applyFill="1"/>
    <xf numFmtId="0" fontId="3" fillId="0" borderId="16" xfId="0" applyFont="1" applyBorder="1" applyAlignment="1"/>
    <xf numFmtId="2" fontId="4" fillId="0" borderId="10" xfId="0" applyNumberFormat="1" applyFont="1" applyBorder="1" applyAlignment="1">
      <alignment horizontal="right"/>
    </xf>
    <xf numFmtId="2" fontId="4" fillId="0" borderId="12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2" fontId="2" fillId="0" borderId="0" xfId="0" applyNumberFormat="1" applyFont="1" applyAlignment="1"/>
    <xf numFmtId="2" fontId="1" fillId="0" borderId="0" xfId="0" applyNumberFormat="1" applyFont="1" applyAlignment="1"/>
    <xf numFmtId="164" fontId="2" fillId="0" borderId="17" xfId="0" applyNumberFormat="1" applyFont="1" applyBorder="1" applyAlignment="1"/>
    <xf numFmtId="164" fontId="2" fillId="0" borderId="18" xfId="0" applyNumberFormat="1" applyFont="1" applyBorder="1" applyAlignment="1"/>
    <xf numFmtId="0" fontId="2" fillId="0" borderId="8" xfId="0" applyFont="1" applyBorder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6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2" borderId="10" xfId="0" applyFont="1" applyFill="1" applyBorder="1" applyAlignment="1"/>
    <xf numFmtId="0" fontId="2" fillId="10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9" borderId="14" xfId="0" applyFont="1" applyFill="1" applyBorder="1" applyAlignment="1"/>
    <xf numFmtId="0" fontId="2" fillId="2" borderId="14" xfId="0" applyFont="1" applyFill="1" applyBorder="1" applyAlignment="1"/>
    <xf numFmtId="0" fontId="2" fillId="10" borderId="13" xfId="0" applyFont="1" applyFill="1" applyBorder="1" applyAlignment="1"/>
    <xf numFmtId="0" fontId="2" fillId="10" borderId="14" xfId="0" applyFont="1" applyFill="1" applyBorder="1" applyAlignment="1"/>
    <xf numFmtId="0" fontId="2" fillId="2" borderId="16" xfId="0" applyFont="1" applyFill="1" applyBorder="1" applyAlignment="1"/>
    <xf numFmtId="164" fontId="3" fillId="0" borderId="0" xfId="0" applyNumberFormat="1" applyFont="1" applyAlignment="1"/>
    <xf numFmtId="0" fontId="2" fillId="11" borderId="13" xfId="0" applyFont="1" applyFill="1" applyBorder="1" applyAlignment="1"/>
    <xf numFmtId="0" fontId="2" fillId="2" borderId="15" xfId="0" applyFont="1" applyFill="1" applyBorder="1" applyAlignment="1"/>
    <xf numFmtId="0" fontId="2" fillId="11" borderId="14" xfId="0" applyFont="1" applyFill="1" applyBorder="1" applyAlignment="1"/>
    <xf numFmtId="0" fontId="2" fillId="2" borderId="9" xfId="0" applyFont="1" applyFill="1" applyBorder="1" applyAlignment="1"/>
    <xf numFmtId="0" fontId="2" fillId="10" borderId="15" xfId="0" applyFont="1" applyFill="1" applyBorder="1" applyAlignment="1"/>
    <xf numFmtId="0" fontId="2" fillId="9" borderId="11" xfId="0" applyFont="1" applyFill="1" applyBorder="1" applyAlignment="1"/>
    <xf numFmtId="0" fontId="2" fillId="9" borderId="12" xfId="0" applyFont="1" applyFill="1" applyBorder="1" applyAlignment="1"/>
    <xf numFmtId="0" fontId="2" fillId="9" borderId="16" xfId="0" applyFont="1" applyFill="1" applyBorder="1" applyAlignment="1"/>
    <xf numFmtId="0" fontId="2" fillId="9" borderId="9" xfId="0" applyFont="1" applyFill="1" applyBorder="1" applyAlignment="1"/>
    <xf numFmtId="0" fontId="1" fillId="13" borderId="0" xfId="0" applyFont="1" applyFill="1" applyAlignment="1"/>
    <xf numFmtId="0" fontId="2" fillId="13" borderId="0" xfId="0" applyFont="1" applyFill="1"/>
    <xf numFmtId="0" fontId="2" fillId="13" borderId="0" xfId="0" applyFont="1" applyFill="1" applyAlignment="1"/>
    <xf numFmtId="0" fontId="2" fillId="0" borderId="0" xfId="0" applyFont="1" applyAlignment="1">
      <alignment wrapText="1"/>
    </xf>
    <xf numFmtId="164" fontId="2" fillId="0" borderId="10" xfId="0" applyNumberFormat="1" applyFont="1" applyBorder="1" applyAlignment="1">
      <alignment wrapText="1"/>
    </xf>
    <xf numFmtId="164" fontId="2" fillId="0" borderId="11" xfId="0" applyNumberFormat="1" applyFont="1" applyBorder="1" applyAlignment="1">
      <alignment wrapText="1"/>
    </xf>
    <xf numFmtId="164" fontId="2" fillId="0" borderId="12" xfId="0" applyNumberFormat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13" xfId="0" applyNumberFormat="1" applyFont="1" applyBorder="1" applyAlignment="1">
      <alignment wrapText="1"/>
    </xf>
    <xf numFmtId="164" fontId="2" fillId="0" borderId="14" xfId="0" applyNumberFormat="1" applyFont="1" applyBorder="1" applyAlignment="1">
      <alignment wrapText="1"/>
    </xf>
    <xf numFmtId="164" fontId="2" fillId="0" borderId="15" xfId="0" applyNumberFormat="1" applyFont="1" applyBorder="1" applyAlignment="1">
      <alignment wrapText="1"/>
    </xf>
    <xf numFmtId="164" fontId="2" fillId="0" borderId="16" xfId="0" applyNumberFormat="1" applyFont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6" fontId="1" fillId="0" borderId="0" xfId="0" applyNumberFormat="1" applyFont="1" applyAlignment="1"/>
    <xf numFmtId="166" fontId="2" fillId="0" borderId="10" xfId="0" applyNumberFormat="1" applyFont="1" applyBorder="1" applyAlignment="1">
      <alignment wrapText="1"/>
    </xf>
    <xf numFmtId="166" fontId="2" fillId="0" borderId="11" xfId="0" applyNumberFormat="1" applyFont="1" applyBorder="1" applyAlignment="1">
      <alignment wrapText="1"/>
    </xf>
    <xf numFmtId="166" fontId="2" fillId="0" borderId="12" xfId="0" applyNumberFormat="1" applyFont="1" applyBorder="1" applyAlignment="1">
      <alignment wrapText="1"/>
    </xf>
    <xf numFmtId="166" fontId="2" fillId="0" borderId="0" xfId="0" applyNumberFormat="1" applyFont="1" applyAlignment="1">
      <alignment wrapText="1"/>
    </xf>
    <xf numFmtId="166" fontId="2" fillId="0" borderId="13" xfId="0" applyNumberFormat="1" applyFont="1" applyBorder="1" applyAlignment="1">
      <alignment wrapText="1"/>
    </xf>
    <xf numFmtId="166" fontId="2" fillId="0" borderId="14" xfId="0" applyNumberFormat="1" applyFont="1" applyBorder="1" applyAlignment="1">
      <alignment wrapText="1"/>
    </xf>
    <xf numFmtId="166" fontId="2" fillId="0" borderId="15" xfId="0" applyNumberFormat="1" applyFont="1" applyBorder="1" applyAlignment="1">
      <alignment wrapText="1"/>
    </xf>
    <xf numFmtId="166" fontId="2" fillId="0" borderId="16" xfId="0" applyNumberFormat="1" applyFont="1" applyBorder="1" applyAlignment="1">
      <alignment wrapText="1"/>
    </xf>
    <xf numFmtId="166" fontId="2" fillId="0" borderId="9" xfId="0" applyNumberFormat="1" applyFont="1" applyBorder="1" applyAlignment="1">
      <alignment wrapText="1"/>
    </xf>
    <xf numFmtId="166" fontId="2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18" fillId="3" borderId="0" xfId="0" applyFont="1" applyFill="1" applyAlignment="1"/>
    <xf numFmtId="0" fontId="19" fillId="3" borderId="0" xfId="0" applyFont="1" applyFill="1" applyAlignment="1"/>
    <xf numFmtId="166" fontId="2" fillId="0" borderId="0" xfId="0" applyNumberFormat="1" applyFont="1" applyAlignment="1"/>
    <xf numFmtId="18" fontId="2" fillId="0" borderId="0" xfId="0" applyNumberFormat="1" applyFont="1" applyAlignment="1"/>
    <xf numFmtId="19" fontId="2" fillId="0" borderId="0" xfId="0" applyNumberFormat="1" applyFont="1" applyAlignment="1"/>
    <xf numFmtId="18" fontId="20" fillId="0" borderId="0" xfId="0" applyNumberFormat="1" applyFont="1" applyAlignment="1"/>
    <xf numFmtId="18" fontId="1" fillId="0" borderId="0" xfId="0" applyNumberFormat="1" applyFont="1" applyAlignment="1"/>
    <xf numFmtId="168" fontId="2" fillId="0" borderId="0" xfId="0" applyNumberFormat="1" applyFont="1" applyAlignment="1"/>
    <xf numFmtId="165" fontId="2" fillId="0" borderId="21" xfId="0" applyNumberFormat="1" applyFont="1" applyBorder="1" applyAlignment="1"/>
    <xf numFmtId="165" fontId="2" fillId="0" borderId="22" xfId="0" applyNumberFormat="1" applyFont="1" applyBorder="1" applyAlignment="1"/>
    <xf numFmtId="165" fontId="2" fillId="0" borderId="23" xfId="0" applyNumberFormat="1" applyFont="1" applyBorder="1" applyAlignment="1"/>
    <xf numFmtId="165" fontId="2" fillId="0" borderId="24" xfId="0" applyNumberFormat="1" applyFont="1" applyBorder="1" applyAlignment="1"/>
    <xf numFmtId="165" fontId="2" fillId="0" borderId="25" xfId="0" applyNumberFormat="1" applyFont="1" applyBorder="1" applyAlignment="1"/>
    <xf numFmtId="165" fontId="2" fillId="0" borderId="26" xfId="0" applyNumberFormat="1" applyFont="1" applyBorder="1" applyAlignment="1"/>
    <xf numFmtId="165" fontId="2" fillId="0" borderId="21" xfId="0" applyNumberFormat="1" applyFont="1" applyBorder="1"/>
    <xf numFmtId="165" fontId="2" fillId="0" borderId="22" xfId="0" applyNumberFormat="1" applyFont="1" applyBorder="1"/>
    <xf numFmtId="165" fontId="2" fillId="0" borderId="23" xfId="0" applyNumberFormat="1" applyFont="1" applyBorder="1"/>
    <xf numFmtId="165" fontId="2" fillId="0" borderId="24" xfId="0" applyNumberFormat="1" applyFont="1" applyBorder="1"/>
    <xf numFmtId="165" fontId="2" fillId="0" borderId="25" xfId="0" applyNumberFormat="1" applyFont="1" applyBorder="1"/>
    <xf numFmtId="165" fontId="2" fillId="0" borderId="26" xfId="0" applyNumberFormat="1" applyFont="1" applyBorder="1"/>
    <xf numFmtId="165" fontId="2" fillId="0" borderId="27" xfId="0" applyNumberFormat="1" applyFont="1" applyBorder="1"/>
    <xf numFmtId="165" fontId="2" fillId="0" borderId="28" xfId="0" applyNumberFormat="1" applyFont="1" applyBorder="1"/>
    <xf numFmtId="164" fontId="21" fillId="0" borderId="0" xfId="0" applyNumberFormat="1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65" fontId="2" fillId="0" borderId="0" xfId="0" applyNumberFormat="1" applyFont="1"/>
    <xf numFmtId="0" fontId="5" fillId="0" borderId="0" xfId="0" applyFont="1" applyAlignment="1">
      <alignment horizontal="left"/>
    </xf>
    <xf numFmtId="11" fontId="2" fillId="0" borderId="0" xfId="0" applyNumberFormat="1" applyFont="1"/>
    <xf numFmtId="11" fontId="2" fillId="0" borderId="0" xfId="0" applyNumberFormat="1" applyFont="1" applyAlignment="1"/>
    <xf numFmtId="0" fontId="1" fillId="0" borderId="16" xfId="0" applyFont="1" applyBorder="1" applyAlignment="1"/>
    <xf numFmtId="0" fontId="1" fillId="0" borderId="14" xfId="0" applyFont="1" applyBorder="1" applyAlignment="1"/>
    <xf numFmtId="2" fontId="2" fillId="0" borderId="0" xfId="0" applyNumberFormat="1" applyFont="1" applyAlignment="1">
      <alignment horizontal="right"/>
    </xf>
    <xf numFmtId="2" fontId="2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13" fillId="0" borderId="0" xfId="0" applyFont="1" applyAlignment="1"/>
    <xf numFmtId="0" fontId="0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corrected kie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CVTSCT!$F$26</c:f>
              <c:strCache>
                <c:ptCount val="1"/>
                <c:pt idx="0">
                  <c:v>polyrate 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CVTSCT!$D$27:$D$58</c:f>
              <c:numCache>
                <c:formatCode>0.0000</c:formatCode>
                <c:ptCount val="32"/>
                <c:pt idx="0">
                  <c:v>1.1175999999999999</c:v>
                </c:pt>
                <c:pt idx="1">
                  <c:v>1.105</c:v>
                </c:pt>
                <c:pt idx="2">
                  <c:v>1.0953999999999999</c:v>
                </c:pt>
                <c:pt idx="3">
                  <c:v>1.0878000000000001</c:v>
                </c:pt>
                <c:pt idx="4">
                  <c:v>1.0815999999999999</c:v>
                </c:pt>
                <c:pt idx="5">
                  <c:v>1.0765</c:v>
                </c:pt>
                <c:pt idx="6">
                  <c:v>1.0722</c:v>
                </c:pt>
                <c:pt idx="7">
                  <c:v>1.0685</c:v>
                </c:pt>
                <c:pt idx="8">
                  <c:v>1.0652999999999999</c:v>
                </c:pt>
                <c:pt idx="9">
                  <c:v>1.0626</c:v>
                </c:pt>
                <c:pt idx="10">
                  <c:v>1.0601</c:v>
                </c:pt>
                <c:pt idx="11">
                  <c:v>1.0580000000000001</c:v>
                </c:pt>
                <c:pt idx="12">
                  <c:v>1.056</c:v>
                </c:pt>
                <c:pt idx="13">
                  <c:v>1.0551999999999999</c:v>
                </c:pt>
                <c:pt idx="14">
                  <c:v>1.0543</c:v>
                </c:pt>
                <c:pt idx="15">
                  <c:v>1.0528</c:v>
                </c:pt>
                <c:pt idx="16">
                  <c:v>1.0513999999999999</c:v>
                </c:pt>
                <c:pt idx="17">
                  <c:v>1.0501</c:v>
                </c:pt>
                <c:pt idx="18">
                  <c:v>1.0488999999999999</c:v>
                </c:pt>
                <c:pt idx="19">
                  <c:v>1.0479000000000001</c:v>
                </c:pt>
                <c:pt idx="20">
                  <c:v>1.0468999999999999</c:v>
                </c:pt>
                <c:pt idx="21">
                  <c:v>1.046</c:v>
                </c:pt>
                <c:pt idx="22">
                  <c:v>1.0451999999999999</c:v>
                </c:pt>
                <c:pt idx="23">
                  <c:v>1.0444</c:v>
                </c:pt>
                <c:pt idx="24">
                  <c:v>1.0437000000000001</c:v>
                </c:pt>
                <c:pt idx="25">
                  <c:v>1.0430999999999999</c:v>
                </c:pt>
                <c:pt idx="26">
                  <c:v>1.0425</c:v>
                </c:pt>
                <c:pt idx="27">
                  <c:v>1.0419</c:v>
                </c:pt>
                <c:pt idx="28">
                  <c:v>1.0414000000000001</c:v>
                </c:pt>
                <c:pt idx="29">
                  <c:v>1.0408999999999999</c:v>
                </c:pt>
                <c:pt idx="30">
                  <c:v>1.0405</c:v>
                </c:pt>
                <c:pt idx="31">
                  <c:v>1.04</c:v>
                </c:pt>
              </c:numCache>
            </c:numRef>
          </c:xVal>
          <c:yVal>
            <c:numRef>
              <c:f>CVTSCT!$F$27:$F$58</c:f>
              <c:numCache>
                <c:formatCode>0.0000</c:formatCode>
                <c:ptCount val="32"/>
                <c:pt idx="0">
                  <c:v>1.1273659200000001</c:v>
                </c:pt>
                <c:pt idx="1">
                  <c:v>1.1113518600000001</c:v>
                </c:pt>
                <c:pt idx="2">
                  <c:v>1.0997486500000002</c:v>
                </c:pt>
                <c:pt idx="3">
                  <c:v>1.09076967</c:v>
                </c:pt>
                <c:pt idx="4">
                  <c:v>1.0836793100000002</c:v>
                </c:pt>
                <c:pt idx="5">
                  <c:v>1.0778476800000001</c:v>
                </c:pt>
                <c:pt idx="6">
                  <c:v>1.0730627999999998</c:v>
                </c:pt>
                <c:pt idx="7">
                  <c:v>1.06911504</c:v>
                </c:pt>
                <c:pt idx="8">
                  <c:v>1.06558704</c:v>
                </c:pt>
                <c:pt idx="9">
                  <c:v>1.0625803199999999</c:v>
                </c:pt>
                <c:pt idx="10">
                  <c:v>1.0599915199999999</c:v>
                </c:pt>
                <c:pt idx="11">
                  <c:v>1.0577142399999999</c:v>
                </c:pt>
                <c:pt idx="12">
                  <c:v>1.05564809</c:v>
                </c:pt>
                <c:pt idx="13">
                  <c:v>1.0547182800000001</c:v>
                </c:pt>
                <c:pt idx="14">
                  <c:v>1.0537887500000001</c:v>
                </c:pt>
                <c:pt idx="15">
                  <c:v>1.0523431199999997</c:v>
                </c:pt>
                <c:pt idx="16">
                  <c:v>1.0507968000000001</c:v>
                </c:pt>
                <c:pt idx="17">
                  <c:v>1.04945625</c:v>
                </c:pt>
                <c:pt idx="18">
                  <c:v>1.0483235400000002</c:v>
                </c:pt>
                <c:pt idx="19">
                  <c:v>1.0471913099999999</c:v>
                </c:pt>
                <c:pt idx="20">
                  <c:v>1.0461605700000001</c:v>
                </c:pt>
                <c:pt idx="21">
                  <c:v>1.0452363000000002</c:v>
                </c:pt>
                <c:pt idx="22">
                  <c:v>1.0444132799999999</c:v>
                </c:pt>
                <c:pt idx="23">
                  <c:v>1.0436939999999999</c:v>
                </c:pt>
                <c:pt idx="24">
                  <c:v>1.04297492</c:v>
                </c:pt>
                <c:pt idx="25">
                  <c:v>1.0423595000000001</c:v>
                </c:pt>
                <c:pt idx="26">
                  <c:v>1.0416407999999999</c:v>
                </c:pt>
                <c:pt idx="27">
                  <c:v>1.04112914</c:v>
                </c:pt>
                <c:pt idx="28">
                  <c:v>1.04061483</c:v>
                </c:pt>
                <c:pt idx="29">
                  <c:v>1.0401034</c:v>
                </c:pt>
                <c:pt idx="30">
                  <c:v>1.03969266</c:v>
                </c:pt>
                <c:pt idx="31">
                  <c:v>1.0391814400000001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52-C14C-9FC4-784D0664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05096"/>
        <c:axId val="653306664"/>
      </c:scatterChart>
      <c:valAx>
        <c:axId val="6533050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06664"/>
        <c:crosses val="autoZero"/>
        <c:crossBetween val="midCat"/>
      </c:valAx>
      <c:valAx>
        <c:axId val="65330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corrected kie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050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Correlation KIE vs.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'KIE search'!$D$3</c:f>
              <c:strCache>
                <c:ptCount val="1"/>
                <c:pt idx="0">
                  <c:v>Diff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'KIE search'!$C$4:$C$55</c:f>
              <c:numCache>
                <c:formatCode>General</c:formatCode>
                <c:ptCount val="52"/>
                <c:pt idx="0">
                  <c:v>1.0586</c:v>
                </c:pt>
                <c:pt idx="1">
                  <c:v>1.0588</c:v>
                </c:pt>
                <c:pt idx="2">
                  <c:v>1.0579000000000001</c:v>
                </c:pt>
                <c:pt idx="3">
                  <c:v>1.0575000000000001</c:v>
                </c:pt>
                <c:pt idx="4">
                  <c:v>1.0587</c:v>
                </c:pt>
                <c:pt idx="5">
                  <c:v>1.0583</c:v>
                </c:pt>
                <c:pt idx="6">
                  <c:v>1.0584</c:v>
                </c:pt>
                <c:pt idx="7">
                  <c:v>1.0588</c:v>
                </c:pt>
                <c:pt idx="8">
                  <c:v>1.0581</c:v>
                </c:pt>
                <c:pt idx="9">
                  <c:v>1.0568</c:v>
                </c:pt>
                <c:pt idx="10">
                  <c:v>1.0576000000000001</c:v>
                </c:pt>
                <c:pt idx="11">
                  <c:v>1.0575000000000001</c:v>
                </c:pt>
                <c:pt idx="12">
                  <c:v>1.0576000000000001</c:v>
                </c:pt>
                <c:pt idx="13">
                  <c:v>1.0577000000000001</c:v>
                </c:pt>
                <c:pt idx="14">
                  <c:v>1.0570999999999999</c:v>
                </c:pt>
                <c:pt idx="15">
                  <c:v>1.0568</c:v>
                </c:pt>
                <c:pt idx="16">
                  <c:v>1.0573999999999999</c:v>
                </c:pt>
                <c:pt idx="17">
                  <c:v>1.0572999999999999</c:v>
                </c:pt>
                <c:pt idx="18">
                  <c:v>1.0577000000000001</c:v>
                </c:pt>
                <c:pt idx="19">
                  <c:v>1.0566</c:v>
                </c:pt>
                <c:pt idx="20">
                  <c:v>1.0546</c:v>
                </c:pt>
                <c:pt idx="21">
                  <c:v>1.0559000000000001</c:v>
                </c:pt>
                <c:pt idx="22">
                  <c:v>1.0548999999999999</c:v>
                </c:pt>
                <c:pt idx="23">
                  <c:v>1.0543</c:v>
                </c:pt>
                <c:pt idx="24">
                  <c:v>1.0544</c:v>
                </c:pt>
                <c:pt idx="25">
                  <c:v>1.0543</c:v>
                </c:pt>
                <c:pt idx="26">
                  <c:v>1.0550999999999999</c:v>
                </c:pt>
                <c:pt idx="27">
                  <c:v>1.0541</c:v>
                </c:pt>
                <c:pt idx="28">
                  <c:v>1.0546</c:v>
                </c:pt>
                <c:pt idx="29">
                  <c:v>1.0537000000000001</c:v>
                </c:pt>
                <c:pt idx="30">
                  <c:v>1.0543</c:v>
                </c:pt>
                <c:pt idx="31">
                  <c:v>1.0512999999999999</c:v>
                </c:pt>
                <c:pt idx="32">
                  <c:v>1.0539000000000001</c:v>
                </c:pt>
                <c:pt idx="33">
                  <c:v>1.0547</c:v>
                </c:pt>
                <c:pt idx="34">
                  <c:v>1.0537000000000001</c:v>
                </c:pt>
                <c:pt idx="35">
                  <c:v>1.0538000000000001</c:v>
                </c:pt>
                <c:pt idx="36">
                  <c:v>1.0546</c:v>
                </c:pt>
                <c:pt idx="37">
                  <c:v>1.0537000000000001</c:v>
                </c:pt>
                <c:pt idx="38">
                  <c:v>1.0542</c:v>
                </c:pt>
                <c:pt idx="39">
                  <c:v>1.0528999999999999</c:v>
                </c:pt>
                <c:pt idx="40">
                  <c:v>1.0527</c:v>
                </c:pt>
                <c:pt idx="41">
                  <c:v>1.0531999999999999</c:v>
                </c:pt>
                <c:pt idx="42">
                  <c:v>1.0530999999999999</c:v>
                </c:pt>
                <c:pt idx="43">
                  <c:v>1.0525</c:v>
                </c:pt>
                <c:pt idx="44">
                  <c:v>1.0523</c:v>
                </c:pt>
                <c:pt idx="45">
                  <c:v>1.0526</c:v>
                </c:pt>
                <c:pt idx="46">
                  <c:v>1.0533999999999999</c:v>
                </c:pt>
                <c:pt idx="47">
                  <c:v>1.0523</c:v>
                </c:pt>
                <c:pt idx="48">
                  <c:v>1.0530999999999999</c:v>
                </c:pt>
                <c:pt idx="49">
                  <c:v>1.0495000000000001</c:v>
                </c:pt>
                <c:pt idx="50">
                  <c:v>1.0517000000000001</c:v>
                </c:pt>
                <c:pt idx="51">
                  <c:v>1.0544</c:v>
                </c:pt>
              </c:numCache>
            </c:numRef>
          </c:xVal>
          <c:yVal>
            <c:numRef>
              <c:f>'KIE search'!$D$4:$D$55</c:f>
              <c:numCache>
                <c:formatCode>General</c:formatCode>
                <c:ptCount val="52"/>
                <c:pt idx="0">
                  <c:v>2.1700000000000053E-2</c:v>
                </c:pt>
                <c:pt idx="1">
                  <c:v>2.1299999999999875E-2</c:v>
                </c:pt>
                <c:pt idx="2">
                  <c:v>2.1200000000000108E-2</c:v>
                </c:pt>
                <c:pt idx="3">
                  <c:v>2.1100000000000119E-2</c:v>
                </c:pt>
                <c:pt idx="4">
                  <c:v>2.0999999999999908E-2</c:v>
                </c:pt>
                <c:pt idx="5">
                  <c:v>2.0899999999999919E-2</c:v>
                </c:pt>
                <c:pt idx="6">
                  <c:v>2.0899999999999919E-2</c:v>
                </c:pt>
                <c:pt idx="7">
                  <c:v>2.079999999999993E-2</c:v>
                </c:pt>
                <c:pt idx="8">
                  <c:v>2.079999999999993E-2</c:v>
                </c:pt>
                <c:pt idx="9">
                  <c:v>2.079999999999993E-2</c:v>
                </c:pt>
                <c:pt idx="10">
                  <c:v>2.0700000000000163E-2</c:v>
                </c:pt>
                <c:pt idx="11">
                  <c:v>2.0600000000000174E-2</c:v>
                </c:pt>
                <c:pt idx="12">
                  <c:v>2.0500000000000185E-2</c:v>
                </c:pt>
                <c:pt idx="13">
                  <c:v>2.0399999999999974E-2</c:v>
                </c:pt>
                <c:pt idx="14">
                  <c:v>2.0299999999999985E-2</c:v>
                </c:pt>
                <c:pt idx="15">
                  <c:v>2.0299999999999985E-2</c:v>
                </c:pt>
                <c:pt idx="16">
                  <c:v>2.0199999999999996E-2</c:v>
                </c:pt>
                <c:pt idx="17">
                  <c:v>2.0199999999999996E-2</c:v>
                </c:pt>
                <c:pt idx="18">
                  <c:v>2.0100000000000007E-2</c:v>
                </c:pt>
                <c:pt idx="19">
                  <c:v>2.0100000000000007E-2</c:v>
                </c:pt>
                <c:pt idx="20">
                  <c:v>1.9900000000000029E-2</c:v>
                </c:pt>
                <c:pt idx="21">
                  <c:v>1.8700000000000161E-2</c:v>
                </c:pt>
                <c:pt idx="22">
                  <c:v>1.8499999999999961E-2</c:v>
                </c:pt>
                <c:pt idx="23">
                  <c:v>1.8199999999999994E-2</c:v>
                </c:pt>
                <c:pt idx="24">
                  <c:v>1.8000000000000016E-2</c:v>
                </c:pt>
                <c:pt idx="25">
                  <c:v>1.7800000000000038E-2</c:v>
                </c:pt>
                <c:pt idx="26">
                  <c:v>1.7799999999999816E-2</c:v>
                </c:pt>
                <c:pt idx="27">
                  <c:v>1.760000000000006E-2</c:v>
                </c:pt>
                <c:pt idx="28">
                  <c:v>1.760000000000006E-2</c:v>
                </c:pt>
                <c:pt idx="29">
                  <c:v>1.760000000000006E-2</c:v>
                </c:pt>
                <c:pt idx="30">
                  <c:v>1.7500000000000071E-2</c:v>
                </c:pt>
                <c:pt idx="31">
                  <c:v>1.7499999999999849E-2</c:v>
                </c:pt>
                <c:pt idx="32">
                  <c:v>1.7400000000000082E-2</c:v>
                </c:pt>
                <c:pt idx="33">
                  <c:v>1.739999999999986E-2</c:v>
                </c:pt>
                <c:pt idx="34">
                  <c:v>1.7300000000000093E-2</c:v>
                </c:pt>
                <c:pt idx="35">
                  <c:v>1.7300000000000093E-2</c:v>
                </c:pt>
                <c:pt idx="36">
                  <c:v>1.7299999999999871E-2</c:v>
                </c:pt>
                <c:pt idx="37">
                  <c:v>1.7100000000000115E-2</c:v>
                </c:pt>
                <c:pt idx="38">
                  <c:v>1.7100000000000115E-2</c:v>
                </c:pt>
                <c:pt idx="39">
                  <c:v>1.7099999999999893E-2</c:v>
                </c:pt>
                <c:pt idx="40">
                  <c:v>1.6999999999999904E-2</c:v>
                </c:pt>
                <c:pt idx="41">
                  <c:v>1.6999999999999904E-2</c:v>
                </c:pt>
                <c:pt idx="42">
                  <c:v>1.6899999999999915E-2</c:v>
                </c:pt>
                <c:pt idx="43">
                  <c:v>1.6899999999999915E-2</c:v>
                </c:pt>
                <c:pt idx="44">
                  <c:v>1.6799999999999926E-2</c:v>
                </c:pt>
                <c:pt idx="45">
                  <c:v>1.6799999999999926E-2</c:v>
                </c:pt>
                <c:pt idx="46">
                  <c:v>1.6599999999999948E-2</c:v>
                </c:pt>
                <c:pt idx="47">
                  <c:v>1.639999999999997E-2</c:v>
                </c:pt>
                <c:pt idx="48">
                  <c:v>1.6299999999999981E-2</c:v>
                </c:pt>
                <c:pt idx="49">
                  <c:v>1.6199999999999992E-2</c:v>
                </c:pt>
                <c:pt idx="50">
                  <c:v>1.5900000000000025E-2</c:v>
                </c:pt>
                <c:pt idx="51">
                  <c:v>1.5300000000000091E-2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1-214A-8424-03733637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09800"/>
        <c:axId val="653310976"/>
      </c:scatterChart>
      <c:valAx>
        <c:axId val="653309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10976"/>
        <c:crosses val="autoZero"/>
        <c:crossBetween val="midCat"/>
      </c:valAx>
      <c:valAx>
        <c:axId val="65331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Correction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098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Correlation KIE vs. Forming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'KIE search'!$E$3</c:f>
              <c:strCache>
                <c:ptCount val="1"/>
                <c:pt idx="0">
                  <c:v>Forming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'KIE search'!$C$4:$C$55</c:f>
              <c:numCache>
                <c:formatCode>General</c:formatCode>
                <c:ptCount val="52"/>
                <c:pt idx="0">
                  <c:v>1.0586</c:v>
                </c:pt>
                <c:pt idx="1">
                  <c:v>1.0588</c:v>
                </c:pt>
                <c:pt idx="2">
                  <c:v>1.0579000000000001</c:v>
                </c:pt>
                <c:pt idx="3">
                  <c:v>1.0575000000000001</c:v>
                </c:pt>
                <c:pt idx="4">
                  <c:v>1.0587</c:v>
                </c:pt>
                <c:pt idx="5">
                  <c:v>1.0583</c:v>
                </c:pt>
                <c:pt idx="6">
                  <c:v>1.0584</c:v>
                </c:pt>
                <c:pt idx="7">
                  <c:v>1.0588</c:v>
                </c:pt>
                <c:pt idx="8">
                  <c:v>1.0581</c:v>
                </c:pt>
                <c:pt idx="9">
                  <c:v>1.0568</c:v>
                </c:pt>
                <c:pt idx="10">
                  <c:v>1.0576000000000001</c:v>
                </c:pt>
                <c:pt idx="11">
                  <c:v>1.0575000000000001</c:v>
                </c:pt>
                <c:pt idx="12">
                  <c:v>1.0576000000000001</c:v>
                </c:pt>
                <c:pt idx="13">
                  <c:v>1.0577000000000001</c:v>
                </c:pt>
                <c:pt idx="14">
                  <c:v>1.0570999999999999</c:v>
                </c:pt>
                <c:pt idx="15">
                  <c:v>1.0568</c:v>
                </c:pt>
                <c:pt idx="16">
                  <c:v>1.0573999999999999</c:v>
                </c:pt>
                <c:pt idx="17">
                  <c:v>1.0572999999999999</c:v>
                </c:pt>
                <c:pt idx="18">
                  <c:v>1.0577000000000001</c:v>
                </c:pt>
                <c:pt idx="19">
                  <c:v>1.0566</c:v>
                </c:pt>
                <c:pt idx="20">
                  <c:v>1.0546</c:v>
                </c:pt>
                <c:pt idx="21">
                  <c:v>1.0559000000000001</c:v>
                </c:pt>
                <c:pt idx="22">
                  <c:v>1.0548999999999999</c:v>
                </c:pt>
                <c:pt idx="23">
                  <c:v>1.0543</c:v>
                </c:pt>
                <c:pt idx="24">
                  <c:v>1.0544</c:v>
                </c:pt>
                <c:pt idx="25">
                  <c:v>1.0543</c:v>
                </c:pt>
                <c:pt idx="26">
                  <c:v>1.0550999999999999</c:v>
                </c:pt>
                <c:pt idx="27">
                  <c:v>1.0541</c:v>
                </c:pt>
                <c:pt idx="28">
                  <c:v>1.0546</c:v>
                </c:pt>
                <c:pt idx="29">
                  <c:v>1.0537000000000001</c:v>
                </c:pt>
                <c:pt idx="30">
                  <c:v>1.0543</c:v>
                </c:pt>
                <c:pt idx="31">
                  <c:v>1.0512999999999999</c:v>
                </c:pt>
                <c:pt idx="32">
                  <c:v>1.0539000000000001</c:v>
                </c:pt>
                <c:pt idx="33">
                  <c:v>1.0547</c:v>
                </c:pt>
                <c:pt idx="34">
                  <c:v>1.0537000000000001</c:v>
                </c:pt>
                <c:pt idx="35">
                  <c:v>1.0538000000000001</c:v>
                </c:pt>
                <c:pt idx="36">
                  <c:v>1.0546</c:v>
                </c:pt>
                <c:pt idx="37">
                  <c:v>1.0537000000000001</c:v>
                </c:pt>
                <c:pt idx="38">
                  <c:v>1.0542</c:v>
                </c:pt>
                <c:pt idx="39">
                  <c:v>1.0528999999999999</c:v>
                </c:pt>
                <c:pt idx="40">
                  <c:v>1.0527</c:v>
                </c:pt>
                <c:pt idx="41">
                  <c:v>1.0531999999999999</c:v>
                </c:pt>
                <c:pt idx="42">
                  <c:v>1.0530999999999999</c:v>
                </c:pt>
                <c:pt idx="43">
                  <c:v>1.0525</c:v>
                </c:pt>
                <c:pt idx="44">
                  <c:v>1.0523</c:v>
                </c:pt>
                <c:pt idx="45">
                  <c:v>1.0526</c:v>
                </c:pt>
                <c:pt idx="46">
                  <c:v>1.0533999999999999</c:v>
                </c:pt>
                <c:pt idx="47">
                  <c:v>1.0523</c:v>
                </c:pt>
                <c:pt idx="48">
                  <c:v>1.0530999999999999</c:v>
                </c:pt>
                <c:pt idx="49">
                  <c:v>1.0495000000000001</c:v>
                </c:pt>
                <c:pt idx="50">
                  <c:v>1.0517000000000001</c:v>
                </c:pt>
                <c:pt idx="51">
                  <c:v>1.0544</c:v>
                </c:pt>
              </c:numCache>
            </c:numRef>
          </c:xVal>
          <c:yVal>
            <c:numRef>
              <c:f>'KIE search'!$E$4:$E$54</c:f>
              <c:numCache>
                <c:formatCode>General</c:formatCode>
                <c:ptCount val="51"/>
                <c:pt idx="0">
                  <c:v>1.911</c:v>
                </c:pt>
                <c:pt idx="1">
                  <c:v>1.9079999999999999</c:v>
                </c:pt>
                <c:pt idx="2">
                  <c:v>1.9319999999999999</c:v>
                </c:pt>
                <c:pt idx="3">
                  <c:v>1.927</c:v>
                </c:pt>
                <c:pt idx="4">
                  <c:v>1.9159999999999999</c:v>
                </c:pt>
                <c:pt idx="5">
                  <c:v>1.917</c:v>
                </c:pt>
                <c:pt idx="6">
                  <c:v>1.9339999999999999</c:v>
                </c:pt>
                <c:pt idx="7">
                  <c:v>1.9219999999999999</c:v>
                </c:pt>
                <c:pt idx="8">
                  <c:v>1.9219999999999999</c:v>
                </c:pt>
                <c:pt idx="9">
                  <c:v>1.907</c:v>
                </c:pt>
                <c:pt idx="10">
                  <c:v>1.9179999999999999</c:v>
                </c:pt>
                <c:pt idx="11">
                  <c:v>1.9259999999999999</c:v>
                </c:pt>
                <c:pt idx="12">
                  <c:v>1.9430000000000001</c:v>
                </c:pt>
                <c:pt idx="13">
                  <c:v>1.9410000000000001</c:v>
                </c:pt>
                <c:pt idx="14">
                  <c:v>1.931</c:v>
                </c:pt>
                <c:pt idx="15">
                  <c:v>1.94</c:v>
                </c:pt>
                <c:pt idx="16">
                  <c:v>1.9350000000000001</c:v>
                </c:pt>
                <c:pt idx="17">
                  <c:v>1.9530000000000001</c:v>
                </c:pt>
                <c:pt idx="18">
                  <c:v>1.9350000000000001</c:v>
                </c:pt>
                <c:pt idx="19">
                  <c:v>1.9359999999999999</c:v>
                </c:pt>
                <c:pt idx="20">
                  <c:v>1.9330000000000001</c:v>
                </c:pt>
                <c:pt idx="21">
                  <c:v>1.952</c:v>
                </c:pt>
                <c:pt idx="22">
                  <c:v>1.952</c:v>
                </c:pt>
                <c:pt idx="23">
                  <c:v>1.9570000000000001</c:v>
                </c:pt>
                <c:pt idx="24">
                  <c:v>1.9510000000000001</c:v>
                </c:pt>
                <c:pt idx="25">
                  <c:v>1.9710000000000001</c:v>
                </c:pt>
                <c:pt idx="26">
                  <c:v>1.956</c:v>
                </c:pt>
                <c:pt idx="27">
                  <c:v>1.962</c:v>
                </c:pt>
                <c:pt idx="28">
                  <c:v>1.9610000000000001</c:v>
                </c:pt>
                <c:pt idx="29">
                  <c:v>1.964</c:v>
                </c:pt>
                <c:pt idx="30">
                  <c:v>1.9710000000000001</c:v>
                </c:pt>
                <c:pt idx="31">
                  <c:v>1.95</c:v>
                </c:pt>
                <c:pt idx="32">
                  <c:v>1.9650000000000001</c:v>
                </c:pt>
                <c:pt idx="33">
                  <c:v>1.974</c:v>
                </c:pt>
                <c:pt idx="34">
                  <c:v>1.9650000000000001</c:v>
                </c:pt>
                <c:pt idx="35">
                  <c:v>1.9770000000000001</c:v>
                </c:pt>
                <c:pt idx="36">
                  <c:v>1.964</c:v>
                </c:pt>
                <c:pt idx="37">
                  <c:v>1.9830000000000001</c:v>
                </c:pt>
                <c:pt idx="38">
                  <c:v>1.984</c:v>
                </c:pt>
                <c:pt idx="39">
                  <c:v>1.9890000000000001</c:v>
                </c:pt>
                <c:pt idx="40">
                  <c:v>1.98</c:v>
                </c:pt>
                <c:pt idx="41">
                  <c:v>1.9730000000000001</c:v>
                </c:pt>
                <c:pt idx="42">
                  <c:v>1.9830000000000001</c:v>
                </c:pt>
                <c:pt idx="43">
                  <c:v>1.9770000000000001</c:v>
                </c:pt>
                <c:pt idx="44">
                  <c:v>1.9910000000000001</c:v>
                </c:pt>
                <c:pt idx="45">
                  <c:v>1.9890000000000001</c:v>
                </c:pt>
                <c:pt idx="46">
                  <c:v>1.988</c:v>
                </c:pt>
                <c:pt idx="47">
                  <c:v>1.988</c:v>
                </c:pt>
                <c:pt idx="48">
                  <c:v>2.0049999999999999</c:v>
                </c:pt>
                <c:pt idx="49">
                  <c:v>1.976</c:v>
                </c:pt>
                <c:pt idx="50">
                  <c:v>1.9850000000000001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3-0E4E-B34A-4A73DC7A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07840"/>
        <c:axId val="653309408"/>
      </c:scatterChart>
      <c:valAx>
        <c:axId val="653307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09408"/>
        <c:crosses val="autoZero"/>
        <c:crossBetween val="midCat"/>
      </c:valAx>
      <c:valAx>
        <c:axId val="65330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Forming Distance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07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Correlation KIE vs. Breaking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'KIE search'!$F$3</c:f>
              <c:strCache>
                <c:ptCount val="1"/>
                <c:pt idx="0">
                  <c:v>Breaking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Data series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'KIE search'!$C$4:$C$55</c:f>
              <c:numCache>
                <c:formatCode>General</c:formatCode>
                <c:ptCount val="52"/>
                <c:pt idx="0">
                  <c:v>1.0586</c:v>
                </c:pt>
                <c:pt idx="1">
                  <c:v>1.0588</c:v>
                </c:pt>
                <c:pt idx="2">
                  <c:v>1.0579000000000001</c:v>
                </c:pt>
                <c:pt idx="3">
                  <c:v>1.0575000000000001</c:v>
                </c:pt>
                <c:pt idx="4">
                  <c:v>1.0587</c:v>
                </c:pt>
                <c:pt idx="5">
                  <c:v>1.0583</c:v>
                </c:pt>
                <c:pt idx="6">
                  <c:v>1.0584</c:v>
                </c:pt>
                <c:pt idx="7">
                  <c:v>1.0588</c:v>
                </c:pt>
                <c:pt idx="8">
                  <c:v>1.0581</c:v>
                </c:pt>
                <c:pt idx="9">
                  <c:v>1.0568</c:v>
                </c:pt>
                <c:pt idx="10">
                  <c:v>1.0576000000000001</c:v>
                </c:pt>
                <c:pt idx="11">
                  <c:v>1.0575000000000001</c:v>
                </c:pt>
                <c:pt idx="12">
                  <c:v>1.0576000000000001</c:v>
                </c:pt>
                <c:pt idx="13">
                  <c:v>1.0577000000000001</c:v>
                </c:pt>
                <c:pt idx="14">
                  <c:v>1.0570999999999999</c:v>
                </c:pt>
                <c:pt idx="15">
                  <c:v>1.0568</c:v>
                </c:pt>
                <c:pt idx="16">
                  <c:v>1.0573999999999999</c:v>
                </c:pt>
                <c:pt idx="17">
                  <c:v>1.0572999999999999</c:v>
                </c:pt>
                <c:pt idx="18">
                  <c:v>1.0577000000000001</c:v>
                </c:pt>
                <c:pt idx="19">
                  <c:v>1.0566</c:v>
                </c:pt>
                <c:pt idx="20">
                  <c:v>1.0546</c:v>
                </c:pt>
                <c:pt idx="21">
                  <c:v>1.0559000000000001</c:v>
                </c:pt>
                <c:pt idx="22">
                  <c:v>1.0548999999999999</c:v>
                </c:pt>
                <c:pt idx="23">
                  <c:v>1.0543</c:v>
                </c:pt>
                <c:pt idx="24">
                  <c:v>1.0544</c:v>
                </c:pt>
                <c:pt idx="25">
                  <c:v>1.0543</c:v>
                </c:pt>
                <c:pt idx="26">
                  <c:v>1.0550999999999999</c:v>
                </c:pt>
                <c:pt idx="27">
                  <c:v>1.0541</c:v>
                </c:pt>
                <c:pt idx="28">
                  <c:v>1.0546</c:v>
                </c:pt>
                <c:pt idx="29">
                  <c:v>1.0537000000000001</c:v>
                </c:pt>
                <c:pt idx="30">
                  <c:v>1.0543</c:v>
                </c:pt>
                <c:pt idx="31">
                  <c:v>1.0512999999999999</c:v>
                </c:pt>
                <c:pt idx="32">
                  <c:v>1.0539000000000001</c:v>
                </c:pt>
                <c:pt idx="33">
                  <c:v>1.0547</c:v>
                </c:pt>
                <c:pt idx="34">
                  <c:v>1.0537000000000001</c:v>
                </c:pt>
                <c:pt idx="35">
                  <c:v>1.0538000000000001</c:v>
                </c:pt>
                <c:pt idx="36">
                  <c:v>1.0546</c:v>
                </c:pt>
                <c:pt idx="37">
                  <c:v>1.0537000000000001</c:v>
                </c:pt>
                <c:pt idx="38">
                  <c:v>1.0542</c:v>
                </c:pt>
                <c:pt idx="39">
                  <c:v>1.0528999999999999</c:v>
                </c:pt>
                <c:pt idx="40">
                  <c:v>1.0527</c:v>
                </c:pt>
                <c:pt idx="41">
                  <c:v>1.0531999999999999</c:v>
                </c:pt>
                <c:pt idx="42">
                  <c:v>1.0530999999999999</c:v>
                </c:pt>
                <c:pt idx="43">
                  <c:v>1.0525</c:v>
                </c:pt>
                <c:pt idx="44">
                  <c:v>1.0523</c:v>
                </c:pt>
                <c:pt idx="45">
                  <c:v>1.0526</c:v>
                </c:pt>
                <c:pt idx="46">
                  <c:v>1.0533999999999999</c:v>
                </c:pt>
                <c:pt idx="47">
                  <c:v>1.0523</c:v>
                </c:pt>
                <c:pt idx="48">
                  <c:v>1.0530999999999999</c:v>
                </c:pt>
                <c:pt idx="49">
                  <c:v>1.0495000000000001</c:v>
                </c:pt>
                <c:pt idx="50">
                  <c:v>1.0517000000000001</c:v>
                </c:pt>
                <c:pt idx="51">
                  <c:v>1.0544</c:v>
                </c:pt>
              </c:numCache>
            </c:numRef>
          </c:xVal>
          <c:yVal>
            <c:numRef>
              <c:f>'KIE search'!$F$4:$F$41</c:f>
              <c:numCache>
                <c:formatCode>General</c:formatCode>
                <c:ptCount val="38"/>
                <c:pt idx="0">
                  <c:v>2.274</c:v>
                </c:pt>
                <c:pt idx="1">
                  <c:v>2.2709999999999999</c:v>
                </c:pt>
                <c:pt idx="2">
                  <c:v>2.2949999999999999</c:v>
                </c:pt>
                <c:pt idx="3">
                  <c:v>2.2919999999999998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2.2959999999999998</c:v>
                </c:pt>
                <c:pt idx="7">
                  <c:v>2.2850000000000001</c:v>
                </c:pt>
                <c:pt idx="8">
                  <c:v>2.286</c:v>
                </c:pt>
                <c:pt idx="9">
                  <c:v>2.2770000000000001</c:v>
                </c:pt>
                <c:pt idx="10">
                  <c:v>2.2879999999999998</c:v>
                </c:pt>
                <c:pt idx="11">
                  <c:v>2.3039999999999998</c:v>
                </c:pt>
                <c:pt idx="12">
                  <c:v>2.3050000000000002</c:v>
                </c:pt>
                <c:pt idx="13">
                  <c:v>2.3050000000000002</c:v>
                </c:pt>
                <c:pt idx="14">
                  <c:v>2.3090000000000002</c:v>
                </c:pt>
                <c:pt idx="15">
                  <c:v>2.306</c:v>
                </c:pt>
                <c:pt idx="16">
                  <c:v>2.298</c:v>
                </c:pt>
                <c:pt idx="17">
                  <c:v>2.319</c:v>
                </c:pt>
                <c:pt idx="18">
                  <c:v>2.2959999999999998</c:v>
                </c:pt>
                <c:pt idx="19">
                  <c:v>2.3130000000000002</c:v>
                </c:pt>
                <c:pt idx="20">
                  <c:v>2.31</c:v>
                </c:pt>
                <c:pt idx="21">
                  <c:v>2.3090000000000002</c:v>
                </c:pt>
                <c:pt idx="22">
                  <c:v>2.4039999999999999</c:v>
                </c:pt>
                <c:pt idx="23">
                  <c:v>2.4079999999999999</c:v>
                </c:pt>
                <c:pt idx="24">
                  <c:v>2.4</c:v>
                </c:pt>
                <c:pt idx="25">
                  <c:v>2.4220000000000002</c:v>
                </c:pt>
                <c:pt idx="26">
                  <c:v>2.403</c:v>
                </c:pt>
                <c:pt idx="27">
                  <c:v>2.4119999999999999</c:v>
                </c:pt>
                <c:pt idx="28">
                  <c:v>2.411</c:v>
                </c:pt>
                <c:pt idx="29">
                  <c:v>2.4129999999999998</c:v>
                </c:pt>
                <c:pt idx="30">
                  <c:v>2.423</c:v>
                </c:pt>
                <c:pt idx="31">
                  <c:v>2.4079999999999999</c:v>
                </c:pt>
                <c:pt idx="32">
                  <c:v>2.419</c:v>
                </c:pt>
                <c:pt idx="33">
                  <c:v>2.4239999999999999</c:v>
                </c:pt>
                <c:pt idx="34">
                  <c:v>2.4169999999999998</c:v>
                </c:pt>
                <c:pt idx="35">
                  <c:v>2.431</c:v>
                </c:pt>
                <c:pt idx="36">
                  <c:v>2.4209999999999998</c:v>
                </c:pt>
                <c:pt idx="37">
                  <c:v>2.4319999999999999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B6-E941-8560-3754A523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10584"/>
        <c:axId val="653311368"/>
      </c:scatterChart>
      <c:valAx>
        <c:axId val="653310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11368"/>
        <c:crosses val="autoZero"/>
        <c:crossBetween val="midCat"/>
      </c:valAx>
      <c:valAx>
        <c:axId val="65331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Breaking Distance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3105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breaking vs. forming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'KIE search'!$E$4:$E$41</c:f>
              <c:numCache>
                <c:formatCode>General</c:formatCode>
                <c:ptCount val="38"/>
                <c:pt idx="0">
                  <c:v>1.911</c:v>
                </c:pt>
                <c:pt idx="1">
                  <c:v>1.9079999999999999</c:v>
                </c:pt>
                <c:pt idx="2">
                  <c:v>1.9319999999999999</c:v>
                </c:pt>
                <c:pt idx="3">
                  <c:v>1.927</c:v>
                </c:pt>
                <c:pt idx="4">
                  <c:v>1.9159999999999999</c:v>
                </c:pt>
                <c:pt idx="5">
                  <c:v>1.917</c:v>
                </c:pt>
                <c:pt idx="6">
                  <c:v>1.9339999999999999</c:v>
                </c:pt>
                <c:pt idx="7">
                  <c:v>1.9219999999999999</c:v>
                </c:pt>
                <c:pt idx="8">
                  <c:v>1.9219999999999999</c:v>
                </c:pt>
                <c:pt idx="9">
                  <c:v>1.907</c:v>
                </c:pt>
                <c:pt idx="10">
                  <c:v>1.9179999999999999</c:v>
                </c:pt>
                <c:pt idx="11">
                  <c:v>1.9259999999999999</c:v>
                </c:pt>
                <c:pt idx="12">
                  <c:v>1.9430000000000001</c:v>
                </c:pt>
                <c:pt idx="13">
                  <c:v>1.9410000000000001</c:v>
                </c:pt>
                <c:pt idx="14">
                  <c:v>1.931</c:v>
                </c:pt>
                <c:pt idx="15">
                  <c:v>1.94</c:v>
                </c:pt>
                <c:pt idx="16">
                  <c:v>1.9350000000000001</c:v>
                </c:pt>
                <c:pt idx="17">
                  <c:v>1.9530000000000001</c:v>
                </c:pt>
                <c:pt idx="18">
                  <c:v>1.9350000000000001</c:v>
                </c:pt>
                <c:pt idx="19">
                  <c:v>1.9359999999999999</c:v>
                </c:pt>
                <c:pt idx="20">
                  <c:v>1.9330000000000001</c:v>
                </c:pt>
                <c:pt idx="21">
                  <c:v>1.952</c:v>
                </c:pt>
                <c:pt idx="22">
                  <c:v>1.952</c:v>
                </c:pt>
                <c:pt idx="23">
                  <c:v>1.9570000000000001</c:v>
                </c:pt>
                <c:pt idx="24">
                  <c:v>1.9510000000000001</c:v>
                </c:pt>
                <c:pt idx="25">
                  <c:v>1.9710000000000001</c:v>
                </c:pt>
                <c:pt idx="26">
                  <c:v>1.956</c:v>
                </c:pt>
                <c:pt idx="27">
                  <c:v>1.962</c:v>
                </c:pt>
                <c:pt idx="28">
                  <c:v>1.9610000000000001</c:v>
                </c:pt>
                <c:pt idx="29">
                  <c:v>1.964</c:v>
                </c:pt>
                <c:pt idx="30">
                  <c:v>1.9710000000000001</c:v>
                </c:pt>
                <c:pt idx="31">
                  <c:v>1.95</c:v>
                </c:pt>
                <c:pt idx="32">
                  <c:v>1.9650000000000001</c:v>
                </c:pt>
                <c:pt idx="33">
                  <c:v>1.974</c:v>
                </c:pt>
                <c:pt idx="34">
                  <c:v>1.9650000000000001</c:v>
                </c:pt>
                <c:pt idx="35">
                  <c:v>1.9770000000000001</c:v>
                </c:pt>
                <c:pt idx="36">
                  <c:v>1.964</c:v>
                </c:pt>
                <c:pt idx="37">
                  <c:v>1.9830000000000001</c:v>
                </c:pt>
              </c:numCache>
            </c:numRef>
          </c:xVal>
          <c:yVal>
            <c:numRef>
              <c:f>'KIE search'!$F$4:$F$41</c:f>
              <c:numCache>
                <c:formatCode>General</c:formatCode>
                <c:ptCount val="38"/>
                <c:pt idx="0">
                  <c:v>2.274</c:v>
                </c:pt>
                <c:pt idx="1">
                  <c:v>2.2709999999999999</c:v>
                </c:pt>
                <c:pt idx="2">
                  <c:v>2.2949999999999999</c:v>
                </c:pt>
                <c:pt idx="3">
                  <c:v>2.2919999999999998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2.2959999999999998</c:v>
                </c:pt>
                <c:pt idx="7">
                  <c:v>2.2850000000000001</c:v>
                </c:pt>
                <c:pt idx="8">
                  <c:v>2.286</c:v>
                </c:pt>
                <c:pt idx="9">
                  <c:v>2.2770000000000001</c:v>
                </c:pt>
                <c:pt idx="10">
                  <c:v>2.2879999999999998</c:v>
                </c:pt>
                <c:pt idx="11">
                  <c:v>2.3039999999999998</c:v>
                </c:pt>
                <c:pt idx="12">
                  <c:v>2.3050000000000002</c:v>
                </c:pt>
                <c:pt idx="13">
                  <c:v>2.3050000000000002</c:v>
                </c:pt>
                <c:pt idx="14">
                  <c:v>2.3090000000000002</c:v>
                </c:pt>
                <c:pt idx="15">
                  <c:v>2.306</c:v>
                </c:pt>
                <c:pt idx="16">
                  <c:v>2.298</c:v>
                </c:pt>
                <c:pt idx="17">
                  <c:v>2.319</c:v>
                </c:pt>
                <c:pt idx="18">
                  <c:v>2.2959999999999998</c:v>
                </c:pt>
                <c:pt idx="19">
                  <c:v>2.3130000000000002</c:v>
                </c:pt>
                <c:pt idx="20">
                  <c:v>2.31</c:v>
                </c:pt>
                <c:pt idx="21">
                  <c:v>2.3090000000000002</c:v>
                </c:pt>
                <c:pt idx="22">
                  <c:v>2.4039999999999999</c:v>
                </c:pt>
                <c:pt idx="23">
                  <c:v>2.4079999999999999</c:v>
                </c:pt>
                <c:pt idx="24">
                  <c:v>2.4</c:v>
                </c:pt>
                <c:pt idx="25">
                  <c:v>2.4220000000000002</c:v>
                </c:pt>
                <c:pt idx="26">
                  <c:v>2.403</c:v>
                </c:pt>
                <c:pt idx="27">
                  <c:v>2.4119999999999999</c:v>
                </c:pt>
                <c:pt idx="28">
                  <c:v>2.411</c:v>
                </c:pt>
                <c:pt idx="29">
                  <c:v>2.4129999999999998</c:v>
                </c:pt>
                <c:pt idx="30">
                  <c:v>2.423</c:v>
                </c:pt>
                <c:pt idx="31">
                  <c:v>2.4079999999999999</c:v>
                </c:pt>
                <c:pt idx="32">
                  <c:v>2.419</c:v>
                </c:pt>
                <c:pt idx="33">
                  <c:v>2.4239999999999999</c:v>
                </c:pt>
                <c:pt idx="34">
                  <c:v>2.4169999999999998</c:v>
                </c:pt>
                <c:pt idx="35">
                  <c:v>2.431</c:v>
                </c:pt>
                <c:pt idx="36">
                  <c:v>2.4209999999999998</c:v>
                </c:pt>
                <c:pt idx="37">
                  <c:v>2.4319999999999999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C-0142-A619-B70FD45C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2120"/>
        <c:axId val="561910552"/>
      </c:scatterChart>
      <c:valAx>
        <c:axId val="561912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1910552"/>
        <c:crosses val="autoZero"/>
        <c:crossBetween val="midCat"/>
      </c:valAx>
      <c:valAx>
        <c:axId val="561910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19121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KIE vs. total%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lengths'!$I$1</c:f>
              <c:strCache>
                <c:ptCount val="1"/>
                <c:pt idx="0">
                  <c:v>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'bond lengths'!$H$2:$H$82</c:f>
              <c:numCache>
                <c:formatCode>0.0000</c:formatCode>
                <c:ptCount val="81"/>
                <c:pt idx="0">
                  <c:v>2.4292600055311921</c:v>
                </c:pt>
                <c:pt idx="1">
                  <c:v>2.4793471437539232</c:v>
                </c:pt>
                <c:pt idx="2">
                  <c:v>2.3239132002018601</c:v>
                </c:pt>
                <c:pt idx="3">
                  <c:v>2.3050019091256204</c:v>
                </c:pt>
                <c:pt idx="4">
                  <c:v>2.3051055473735884</c:v>
                </c:pt>
                <c:pt idx="5">
                  <c:v>2.4876721216927402</c:v>
                </c:pt>
                <c:pt idx="6">
                  <c:v>2.316858282959978</c:v>
                </c:pt>
                <c:pt idx="7">
                  <c:v>2.3266792215944756</c:v>
                </c:pt>
                <c:pt idx="8">
                  <c:v>2.3047388446904185</c:v>
                </c:pt>
                <c:pt idx="9">
                  <c:v>2.5008099245387383</c:v>
                </c:pt>
                <c:pt idx="10">
                  <c:v>2.280837718982049</c:v>
                </c:pt>
                <c:pt idx="11">
                  <c:v>2.3236731576937761</c:v>
                </c:pt>
                <c:pt idx="12">
                  <c:v>2.2910793183252682</c:v>
                </c:pt>
                <c:pt idx="13">
                  <c:v>2.6698507677889123</c:v>
                </c:pt>
                <c:pt idx="14">
                  <c:v>2.6698507677889123</c:v>
                </c:pt>
                <c:pt idx="15">
                  <c:v>2.2786535498399907</c:v>
                </c:pt>
                <c:pt idx="16">
                  <c:v>2.3576898932831138</c:v>
                </c:pt>
                <c:pt idx="17">
                  <c:v>2.2924017064452902</c:v>
                </c:pt>
                <c:pt idx="18">
                  <c:v>2.65868594682154</c:v>
                </c:pt>
                <c:pt idx="19">
                  <c:v>2.4623314829500398</c:v>
                </c:pt>
                <c:pt idx="20">
                  <c:v>2.3594501718213059</c:v>
                </c:pt>
                <c:pt idx="21">
                  <c:v>2.4846763447647096</c:v>
                </c:pt>
                <c:pt idx="22">
                  <c:v>2.431007137192704</c:v>
                </c:pt>
                <c:pt idx="23">
                  <c:v>2.4871399786654025</c:v>
                </c:pt>
                <c:pt idx="24">
                  <c:v>2.3888261142498433</c:v>
                </c:pt>
                <c:pt idx="25">
                  <c:v>2.5242707252392482</c:v>
                </c:pt>
                <c:pt idx="26">
                  <c:v>2.4131405317845998</c:v>
                </c:pt>
                <c:pt idx="27">
                  <c:v>2.2657860657860658</c:v>
                </c:pt>
                <c:pt idx="28">
                  <c:v>2.2518518518518515</c:v>
                </c:pt>
                <c:pt idx="29">
                  <c:v>2.2551776266061978</c:v>
                </c:pt>
                <c:pt idx="30">
                  <c:v>2.3805231805231806</c:v>
                </c:pt>
                <c:pt idx="31">
                  <c:v>2.3305457429168772</c:v>
                </c:pt>
                <c:pt idx="32">
                  <c:v>2.2959908361970216</c:v>
                </c:pt>
                <c:pt idx="33">
                  <c:v>2.3648923486920541</c:v>
                </c:pt>
                <c:pt idx="34">
                  <c:v>2.5752649412443227</c:v>
                </c:pt>
                <c:pt idx="35">
                  <c:v>2.3520998775236066</c:v>
                </c:pt>
                <c:pt idx="36">
                  <c:v>2.3083490269930946</c:v>
                </c:pt>
                <c:pt idx="37">
                  <c:v>2.3454398708635997</c:v>
                </c:pt>
                <c:pt idx="38">
                  <c:v>2.5567539804827941</c:v>
                </c:pt>
                <c:pt idx="39">
                  <c:v>2.2065268065268064</c:v>
                </c:pt>
                <c:pt idx="40">
                  <c:v>2.1925925925925922</c:v>
                </c:pt>
                <c:pt idx="41">
                  <c:v>2.2225245653817081</c:v>
                </c:pt>
                <c:pt idx="42">
                  <c:v>2.5458689458689459</c:v>
                </c:pt>
                <c:pt idx="43">
                  <c:v>2.4380361906135102</c:v>
                </c:pt>
                <c:pt idx="44">
                  <c:v>2.3513936617029398</c:v>
                </c:pt>
                <c:pt idx="45">
                  <c:v>2.440143067536293</c:v>
                </c:pt>
                <c:pt idx="46">
                  <c:v>2.8218585538173171</c:v>
                </c:pt>
                <c:pt idx="47">
                  <c:v>2.4645411086089055</c:v>
                </c:pt>
                <c:pt idx="48">
                  <c:v>2.3662272441933458</c:v>
                </c:pt>
                <c:pt idx="49">
                  <c:v>2.4824166954917559</c:v>
                </c:pt>
                <c:pt idx="50">
                  <c:v>2.4967800561020903</c:v>
                </c:pt>
                <c:pt idx="51">
                  <c:v>2.2221704221704224</c:v>
                </c:pt>
                <c:pt idx="52">
                  <c:v>2.2074074074074073</c:v>
                </c:pt>
                <c:pt idx="53">
                  <c:v>2.2181405895691606</c:v>
                </c:pt>
                <c:pt idx="54">
                  <c:v>2.7137011137011138</c:v>
                </c:pt>
                <c:pt idx="55">
                  <c:v>2.2889481652368251</c:v>
                </c:pt>
                <c:pt idx="56">
                  <c:v>2.2731195112638409</c:v>
                </c:pt>
                <c:pt idx="57">
                  <c:v>2.3187109895504596</c:v>
                </c:pt>
                <c:pt idx="58">
                  <c:v>2.6889914209501837</c:v>
                </c:pt>
                <c:pt idx="59">
                  <c:v>2.28054995851606</c:v>
                </c:pt>
                <c:pt idx="60">
                  <c:v>2.3432517263025736</c:v>
                </c:pt>
                <c:pt idx="61">
                  <c:v>2.309235558630232</c:v>
                </c:pt>
                <c:pt idx="62">
                  <c:v>2.6280273398917466</c:v>
                </c:pt>
                <c:pt idx="63">
                  <c:v>2.1579901579901577</c:v>
                </c:pt>
                <c:pt idx="64">
                  <c:v>2.162962962962963</c:v>
                </c:pt>
                <c:pt idx="65">
                  <c:v>2.1817082388510958</c:v>
                </c:pt>
                <c:pt idx="66">
                  <c:v>2.6993006993006992</c:v>
                </c:pt>
                <c:pt idx="67">
                  <c:v>2.7959595959595962</c:v>
                </c:pt>
                <c:pt idx="68">
                  <c:v>2.7300699300699303</c:v>
                </c:pt>
                <c:pt idx="69">
                  <c:v>2.3439005439005438</c:v>
                </c:pt>
                <c:pt idx="70">
                  <c:v>2.9407407407407407</c:v>
                </c:pt>
                <c:pt idx="71">
                  <c:v>2.328949357520786</c:v>
                </c:pt>
                <c:pt idx="72">
                  <c:v>3.7693121693121689</c:v>
                </c:pt>
                <c:pt idx="73">
                  <c:v>3.1546749546749551</c:v>
                </c:pt>
                <c:pt idx="74">
                  <c:v>2.5745143745143744</c:v>
                </c:pt>
                <c:pt idx="75">
                  <c:v>3.1739963739963741</c:v>
                </c:pt>
                <c:pt idx="76">
                  <c:v>2.895104895104895</c:v>
                </c:pt>
                <c:pt idx="77">
                  <c:v>2.5053613053613053</c:v>
                </c:pt>
                <c:pt idx="78">
                  <c:v>2.9407407407407407</c:v>
                </c:pt>
                <c:pt idx="79">
                  <c:v>2.677702191987906</c:v>
                </c:pt>
                <c:pt idx="80">
                  <c:v>2.5591836734693878</c:v>
                </c:pt>
              </c:numCache>
            </c:numRef>
          </c:xVal>
          <c:yVal>
            <c:numRef>
              <c:f>'bond lengths'!$I$2:$I$82</c:f>
              <c:numCache>
                <c:formatCode>General</c:formatCode>
                <c:ptCount val="81"/>
                <c:pt idx="0">
                  <c:v>1.0339</c:v>
                </c:pt>
                <c:pt idx="1">
                  <c:v>1.0294000000000001</c:v>
                </c:pt>
                <c:pt idx="2">
                  <c:v>1.0608</c:v>
                </c:pt>
                <c:pt idx="3">
                  <c:v>1.0601</c:v>
                </c:pt>
                <c:pt idx="4">
                  <c:v>1.0603</c:v>
                </c:pt>
                <c:pt idx="5">
                  <c:v>1.0465</c:v>
                </c:pt>
                <c:pt idx="6">
                  <c:v>1.0509999999999999</c:v>
                </c:pt>
                <c:pt idx="7">
                  <c:v>1.0442</c:v>
                </c:pt>
                <c:pt idx="8">
                  <c:v>1.0508</c:v>
                </c:pt>
                <c:pt idx="9">
                  <c:v>1.0346</c:v>
                </c:pt>
                <c:pt idx="10">
                  <c:v>1.0591999999999999</c:v>
                </c:pt>
                <c:pt idx="11">
                  <c:v>1.0573999999999999</c:v>
                </c:pt>
                <c:pt idx="12">
                  <c:v>1.0565</c:v>
                </c:pt>
                <c:pt idx="13">
                  <c:v>1.0268999999999999</c:v>
                </c:pt>
                <c:pt idx="14">
                  <c:v>1.0490999999999999</c:v>
                </c:pt>
                <c:pt idx="15">
                  <c:v>1.0408999999999999</c:v>
                </c:pt>
                <c:pt idx="16">
                  <c:v>1.0472999999999999</c:v>
                </c:pt>
                <c:pt idx="17">
                  <c:v>1.0232000000000001</c:v>
                </c:pt>
                <c:pt idx="18">
                  <c:v>1.0530999999999999</c:v>
                </c:pt>
                <c:pt idx="19">
                  <c:v>1.0544</c:v>
                </c:pt>
                <c:pt idx="20">
                  <c:v>1.0548999999999999</c:v>
                </c:pt>
                <c:pt idx="21">
                  <c:v>1.0482</c:v>
                </c:pt>
                <c:pt idx="22">
                  <c:v>1.0509999999999999</c:v>
                </c:pt>
                <c:pt idx="23">
                  <c:v>1.0482</c:v>
                </c:pt>
                <c:pt idx="24">
                  <c:v>1.0517000000000001</c:v>
                </c:pt>
                <c:pt idx="25">
                  <c:v>1.0438000000000001</c:v>
                </c:pt>
                <c:pt idx="26">
                  <c:v>1.0548999999999999</c:v>
                </c:pt>
                <c:pt idx="27">
                  <c:v>1.0443</c:v>
                </c:pt>
                <c:pt idx="28">
                  <c:v>1.0551999999999999</c:v>
                </c:pt>
                <c:pt idx="29">
                  <c:v>1.0441</c:v>
                </c:pt>
                <c:pt idx="30">
                  <c:v>1.0523</c:v>
                </c:pt>
                <c:pt idx="31">
                  <c:v>1.0533999999999999</c:v>
                </c:pt>
                <c:pt idx="32">
                  <c:v>1.0498000000000001</c:v>
                </c:pt>
                <c:pt idx="33">
                  <c:v>1.0267999999999999</c:v>
                </c:pt>
                <c:pt idx="34">
                  <c:v>1.0475000000000001</c:v>
                </c:pt>
                <c:pt idx="35">
                  <c:v>1.0437000000000001</c:v>
                </c:pt>
                <c:pt idx="36">
                  <c:v>1.0533999999999999</c:v>
                </c:pt>
                <c:pt idx="37">
                  <c:v>1.0296000000000001</c:v>
                </c:pt>
                <c:pt idx="38">
                  <c:v>1.0475000000000001</c:v>
                </c:pt>
                <c:pt idx="39">
                  <c:v>1.0301</c:v>
                </c:pt>
                <c:pt idx="40">
                  <c:v>1.052</c:v>
                </c:pt>
                <c:pt idx="41">
                  <c:v>1.0295000000000001</c:v>
                </c:pt>
                <c:pt idx="42">
                  <c:v>1.0488</c:v>
                </c:pt>
                <c:pt idx="43">
                  <c:v>1.0533999999999999</c:v>
                </c:pt>
                <c:pt idx="44">
                  <c:v>1.048</c:v>
                </c:pt>
                <c:pt idx="45">
                  <c:v>1.0075000000000001</c:v>
                </c:pt>
                <c:pt idx="46">
                  <c:v>1.0464</c:v>
                </c:pt>
                <c:pt idx="47">
                  <c:v>1.0446</c:v>
                </c:pt>
                <c:pt idx="48">
                  <c:v>1.0486</c:v>
                </c:pt>
                <c:pt idx="49">
                  <c:v>1.0354000000000001</c:v>
                </c:pt>
                <c:pt idx="50">
                  <c:v>1.0492999999999999</c:v>
                </c:pt>
                <c:pt idx="51">
                  <c:v>1.0347</c:v>
                </c:pt>
                <c:pt idx="52">
                  <c:v>1.0511999999999999</c:v>
                </c:pt>
                <c:pt idx="53">
                  <c:v>1.0094000000000001</c:v>
                </c:pt>
                <c:pt idx="54">
                  <c:v>1.0579000000000001</c:v>
                </c:pt>
                <c:pt idx="55">
                  <c:v>1.0553999999999999</c:v>
                </c:pt>
                <c:pt idx="56">
                  <c:v>1.0536000000000001</c:v>
                </c:pt>
                <c:pt idx="57">
                  <c:v>1.0216000000000001</c:v>
                </c:pt>
                <c:pt idx="58">
                  <c:v>1.0541</c:v>
                </c:pt>
                <c:pt idx="59">
                  <c:v>1.0449999999999999</c:v>
                </c:pt>
                <c:pt idx="60">
                  <c:v>1.0561</c:v>
                </c:pt>
                <c:pt idx="61">
                  <c:v>1.0265</c:v>
                </c:pt>
                <c:pt idx="62">
                  <c:v>1.0402</c:v>
                </c:pt>
                <c:pt idx="63">
                  <c:v>1.0345</c:v>
                </c:pt>
                <c:pt idx="64">
                  <c:v>1.0524</c:v>
                </c:pt>
                <c:pt idx="65">
                  <c:v>1.0185</c:v>
                </c:pt>
                <c:pt idx="66">
                  <c:v>1.0048999999999999</c:v>
                </c:pt>
                <c:pt idx="67">
                  <c:v>1.0022</c:v>
                </c:pt>
                <c:pt idx="68">
                  <c:v>1.0362</c:v>
                </c:pt>
                <c:pt idx="69">
                  <c:v>1.0025999999999999</c:v>
                </c:pt>
                <c:pt idx="70">
                  <c:v>1.0421</c:v>
                </c:pt>
                <c:pt idx="71">
                  <c:v>1.0022</c:v>
                </c:pt>
                <c:pt idx="72">
                  <c:v>1.0046999999999999</c:v>
                </c:pt>
                <c:pt idx="73">
                  <c:v>1.0201</c:v>
                </c:pt>
                <c:pt idx="74">
                  <c:v>1.0017</c:v>
                </c:pt>
                <c:pt idx="75">
                  <c:v>1.0025999999999999</c:v>
                </c:pt>
                <c:pt idx="76">
                  <c:v>1.0222</c:v>
                </c:pt>
                <c:pt idx="77">
                  <c:v>1.0025999999999999</c:v>
                </c:pt>
                <c:pt idx="78">
                  <c:v>1.0101</c:v>
                </c:pt>
                <c:pt idx="79">
                  <c:v>1.0130999999999999</c:v>
                </c:pt>
                <c:pt idx="80">
                  <c:v>1.0172000000000001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E-8C46-A1F8-46361109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1728"/>
        <c:axId val="561912512"/>
      </c:scatterChart>
      <c:valAx>
        <c:axId val="561911728"/>
        <c:scaling>
          <c:orientation val="minMax"/>
          <c:max val="3"/>
          <c:min val="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total%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1912512"/>
        <c:crosses val="autoZero"/>
        <c:crossBetween val="midCat"/>
      </c:valAx>
      <c:valAx>
        <c:axId val="56191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19117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KIE vs. Nu elongation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lengths'!$I$1</c:f>
              <c:strCache>
                <c:ptCount val="1"/>
                <c:pt idx="0">
                  <c:v>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'bond lengths'!$F$2:$F$82</c:f>
              <c:numCache>
                <c:formatCode>0.0000</c:formatCode>
                <c:ptCount val="81"/>
                <c:pt idx="0">
                  <c:v>1.4405594405594406</c:v>
                </c:pt>
                <c:pt idx="1">
                  <c:v>1.4962962962962962</c:v>
                </c:pt>
                <c:pt idx="2">
                  <c:v>1.2517482517482519</c:v>
                </c:pt>
                <c:pt idx="3">
                  <c:v>1.2740740740740739</c:v>
                </c:pt>
                <c:pt idx="4">
                  <c:v>1.2380952380952381</c:v>
                </c:pt>
                <c:pt idx="5">
                  <c:v>1.4825174825174827</c:v>
                </c:pt>
                <c:pt idx="6">
                  <c:v>1.2377622377622379</c:v>
                </c:pt>
                <c:pt idx="7">
                  <c:v>1.2814814814814814</c:v>
                </c:pt>
                <c:pt idx="8">
                  <c:v>1.2312925170068028</c:v>
                </c:pt>
                <c:pt idx="9">
                  <c:v>1.4895104895104896</c:v>
                </c:pt>
                <c:pt idx="10">
                  <c:v>1.2447552447552448</c:v>
                </c:pt>
                <c:pt idx="11">
                  <c:v>1.3185185185185184</c:v>
                </c:pt>
                <c:pt idx="12">
                  <c:v>1.2653061224489797</c:v>
                </c:pt>
                <c:pt idx="13">
                  <c:v>1.6853146853146854</c:v>
                </c:pt>
                <c:pt idx="14">
                  <c:v>1.2447552447552448</c:v>
                </c:pt>
                <c:pt idx="15">
                  <c:v>1.3407407407407408</c:v>
                </c:pt>
                <c:pt idx="16">
                  <c:v>1.2585034013605443</c:v>
                </c:pt>
                <c:pt idx="17">
                  <c:v>1.6643356643356644</c:v>
                </c:pt>
                <c:pt idx="18">
                  <c:v>1.3076923076923079</c:v>
                </c:pt>
                <c:pt idx="19">
                  <c:v>1.2666666666666666</c:v>
                </c:pt>
                <c:pt idx="20">
                  <c:v>1.3197278911564625</c:v>
                </c:pt>
                <c:pt idx="21">
                  <c:v>1.3846153846153846</c:v>
                </c:pt>
                <c:pt idx="22">
                  <c:v>1.3006993006993008</c:v>
                </c:pt>
                <c:pt idx="23">
                  <c:v>1.2814814814814814</c:v>
                </c:pt>
                <c:pt idx="24">
                  <c:v>1.3265306122448979</c:v>
                </c:pt>
                <c:pt idx="25">
                  <c:v>1.3566433566433567</c:v>
                </c:pt>
                <c:pt idx="26">
                  <c:v>1.1398601398601398</c:v>
                </c:pt>
                <c:pt idx="27">
                  <c:v>1.1259259259259258</c:v>
                </c:pt>
                <c:pt idx="28">
                  <c:v>1.129251700680272</c:v>
                </c:pt>
                <c:pt idx="29">
                  <c:v>1.3286713286713288</c:v>
                </c:pt>
                <c:pt idx="30">
                  <c:v>1.2377622377622379</c:v>
                </c:pt>
                <c:pt idx="31">
                  <c:v>1.2444444444444442</c:v>
                </c:pt>
                <c:pt idx="32">
                  <c:v>1.272108843537415</c:v>
                </c:pt>
                <c:pt idx="33">
                  <c:v>1.5804195804195804</c:v>
                </c:pt>
                <c:pt idx="34">
                  <c:v>1.2447552447552448</c:v>
                </c:pt>
                <c:pt idx="35">
                  <c:v>1.2518518518518518</c:v>
                </c:pt>
                <c:pt idx="36">
                  <c:v>1.2380952380952381</c:v>
                </c:pt>
                <c:pt idx="37">
                  <c:v>1.5454545454545454</c:v>
                </c:pt>
                <c:pt idx="38">
                  <c:v>1.1398601398601398</c:v>
                </c:pt>
                <c:pt idx="39">
                  <c:v>1.0962962962962961</c:v>
                </c:pt>
                <c:pt idx="40">
                  <c:v>1.1632653061224489</c:v>
                </c:pt>
                <c:pt idx="41">
                  <c:v>1.5384615384615385</c:v>
                </c:pt>
                <c:pt idx="42">
                  <c:v>1.2937062937062938</c:v>
                </c:pt>
                <c:pt idx="43">
                  <c:v>1.2740740740740739</c:v>
                </c:pt>
                <c:pt idx="44">
                  <c:v>1.3061224489795917</c:v>
                </c:pt>
                <c:pt idx="45">
                  <c:v>1.8321678321678323</c:v>
                </c:pt>
                <c:pt idx="46">
                  <c:v>1.3006993006993008</c:v>
                </c:pt>
                <c:pt idx="47">
                  <c:v>1.2814814814814814</c:v>
                </c:pt>
                <c:pt idx="48">
                  <c:v>1.3129251700680271</c:v>
                </c:pt>
                <c:pt idx="49">
                  <c:v>1.4685314685314688</c:v>
                </c:pt>
                <c:pt idx="50">
                  <c:v>1.1258741258741261</c:v>
                </c:pt>
                <c:pt idx="51">
                  <c:v>1.1037037037037036</c:v>
                </c:pt>
                <c:pt idx="52">
                  <c:v>1.129251700680272</c:v>
                </c:pt>
                <c:pt idx="53">
                  <c:v>1.7062937062937062</c:v>
                </c:pt>
                <c:pt idx="54">
                  <c:v>1.2167832167832169</c:v>
                </c:pt>
                <c:pt idx="55">
                  <c:v>1.2370370370370369</c:v>
                </c:pt>
                <c:pt idx="56">
                  <c:v>1.2517006802721089</c:v>
                </c:pt>
                <c:pt idx="57">
                  <c:v>1.6993006993006994</c:v>
                </c:pt>
                <c:pt idx="58">
                  <c:v>1.1958041958041958</c:v>
                </c:pt>
                <c:pt idx="59">
                  <c:v>1.3037037037037036</c:v>
                </c:pt>
                <c:pt idx="60">
                  <c:v>1.2244897959183674</c:v>
                </c:pt>
                <c:pt idx="61">
                  <c:v>1.6223776223776223</c:v>
                </c:pt>
                <c:pt idx="62">
                  <c:v>1.083916083916084</c:v>
                </c:pt>
                <c:pt idx="63">
                  <c:v>1.0814814814814815</c:v>
                </c:pt>
                <c:pt idx="64">
                  <c:v>1.1224489795918366</c:v>
                </c:pt>
                <c:pt idx="65">
                  <c:v>1.6993006993006994</c:v>
                </c:pt>
                <c:pt idx="66">
                  <c:v>1.8181818181818183</c:v>
                </c:pt>
                <c:pt idx="67">
                  <c:v>0.93006993006993011</c:v>
                </c:pt>
                <c:pt idx="68">
                  <c:v>1.3216783216783217</c:v>
                </c:pt>
                <c:pt idx="69">
                  <c:v>1</c:v>
                </c:pt>
                <c:pt idx="70">
                  <c:v>1.2993197278911564</c:v>
                </c:pt>
                <c:pt idx="71">
                  <c:v>2.7619047619047619</c:v>
                </c:pt>
                <c:pt idx="72">
                  <c:v>2.13986013986014</c:v>
                </c:pt>
                <c:pt idx="73">
                  <c:v>0.93006993006993011</c:v>
                </c:pt>
                <c:pt idx="74">
                  <c:v>2.1888111888111887</c:v>
                </c:pt>
                <c:pt idx="75">
                  <c:v>1.8951048951048952</c:v>
                </c:pt>
                <c:pt idx="76">
                  <c:v>0.97202797202797198</c:v>
                </c:pt>
                <c:pt idx="77">
                  <c:v>1.9407407407407407</c:v>
                </c:pt>
                <c:pt idx="78">
                  <c:v>0.95918367346938771</c:v>
                </c:pt>
                <c:pt idx="79">
                  <c:v>0.95918367346938771</c:v>
                </c:pt>
                <c:pt idx="80">
                  <c:v>0.95104895104895115</c:v>
                </c:pt>
              </c:numCache>
            </c:numRef>
          </c:xVal>
          <c:yVal>
            <c:numRef>
              <c:f>'bond lengths'!$I$2:$I$82</c:f>
              <c:numCache>
                <c:formatCode>General</c:formatCode>
                <c:ptCount val="81"/>
                <c:pt idx="0">
                  <c:v>1.0339</c:v>
                </c:pt>
                <c:pt idx="1">
                  <c:v>1.0294000000000001</c:v>
                </c:pt>
                <c:pt idx="2">
                  <c:v>1.0608</c:v>
                </c:pt>
                <c:pt idx="3">
                  <c:v>1.0601</c:v>
                </c:pt>
                <c:pt idx="4">
                  <c:v>1.0603</c:v>
                </c:pt>
                <c:pt idx="5">
                  <c:v>1.0465</c:v>
                </c:pt>
                <c:pt idx="6">
                  <c:v>1.0509999999999999</c:v>
                </c:pt>
                <c:pt idx="7">
                  <c:v>1.0442</c:v>
                </c:pt>
                <c:pt idx="8">
                  <c:v>1.0508</c:v>
                </c:pt>
                <c:pt idx="9">
                  <c:v>1.0346</c:v>
                </c:pt>
                <c:pt idx="10">
                  <c:v>1.0591999999999999</c:v>
                </c:pt>
                <c:pt idx="11">
                  <c:v>1.0573999999999999</c:v>
                </c:pt>
                <c:pt idx="12">
                  <c:v>1.0565</c:v>
                </c:pt>
                <c:pt idx="13">
                  <c:v>1.0268999999999999</c:v>
                </c:pt>
                <c:pt idx="14">
                  <c:v>1.0490999999999999</c:v>
                </c:pt>
                <c:pt idx="15">
                  <c:v>1.0408999999999999</c:v>
                </c:pt>
                <c:pt idx="16">
                  <c:v>1.0472999999999999</c:v>
                </c:pt>
                <c:pt idx="17">
                  <c:v>1.0232000000000001</c:v>
                </c:pt>
                <c:pt idx="18">
                  <c:v>1.0530999999999999</c:v>
                </c:pt>
                <c:pt idx="19">
                  <c:v>1.0544</c:v>
                </c:pt>
                <c:pt idx="20">
                  <c:v>1.0548999999999999</c:v>
                </c:pt>
                <c:pt idx="21">
                  <c:v>1.0482</c:v>
                </c:pt>
                <c:pt idx="22">
                  <c:v>1.0509999999999999</c:v>
                </c:pt>
                <c:pt idx="23">
                  <c:v>1.0482</c:v>
                </c:pt>
                <c:pt idx="24">
                  <c:v>1.0517000000000001</c:v>
                </c:pt>
                <c:pt idx="25">
                  <c:v>1.0438000000000001</c:v>
                </c:pt>
                <c:pt idx="26">
                  <c:v>1.0548999999999999</c:v>
                </c:pt>
                <c:pt idx="27">
                  <c:v>1.0443</c:v>
                </c:pt>
                <c:pt idx="28">
                  <c:v>1.0551999999999999</c:v>
                </c:pt>
                <c:pt idx="29">
                  <c:v>1.0441</c:v>
                </c:pt>
                <c:pt idx="30">
                  <c:v>1.0523</c:v>
                </c:pt>
                <c:pt idx="31">
                  <c:v>1.0533999999999999</c:v>
                </c:pt>
                <c:pt idx="32">
                  <c:v>1.0498000000000001</c:v>
                </c:pt>
                <c:pt idx="33">
                  <c:v>1.0267999999999999</c:v>
                </c:pt>
                <c:pt idx="34">
                  <c:v>1.0475000000000001</c:v>
                </c:pt>
                <c:pt idx="35">
                  <c:v>1.0437000000000001</c:v>
                </c:pt>
                <c:pt idx="36">
                  <c:v>1.0533999999999999</c:v>
                </c:pt>
                <c:pt idx="37">
                  <c:v>1.0296000000000001</c:v>
                </c:pt>
                <c:pt idx="38">
                  <c:v>1.0475000000000001</c:v>
                </c:pt>
                <c:pt idx="39">
                  <c:v>1.0301</c:v>
                </c:pt>
                <c:pt idx="40">
                  <c:v>1.052</c:v>
                </c:pt>
                <c:pt idx="41">
                  <c:v>1.0295000000000001</c:v>
                </c:pt>
                <c:pt idx="42">
                  <c:v>1.0488</c:v>
                </c:pt>
                <c:pt idx="43">
                  <c:v>1.0533999999999999</c:v>
                </c:pt>
                <c:pt idx="44">
                  <c:v>1.048</c:v>
                </c:pt>
                <c:pt idx="45">
                  <c:v>1.0075000000000001</c:v>
                </c:pt>
                <c:pt idx="46">
                  <c:v>1.0464</c:v>
                </c:pt>
                <c:pt idx="47">
                  <c:v>1.0446</c:v>
                </c:pt>
                <c:pt idx="48">
                  <c:v>1.0486</c:v>
                </c:pt>
                <c:pt idx="49">
                  <c:v>1.0354000000000001</c:v>
                </c:pt>
                <c:pt idx="50">
                  <c:v>1.0492999999999999</c:v>
                </c:pt>
                <c:pt idx="51">
                  <c:v>1.0347</c:v>
                </c:pt>
                <c:pt idx="52">
                  <c:v>1.0511999999999999</c:v>
                </c:pt>
                <c:pt idx="53">
                  <c:v>1.0094000000000001</c:v>
                </c:pt>
                <c:pt idx="54">
                  <c:v>1.0579000000000001</c:v>
                </c:pt>
                <c:pt idx="55">
                  <c:v>1.0553999999999999</c:v>
                </c:pt>
                <c:pt idx="56">
                  <c:v>1.0536000000000001</c:v>
                </c:pt>
                <c:pt idx="57">
                  <c:v>1.0216000000000001</c:v>
                </c:pt>
                <c:pt idx="58">
                  <c:v>1.0541</c:v>
                </c:pt>
                <c:pt idx="59">
                  <c:v>1.0449999999999999</c:v>
                </c:pt>
                <c:pt idx="60">
                  <c:v>1.0561</c:v>
                </c:pt>
                <c:pt idx="61">
                  <c:v>1.0265</c:v>
                </c:pt>
                <c:pt idx="62">
                  <c:v>1.0402</c:v>
                </c:pt>
                <c:pt idx="63">
                  <c:v>1.0345</c:v>
                </c:pt>
                <c:pt idx="64">
                  <c:v>1.0524</c:v>
                </c:pt>
                <c:pt idx="65">
                  <c:v>1.0185</c:v>
                </c:pt>
                <c:pt idx="66">
                  <c:v>1.0048999999999999</c:v>
                </c:pt>
                <c:pt idx="67">
                  <c:v>1.0022</c:v>
                </c:pt>
                <c:pt idx="68">
                  <c:v>1.0362</c:v>
                </c:pt>
                <c:pt idx="69">
                  <c:v>1.0025999999999999</c:v>
                </c:pt>
                <c:pt idx="70">
                  <c:v>1.0421</c:v>
                </c:pt>
                <c:pt idx="71">
                  <c:v>1.0022</c:v>
                </c:pt>
                <c:pt idx="72">
                  <c:v>1.0046999999999999</c:v>
                </c:pt>
                <c:pt idx="73">
                  <c:v>1.0201</c:v>
                </c:pt>
                <c:pt idx="74">
                  <c:v>1.0017</c:v>
                </c:pt>
                <c:pt idx="75">
                  <c:v>1.0025999999999999</c:v>
                </c:pt>
                <c:pt idx="76">
                  <c:v>1.0222</c:v>
                </c:pt>
                <c:pt idx="77">
                  <c:v>1.0025999999999999</c:v>
                </c:pt>
                <c:pt idx="78">
                  <c:v>1.0101</c:v>
                </c:pt>
                <c:pt idx="79">
                  <c:v>1.0130999999999999</c:v>
                </c:pt>
                <c:pt idx="80">
                  <c:v>1.0172000000000001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4-EB49-B1F2-D0337F7B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808"/>
        <c:axId val="561912904"/>
      </c:scatterChart>
      <c:valAx>
        <c:axId val="561907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 Elongation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1912904"/>
        <c:crosses val="autoZero"/>
        <c:crossBetween val="midCat"/>
      </c:valAx>
      <c:valAx>
        <c:axId val="561912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19078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KIE vs. LG Elongation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lengths'!$I$1</c:f>
              <c:strCache>
                <c:ptCount val="1"/>
                <c:pt idx="0">
                  <c:v>KIE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'bond lengths'!$G$2:$G$82</c:f>
              <c:numCache>
                <c:formatCode>0.0000</c:formatCode>
                <c:ptCount val="81"/>
                <c:pt idx="0">
                  <c:v>0.98870056497175141</c:v>
                </c:pt>
                <c:pt idx="1">
                  <c:v>0.98305084745762705</c:v>
                </c:pt>
                <c:pt idx="2">
                  <c:v>1.0721649484536082</c:v>
                </c:pt>
                <c:pt idx="3">
                  <c:v>1.0309278350515465</c:v>
                </c:pt>
                <c:pt idx="4">
                  <c:v>1.0670103092783505</c:v>
                </c:pt>
                <c:pt idx="5">
                  <c:v>1.0051546391752577</c:v>
                </c:pt>
                <c:pt idx="6">
                  <c:v>1.0790960451977401</c:v>
                </c:pt>
                <c:pt idx="7">
                  <c:v>1.0451977401129944</c:v>
                </c:pt>
                <c:pt idx="8">
                  <c:v>1.0734463276836157</c:v>
                </c:pt>
                <c:pt idx="9">
                  <c:v>1.0112994350282487</c:v>
                </c:pt>
                <c:pt idx="10">
                  <c:v>1.036082474226804</c:v>
                </c:pt>
                <c:pt idx="11">
                  <c:v>1.0051546391752577</c:v>
                </c:pt>
                <c:pt idx="12">
                  <c:v>1.0257731958762888</c:v>
                </c:pt>
                <c:pt idx="13">
                  <c:v>0.98453608247422675</c:v>
                </c:pt>
                <c:pt idx="14">
                  <c:v>1.0338983050847459</c:v>
                </c:pt>
                <c:pt idx="15">
                  <c:v>1.0169491525423728</c:v>
                </c:pt>
                <c:pt idx="16">
                  <c:v>1.0338983050847459</c:v>
                </c:pt>
                <c:pt idx="17">
                  <c:v>0.99435028248587565</c:v>
                </c:pt>
                <c:pt idx="18">
                  <c:v>1.1546391752577321</c:v>
                </c:pt>
                <c:pt idx="19">
                  <c:v>1.0927835051546393</c:v>
                </c:pt>
                <c:pt idx="20">
                  <c:v>1.1649484536082473</c:v>
                </c:pt>
                <c:pt idx="21">
                  <c:v>1.0463917525773194</c:v>
                </c:pt>
                <c:pt idx="22">
                  <c:v>1.1864406779661016</c:v>
                </c:pt>
                <c:pt idx="23">
                  <c:v>1.1073446327683616</c:v>
                </c:pt>
                <c:pt idx="24">
                  <c:v>1.1977401129943503</c:v>
                </c:pt>
                <c:pt idx="25">
                  <c:v>1.0564971751412431</c:v>
                </c:pt>
                <c:pt idx="26">
                  <c:v>1.1259259259259258</c:v>
                </c:pt>
                <c:pt idx="27">
                  <c:v>1.1259259259259258</c:v>
                </c:pt>
                <c:pt idx="28">
                  <c:v>1.1259259259259258</c:v>
                </c:pt>
                <c:pt idx="29">
                  <c:v>1.0518518518518518</c:v>
                </c:pt>
                <c:pt idx="30">
                  <c:v>1.0927835051546393</c:v>
                </c:pt>
                <c:pt idx="31">
                  <c:v>1.0515463917525774</c:v>
                </c:pt>
                <c:pt idx="32">
                  <c:v>1.0927835051546393</c:v>
                </c:pt>
                <c:pt idx="33">
                  <c:v>0.99484536082474229</c:v>
                </c:pt>
                <c:pt idx="34">
                  <c:v>1.1073446327683616</c:v>
                </c:pt>
                <c:pt idx="35">
                  <c:v>1.0564971751412431</c:v>
                </c:pt>
                <c:pt idx="36">
                  <c:v>1.1073446327683616</c:v>
                </c:pt>
                <c:pt idx="37">
                  <c:v>1.0112994350282487</c:v>
                </c:pt>
                <c:pt idx="38">
                  <c:v>1.0666666666666667</c:v>
                </c:pt>
                <c:pt idx="39">
                  <c:v>1.0962962962962961</c:v>
                </c:pt>
                <c:pt idx="40">
                  <c:v>1.0592592592592591</c:v>
                </c:pt>
                <c:pt idx="41">
                  <c:v>1.0074074074074073</c:v>
                </c:pt>
                <c:pt idx="42">
                  <c:v>1.1443298969072166</c:v>
                </c:pt>
                <c:pt idx="43">
                  <c:v>1.0773195876288659</c:v>
                </c:pt>
                <c:pt idx="44">
                  <c:v>1.1340206185567012</c:v>
                </c:pt>
                <c:pt idx="45">
                  <c:v>0.98969072164948457</c:v>
                </c:pt>
                <c:pt idx="46">
                  <c:v>1.1638418079096045</c:v>
                </c:pt>
                <c:pt idx="47">
                  <c:v>1.0847457627118644</c:v>
                </c:pt>
                <c:pt idx="48">
                  <c:v>1.1694915254237288</c:v>
                </c:pt>
                <c:pt idx="49">
                  <c:v>1.0282485875706215</c:v>
                </c:pt>
                <c:pt idx="50">
                  <c:v>1.0962962962962961</c:v>
                </c:pt>
                <c:pt idx="51">
                  <c:v>1.1037037037037036</c:v>
                </c:pt>
                <c:pt idx="52">
                  <c:v>1.0888888888888888</c:v>
                </c:pt>
                <c:pt idx="53">
                  <c:v>1.0074074074074073</c:v>
                </c:pt>
                <c:pt idx="54">
                  <c:v>1.0721649484536082</c:v>
                </c:pt>
                <c:pt idx="55">
                  <c:v>1.036082474226804</c:v>
                </c:pt>
                <c:pt idx="56">
                  <c:v>1.0670103092783505</c:v>
                </c:pt>
                <c:pt idx="57">
                  <c:v>0.98969072164948457</c:v>
                </c:pt>
                <c:pt idx="58">
                  <c:v>1.0847457627118644</c:v>
                </c:pt>
                <c:pt idx="59">
                  <c:v>1.03954802259887</c:v>
                </c:pt>
                <c:pt idx="60">
                  <c:v>1.0847457627118644</c:v>
                </c:pt>
                <c:pt idx="61">
                  <c:v>1.0056497175141244</c:v>
                </c:pt>
                <c:pt idx="62">
                  <c:v>1.074074074074074</c:v>
                </c:pt>
                <c:pt idx="63">
                  <c:v>1.0814814814814815</c:v>
                </c:pt>
                <c:pt idx="64">
                  <c:v>1.0592592592592591</c:v>
                </c:pt>
                <c:pt idx="65">
                  <c:v>1</c:v>
                </c:pt>
                <c:pt idx="66">
                  <c:v>0.97777777777777775</c:v>
                </c:pt>
                <c:pt idx="67">
                  <c:v>1.8</c:v>
                </c:pt>
                <c:pt idx="68">
                  <c:v>1.0222222222222221</c:v>
                </c:pt>
                <c:pt idx="69">
                  <c:v>1.9407407407407407</c:v>
                </c:pt>
                <c:pt idx="70">
                  <c:v>1.0296296296296295</c:v>
                </c:pt>
                <c:pt idx="71">
                  <c:v>1.0074074074074073</c:v>
                </c:pt>
                <c:pt idx="72">
                  <c:v>1.0148148148148148</c:v>
                </c:pt>
                <c:pt idx="73">
                  <c:v>1.6444444444444444</c:v>
                </c:pt>
                <c:pt idx="74">
                  <c:v>0.98518518518518516</c:v>
                </c:pt>
                <c:pt idx="75">
                  <c:v>1</c:v>
                </c:pt>
                <c:pt idx="76">
                  <c:v>1.5333333333333332</c:v>
                </c:pt>
                <c:pt idx="77">
                  <c:v>1</c:v>
                </c:pt>
                <c:pt idx="78">
                  <c:v>1.7185185185185183</c:v>
                </c:pt>
                <c:pt idx="79">
                  <c:v>1.6</c:v>
                </c:pt>
                <c:pt idx="80">
                  <c:v>1.5629629629629627</c:v>
                </c:pt>
              </c:numCache>
            </c:numRef>
          </c:xVal>
          <c:yVal>
            <c:numRef>
              <c:f>'bond lengths'!$I$2:$I$82</c:f>
              <c:numCache>
                <c:formatCode>General</c:formatCode>
                <c:ptCount val="81"/>
                <c:pt idx="0">
                  <c:v>1.0339</c:v>
                </c:pt>
                <c:pt idx="1">
                  <c:v>1.0294000000000001</c:v>
                </c:pt>
                <c:pt idx="2">
                  <c:v>1.0608</c:v>
                </c:pt>
                <c:pt idx="3">
                  <c:v>1.0601</c:v>
                </c:pt>
                <c:pt idx="4">
                  <c:v>1.0603</c:v>
                </c:pt>
                <c:pt idx="5">
                  <c:v>1.0465</c:v>
                </c:pt>
                <c:pt idx="6">
                  <c:v>1.0509999999999999</c:v>
                </c:pt>
                <c:pt idx="7">
                  <c:v>1.0442</c:v>
                </c:pt>
                <c:pt idx="8">
                  <c:v>1.0508</c:v>
                </c:pt>
                <c:pt idx="9">
                  <c:v>1.0346</c:v>
                </c:pt>
                <c:pt idx="10">
                  <c:v>1.0591999999999999</c:v>
                </c:pt>
                <c:pt idx="11">
                  <c:v>1.0573999999999999</c:v>
                </c:pt>
                <c:pt idx="12">
                  <c:v>1.0565</c:v>
                </c:pt>
                <c:pt idx="13">
                  <c:v>1.0268999999999999</c:v>
                </c:pt>
                <c:pt idx="14">
                  <c:v>1.0490999999999999</c:v>
                </c:pt>
                <c:pt idx="15">
                  <c:v>1.0408999999999999</c:v>
                </c:pt>
                <c:pt idx="16">
                  <c:v>1.0472999999999999</c:v>
                </c:pt>
                <c:pt idx="17">
                  <c:v>1.0232000000000001</c:v>
                </c:pt>
                <c:pt idx="18">
                  <c:v>1.0530999999999999</c:v>
                </c:pt>
                <c:pt idx="19">
                  <c:v>1.0544</c:v>
                </c:pt>
                <c:pt idx="20">
                  <c:v>1.0548999999999999</c:v>
                </c:pt>
                <c:pt idx="21">
                  <c:v>1.0482</c:v>
                </c:pt>
                <c:pt idx="22">
                  <c:v>1.0509999999999999</c:v>
                </c:pt>
                <c:pt idx="23">
                  <c:v>1.0482</c:v>
                </c:pt>
                <c:pt idx="24">
                  <c:v>1.0517000000000001</c:v>
                </c:pt>
                <c:pt idx="25">
                  <c:v>1.0438000000000001</c:v>
                </c:pt>
                <c:pt idx="26">
                  <c:v>1.0548999999999999</c:v>
                </c:pt>
                <c:pt idx="27">
                  <c:v>1.0443</c:v>
                </c:pt>
                <c:pt idx="28">
                  <c:v>1.0551999999999999</c:v>
                </c:pt>
                <c:pt idx="29">
                  <c:v>1.0441</c:v>
                </c:pt>
                <c:pt idx="30">
                  <c:v>1.0523</c:v>
                </c:pt>
                <c:pt idx="31">
                  <c:v>1.0533999999999999</c:v>
                </c:pt>
                <c:pt idx="32">
                  <c:v>1.0498000000000001</c:v>
                </c:pt>
                <c:pt idx="33">
                  <c:v>1.0267999999999999</c:v>
                </c:pt>
                <c:pt idx="34">
                  <c:v>1.0475000000000001</c:v>
                </c:pt>
                <c:pt idx="35">
                  <c:v>1.0437000000000001</c:v>
                </c:pt>
                <c:pt idx="36">
                  <c:v>1.0533999999999999</c:v>
                </c:pt>
                <c:pt idx="37">
                  <c:v>1.0296000000000001</c:v>
                </c:pt>
                <c:pt idx="38">
                  <c:v>1.0475000000000001</c:v>
                </c:pt>
                <c:pt idx="39">
                  <c:v>1.0301</c:v>
                </c:pt>
                <c:pt idx="40">
                  <c:v>1.052</c:v>
                </c:pt>
                <c:pt idx="41">
                  <c:v>1.0295000000000001</c:v>
                </c:pt>
                <c:pt idx="42">
                  <c:v>1.0488</c:v>
                </c:pt>
                <c:pt idx="43">
                  <c:v>1.0533999999999999</c:v>
                </c:pt>
                <c:pt idx="44">
                  <c:v>1.048</c:v>
                </c:pt>
                <c:pt idx="45">
                  <c:v>1.0075000000000001</c:v>
                </c:pt>
                <c:pt idx="46">
                  <c:v>1.0464</c:v>
                </c:pt>
                <c:pt idx="47">
                  <c:v>1.0446</c:v>
                </c:pt>
                <c:pt idx="48">
                  <c:v>1.0486</c:v>
                </c:pt>
                <c:pt idx="49">
                  <c:v>1.0354000000000001</c:v>
                </c:pt>
                <c:pt idx="50">
                  <c:v>1.0492999999999999</c:v>
                </c:pt>
                <c:pt idx="51">
                  <c:v>1.0347</c:v>
                </c:pt>
                <c:pt idx="52">
                  <c:v>1.0511999999999999</c:v>
                </c:pt>
                <c:pt idx="53">
                  <c:v>1.0094000000000001</c:v>
                </c:pt>
                <c:pt idx="54">
                  <c:v>1.0579000000000001</c:v>
                </c:pt>
                <c:pt idx="55">
                  <c:v>1.0553999999999999</c:v>
                </c:pt>
                <c:pt idx="56">
                  <c:v>1.0536000000000001</c:v>
                </c:pt>
                <c:pt idx="57">
                  <c:v>1.0216000000000001</c:v>
                </c:pt>
                <c:pt idx="58">
                  <c:v>1.0541</c:v>
                </c:pt>
                <c:pt idx="59">
                  <c:v>1.0449999999999999</c:v>
                </c:pt>
                <c:pt idx="60">
                  <c:v>1.0561</c:v>
                </c:pt>
                <c:pt idx="61">
                  <c:v>1.0265</c:v>
                </c:pt>
                <c:pt idx="62">
                  <c:v>1.0402</c:v>
                </c:pt>
                <c:pt idx="63">
                  <c:v>1.0345</c:v>
                </c:pt>
                <c:pt idx="64">
                  <c:v>1.0524</c:v>
                </c:pt>
                <c:pt idx="65">
                  <c:v>1.0185</c:v>
                </c:pt>
                <c:pt idx="66">
                  <c:v>1.0048999999999999</c:v>
                </c:pt>
                <c:pt idx="67">
                  <c:v>1.0022</c:v>
                </c:pt>
                <c:pt idx="68">
                  <c:v>1.0362</c:v>
                </c:pt>
                <c:pt idx="69">
                  <c:v>1.0025999999999999</c:v>
                </c:pt>
                <c:pt idx="70">
                  <c:v>1.0421</c:v>
                </c:pt>
                <c:pt idx="71">
                  <c:v>1.0022</c:v>
                </c:pt>
                <c:pt idx="72">
                  <c:v>1.0046999999999999</c:v>
                </c:pt>
                <c:pt idx="73">
                  <c:v>1.0201</c:v>
                </c:pt>
                <c:pt idx="74">
                  <c:v>1.0017</c:v>
                </c:pt>
                <c:pt idx="75">
                  <c:v>1.0025999999999999</c:v>
                </c:pt>
                <c:pt idx="76">
                  <c:v>1.0222</c:v>
                </c:pt>
                <c:pt idx="77">
                  <c:v>1.0025999999999999</c:v>
                </c:pt>
                <c:pt idx="78">
                  <c:v>1.0101</c:v>
                </c:pt>
                <c:pt idx="79">
                  <c:v>1.0130999999999999</c:v>
                </c:pt>
                <c:pt idx="80">
                  <c:v>1.0172000000000001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9-9C46-A115-AD18BD9A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6928"/>
        <c:axId val="565801832"/>
      </c:scatterChart>
      <c:valAx>
        <c:axId val="565806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LG Elongation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5801832"/>
        <c:crosses val="autoZero"/>
        <c:crossBetween val="midCat"/>
      </c:valAx>
      <c:valAx>
        <c:axId val="565801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KIE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658069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35</xdr:row>
      <xdr:rowOff>133350</xdr:rowOff>
    </xdr:from>
    <xdr:to>
      <xdr:col>14</xdr:col>
      <xdr:colOff>133350</xdr:colOff>
      <xdr:row>53</xdr:row>
      <xdr:rowOff>66675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114300</xdr:rowOff>
    </xdr:from>
    <xdr:to>
      <xdr:col>12</xdr:col>
      <xdr:colOff>885825</xdr:colOff>
      <xdr:row>19</xdr:row>
      <xdr:rowOff>47625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952500</xdr:colOff>
      <xdr:row>18</xdr:row>
      <xdr:rowOff>161925</xdr:rowOff>
    </xdr:from>
    <xdr:to>
      <xdr:col>12</xdr:col>
      <xdr:colOff>895350</xdr:colOff>
      <xdr:row>36</xdr:row>
      <xdr:rowOff>95250</xdr:rowOff>
    </xdr:to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9525</xdr:colOff>
      <xdr:row>35</xdr:row>
      <xdr:rowOff>200025</xdr:rowOff>
    </xdr:from>
    <xdr:to>
      <xdr:col>12</xdr:col>
      <xdr:colOff>914400</xdr:colOff>
      <xdr:row>53</xdr:row>
      <xdr:rowOff>133350</xdr:rowOff>
    </xdr:to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12</xdr:col>
      <xdr:colOff>942975</xdr:colOff>
      <xdr:row>18</xdr:row>
      <xdr:rowOff>171450</xdr:rowOff>
    </xdr:from>
    <xdr:to>
      <xdr:col>18</xdr:col>
      <xdr:colOff>885825</xdr:colOff>
      <xdr:row>36</xdr:row>
      <xdr:rowOff>104775</xdr:rowOff>
    </xdr:to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17</xdr:col>
      <xdr:colOff>9525</xdr:colOff>
      <xdr:row>20</xdr:row>
      <xdr:rowOff>133350</xdr:rowOff>
    </xdr:to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47625</xdr:colOff>
      <xdr:row>20</xdr:row>
      <xdr:rowOff>161925</xdr:rowOff>
    </xdr:from>
    <xdr:to>
      <xdr:col>17</xdr:col>
      <xdr:colOff>38100</xdr:colOff>
      <xdr:row>41</xdr:row>
      <xdr:rowOff>114300</xdr:rowOff>
    </xdr:to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17</xdr:col>
      <xdr:colOff>114300</xdr:colOff>
      <xdr:row>0</xdr:row>
      <xdr:rowOff>0</xdr:rowOff>
    </xdr:from>
    <xdr:to>
      <xdr:col>23</xdr:col>
      <xdr:colOff>952500</xdr:colOff>
      <xdr:row>20</xdr:row>
      <xdr:rowOff>85725</xdr:rowOff>
    </xdr:to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/>
  </sheetViews>
  <sheetFormatPr baseColWidth="10" defaultColWidth="14.5" defaultRowHeight="15.75" customHeight="1"/>
  <sheetData>
    <row r="1" spans="1:11" ht="15.75" customHeight="1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/>
      <c r="I1" s="2" t="s">
        <v>1</v>
      </c>
    </row>
    <row r="2" spans="1:11" ht="15.75" customHeight="1">
      <c r="A2" s="2" t="s">
        <v>82</v>
      </c>
      <c r="B2" s="2">
        <v>0.5</v>
      </c>
      <c r="C2" s="2" t="s">
        <v>83</v>
      </c>
      <c r="D2" s="2">
        <v>5.0000000000000001E-4</v>
      </c>
      <c r="E2" s="2" t="s">
        <v>84</v>
      </c>
      <c r="F2" s="2" t="s">
        <v>83</v>
      </c>
      <c r="G2" s="2">
        <v>1.0219</v>
      </c>
      <c r="I2" s="2" t="s">
        <v>85</v>
      </c>
    </row>
    <row r="3" spans="1:11" ht="15.75" customHeight="1">
      <c r="A3" s="2" t="s">
        <v>86</v>
      </c>
      <c r="B3" s="2">
        <v>0.5</v>
      </c>
      <c r="C3" s="2" t="s">
        <v>83</v>
      </c>
      <c r="D3" s="2">
        <v>1E-3</v>
      </c>
      <c r="E3" s="2" t="s">
        <v>84</v>
      </c>
      <c r="F3" s="2" t="s">
        <v>83</v>
      </c>
      <c r="G3" s="2">
        <v>1.0243</v>
      </c>
      <c r="I3" s="2" t="s">
        <v>87</v>
      </c>
    </row>
    <row r="4" spans="1:11" ht="15.75" customHeight="1">
      <c r="A4" s="2"/>
      <c r="B4" s="2">
        <v>2</v>
      </c>
      <c r="C4" s="2" t="s">
        <v>88</v>
      </c>
      <c r="D4" s="2">
        <v>5.0000000000000001E-4</v>
      </c>
      <c r="E4" s="2" t="s">
        <v>84</v>
      </c>
      <c r="F4" s="2" t="s">
        <v>89</v>
      </c>
      <c r="G4" s="2" t="s">
        <v>90</v>
      </c>
    </row>
    <row r="5" spans="1:11" ht="15.75" customHeight="1">
      <c r="A5" s="2" t="s">
        <v>91</v>
      </c>
      <c r="B5" s="2">
        <v>1</v>
      </c>
      <c r="C5" s="2" t="s">
        <v>88</v>
      </c>
      <c r="D5" s="2">
        <v>5.0000000000000001E-4</v>
      </c>
      <c r="E5" s="2" t="s">
        <v>84</v>
      </c>
      <c r="F5" s="2" t="s">
        <v>83</v>
      </c>
      <c r="G5" s="2">
        <v>1.0183</v>
      </c>
      <c r="I5" s="2" t="s">
        <v>85</v>
      </c>
      <c r="J5" s="2" t="s">
        <v>92</v>
      </c>
    </row>
    <row r="6" spans="1:11" ht="15.75" customHeight="1">
      <c r="A6" s="2" t="s">
        <v>93</v>
      </c>
      <c r="B6" s="2">
        <v>2</v>
      </c>
      <c r="C6" s="2" t="s">
        <v>94</v>
      </c>
      <c r="D6" s="2">
        <v>1E-3</v>
      </c>
      <c r="E6" s="2" t="s">
        <v>83</v>
      </c>
      <c r="F6" s="2" t="s">
        <v>83</v>
      </c>
      <c r="G6" s="2">
        <v>1.0051000000000001</v>
      </c>
      <c r="I6" s="2" t="s">
        <v>96</v>
      </c>
      <c r="J6" s="2" t="s">
        <v>97</v>
      </c>
    </row>
    <row r="7" spans="1:11" ht="15.75" customHeight="1">
      <c r="A7" s="2" t="s">
        <v>98</v>
      </c>
      <c r="B7" s="2">
        <v>2</v>
      </c>
      <c r="C7" s="2" t="s">
        <v>94</v>
      </c>
      <c r="D7" s="2">
        <v>1E-3</v>
      </c>
      <c r="E7" s="2" t="s">
        <v>83</v>
      </c>
      <c r="F7" s="2" t="s">
        <v>84</v>
      </c>
      <c r="G7" s="2">
        <v>1.0190999999999999</v>
      </c>
      <c r="I7" s="2" t="s">
        <v>99</v>
      </c>
      <c r="J7" s="2" t="s">
        <v>100</v>
      </c>
    </row>
    <row r="8" spans="1:11" ht="15.75" customHeight="1">
      <c r="B8" s="2">
        <v>2</v>
      </c>
      <c r="C8" s="2" t="s">
        <v>88</v>
      </c>
      <c r="D8" s="2">
        <v>5.0000000000000001E-4</v>
      </c>
      <c r="E8" s="2" t="s">
        <v>84</v>
      </c>
      <c r="F8" s="2" t="s">
        <v>84</v>
      </c>
      <c r="G8" s="2" t="s">
        <v>90</v>
      </c>
      <c r="J8" s="2" t="s">
        <v>101</v>
      </c>
    </row>
    <row r="11" spans="1:11" ht="15.75" customHeight="1">
      <c r="A11" s="2" t="s">
        <v>102</v>
      </c>
      <c r="B11" s="2">
        <v>0.5</v>
      </c>
      <c r="C11" s="2" t="s">
        <v>83</v>
      </c>
      <c r="D11" s="2">
        <v>5.0000000000000001E-4</v>
      </c>
      <c r="E11" s="2" t="s">
        <v>84</v>
      </c>
      <c r="F11" s="2" t="s">
        <v>83</v>
      </c>
      <c r="G11" s="2" t="s">
        <v>104</v>
      </c>
      <c r="H11" s="2">
        <v>1.0309999999999999</v>
      </c>
      <c r="I11" s="2" t="s">
        <v>105</v>
      </c>
      <c r="K11" s="2" t="s">
        <v>106</v>
      </c>
    </row>
    <row r="12" spans="1:11" ht="15.75" customHeight="1">
      <c r="A12" s="2" t="s">
        <v>107</v>
      </c>
      <c r="B12" s="2">
        <v>0.5</v>
      </c>
      <c r="C12" s="2" t="s">
        <v>108</v>
      </c>
      <c r="D12" s="2">
        <v>5.0000000000000001E-4</v>
      </c>
      <c r="E12" s="2" t="s">
        <v>84</v>
      </c>
      <c r="F12" s="2" t="s">
        <v>83</v>
      </c>
      <c r="G12" s="2" t="s">
        <v>104</v>
      </c>
      <c r="H12" s="2">
        <v>1.0185999999999999</v>
      </c>
      <c r="I12" s="2" t="s">
        <v>105</v>
      </c>
    </row>
    <row r="13" spans="1:11" ht="15.75" customHeight="1">
      <c r="A13" s="2" t="s">
        <v>109</v>
      </c>
      <c r="B13" s="2">
        <v>1</v>
      </c>
      <c r="C13" s="2" t="s">
        <v>108</v>
      </c>
      <c r="D13" s="2">
        <v>5.0000000000000001E-4</v>
      </c>
      <c r="E13" s="2" t="s">
        <v>84</v>
      </c>
      <c r="F13" s="2" t="s">
        <v>83</v>
      </c>
      <c r="G13" s="2" t="s">
        <v>104</v>
      </c>
      <c r="H13" s="2">
        <v>1.0203</v>
      </c>
      <c r="I13" s="2" t="s">
        <v>105</v>
      </c>
    </row>
    <row r="14" spans="1:11" ht="15.75" customHeight="1">
      <c r="A14" s="2" t="s">
        <v>110</v>
      </c>
      <c r="B14" s="2">
        <v>1</v>
      </c>
      <c r="C14" s="2" t="s">
        <v>108</v>
      </c>
      <c r="D14" s="2">
        <v>5.0000000000000001E-4</v>
      </c>
      <c r="E14" s="2" t="s">
        <v>84</v>
      </c>
      <c r="F14" s="2" t="s">
        <v>84</v>
      </c>
      <c r="G14" s="2" t="s">
        <v>111</v>
      </c>
      <c r="H14" s="2">
        <v>1.0152000000000001</v>
      </c>
      <c r="I14" s="2" t="s">
        <v>112</v>
      </c>
    </row>
    <row r="15" spans="1:11" ht="15.75" customHeight="1">
      <c r="A15" s="2" t="s">
        <v>113</v>
      </c>
      <c r="B15" s="2">
        <v>1</v>
      </c>
      <c r="C15" s="2" t="s">
        <v>108</v>
      </c>
      <c r="D15" s="2">
        <v>5.0000000000000001E-4</v>
      </c>
      <c r="E15" s="2" t="s">
        <v>83</v>
      </c>
      <c r="F15" s="2" t="s">
        <v>84</v>
      </c>
      <c r="G15" s="2" t="s">
        <v>111</v>
      </c>
      <c r="H15" s="2">
        <v>1.0152000000000001</v>
      </c>
      <c r="I15" s="2" t="s">
        <v>112</v>
      </c>
    </row>
    <row r="16" spans="1:11" ht="15.75" customHeight="1">
      <c r="A16" s="2" t="s">
        <v>116</v>
      </c>
      <c r="B16" s="2">
        <v>1</v>
      </c>
      <c r="C16" s="2" t="s">
        <v>108</v>
      </c>
      <c r="D16" s="2">
        <v>5.0000000000000001E-4</v>
      </c>
      <c r="E16" s="2" t="s">
        <v>83</v>
      </c>
      <c r="F16" s="2" t="s">
        <v>83</v>
      </c>
      <c r="G16" s="2" t="s">
        <v>111</v>
      </c>
      <c r="H16" s="2">
        <v>1.0173000000000001</v>
      </c>
      <c r="I16" s="2" t="s">
        <v>112</v>
      </c>
    </row>
    <row r="17" spans="1:9" ht="15.75" customHeight="1">
      <c r="A17" s="2" t="s">
        <v>118</v>
      </c>
      <c r="B17" s="2">
        <v>1</v>
      </c>
      <c r="C17" s="2" t="s">
        <v>108</v>
      </c>
      <c r="D17" s="2">
        <v>1E-3</v>
      </c>
      <c r="E17" s="2" t="s">
        <v>84</v>
      </c>
      <c r="F17" s="2" t="s">
        <v>83</v>
      </c>
      <c r="G17" s="2" t="s">
        <v>119</v>
      </c>
      <c r="H17" s="2">
        <v>1.0162</v>
      </c>
      <c r="I17" s="2" t="s">
        <v>121</v>
      </c>
    </row>
    <row r="18" spans="1:9" ht="15.75" customHeight="1">
      <c r="A18" s="2" t="s">
        <v>122</v>
      </c>
      <c r="B18" s="2">
        <v>1</v>
      </c>
      <c r="C18" s="2" t="s">
        <v>108</v>
      </c>
      <c r="D18" s="2">
        <v>1E-3</v>
      </c>
      <c r="E18" s="2" t="s">
        <v>84</v>
      </c>
      <c r="F18" s="2" t="s">
        <v>84</v>
      </c>
      <c r="G18" s="2" t="s">
        <v>119</v>
      </c>
      <c r="H18" s="2">
        <v>1.0164</v>
      </c>
      <c r="I18" s="2" t="s">
        <v>121</v>
      </c>
    </row>
    <row r="19" spans="1:9" ht="15.75" customHeight="1">
      <c r="A19" s="2" t="s">
        <v>124</v>
      </c>
      <c r="B19" s="2">
        <v>1</v>
      </c>
      <c r="C19" s="2" t="s">
        <v>108</v>
      </c>
      <c r="D19" s="2">
        <v>1E-3</v>
      </c>
      <c r="E19" s="2" t="s">
        <v>83</v>
      </c>
      <c r="F19" s="2" t="s">
        <v>84</v>
      </c>
      <c r="G19" s="2" t="s">
        <v>119</v>
      </c>
      <c r="H19" s="2">
        <v>1.0164</v>
      </c>
      <c r="I19" s="2" t="s">
        <v>121</v>
      </c>
    </row>
    <row r="20" spans="1:9" ht="15.75" customHeight="1">
      <c r="A20" s="2" t="s">
        <v>127</v>
      </c>
      <c r="B20" s="2">
        <v>1</v>
      </c>
      <c r="C20" s="2" t="s">
        <v>108</v>
      </c>
      <c r="D20" s="2">
        <v>1E-3</v>
      </c>
      <c r="E20" s="2" t="s">
        <v>83</v>
      </c>
      <c r="F20" s="2" t="s">
        <v>83</v>
      </c>
      <c r="G20" s="2" t="s">
        <v>119</v>
      </c>
      <c r="H20" s="2">
        <v>1.0161</v>
      </c>
      <c r="I20" s="2" t="s">
        <v>121</v>
      </c>
    </row>
    <row r="21" spans="1:9" ht="15.75" customHeight="1">
      <c r="A21" s="2" t="s">
        <v>128</v>
      </c>
      <c r="B21" s="2">
        <v>2</v>
      </c>
      <c r="C21" s="2" t="s">
        <v>108</v>
      </c>
      <c r="D21" s="2">
        <v>1E-3</v>
      </c>
      <c r="E21" s="2" t="s">
        <v>84</v>
      </c>
      <c r="F21" s="2" t="s">
        <v>83</v>
      </c>
      <c r="G21" s="2" t="s">
        <v>119</v>
      </c>
      <c r="H21" s="2">
        <v>1.0147999999999999</v>
      </c>
    </row>
    <row r="22" spans="1:9" ht="15.75" customHeight="1">
      <c r="A22" s="2" t="s">
        <v>130</v>
      </c>
      <c r="B22" s="2">
        <v>2</v>
      </c>
      <c r="C22" s="2" t="s">
        <v>108</v>
      </c>
      <c r="D22" s="2">
        <v>1E-3</v>
      </c>
      <c r="E22" s="2" t="s">
        <v>84</v>
      </c>
      <c r="F22" s="2" t="s">
        <v>84</v>
      </c>
      <c r="G22" s="2" t="s">
        <v>119</v>
      </c>
      <c r="H22" s="2">
        <v>1.0164</v>
      </c>
      <c r="I22" s="2" t="s">
        <v>121</v>
      </c>
    </row>
    <row r="23" spans="1:9" ht="15.75" customHeight="1">
      <c r="A23" s="2" t="s">
        <v>131</v>
      </c>
      <c r="B23" s="2">
        <v>2</v>
      </c>
      <c r="C23" s="2" t="s">
        <v>108</v>
      </c>
      <c r="D23" s="2">
        <v>1E-3</v>
      </c>
      <c r="E23" s="2" t="s">
        <v>83</v>
      </c>
      <c r="F23" s="2" t="s">
        <v>84</v>
      </c>
      <c r="G23" s="2" t="s">
        <v>119</v>
      </c>
      <c r="H23" s="2">
        <v>1.0164</v>
      </c>
    </row>
    <row r="24" spans="1:9" ht="15.75" customHeight="1">
      <c r="A24" s="2" t="s">
        <v>132</v>
      </c>
      <c r="B24" s="2">
        <v>2</v>
      </c>
      <c r="C24" s="2" t="s">
        <v>108</v>
      </c>
      <c r="D24" s="2">
        <v>1E-3</v>
      </c>
      <c r="E24" s="2" t="s">
        <v>83</v>
      </c>
      <c r="F24" s="2" t="s">
        <v>83</v>
      </c>
      <c r="G24" s="2" t="s">
        <v>119</v>
      </c>
      <c r="H24" s="2">
        <v>1.016</v>
      </c>
    </row>
    <row r="25" spans="1:9" ht="15.75" customHeight="1">
      <c r="A25" s="2"/>
      <c r="B25" s="2"/>
      <c r="C25" s="2"/>
      <c r="D25" s="2"/>
      <c r="E25" s="2"/>
      <c r="F25" s="2"/>
      <c r="G25" s="2"/>
      <c r="I25" s="2"/>
    </row>
    <row r="26" spans="1:9" ht="15.75" customHeight="1">
      <c r="A26" s="2" t="s">
        <v>133</v>
      </c>
      <c r="B26" s="2" t="s">
        <v>48</v>
      </c>
      <c r="C26" s="2" t="s">
        <v>134</v>
      </c>
      <c r="D26" s="2" t="s">
        <v>135</v>
      </c>
      <c r="E26" s="2" t="s">
        <v>136</v>
      </c>
      <c r="F26" s="2" t="s">
        <v>137</v>
      </c>
    </row>
    <row r="27" spans="1:9" ht="15.75" customHeight="1">
      <c r="A27" s="2">
        <v>173</v>
      </c>
      <c r="B27">
        <f t="shared" ref="B27:B58" si="0">A27-273</f>
        <v>-100</v>
      </c>
      <c r="C27" s="12">
        <v>1.0456000000000001</v>
      </c>
      <c r="D27" s="12">
        <v>1.1175999999999999</v>
      </c>
      <c r="E27" s="12">
        <v>1.0782</v>
      </c>
      <c r="F27" s="12">
        <f t="shared" ref="F27:F58" si="1">E27*C27</f>
        <v>1.1273659200000001</v>
      </c>
    </row>
    <row r="28" spans="1:9" ht="15.75" customHeight="1">
      <c r="A28" s="2">
        <v>183</v>
      </c>
      <c r="B28">
        <f t="shared" si="0"/>
        <v>-90</v>
      </c>
      <c r="C28" s="12">
        <v>1.0447</v>
      </c>
      <c r="D28" s="12">
        <v>1.105</v>
      </c>
      <c r="E28" s="12">
        <v>1.0638000000000001</v>
      </c>
      <c r="F28" s="12">
        <f t="shared" si="1"/>
        <v>1.1113518600000001</v>
      </c>
    </row>
    <row r="29" spans="1:9" ht="15.75" customHeight="1">
      <c r="A29" s="2">
        <v>193</v>
      </c>
      <c r="B29">
        <f t="shared" si="0"/>
        <v>-80</v>
      </c>
      <c r="C29" s="12">
        <v>1.0439000000000001</v>
      </c>
      <c r="D29" s="12">
        <v>1.0953999999999999</v>
      </c>
      <c r="E29" s="12">
        <v>1.0535000000000001</v>
      </c>
      <c r="F29" s="12">
        <f t="shared" si="1"/>
        <v>1.0997486500000002</v>
      </c>
    </row>
    <row r="30" spans="1:9" ht="13">
      <c r="A30" s="2">
        <v>203</v>
      </c>
      <c r="B30">
        <f t="shared" si="0"/>
        <v>-70</v>
      </c>
      <c r="C30" s="12">
        <v>1.0430999999999999</v>
      </c>
      <c r="D30" s="12">
        <v>1.0878000000000001</v>
      </c>
      <c r="E30" s="12">
        <v>1.0457000000000001</v>
      </c>
      <c r="F30" s="12">
        <f t="shared" si="1"/>
        <v>1.09076967</v>
      </c>
    </row>
    <row r="31" spans="1:9" ht="13">
      <c r="A31" s="2">
        <v>213</v>
      </c>
      <c r="B31">
        <f t="shared" si="0"/>
        <v>-60</v>
      </c>
      <c r="C31" s="12">
        <v>1.0423</v>
      </c>
      <c r="D31" s="12">
        <v>1.0815999999999999</v>
      </c>
      <c r="E31" s="12">
        <v>1.0397000000000001</v>
      </c>
      <c r="F31" s="12">
        <f t="shared" si="1"/>
        <v>1.0836793100000002</v>
      </c>
    </row>
    <row r="32" spans="1:9" ht="13">
      <c r="A32" s="2">
        <v>223</v>
      </c>
      <c r="B32">
        <f t="shared" si="0"/>
        <v>-50</v>
      </c>
      <c r="C32" s="12">
        <v>1.0416000000000001</v>
      </c>
      <c r="D32" s="12">
        <v>1.0765</v>
      </c>
      <c r="E32" s="12">
        <v>1.0347999999999999</v>
      </c>
      <c r="F32" s="12">
        <f t="shared" si="1"/>
        <v>1.0778476800000001</v>
      </c>
    </row>
    <row r="33" spans="1:6" ht="13">
      <c r="A33" s="2">
        <v>233</v>
      </c>
      <c r="B33">
        <f t="shared" si="0"/>
        <v>-40</v>
      </c>
      <c r="C33" s="12">
        <v>1.0409999999999999</v>
      </c>
      <c r="D33" s="12">
        <v>1.0722</v>
      </c>
      <c r="E33" s="12">
        <v>1.0307999999999999</v>
      </c>
      <c r="F33" s="12">
        <f t="shared" si="1"/>
        <v>1.0730627999999998</v>
      </c>
    </row>
    <row r="34" spans="1:6" ht="13">
      <c r="A34" s="2">
        <v>243</v>
      </c>
      <c r="B34">
        <f t="shared" si="0"/>
        <v>-30</v>
      </c>
      <c r="C34" s="12">
        <v>1.0404</v>
      </c>
      <c r="D34" s="12">
        <v>1.0685</v>
      </c>
      <c r="E34" s="12">
        <v>1.0276000000000001</v>
      </c>
      <c r="F34" s="12">
        <f t="shared" si="1"/>
        <v>1.06911504</v>
      </c>
    </row>
    <row r="35" spans="1:6" ht="13">
      <c r="A35" s="2">
        <v>253</v>
      </c>
      <c r="B35">
        <f t="shared" si="0"/>
        <v>-20</v>
      </c>
      <c r="C35" s="12">
        <v>1.0398000000000001</v>
      </c>
      <c r="D35" s="12">
        <v>1.0652999999999999</v>
      </c>
      <c r="E35" s="12">
        <v>1.0247999999999999</v>
      </c>
      <c r="F35" s="12">
        <f t="shared" si="1"/>
        <v>1.06558704</v>
      </c>
    </row>
    <row r="36" spans="1:6" ht="13">
      <c r="A36" s="2">
        <v>263</v>
      </c>
      <c r="B36">
        <f t="shared" si="0"/>
        <v>-10</v>
      </c>
      <c r="C36" s="12">
        <v>1.0392999999999999</v>
      </c>
      <c r="D36" s="12">
        <v>1.0626</v>
      </c>
      <c r="E36" s="12">
        <v>1.0224</v>
      </c>
      <c r="F36" s="12">
        <f t="shared" si="1"/>
        <v>1.0625803199999999</v>
      </c>
    </row>
    <row r="37" spans="1:6" ht="13">
      <c r="A37" s="2">
        <v>273</v>
      </c>
      <c r="B37">
        <f t="shared" si="0"/>
        <v>0</v>
      </c>
      <c r="C37" s="12">
        <v>1.0387999999999999</v>
      </c>
      <c r="D37" s="12">
        <v>1.0601</v>
      </c>
      <c r="E37" s="12">
        <v>1.0204</v>
      </c>
      <c r="F37" s="12">
        <f t="shared" si="1"/>
        <v>1.0599915199999999</v>
      </c>
    </row>
    <row r="38" spans="1:6" ht="13">
      <c r="A38" s="2">
        <v>283</v>
      </c>
      <c r="B38">
        <f t="shared" si="0"/>
        <v>10</v>
      </c>
      <c r="C38" s="12">
        <v>1.0384</v>
      </c>
      <c r="D38" s="12">
        <v>1.0580000000000001</v>
      </c>
      <c r="E38" s="12">
        <v>1.0185999999999999</v>
      </c>
      <c r="F38" s="12">
        <f t="shared" si="1"/>
        <v>1.0577142399999999</v>
      </c>
    </row>
    <row r="39" spans="1:6" ht="13">
      <c r="A39" s="2">
        <v>293</v>
      </c>
      <c r="B39">
        <f t="shared" si="0"/>
        <v>20</v>
      </c>
      <c r="C39" s="12">
        <v>1.0379</v>
      </c>
      <c r="D39" s="12">
        <v>1.056</v>
      </c>
      <c r="E39" s="12">
        <v>1.0170999999999999</v>
      </c>
      <c r="F39" s="12">
        <f t="shared" si="1"/>
        <v>1.05564809</v>
      </c>
    </row>
    <row r="40" spans="1:6" ht="13">
      <c r="A40" s="2">
        <v>298</v>
      </c>
      <c r="B40">
        <f t="shared" si="0"/>
        <v>25</v>
      </c>
      <c r="C40" s="12">
        <v>1.0377000000000001</v>
      </c>
      <c r="D40" s="12">
        <v>1.0551999999999999</v>
      </c>
      <c r="E40" s="12">
        <v>1.0164</v>
      </c>
      <c r="F40" s="12">
        <f t="shared" si="1"/>
        <v>1.0547182800000001</v>
      </c>
    </row>
    <row r="41" spans="1:6" ht="13">
      <c r="A41" s="2">
        <v>303</v>
      </c>
      <c r="B41">
        <f t="shared" si="0"/>
        <v>30</v>
      </c>
      <c r="C41" s="12">
        <v>1.0375000000000001</v>
      </c>
      <c r="D41" s="12">
        <v>1.0543</v>
      </c>
      <c r="E41" s="12">
        <v>1.0157</v>
      </c>
      <c r="F41" s="12">
        <f t="shared" si="1"/>
        <v>1.0537887500000001</v>
      </c>
    </row>
    <row r="42" spans="1:6" ht="13">
      <c r="A42" s="2">
        <v>313</v>
      </c>
      <c r="B42">
        <f t="shared" si="0"/>
        <v>40</v>
      </c>
      <c r="C42" s="12">
        <v>1.0371999999999999</v>
      </c>
      <c r="D42" s="12">
        <v>1.0528</v>
      </c>
      <c r="E42" s="12">
        <v>1.0145999999999999</v>
      </c>
      <c r="F42" s="12">
        <f t="shared" si="1"/>
        <v>1.0523431199999997</v>
      </c>
    </row>
    <row r="43" spans="1:6" ht="13">
      <c r="A43" s="2">
        <v>323</v>
      </c>
      <c r="B43">
        <f t="shared" si="0"/>
        <v>50</v>
      </c>
      <c r="C43" s="12">
        <v>1.0367999999999999</v>
      </c>
      <c r="D43" s="12">
        <v>1.0513999999999999</v>
      </c>
      <c r="E43" s="12">
        <v>1.0135000000000001</v>
      </c>
      <c r="F43" s="12">
        <f t="shared" si="1"/>
        <v>1.0507968000000001</v>
      </c>
    </row>
    <row r="44" spans="1:6" ht="13">
      <c r="A44" s="2">
        <v>333</v>
      </c>
      <c r="B44">
        <f t="shared" si="0"/>
        <v>60</v>
      </c>
      <c r="C44" s="12">
        <v>1.0365</v>
      </c>
      <c r="D44" s="12">
        <v>1.0501</v>
      </c>
      <c r="E44" s="12">
        <v>1.0125</v>
      </c>
      <c r="F44" s="12">
        <f t="shared" si="1"/>
        <v>1.04945625</v>
      </c>
    </row>
    <row r="45" spans="1:6" ht="13">
      <c r="A45" s="2">
        <v>343</v>
      </c>
      <c r="B45">
        <f t="shared" si="0"/>
        <v>70</v>
      </c>
      <c r="C45" s="12">
        <v>1.0362</v>
      </c>
      <c r="D45" s="12">
        <v>1.0488999999999999</v>
      </c>
      <c r="E45" s="12">
        <v>1.0117</v>
      </c>
      <c r="F45" s="12">
        <f t="shared" si="1"/>
        <v>1.0483235400000002</v>
      </c>
    </row>
    <row r="46" spans="1:6" ht="13">
      <c r="A46" s="2">
        <v>353</v>
      </c>
      <c r="B46">
        <f t="shared" si="0"/>
        <v>80</v>
      </c>
      <c r="C46" s="12">
        <v>1.0359</v>
      </c>
      <c r="D46" s="12">
        <v>1.0479000000000001</v>
      </c>
      <c r="E46" s="12">
        <v>1.0108999999999999</v>
      </c>
      <c r="F46" s="12">
        <f t="shared" si="1"/>
        <v>1.0471913099999999</v>
      </c>
    </row>
    <row r="47" spans="1:6" ht="13">
      <c r="A47" s="2">
        <v>363</v>
      </c>
      <c r="B47">
        <f t="shared" si="0"/>
        <v>90</v>
      </c>
      <c r="C47" s="12">
        <v>1.0357000000000001</v>
      </c>
      <c r="D47" s="12">
        <v>1.0468999999999999</v>
      </c>
      <c r="E47" s="12">
        <v>1.0101</v>
      </c>
      <c r="F47" s="12">
        <f t="shared" si="1"/>
        <v>1.0461605700000001</v>
      </c>
    </row>
    <row r="48" spans="1:6" ht="13">
      <c r="A48" s="2">
        <v>373</v>
      </c>
      <c r="B48">
        <f t="shared" si="0"/>
        <v>100</v>
      </c>
      <c r="C48" s="12">
        <v>1.0354000000000001</v>
      </c>
      <c r="D48" s="12">
        <v>1.046</v>
      </c>
      <c r="E48" s="12">
        <v>1.0095000000000001</v>
      </c>
      <c r="F48" s="12">
        <f t="shared" si="1"/>
        <v>1.0452363000000002</v>
      </c>
    </row>
    <row r="49" spans="1:6" ht="13">
      <c r="A49" s="2">
        <v>383</v>
      </c>
      <c r="B49">
        <f t="shared" si="0"/>
        <v>110</v>
      </c>
      <c r="C49" s="12">
        <v>1.0351999999999999</v>
      </c>
      <c r="D49" s="12">
        <v>1.0451999999999999</v>
      </c>
      <c r="E49" s="12">
        <v>1.0088999999999999</v>
      </c>
      <c r="F49" s="12">
        <f t="shared" si="1"/>
        <v>1.0444132799999999</v>
      </c>
    </row>
    <row r="50" spans="1:6" ht="13">
      <c r="A50" s="2">
        <v>393</v>
      </c>
      <c r="B50">
        <f t="shared" si="0"/>
        <v>120</v>
      </c>
      <c r="C50" s="12">
        <v>1.0349999999999999</v>
      </c>
      <c r="D50" s="12">
        <v>1.0444</v>
      </c>
      <c r="E50" s="12">
        <v>1.0084</v>
      </c>
      <c r="F50" s="12">
        <f t="shared" si="1"/>
        <v>1.0436939999999999</v>
      </c>
    </row>
    <row r="51" spans="1:6" ht="13">
      <c r="A51" s="2">
        <v>403</v>
      </c>
      <c r="B51">
        <f t="shared" si="0"/>
        <v>130</v>
      </c>
      <c r="C51" s="12">
        <v>1.0347999999999999</v>
      </c>
      <c r="D51" s="12">
        <v>1.0437000000000001</v>
      </c>
      <c r="E51" s="12">
        <v>1.0079</v>
      </c>
      <c r="F51" s="12">
        <f t="shared" si="1"/>
        <v>1.04297492</v>
      </c>
    </row>
    <row r="52" spans="1:6" ht="13">
      <c r="A52" s="2">
        <v>413</v>
      </c>
      <c r="B52">
        <f t="shared" si="0"/>
        <v>140</v>
      </c>
      <c r="C52" s="12">
        <v>1.0346</v>
      </c>
      <c r="D52" s="12">
        <v>1.0430999999999999</v>
      </c>
      <c r="E52" s="12">
        <v>1.0075000000000001</v>
      </c>
      <c r="F52" s="12">
        <f t="shared" si="1"/>
        <v>1.0423595000000001</v>
      </c>
    </row>
    <row r="53" spans="1:6" ht="13">
      <c r="A53" s="2">
        <v>423</v>
      </c>
      <c r="B53">
        <f t="shared" si="0"/>
        <v>150</v>
      </c>
      <c r="C53" s="12">
        <v>1.0344</v>
      </c>
      <c r="D53" s="12">
        <v>1.0425</v>
      </c>
      <c r="E53" s="12">
        <v>1.0069999999999999</v>
      </c>
      <c r="F53" s="12">
        <f t="shared" si="1"/>
        <v>1.0416407999999999</v>
      </c>
    </row>
    <row r="54" spans="1:6" ht="13">
      <c r="A54" s="2">
        <v>433</v>
      </c>
      <c r="B54">
        <f t="shared" si="0"/>
        <v>160</v>
      </c>
      <c r="C54" s="12">
        <v>1.0342</v>
      </c>
      <c r="D54" s="12">
        <v>1.0419</v>
      </c>
      <c r="E54" s="12">
        <v>1.0066999999999999</v>
      </c>
      <c r="F54" s="12">
        <f t="shared" si="1"/>
        <v>1.04112914</v>
      </c>
    </row>
    <row r="55" spans="1:6" ht="13">
      <c r="A55" s="2">
        <v>443</v>
      </c>
      <c r="B55">
        <f t="shared" si="0"/>
        <v>170</v>
      </c>
      <c r="C55" s="12">
        <v>1.0341</v>
      </c>
      <c r="D55" s="12">
        <v>1.0414000000000001</v>
      </c>
      <c r="E55" s="12">
        <v>1.0063</v>
      </c>
      <c r="F55" s="12">
        <f t="shared" si="1"/>
        <v>1.04061483</v>
      </c>
    </row>
    <row r="56" spans="1:6" ht="13">
      <c r="A56" s="2">
        <v>453</v>
      </c>
      <c r="B56">
        <f t="shared" si="0"/>
        <v>180</v>
      </c>
      <c r="C56" s="12">
        <v>1.0339</v>
      </c>
      <c r="D56" s="12">
        <v>1.0408999999999999</v>
      </c>
      <c r="E56" s="12">
        <v>1.006</v>
      </c>
      <c r="F56" s="12">
        <f t="shared" si="1"/>
        <v>1.0401034</v>
      </c>
    </row>
    <row r="57" spans="1:6" ht="13">
      <c r="A57" s="2">
        <v>463</v>
      </c>
      <c r="B57">
        <f t="shared" si="0"/>
        <v>190</v>
      </c>
      <c r="C57" s="12">
        <v>1.0338000000000001</v>
      </c>
      <c r="D57" s="12">
        <v>1.0405</v>
      </c>
      <c r="E57" s="12">
        <v>1.0057</v>
      </c>
      <c r="F57" s="12">
        <f t="shared" si="1"/>
        <v>1.03969266</v>
      </c>
    </row>
    <row r="58" spans="1:6" ht="13">
      <c r="A58" s="2">
        <v>473</v>
      </c>
      <c r="B58">
        <f t="shared" si="0"/>
        <v>200</v>
      </c>
      <c r="C58" s="12">
        <v>1.0336000000000001</v>
      </c>
      <c r="D58" s="12">
        <v>1.04</v>
      </c>
      <c r="E58" s="12">
        <v>1.0054000000000001</v>
      </c>
      <c r="F58" s="12">
        <f t="shared" si="1"/>
        <v>1.0391814400000001</v>
      </c>
    </row>
    <row r="59" spans="1:6" ht="13">
      <c r="D59" s="2"/>
    </row>
    <row r="60" spans="1:6" ht="13">
      <c r="E60" s="2" t="s">
        <v>66</v>
      </c>
      <c r="F60">
        <f>SLOPE(D27:D58,F27:F58)</f>
        <v>0.89858949628891693</v>
      </c>
    </row>
    <row r="61" spans="1:6" ht="13">
      <c r="E61" s="2" t="s">
        <v>67</v>
      </c>
      <c r="F61">
        <f>INTERCEPT(D27:D58,F27:F58)</f>
        <v>0.10697064763100472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2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9" ht="15.75" customHeight="1">
      <c r="A1" s="1" t="s">
        <v>3</v>
      </c>
      <c r="B1" s="2"/>
      <c r="C1" s="2"/>
      <c r="D1" s="2"/>
      <c r="G1" s="2"/>
      <c r="H1" s="2"/>
    </row>
    <row r="2" spans="1:9" ht="15.75" customHeight="1">
      <c r="A2" s="2" t="s">
        <v>4</v>
      </c>
      <c r="B2" s="2"/>
      <c r="C2" s="2"/>
      <c r="D2" s="2"/>
      <c r="E2" s="6" t="s">
        <v>5</v>
      </c>
      <c r="F2" s="2">
        <v>0.25</v>
      </c>
      <c r="G2" s="2" t="s">
        <v>6</v>
      </c>
      <c r="H2" s="2"/>
    </row>
    <row r="3" spans="1:9" ht="15.75" customHeight="1">
      <c r="E3" s="1" t="s">
        <v>7</v>
      </c>
      <c r="F3" s="2">
        <v>8</v>
      </c>
      <c r="G3" s="2" t="s">
        <v>8</v>
      </c>
    </row>
    <row r="4" spans="1:9" ht="15.75" customHeight="1">
      <c r="A4" s="6" t="s">
        <v>141</v>
      </c>
      <c r="B4" s="7">
        <v>0.09</v>
      </c>
      <c r="D4" s="8"/>
      <c r="E4" s="6" t="s">
        <v>10</v>
      </c>
      <c r="F4" s="7">
        <v>8</v>
      </c>
      <c r="G4" s="7" t="s">
        <v>11</v>
      </c>
      <c r="H4" s="8"/>
      <c r="I4" s="8"/>
    </row>
    <row r="5" spans="1:9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9" ht="15.75" customHeight="1">
      <c r="A6" s="2"/>
      <c r="B6" s="1" t="s">
        <v>13</v>
      </c>
      <c r="C6" s="1" t="s">
        <v>13</v>
      </c>
      <c r="D6" s="1" t="s">
        <v>14</v>
      </c>
    </row>
    <row r="7" spans="1:9" ht="15.75" customHeight="1">
      <c r="A7" s="9" t="s">
        <v>15</v>
      </c>
      <c r="B7" s="2" t="s">
        <v>16</v>
      </c>
      <c r="C7" s="2" t="s">
        <v>17</v>
      </c>
      <c r="D7" s="2" t="s">
        <v>18</v>
      </c>
    </row>
    <row r="8" spans="1:9" ht="15.75" customHeight="1">
      <c r="A8" s="2" t="s">
        <v>21</v>
      </c>
      <c r="B8" s="11">
        <v>18.244399999999999</v>
      </c>
      <c r="C8" s="11">
        <v>8.7689000000000004</v>
      </c>
      <c r="D8" s="11">
        <v>17.034099999999999</v>
      </c>
      <c r="G8" s="2"/>
      <c r="H8" s="2"/>
    </row>
    <row r="9" spans="1:9" ht="15.75" customHeight="1">
      <c r="A9" s="2" t="s">
        <v>22</v>
      </c>
      <c r="B9" s="11">
        <v>18.14</v>
      </c>
      <c r="C9" s="11">
        <v>8.6761999999999997</v>
      </c>
      <c r="D9" s="11">
        <v>16.938099999999999</v>
      </c>
      <c r="E9" s="6"/>
      <c r="F9" s="2"/>
      <c r="G9" s="2"/>
      <c r="H9" s="2"/>
    </row>
    <row r="10" spans="1:9" ht="15.75" customHeight="1">
      <c r="A10" s="2" t="s">
        <v>25</v>
      </c>
      <c r="B10" s="11">
        <v>18.603000000000002</v>
      </c>
      <c r="C10" s="11">
        <v>8.4631000000000007</v>
      </c>
      <c r="D10" s="11">
        <v>17.372399999999999</v>
      </c>
      <c r="E10" s="1"/>
      <c r="F10" s="2"/>
    </row>
    <row r="11" spans="1:9" ht="15.75" customHeight="1">
      <c r="A11" s="2" t="s">
        <v>28</v>
      </c>
      <c r="B11" s="11">
        <v>18.457899999999999</v>
      </c>
      <c r="C11" s="11">
        <v>8.3742000000000001</v>
      </c>
      <c r="D11" s="11">
        <v>17.265000000000001</v>
      </c>
      <c r="E11" s="6"/>
      <c r="F11" s="7"/>
      <c r="G11" s="8"/>
      <c r="H11" s="8"/>
      <c r="I11" s="8"/>
    </row>
    <row r="12" spans="1:9" ht="15.75" customHeight="1">
      <c r="A12" s="2"/>
      <c r="B12" s="1"/>
      <c r="C12" s="6"/>
      <c r="D12" s="6"/>
      <c r="E12" s="8"/>
      <c r="F12" s="8"/>
      <c r="G12" s="8"/>
      <c r="H12" s="8"/>
      <c r="I12" s="8"/>
    </row>
    <row r="13" spans="1:9" ht="15.75" customHeight="1">
      <c r="A13" s="9" t="s">
        <v>19</v>
      </c>
      <c r="B13" s="2" t="s">
        <v>16</v>
      </c>
      <c r="C13" s="7" t="s">
        <v>17</v>
      </c>
      <c r="D13" s="7" t="s">
        <v>18</v>
      </c>
      <c r="E13" s="7"/>
      <c r="F13" s="8"/>
      <c r="G13" s="8"/>
      <c r="H13" s="8"/>
      <c r="I13" s="7"/>
    </row>
    <row r="14" spans="1:9" ht="15.75" customHeight="1">
      <c r="A14" s="2" t="s">
        <v>21</v>
      </c>
      <c r="B14" s="11">
        <v>0.1234</v>
      </c>
      <c r="C14" s="11">
        <v>5.3600000000000002E-2</v>
      </c>
      <c r="D14" s="11">
        <v>6.7000000000000002E-3</v>
      </c>
      <c r="E14" s="6"/>
      <c r="G14" s="8"/>
      <c r="H14" s="6"/>
      <c r="I14" s="6"/>
    </row>
    <row r="15" spans="1:9" ht="15.75" customHeight="1">
      <c r="A15" s="2" t="s">
        <v>22</v>
      </c>
      <c r="B15" s="11">
        <v>0.1328</v>
      </c>
      <c r="C15" s="11">
        <v>4.5499999999999999E-2</v>
      </c>
      <c r="D15" s="11">
        <v>7.4999999999999997E-3</v>
      </c>
      <c r="E15" s="15"/>
      <c r="G15" s="6"/>
      <c r="H15" s="16"/>
      <c r="I15" s="16"/>
    </row>
    <row r="16" spans="1:9" ht="15.75" customHeight="1">
      <c r="A16" s="2" t="s">
        <v>25</v>
      </c>
      <c r="B16" s="11">
        <v>9.5600000000000004E-2</v>
      </c>
      <c r="C16" s="11">
        <v>2.3199999999999998E-2</v>
      </c>
      <c r="D16" s="11">
        <v>7.1999999999999998E-3</v>
      </c>
      <c r="E16" s="15"/>
      <c r="G16" s="6"/>
      <c r="H16" s="16"/>
      <c r="I16" s="16"/>
    </row>
    <row r="17" spans="1:9" ht="15.75" customHeight="1">
      <c r="A17" s="2" t="s">
        <v>28</v>
      </c>
      <c r="B17" s="11">
        <v>0.1047</v>
      </c>
      <c r="C17" s="11">
        <v>5.1299999999999998E-2</v>
      </c>
      <c r="D17" s="11">
        <v>5.7999999999999996E-3</v>
      </c>
      <c r="E17" s="8"/>
      <c r="G17" s="6"/>
      <c r="H17" s="16"/>
      <c r="I17" s="16"/>
    </row>
    <row r="18" spans="1:9" ht="15.75" customHeight="1">
      <c r="A18" s="7"/>
      <c r="B18" s="8"/>
      <c r="C18" s="8"/>
      <c r="D18" s="8"/>
      <c r="E18" s="8"/>
      <c r="G18" s="6"/>
      <c r="H18" s="16"/>
      <c r="I18" s="16"/>
    </row>
    <row r="19" spans="1:9" ht="15.75" customHeight="1">
      <c r="A19" s="17" t="s">
        <v>238</v>
      </c>
      <c r="B19" s="2" t="s">
        <v>16</v>
      </c>
      <c r="C19" s="7" t="s">
        <v>17</v>
      </c>
      <c r="D19" s="7" t="s">
        <v>18</v>
      </c>
      <c r="E19" s="6"/>
      <c r="G19" s="1"/>
      <c r="H19" s="11"/>
      <c r="I19" s="11"/>
    </row>
    <row r="20" spans="1:9" ht="15.75" customHeight="1">
      <c r="A20" s="7" t="s">
        <v>195</v>
      </c>
      <c r="B20" s="11">
        <f t="shared" ref="B20:D20" si="0">SQRT(AVERAGE(B14^2,B15^2))/SQRT($F$90)</f>
        <v>4.5320663057815028E-2</v>
      </c>
      <c r="C20" s="11">
        <f t="shared" si="0"/>
        <v>1.7576991352333309E-2</v>
      </c>
      <c r="D20" s="11">
        <f t="shared" si="0"/>
        <v>2.5142096173549253E-3</v>
      </c>
      <c r="E20" s="15" t="s">
        <v>239</v>
      </c>
    </row>
    <row r="21" spans="1:9" ht="15.75" customHeight="1">
      <c r="A21" s="7" t="s">
        <v>196</v>
      </c>
      <c r="B21" s="11">
        <f t="shared" ref="B21:D21" si="1">SQRT(AVERAGE(B17^2,B16^2))/SQRT($F$90)</f>
        <v>3.5444895612767709E-2</v>
      </c>
      <c r="C21" s="11">
        <f t="shared" si="1"/>
        <v>1.4075532849594004E-2</v>
      </c>
      <c r="D21" s="11">
        <f t="shared" si="1"/>
        <v>2.3113848662652441E-3</v>
      </c>
      <c r="E21" s="15"/>
    </row>
    <row r="22" spans="1:9" ht="15.75" customHeight="1">
      <c r="A22" s="7"/>
      <c r="B22" s="11"/>
      <c r="C22" s="11"/>
      <c r="D22" s="11"/>
      <c r="E22" s="8"/>
      <c r="H22" s="6"/>
      <c r="I22" s="6"/>
    </row>
    <row r="23" spans="1:9" ht="15.75" customHeight="1">
      <c r="A23" s="9" t="s">
        <v>35</v>
      </c>
      <c r="B23" s="12"/>
      <c r="C23" s="12" t="s">
        <v>13</v>
      </c>
      <c r="D23" s="12" t="s">
        <v>14</v>
      </c>
      <c r="E23" s="11"/>
      <c r="G23" s="6"/>
      <c r="H23" s="34"/>
      <c r="I23" s="34"/>
    </row>
    <row r="24" spans="1:9" ht="15.75" customHeight="1">
      <c r="A24" s="2" t="s">
        <v>27</v>
      </c>
      <c r="B24" s="11"/>
      <c r="C24" s="11">
        <f>AVERAGE(C8:C9)/AVERAGE(B8:B9)</f>
        <v>0.47946647464297887</v>
      </c>
      <c r="D24" s="11">
        <f>AVERAGE(C8:C9)/AVERAGE(D8:D9)</f>
        <v>0.51351104726806029</v>
      </c>
      <c r="E24" s="11"/>
      <c r="G24" s="6"/>
      <c r="H24" s="34"/>
      <c r="I24" s="34"/>
    </row>
    <row r="25" spans="1:9" ht="15.75" customHeight="1">
      <c r="A25" s="2" t="s">
        <v>30</v>
      </c>
      <c r="B25" s="8"/>
      <c r="C25" s="49">
        <f>AVERAGE(C10:C11)/AVERAGE(B10:B11)</f>
        <v>0.45431438524158879</v>
      </c>
      <c r="D25" s="49">
        <f>AVERAGE(C10:C11)/AVERAGE(D10:D11)</f>
        <v>0.48610172818976016</v>
      </c>
      <c r="E25" s="8"/>
      <c r="G25" s="7"/>
    </row>
    <row r="26" spans="1:9" ht="15.75" customHeight="1">
      <c r="A26" s="2" t="s">
        <v>31</v>
      </c>
      <c r="B26" s="8"/>
      <c r="C26" s="49">
        <f t="shared" ref="C26:D26" si="2">C25/C24</f>
        <v>0.94754150554505634</v>
      </c>
      <c r="D26" s="49">
        <f t="shared" si="2"/>
        <v>0.94662370123462591</v>
      </c>
      <c r="E26" s="8"/>
      <c r="F26" s="8"/>
    </row>
    <row r="27" spans="1:9" ht="15.75" customHeight="1">
      <c r="A27" s="7" t="s">
        <v>44</v>
      </c>
      <c r="B27" s="8"/>
      <c r="C27" s="34">
        <f>(B20/AVERAGE(B8:B9))^2+(C20/AVERAGE(C8:C9))^2</f>
        <v>1.0266858688847559E-5</v>
      </c>
      <c r="D27" s="34">
        <f>(D20/AVERAGE(D8:D9))^2+(C20/AVERAGE(C8:C9))^2</f>
        <v>4.0826202196253537E-6</v>
      </c>
      <c r="E27" s="7" t="s">
        <v>43</v>
      </c>
      <c r="F27" s="8"/>
      <c r="G27" s="8"/>
      <c r="H27" s="8"/>
      <c r="I27" s="8"/>
    </row>
    <row r="28" spans="1:9" ht="15.75" customHeight="1">
      <c r="A28" s="7" t="s">
        <v>42</v>
      </c>
      <c r="B28" s="8"/>
      <c r="C28" s="34">
        <f>(B21/AVERAGE(B10:B11))^2+(C21/AVERAGE(C10:C11))^2</f>
        <v>6.4541783252679513E-6</v>
      </c>
      <c r="D28" s="50">
        <f>(D21/AVERAGE(D10:D11))^2+(C21/AVERAGE(C10:C11))^2</f>
        <v>2.8132173284719432E-6</v>
      </c>
      <c r="F28" s="8"/>
      <c r="G28" s="8"/>
      <c r="H28" s="8"/>
      <c r="I28" s="8"/>
    </row>
    <row r="29" spans="1:9" ht="15.75" customHeight="1">
      <c r="A29" s="1"/>
      <c r="B29" s="1"/>
      <c r="C29" s="12" t="s">
        <v>13</v>
      </c>
      <c r="D29" s="12" t="s">
        <v>14</v>
      </c>
      <c r="F29" s="6"/>
      <c r="G29" s="8"/>
      <c r="H29" s="8"/>
      <c r="I29" s="8"/>
    </row>
    <row r="30" spans="1:9" ht="13">
      <c r="A30" s="39" t="s">
        <v>0</v>
      </c>
      <c r="B30" s="16"/>
      <c r="C30" s="16">
        <f t="shared" ref="C30:D30" si="3">LN(1-$B$91)/LN(1-$B$91*C26)</f>
        <v>1.0580550712930137</v>
      </c>
      <c r="D30" s="16">
        <f t="shared" si="3"/>
        <v>1.0591280227579623</v>
      </c>
      <c r="E30" s="2" t="s">
        <v>39</v>
      </c>
      <c r="F30" s="7"/>
      <c r="G30" s="8"/>
    </row>
    <row r="31" spans="1:9" ht="13">
      <c r="A31" s="39" t="s">
        <v>38</v>
      </c>
      <c r="B31" s="16"/>
      <c r="C31" s="16">
        <f t="shared" ref="C31:D31" si="4">C30*SQRT(C37^2*(C27+C28))</f>
        <v>4.5252153686434734E-3</v>
      </c>
      <c r="D31" s="16">
        <f t="shared" si="4"/>
        <v>2.9088508036187065E-3</v>
      </c>
      <c r="E31" s="27" t="s">
        <v>226</v>
      </c>
      <c r="F31" s="7"/>
      <c r="G31" s="8"/>
    </row>
    <row r="32" spans="1:9" ht="13">
      <c r="A32" s="2"/>
      <c r="B32" s="16"/>
      <c r="C32" s="16"/>
      <c r="D32" s="16"/>
      <c r="F32" s="7"/>
      <c r="G32" s="8"/>
    </row>
    <row r="33" spans="1:9" ht="13">
      <c r="A33" s="9" t="s">
        <v>148</v>
      </c>
      <c r="B33" s="16"/>
      <c r="C33" s="12" t="s">
        <v>13</v>
      </c>
      <c r="D33" s="12" t="s">
        <v>14</v>
      </c>
      <c r="E33" s="6"/>
      <c r="F33" s="2"/>
      <c r="G33" s="8"/>
      <c r="H33" s="8"/>
      <c r="I33" s="8"/>
    </row>
    <row r="34" spans="1:9" ht="13">
      <c r="A34" s="2" t="s">
        <v>149</v>
      </c>
      <c r="C34" s="28">
        <f>B4/LN(1-B4)</f>
        <v>-0.95429277473760776</v>
      </c>
      <c r="D34" s="28">
        <f>B4/LN(1-B4)</f>
        <v>-0.95429277473760776</v>
      </c>
      <c r="E34" s="7" t="s">
        <v>217</v>
      </c>
    </row>
    <row r="35" spans="1:9" ht="13">
      <c r="A35" s="2" t="s">
        <v>150</v>
      </c>
      <c r="C35" s="28">
        <f t="shared" ref="C35:D35" si="5">C30*C26</f>
        <v>1.002551095202564</v>
      </c>
      <c r="D35" s="28">
        <f t="shared" si="5"/>
        <v>1.0025956889844534</v>
      </c>
      <c r="E35" s="7" t="s">
        <v>220</v>
      </c>
    </row>
    <row r="36" spans="1:9" ht="13">
      <c r="A36" s="2" t="s">
        <v>151</v>
      </c>
      <c r="C36" s="28">
        <f t="shared" ref="C36:D36" si="6">1-$B$91*C26</f>
        <v>0.91472126450094493</v>
      </c>
      <c r="D36" s="28">
        <f t="shared" si="6"/>
        <v>0.91480386688888371</v>
      </c>
      <c r="E36" s="7" t="s">
        <v>221</v>
      </c>
    </row>
    <row r="37" spans="1:9" ht="13">
      <c r="A37" s="2" t="s">
        <v>243</v>
      </c>
      <c r="C37" s="28">
        <f t="shared" ref="C37:D37" si="7">C34*C35/C36</f>
        <v>-1.0459221880875975</v>
      </c>
      <c r="D37" s="28">
        <f t="shared" si="7"/>
        <v>-1.0458742650867601</v>
      </c>
      <c r="E37" s="2" t="s">
        <v>245</v>
      </c>
    </row>
    <row r="41" spans="1:9" ht="13">
      <c r="A41" s="2" t="s">
        <v>246</v>
      </c>
    </row>
    <row r="43" spans="1:9" ht="13">
      <c r="A43" s="1" t="s">
        <v>3</v>
      </c>
      <c r="B43" s="2" t="s">
        <v>247</v>
      </c>
      <c r="C43" s="2"/>
      <c r="D43" s="2"/>
      <c r="G43" s="2"/>
      <c r="H43" s="2"/>
    </row>
    <row r="44" spans="1:9" ht="13">
      <c r="A44" s="2" t="s">
        <v>4</v>
      </c>
      <c r="B44" s="2"/>
      <c r="C44" s="2"/>
      <c r="D44" s="2"/>
      <c r="E44" s="6" t="s">
        <v>5</v>
      </c>
      <c r="F44" s="2">
        <v>0.25</v>
      </c>
      <c r="G44" s="2" t="s">
        <v>248</v>
      </c>
      <c r="H44" s="2"/>
    </row>
    <row r="45" spans="1:9" ht="13">
      <c r="E45" s="1" t="s">
        <v>7</v>
      </c>
      <c r="F45" s="2">
        <v>8</v>
      </c>
      <c r="G45" s="2" t="s">
        <v>249</v>
      </c>
      <c r="H45" s="2"/>
    </row>
    <row r="46" spans="1:9" ht="13">
      <c r="A46" s="6" t="s">
        <v>141</v>
      </c>
      <c r="B46" s="7">
        <v>0.09</v>
      </c>
      <c r="D46" s="8"/>
      <c r="E46" s="6" t="s">
        <v>10</v>
      </c>
      <c r="F46" s="7">
        <v>8</v>
      </c>
      <c r="G46" s="8"/>
      <c r="H46" s="2"/>
    </row>
    <row r="47" spans="1:9" ht="13">
      <c r="A47" s="7"/>
      <c r="B47" s="8"/>
      <c r="C47" s="8"/>
      <c r="D47" s="8"/>
      <c r="E47" s="8"/>
      <c r="F47" s="8"/>
      <c r="G47" s="8"/>
      <c r="H47" s="2"/>
    </row>
    <row r="48" spans="1:9" ht="13">
      <c r="A48" s="2"/>
      <c r="B48" s="1" t="s">
        <v>13</v>
      </c>
      <c r="C48" s="1" t="s">
        <v>13</v>
      </c>
      <c r="D48" s="1" t="s">
        <v>14</v>
      </c>
      <c r="H48" s="2"/>
    </row>
    <row r="49" spans="1:8" ht="13">
      <c r="A49" s="9" t="s">
        <v>15</v>
      </c>
      <c r="B49" s="2" t="s">
        <v>16</v>
      </c>
      <c r="C49" s="2" t="s">
        <v>17</v>
      </c>
      <c r="D49" s="2" t="s">
        <v>18</v>
      </c>
      <c r="H49" s="2"/>
    </row>
    <row r="50" spans="1:8" ht="14">
      <c r="A50" s="2" t="s">
        <v>21</v>
      </c>
      <c r="B50" s="22">
        <v>18.352399999999999</v>
      </c>
      <c r="C50" s="32">
        <v>8.7517999999999994</v>
      </c>
      <c r="D50" s="32">
        <v>16.978400000000001</v>
      </c>
      <c r="G50" s="2"/>
      <c r="H50" s="2"/>
    </row>
    <row r="51" spans="1:8" ht="14">
      <c r="A51" s="2" t="s">
        <v>22</v>
      </c>
      <c r="B51" s="22">
        <v>18.2316</v>
      </c>
      <c r="C51" s="32">
        <v>8.6753999999999998</v>
      </c>
      <c r="D51" s="32">
        <v>16.8857</v>
      </c>
      <c r="E51" s="6"/>
      <c r="F51" s="2"/>
      <c r="G51" s="2"/>
      <c r="H51" s="2"/>
    </row>
    <row r="52" spans="1:8" ht="14">
      <c r="A52" s="2" t="s">
        <v>25</v>
      </c>
      <c r="B52" s="22">
        <v>18.7224</v>
      </c>
      <c r="C52" s="32">
        <v>8.4582999999999995</v>
      </c>
      <c r="D52" s="32">
        <v>17.320499999999999</v>
      </c>
      <c r="E52" s="1"/>
      <c r="F52" s="2"/>
      <c r="H52" s="2"/>
    </row>
    <row r="53" spans="1:8" ht="14">
      <c r="A53" s="2" t="s">
        <v>28</v>
      </c>
      <c r="B53" s="22">
        <v>18.538</v>
      </c>
      <c r="C53" s="32">
        <v>8.3496000000000006</v>
      </c>
      <c r="D53" s="32">
        <v>17.2105</v>
      </c>
      <c r="E53" s="6"/>
      <c r="F53" s="7"/>
      <c r="G53" s="8"/>
      <c r="H53" s="2"/>
    </row>
    <row r="54" spans="1:8" ht="13">
      <c r="A54" s="2"/>
      <c r="B54" s="1"/>
      <c r="C54" s="6"/>
      <c r="D54" s="6"/>
      <c r="E54" s="8"/>
      <c r="F54" s="8"/>
      <c r="G54" s="8"/>
      <c r="H54" s="2"/>
    </row>
    <row r="55" spans="1:8" ht="13">
      <c r="A55" s="9" t="s">
        <v>19</v>
      </c>
      <c r="B55" s="2" t="s">
        <v>16</v>
      </c>
      <c r="C55" s="7" t="s">
        <v>17</v>
      </c>
      <c r="D55" s="7" t="s">
        <v>18</v>
      </c>
      <c r="E55" s="7"/>
      <c r="F55" s="8"/>
      <c r="G55" s="8"/>
      <c r="H55" s="2"/>
    </row>
    <row r="56" spans="1:8" ht="14">
      <c r="A56" s="2" t="s">
        <v>21</v>
      </c>
      <c r="B56" s="22">
        <v>0.1333</v>
      </c>
      <c r="C56" s="32">
        <v>5.1799999999999999E-2</v>
      </c>
      <c r="D56" s="32">
        <v>2.2000000000000001E-3</v>
      </c>
      <c r="E56" s="6"/>
      <c r="G56" s="8"/>
      <c r="H56" s="2"/>
    </row>
    <row r="57" spans="1:8" ht="14">
      <c r="A57" s="2" t="s">
        <v>22</v>
      </c>
      <c r="B57" s="22">
        <v>0.16619999999999999</v>
      </c>
      <c r="C57" s="32">
        <v>4.6699999999999998E-2</v>
      </c>
      <c r="D57" s="32">
        <v>5.5999999999999999E-3</v>
      </c>
      <c r="E57" s="15"/>
      <c r="G57" s="6"/>
      <c r="H57" s="2"/>
    </row>
    <row r="58" spans="1:8" ht="14">
      <c r="A58" s="2" t="s">
        <v>25</v>
      </c>
      <c r="B58" s="22">
        <v>0.1032</v>
      </c>
      <c r="C58" s="32">
        <v>1.9800000000000002E-2</v>
      </c>
      <c r="D58" s="32">
        <v>3.3999999999999998E-3</v>
      </c>
      <c r="E58" s="15"/>
      <c r="G58" s="6"/>
      <c r="H58" s="2"/>
    </row>
    <row r="59" spans="1:8" ht="14">
      <c r="A59" s="2" t="s">
        <v>28</v>
      </c>
      <c r="B59" s="22">
        <v>0.1159</v>
      </c>
      <c r="C59" s="32">
        <v>5.7200000000000001E-2</v>
      </c>
      <c r="D59" s="32">
        <v>2.7000000000000001E-3</v>
      </c>
      <c r="E59" s="8"/>
      <c r="G59" s="6"/>
      <c r="H59" s="2"/>
    </row>
    <row r="60" spans="1:8" ht="13">
      <c r="A60" s="7"/>
      <c r="B60" s="8"/>
      <c r="C60" s="8"/>
      <c r="D60" s="8"/>
      <c r="E60" s="8"/>
      <c r="G60" s="6"/>
      <c r="H60" s="2"/>
    </row>
    <row r="61" spans="1:8" ht="13">
      <c r="A61" s="17" t="s">
        <v>238</v>
      </c>
      <c r="B61" s="2" t="s">
        <v>16</v>
      </c>
      <c r="C61" s="7" t="s">
        <v>17</v>
      </c>
      <c r="D61" s="7" t="s">
        <v>18</v>
      </c>
      <c r="E61" s="6"/>
      <c r="G61" s="1"/>
      <c r="H61" s="2"/>
    </row>
    <row r="62" spans="1:8" ht="14">
      <c r="A62" s="7" t="s">
        <v>195</v>
      </c>
      <c r="B62" s="15">
        <f t="shared" ref="B62:D62" si="8">SQRT(AVERAGE(B56^2,B57^2))/SQRT($F$90)</f>
        <v>5.3263102848031672E-2</v>
      </c>
      <c r="C62" s="15">
        <f t="shared" si="8"/>
        <v>1.7435828772960578E-2</v>
      </c>
      <c r="D62" s="15">
        <f t="shared" si="8"/>
        <v>1.5041608956491324E-3</v>
      </c>
      <c r="E62" s="15" t="s">
        <v>239</v>
      </c>
      <c r="H62" s="2"/>
    </row>
    <row r="63" spans="1:8" ht="14">
      <c r="A63" s="7" t="s">
        <v>196</v>
      </c>
      <c r="B63" s="15">
        <f t="shared" ref="B63:D63" si="9">SQRT(AVERAGE(B59^2,B58^2))/SQRT($F$90)</f>
        <v>3.8796786271545737E-2</v>
      </c>
      <c r="C63" s="15">
        <f t="shared" si="9"/>
        <v>1.5132498141417365E-2</v>
      </c>
      <c r="D63" s="15">
        <f t="shared" si="9"/>
        <v>1.0854146673046205E-3</v>
      </c>
      <c r="E63" s="15"/>
      <c r="H63" s="2"/>
    </row>
    <row r="64" spans="1:8" ht="13">
      <c r="A64" s="7"/>
      <c r="B64" s="11"/>
      <c r="C64" s="11"/>
      <c r="D64" s="11"/>
      <c r="E64" s="8"/>
      <c r="H64" s="2"/>
    </row>
    <row r="65" spans="1:8" ht="13">
      <c r="A65" s="9" t="s">
        <v>35</v>
      </c>
      <c r="B65" s="12"/>
      <c r="C65" s="12" t="s">
        <v>13</v>
      </c>
      <c r="D65" s="12" t="s">
        <v>14</v>
      </c>
      <c r="E65" s="11"/>
      <c r="G65" s="6"/>
      <c r="H65" s="2"/>
    </row>
    <row r="66" spans="1:8" ht="13">
      <c r="A66" s="2" t="s">
        <v>27</v>
      </c>
      <c r="B66" s="11"/>
      <c r="C66" s="11">
        <f>AVERAGE(C50:C51)/AVERAGE(B50:B51)</f>
        <v>0.47636125082003056</v>
      </c>
      <c r="D66" s="11">
        <f>AVERAGE(C50:C51)/AVERAGE(D50:D51)</f>
        <v>0.51462167900520017</v>
      </c>
      <c r="E66" s="11"/>
      <c r="G66" s="6"/>
      <c r="H66" s="2"/>
    </row>
    <row r="67" spans="1:8" ht="13">
      <c r="A67" s="2" t="s">
        <v>30</v>
      </c>
      <c r="B67" s="8"/>
      <c r="C67" s="49">
        <f>AVERAGE(C52:C53)/AVERAGE(B52:B53)</f>
        <v>0.45109284924477455</v>
      </c>
      <c r="D67" s="49">
        <f>AVERAGE(C52:C53)/AVERAGE(D52:D53)</f>
        <v>0.48674813935304512</v>
      </c>
      <c r="E67" s="8"/>
      <c r="G67" s="7"/>
      <c r="H67" s="2"/>
    </row>
    <row r="68" spans="1:8" ht="13">
      <c r="A68" s="2" t="s">
        <v>31</v>
      </c>
      <c r="B68" s="8"/>
      <c r="C68" s="49">
        <f t="shared" ref="C68:D68" si="10">C67/C66</f>
        <v>0.9469553799101883</v>
      </c>
      <c r="D68" s="49">
        <f t="shared" si="10"/>
        <v>0.94583683356279014</v>
      </c>
      <c r="E68" s="8"/>
      <c r="F68" s="8"/>
      <c r="H68" s="2"/>
    </row>
    <row r="69" spans="1:8" ht="13">
      <c r="A69" s="7" t="s">
        <v>44</v>
      </c>
      <c r="B69" s="8"/>
      <c r="C69" s="34">
        <f>(B62/AVERAGE(B50:B51))^2+(C62/AVERAGE(C50:C51))^2</f>
        <v>1.248268685463867E-5</v>
      </c>
      <c r="D69" s="34">
        <f>(D62/AVERAGE(D50:D51))^2+(C62/AVERAGE(C50:C51))^2</f>
        <v>4.0118537212244847E-6</v>
      </c>
      <c r="E69" s="7" t="s">
        <v>43</v>
      </c>
      <c r="F69" s="8"/>
      <c r="G69" s="8"/>
      <c r="H69" s="2"/>
    </row>
    <row r="70" spans="1:8" ht="13">
      <c r="A70" s="7" t="s">
        <v>42</v>
      </c>
      <c r="B70" s="8"/>
      <c r="C70" s="34">
        <f>(B63/AVERAGE(B52:B53))^2+(C63/AVERAGE(C52:C53))^2</f>
        <v>7.578979474291761E-6</v>
      </c>
      <c r="D70" s="50">
        <f>(D63/AVERAGE(D52:D53))^2+(C63/AVERAGE(C52:C53))^2</f>
        <v>3.2462606758235523E-6</v>
      </c>
      <c r="F70" s="8"/>
      <c r="G70" s="8"/>
      <c r="H70" s="2"/>
    </row>
    <row r="71" spans="1:8" ht="13">
      <c r="A71" s="1"/>
      <c r="B71" s="1"/>
      <c r="C71" s="20" t="s">
        <v>13</v>
      </c>
      <c r="D71" s="20" t="s">
        <v>14</v>
      </c>
      <c r="F71" s="6"/>
      <c r="G71" s="8"/>
      <c r="H71" s="2"/>
    </row>
    <row r="72" spans="1:8" ht="13">
      <c r="A72" s="39" t="s">
        <v>0</v>
      </c>
      <c r="B72" s="16"/>
      <c r="C72" s="16">
        <f t="shared" ref="C72:D72" si="11">LN(1-$B$91)/LN(1-$B$91*C68)</f>
        <v>1.0587400367393816</v>
      </c>
      <c r="D72" s="16">
        <f t="shared" si="11"/>
        <v>1.0600495605844604</v>
      </c>
      <c r="E72" s="2" t="s">
        <v>39</v>
      </c>
      <c r="F72" s="7"/>
      <c r="G72" s="8"/>
      <c r="H72" s="2"/>
    </row>
    <row r="73" spans="1:8" ht="13">
      <c r="A73" s="39" t="s">
        <v>38</v>
      </c>
      <c r="B73" s="16"/>
      <c r="C73" s="49">
        <f>C72*SQRT(C79^2*(C69+C70)+C85^2*C87^2)</f>
        <v>4.9598342431894605E-3</v>
      </c>
      <c r="D73" s="16">
        <f>D72*SQRT(D79^2*(D69+D70)+D85^2*C87^2)</f>
        <v>2.9869128869275297E-3</v>
      </c>
      <c r="E73" s="27" t="s">
        <v>226</v>
      </c>
      <c r="F73" s="7"/>
      <c r="G73" s="8"/>
      <c r="H73" s="2"/>
    </row>
    <row r="74" spans="1:8" ht="13">
      <c r="A74" s="2"/>
      <c r="B74" s="16"/>
      <c r="C74" s="16"/>
      <c r="D74" s="16"/>
      <c r="F74" s="7"/>
      <c r="G74" s="8"/>
      <c r="H74" s="2"/>
    </row>
    <row r="75" spans="1:8" ht="13">
      <c r="A75" s="9" t="s">
        <v>148</v>
      </c>
      <c r="B75" s="16"/>
      <c r="C75" s="12" t="s">
        <v>13</v>
      </c>
      <c r="D75" s="12" t="s">
        <v>14</v>
      </c>
      <c r="E75" s="6"/>
      <c r="F75" s="2"/>
      <c r="G75" s="8"/>
      <c r="H75" s="2"/>
    </row>
    <row r="76" spans="1:8" ht="13">
      <c r="A76" s="2" t="s">
        <v>149</v>
      </c>
      <c r="C76" s="28">
        <f>B46/LN(1-B46)</f>
        <v>-0.95429277473760776</v>
      </c>
      <c r="D76" s="28">
        <f>B46/LN(1-B46)</f>
        <v>-0.95429277473760776</v>
      </c>
      <c r="E76" s="7" t="s">
        <v>217</v>
      </c>
      <c r="H76" s="2"/>
    </row>
    <row r="77" spans="1:8" ht="13">
      <c r="A77" s="2" t="s">
        <v>150</v>
      </c>
      <c r="C77" s="28">
        <f t="shared" ref="C77:D77" si="12">C72*C68</f>
        <v>1.0025795737166678</v>
      </c>
      <c r="D77" s="28">
        <f t="shared" si="12"/>
        <v>1.0026339198028331</v>
      </c>
      <c r="E77" s="7" t="s">
        <v>220</v>
      </c>
      <c r="H77" s="2"/>
    </row>
    <row r="78" spans="1:8" ht="13">
      <c r="A78" s="2" t="s">
        <v>151</v>
      </c>
      <c r="C78" s="28">
        <f t="shared" ref="C78:D78" si="13">1-$B$91*C68</f>
        <v>0.91477401580808304</v>
      </c>
      <c r="D78" s="28">
        <f t="shared" si="13"/>
        <v>0.91487468497934887</v>
      </c>
      <c r="E78" s="7" t="s">
        <v>221</v>
      </c>
      <c r="H78" s="2"/>
    </row>
    <row r="79" spans="1:8" ht="13">
      <c r="A79" s="2" t="s">
        <v>243</v>
      </c>
      <c r="C79" s="28">
        <f t="shared" ref="C79:D79" si="14">C76*C77/C78</f>
        <v>-1.0458915827994522</v>
      </c>
      <c r="D79" s="28">
        <f t="shared" si="14"/>
        <v>-1.0458331846795907</v>
      </c>
      <c r="E79" s="2" t="s">
        <v>245</v>
      </c>
      <c r="H79" s="2"/>
    </row>
    <row r="80" spans="1:8" ht="13">
      <c r="H80" s="2"/>
    </row>
    <row r="81" spans="1:8" ht="13">
      <c r="A81" s="2" t="s">
        <v>251</v>
      </c>
      <c r="C81" s="28">
        <f t="shared" ref="C81:D81" si="15">$B$91/LN(1-$B$91)</f>
        <v>-0.95429277473760776</v>
      </c>
      <c r="D81" s="28">
        <f t="shared" si="15"/>
        <v>-0.95429277473760776</v>
      </c>
      <c r="E81" s="2" t="s">
        <v>217</v>
      </c>
      <c r="H81" s="2"/>
    </row>
    <row r="82" spans="1:8" ht="13">
      <c r="A82" s="2" t="s">
        <v>252</v>
      </c>
      <c r="C82" s="28">
        <f t="shared" ref="C82:D82" si="16">C72*C68</f>
        <v>1.0025795737166678</v>
      </c>
      <c r="D82" s="28">
        <f t="shared" si="16"/>
        <v>1.0026339198028331</v>
      </c>
      <c r="E82" s="2" t="s">
        <v>220</v>
      </c>
      <c r="H82" s="2"/>
    </row>
    <row r="83" spans="1:8" ht="13">
      <c r="A83" s="2" t="s">
        <v>253</v>
      </c>
      <c r="C83" s="28">
        <f t="shared" ref="C83:D83" si="17">1/(1-$B$91*C68)</f>
        <v>1.0931661620456403</v>
      </c>
      <c r="D83" s="28">
        <f t="shared" si="17"/>
        <v>1.0930458743894227</v>
      </c>
      <c r="E83" s="2" t="s">
        <v>254</v>
      </c>
      <c r="H83" s="2"/>
    </row>
    <row r="84" spans="1:8" ht="13">
      <c r="A84" s="2" t="s">
        <v>255</v>
      </c>
      <c r="C84" s="28">
        <f t="shared" ref="C84:D84" si="18">1/(1-$B$91)</f>
        <v>1.0989010989010988</v>
      </c>
      <c r="D84" s="28">
        <f t="shared" si="18"/>
        <v>1.0989010989010988</v>
      </c>
      <c r="E84" s="2" t="s">
        <v>256</v>
      </c>
      <c r="H84" s="2"/>
    </row>
    <row r="85" spans="1:8" ht="13">
      <c r="A85" s="2" t="s">
        <v>257</v>
      </c>
      <c r="C85" s="28">
        <f>C81*((C82*C83)-C84)</f>
        <v>2.7817960330837298E-3</v>
      </c>
      <c r="D85" s="28">
        <f>D81*(D82*D83-D84)</f>
        <v>2.8401941529451278E-3</v>
      </c>
      <c r="E85" s="2" t="s">
        <v>258</v>
      </c>
      <c r="H85" s="2"/>
    </row>
    <row r="86" spans="1:8" ht="13">
      <c r="H86" s="2"/>
    </row>
    <row r="87" spans="1:8" ht="13">
      <c r="A87" s="2" t="s">
        <v>259</v>
      </c>
      <c r="C87" s="2">
        <v>0.01</v>
      </c>
      <c r="H87" s="2"/>
    </row>
    <row r="88" spans="1:8" ht="13">
      <c r="A88" s="1" t="s">
        <v>3</v>
      </c>
      <c r="B88" s="2"/>
      <c r="C88" s="2"/>
      <c r="D88" s="2"/>
      <c r="G88" s="2"/>
      <c r="H88" s="2"/>
    </row>
    <row r="89" spans="1:8" ht="13">
      <c r="A89" s="2" t="s">
        <v>4</v>
      </c>
      <c r="B89" s="2"/>
      <c r="C89" s="2"/>
      <c r="D89" s="2"/>
      <c r="E89" s="6" t="s">
        <v>5</v>
      </c>
      <c r="F89" s="2">
        <v>0.25</v>
      </c>
      <c r="G89" s="2" t="s">
        <v>260</v>
      </c>
      <c r="H89" s="2"/>
    </row>
    <row r="90" spans="1:8" ht="13">
      <c r="E90" s="1" t="s">
        <v>7</v>
      </c>
      <c r="F90" s="2">
        <v>8</v>
      </c>
    </row>
    <row r="91" spans="1:8" ht="13">
      <c r="A91" s="6" t="s">
        <v>141</v>
      </c>
      <c r="B91" s="7">
        <v>0.09</v>
      </c>
      <c r="D91" s="8"/>
      <c r="E91" s="6" t="s">
        <v>10</v>
      </c>
      <c r="F91" s="7">
        <v>8</v>
      </c>
      <c r="G91" s="8"/>
      <c r="H91" s="8"/>
    </row>
    <row r="92" spans="1:8" ht="13">
      <c r="A92" s="7"/>
      <c r="B92" s="8"/>
      <c r="C92" s="8"/>
      <c r="D92" s="8"/>
      <c r="E92" s="8"/>
      <c r="F92" s="8"/>
      <c r="G92" s="8"/>
      <c r="H92" s="8"/>
    </row>
    <row r="93" spans="1:8" ht="13">
      <c r="A93" s="2"/>
      <c r="B93" s="1" t="s">
        <v>13</v>
      </c>
      <c r="C93" s="1" t="s">
        <v>13</v>
      </c>
      <c r="D93" s="1" t="s">
        <v>14</v>
      </c>
    </row>
    <row r="94" spans="1:8" ht="13">
      <c r="A94" s="9" t="s">
        <v>15</v>
      </c>
      <c r="B94" s="2" t="s">
        <v>16</v>
      </c>
      <c r="C94" s="2" t="s">
        <v>17</v>
      </c>
      <c r="D94" s="2" t="s">
        <v>18</v>
      </c>
    </row>
    <row r="95" spans="1:8" ht="14">
      <c r="A95" s="2" t="s">
        <v>21</v>
      </c>
      <c r="B95" s="51">
        <v>18.366199999999999</v>
      </c>
      <c r="C95" s="52">
        <v>8.7559000000000005</v>
      </c>
      <c r="D95" s="52">
        <v>16.9438</v>
      </c>
      <c r="G95" s="2"/>
      <c r="H95" s="2"/>
    </row>
    <row r="96" spans="1:8" ht="14">
      <c r="A96" s="2" t="s">
        <v>22</v>
      </c>
      <c r="B96" s="51">
        <v>18.251799999999999</v>
      </c>
      <c r="C96" s="52">
        <v>8.6809999999999992</v>
      </c>
      <c r="D96" s="52">
        <v>16.845600000000001</v>
      </c>
      <c r="E96" s="6"/>
      <c r="F96" s="2"/>
      <c r="G96" s="2"/>
      <c r="H96" s="2"/>
    </row>
    <row r="97" spans="1:8" ht="14">
      <c r="A97" s="2" t="s">
        <v>25</v>
      </c>
      <c r="B97" s="51">
        <v>18.744299999999999</v>
      </c>
      <c r="C97" s="52">
        <v>8.4710000000000001</v>
      </c>
      <c r="D97" s="52">
        <v>17.287400000000002</v>
      </c>
      <c r="E97" s="1"/>
      <c r="F97" s="2"/>
    </row>
    <row r="98" spans="1:8" ht="14">
      <c r="A98" s="2" t="s">
        <v>28</v>
      </c>
      <c r="B98" s="51">
        <v>18.5595</v>
      </c>
      <c r="C98" s="52">
        <v>8.3506999999999998</v>
      </c>
      <c r="D98" s="52">
        <v>17.177099999999999</v>
      </c>
      <c r="E98" s="6"/>
      <c r="F98" s="7"/>
      <c r="G98" s="8"/>
      <c r="H98" s="8"/>
    </row>
    <row r="99" spans="1:8" ht="13">
      <c r="A99" s="2"/>
      <c r="B99" s="1"/>
      <c r="C99" s="6"/>
      <c r="D99" s="6"/>
      <c r="E99" s="8"/>
      <c r="F99" s="8"/>
      <c r="G99" s="8"/>
      <c r="H99" s="8"/>
    </row>
    <row r="100" spans="1:8" ht="13">
      <c r="A100" s="9" t="s">
        <v>19</v>
      </c>
      <c r="B100" s="2" t="s">
        <v>16</v>
      </c>
      <c r="C100" s="7" t="s">
        <v>17</v>
      </c>
      <c r="D100" s="7" t="s">
        <v>18</v>
      </c>
      <c r="E100" s="7"/>
      <c r="F100" s="8"/>
      <c r="G100" s="8"/>
      <c r="H100" s="8"/>
    </row>
    <row r="101" spans="1:8" ht="14">
      <c r="A101" s="2" t="s">
        <v>21</v>
      </c>
      <c r="B101" s="51">
        <v>0.13950000000000001</v>
      </c>
      <c r="C101" s="52">
        <v>5.3499999999999999E-2</v>
      </c>
      <c r="D101" s="52">
        <v>2.2000000000000001E-3</v>
      </c>
      <c r="E101" s="6"/>
      <c r="G101" s="8"/>
      <c r="H101" s="6"/>
    </row>
    <row r="102" spans="1:8" ht="14">
      <c r="A102" s="2" t="s">
        <v>22</v>
      </c>
      <c r="B102" s="51">
        <v>0.1653</v>
      </c>
      <c r="C102" s="52">
        <v>4.5900000000000003E-2</v>
      </c>
      <c r="D102" s="52">
        <v>5.8999999999999999E-3</v>
      </c>
      <c r="E102" s="15"/>
      <c r="G102" s="6"/>
      <c r="H102" s="16"/>
    </row>
    <row r="103" spans="1:8" ht="14">
      <c r="A103" s="2" t="s">
        <v>25</v>
      </c>
      <c r="B103" s="51">
        <v>0.10489999999999999</v>
      </c>
      <c r="C103" s="52">
        <v>2.1700000000000001E-2</v>
      </c>
      <c r="D103" s="52">
        <v>3.3E-3</v>
      </c>
      <c r="E103" s="15"/>
      <c r="G103" s="6"/>
      <c r="H103" s="16"/>
    </row>
    <row r="104" spans="1:8" ht="14">
      <c r="A104" s="2" t="s">
        <v>28</v>
      </c>
      <c r="B104" s="51">
        <v>0.11219999999999999</v>
      </c>
      <c r="C104" s="52">
        <v>5.7500000000000002E-2</v>
      </c>
      <c r="D104" s="52">
        <v>2.3999999999999998E-3</v>
      </c>
      <c r="E104" s="8"/>
      <c r="G104" s="6"/>
      <c r="H104" s="16"/>
    </row>
    <row r="105" spans="1:8" ht="13">
      <c r="A105" s="7"/>
      <c r="B105" s="8"/>
      <c r="C105" s="8"/>
      <c r="D105" s="8"/>
      <c r="E105" s="8"/>
      <c r="G105" s="6"/>
      <c r="H105" s="16"/>
    </row>
    <row r="106" spans="1:8" ht="13">
      <c r="A106" s="17" t="s">
        <v>238</v>
      </c>
      <c r="B106" s="2" t="s">
        <v>16</v>
      </c>
      <c r="C106" s="7" t="s">
        <v>17</v>
      </c>
      <c r="D106" s="7" t="s">
        <v>18</v>
      </c>
      <c r="E106" s="6"/>
      <c r="G106" s="1"/>
      <c r="H106" s="11"/>
    </row>
    <row r="107" spans="1:8" ht="14">
      <c r="A107" s="7" t="s">
        <v>195</v>
      </c>
      <c r="B107" s="15">
        <f t="shared" ref="B107:D107" si="19">SQRT(AVERAGE(B101^2,B102^2))/SQRT($F$90)</f>
        <v>5.4074219827936497E-2</v>
      </c>
      <c r="C107" s="15">
        <f t="shared" si="19"/>
        <v>1.7622889944614646E-2</v>
      </c>
      <c r="D107" s="15">
        <f t="shared" si="19"/>
        <v>1.5742061491431163E-3</v>
      </c>
      <c r="E107" s="15" t="s">
        <v>239</v>
      </c>
    </row>
    <row r="108" spans="1:8" ht="14">
      <c r="A108" s="7" t="s">
        <v>196</v>
      </c>
      <c r="B108" s="15">
        <f t="shared" ref="B108:D108" si="20">SQRT(AVERAGE(B104^2,B103^2))/SQRT($F$90)</f>
        <v>3.8399910481666487E-2</v>
      </c>
      <c r="C108" s="15">
        <f t="shared" si="20"/>
        <v>1.5364610310710779E-2</v>
      </c>
      <c r="D108" s="15">
        <f t="shared" si="20"/>
        <v>1.0201102881551582E-3</v>
      </c>
      <c r="E108" s="15"/>
    </row>
    <row r="109" spans="1:8" ht="13">
      <c r="A109" s="7"/>
      <c r="B109" s="11"/>
      <c r="C109" s="11"/>
      <c r="D109" s="11"/>
      <c r="E109" s="8"/>
      <c r="H109" s="6"/>
    </row>
    <row r="110" spans="1:8" ht="13">
      <c r="A110" s="9" t="s">
        <v>35</v>
      </c>
      <c r="B110" s="12"/>
      <c r="C110" s="12" t="s">
        <v>13</v>
      </c>
      <c r="D110" s="12" t="s">
        <v>14</v>
      </c>
      <c r="E110" s="11"/>
      <c r="G110" s="6"/>
      <c r="H110" s="34"/>
    </row>
    <row r="111" spans="1:8" ht="13">
      <c r="A111" s="2" t="s">
        <v>27</v>
      </c>
      <c r="B111" s="11"/>
      <c r="C111" s="11">
        <f>AVERAGE(C95:C96)/AVERAGE(B95:B96)</f>
        <v>0.47618384401114217</v>
      </c>
      <c r="D111" s="11">
        <f>AVERAGE(C95:C96)/AVERAGE(D95:D96)</f>
        <v>0.51604645243774683</v>
      </c>
      <c r="E111" s="11"/>
      <c r="G111" s="6"/>
      <c r="H111" s="34"/>
    </row>
    <row r="112" spans="1:8" ht="13">
      <c r="A112" s="2" t="s">
        <v>30</v>
      </c>
      <c r="B112" s="8"/>
      <c r="C112" s="49">
        <f>AVERAGE(C97:C98)/AVERAGE(B97:B98)</f>
        <v>0.45093797414740594</v>
      </c>
      <c r="D112" s="49">
        <f>AVERAGE(C97:C98)/AVERAGE(D97:D98)</f>
        <v>0.48808774245963238</v>
      </c>
      <c r="E112" s="8"/>
      <c r="G112" s="7"/>
    </row>
    <row r="113" spans="1:8" ht="13">
      <c r="A113" s="2" t="s">
        <v>31</v>
      </c>
      <c r="B113" s="8"/>
      <c r="C113" s="49">
        <f t="shared" ref="C113:D113" si="21">C112/C111</f>
        <v>0.94698293488691843</v>
      </c>
      <c r="D113" s="49">
        <f t="shared" si="21"/>
        <v>0.94582133091693477</v>
      </c>
      <c r="E113" s="8"/>
      <c r="F113" s="8"/>
    </row>
    <row r="114" spans="1:8" ht="13">
      <c r="A114" s="7" t="s">
        <v>44</v>
      </c>
      <c r="B114" s="8"/>
      <c r="C114" s="34">
        <f>(B107/AVERAGE(B95:B96))^2+(C107/AVERAGE(C95:C96))^2</f>
        <v>1.2808493560181298E-5</v>
      </c>
      <c r="D114" s="34">
        <f>(D107/AVERAGE(D95:D96))^2+(C107/AVERAGE(C95:C96))^2</f>
        <v>4.094468798627748E-6</v>
      </c>
      <c r="E114" s="7" t="s">
        <v>43</v>
      </c>
      <c r="F114" s="8"/>
      <c r="G114" s="8"/>
      <c r="H114" s="8"/>
    </row>
    <row r="115" spans="1:8" ht="13">
      <c r="A115" s="7" t="s">
        <v>42</v>
      </c>
      <c r="B115" s="8"/>
      <c r="C115" s="34">
        <f>(B108/AVERAGE(B97:B98))^2+(C108/AVERAGE(C97:C98))^2</f>
        <v>7.5755749848786805E-6</v>
      </c>
      <c r="D115" s="50">
        <f>(D108/AVERAGE(D97:D98))^2+(C108/AVERAGE(C97:C98))^2</f>
        <v>3.3405590612103046E-6</v>
      </c>
      <c r="F115" s="8"/>
      <c r="G115" s="8"/>
      <c r="H115" s="8"/>
    </row>
    <row r="116" spans="1:8" ht="13">
      <c r="A116" s="1"/>
      <c r="B116" s="1"/>
      <c r="C116" s="20" t="s">
        <v>13</v>
      </c>
      <c r="D116" s="20" t="s">
        <v>14</v>
      </c>
      <c r="F116" s="6"/>
      <c r="G116" s="8"/>
      <c r="H116" s="8"/>
    </row>
    <row r="117" spans="1:8" ht="13">
      <c r="A117" s="39" t="s">
        <v>0</v>
      </c>
      <c r="B117" s="16"/>
      <c r="C117" s="16">
        <f t="shared" ref="C117:D117" si="22">LN(1-$B$91)/LN(1-$B$91*C113)</f>
        <v>1.0587078161182115</v>
      </c>
      <c r="D117" s="16">
        <f t="shared" si="22"/>
        <v>1.0600677318554543</v>
      </c>
      <c r="E117" s="2" t="s">
        <v>39</v>
      </c>
      <c r="F117" s="7"/>
      <c r="G117" s="8"/>
    </row>
    <row r="118" spans="1:8" ht="13">
      <c r="A118" s="39" t="s">
        <v>38</v>
      </c>
      <c r="B118" s="16"/>
      <c r="C118" s="49">
        <f>C117*SQRT(C124^2*(C114+C115)+C130^2*C132^2)</f>
        <v>4.999382299328504E-3</v>
      </c>
      <c r="D118" s="16">
        <f>D117*SQRT(D124^2*(D114+D115)+D130^2*C132^2)</f>
        <v>3.0231420082830903E-3</v>
      </c>
      <c r="E118" s="27" t="s">
        <v>226</v>
      </c>
      <c r="F118" s="7"/>
      <c r="G118" s="8"/>
    </row>
    <row r="119" spans="1:8" ht="13">
      <c r="A119" s="2"/>
      <c r="B119" s="16"/>
      <c r="C119" s="16"/>
      <c r="D119" s="16"/>
      <c r="F119" s="7"/>
      <c r="G119" s="8"/>
    </row>
    <row r="120" spans="1:8" ht="13">
      <c r="A120" s="9" t="s">
        <v>148</v>
      </c>
      <c r="B120" s="16"/>
      <c r="C120" s="12" t="s">
        <v>13</v>
      </c>
      <c r="D120" s="12" t="s">
        <v>14</v>
      </c>
      <c r="E120" s="6"/>
      <c r="F120" s="2"/>
      <c r="G120" s="8"/>
      <c r="H120" s="8"/>
    </row>
    <row r="121" spans="1:8" ht="13">
      <c r="A121" s="2" t="s">
        <v>149</v>
      </c>
      <c r="C121" s="28">
        <f>B91/LN(1-B91)</f>
        <v>-0.95429277473760776</v>
      </c>
      <c r="D121" s="28">
        <f>B91/LN(1-B91)</f>
        <v>-0.95429277473760776</v>
      </c>
      <c r="E121" s="7" t="s">
        <v>217</v>
      </c>
    </row>
    <row r="122" spans="1:8" ht="13">
      <c r="A122" s="2" t="s">
        <v>150</v>
      </c>
      <c r="C122" s="28">
        <f t="shared" ref="C122:D122" si="23">C117*C113</f>
        <v>1.0025782348953438</v>
      </c>
      <c r="D122" s="28">
        <f t="shared" si="23"/>
        <v>1.0026346730056221</v>
      </c>
      <c r="E122" s="7" t="s">
        <v>220</v>
      </c>
    </row>
    <row r="123" spans="1:8" ht="13">
      <c r="A123" s="2" t="s">
        <v>151</v>
      </c>
      <c r="C123" s="28">
        <f t="shared" ref="C123:D123" si="24">1-$B$91*C113</f>
        <v>0.91477153586017734</v>
      </c>
      <c r="D123" s="28">
        <f t="shared" si="24"/>
        <v>0.91487608021747591</v>
      </c>
      <c r="E123" s="7" t="s">
        <v>221</v>
      </c>
    </row>
    <row r="124" spans="1:8" ht="13">
      <c r="A124" s="2" t="s">
        <v>243</v>
      </c>
      <c r="C124" s="28">
        <f t="shared" ref="C124:D124" si="25">C121*C122/C123</f>
        <v>-1.0458930215511759</v>
      </c>
      <c r="D124" s="28">
        <f t="shared" si="25"/>
        <v>-1.0458323753783418</v>
      </c>
      <c r="E124" s="2" t="s">
        <v>245</v>
      </c>
    </row>
    <row r="126" spans="1:8" ht="13">
      <c r="A126" s="2" t="s">
        <v>251</v>
      </c>
      <c r="C126" s="28">
        <f t="shared" ref="C126:D126" si="26">$B$91/LN(1-$B$91)</f>
        <v>-0.95429277473760776</v>
      </c>
      <c r="D126" s="28">
        <f t="shared" si="26"/>
        <v>-0.95429277473760776</v>
      </c>
      <c r="E126" s="2" t="s">
        <v>217</v>
      </c>
    </row>
    <row r="127" spans="1:8" ht="13">
      <c r="A127" s="2" t="s">
        <v>252</v>
      </c>
      <c r="C127" s="28">
        <f t="shared" ref="C127:D127" si="27">C117*C113</f>
        <v>1.0025782348953438</v>
      </c>
      <c r="D127" s="28">
        <f t="shared" si="27"/>
        <v>1.0026346730056221</v>
      </c>
      <c r="E127" s="2" t="s">
        <v>220</v>
      </c>
    </row>
    <row r="128" spans="1:8" ht="13">
      <c r="A128" s="2" t="s">
        <v>253</v>
      </c>
      <c r="C128" s="28">
        <f t="shared" ref="C128:D128" si="28">1/(1-$B$91*C113)</f>
        <v>1.0931691256218206</v>
      </c>
      <c r="D128" s="28">
        <f t="shared" si="28"/>
        <v>1.0930442074322122</v>
      </c>
      <c r="E128" s="2" t="s">
        <v>254</v>
      </c>
    </row>
    <row r="129" spans="1:5" ht="13">
      <c r="A129" s="2" t="s">
        <v>255</v>
      </c>
      <c r="C129" s="28">
        <f t="shared" ref="C129:D129" si="29">1/(1-$B$91)</f>
        <v>1.0989010989010988</v>
      </c>
      <c r="D129" s="28">
        <f t="shared" si="29"/>
        <v>1.0989010989010988</v>
      </c>
      <c r="E129" s="2" t="s">
        <v>256</v>
      </c>
    </row>
    <row r="130" spans="1:5" ht="13">
      <c r="A130" s="2" t="s">
        <v>257</v>
      </c>
      <c r="C130" s="28">
        <f>C126*((C127*C128)-C129)</f>
        <v>2.7803572813600162E-3</v>
      </c>
      <c r="D130" s="28">
        <f>D126*(D127*D128-D129)</f>
        <v>2.8410034541942295E-3</v>
      </c>
      <c r="E130" s="2" t="s">
        <v>258</v>
      </c>
    </row>
    <row r="132" spans="1:5" ht="13">
      <c r="A132" s="2" t="s">
        <v>259</v>
      </c>
      <c r="C132" s="2">
        <v>0.01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3"/>
  <sheetViews>
    <sheetView workbookViewId="0"/>
  </sheetViews>
  <sheetFormatPr baseColWidth="10" defaultColWidth="14.5" defaultRowHeight="15.75" customHeight="1"/>
  <cols>
    <col min="1" max="2" width="17.5" customWidth="1"/>
    <col min="3" max="4" width="16.5" customWidth="1"/>
    <col min="5" max="5" width="17.6640625" customWidth="1"/>
    <col min="6" max="6" width="14.6640625" customWidth="1"/>
    <col min="8" max="9" width="15.33203125" customWidth="1"/>
    <col min="10" max="10" width="15" customWidth="1"/>
  </cols>
  <sheetData>
    <row r="1" spans="1:12" ht="15.75" customHeight="1">
      <c r="A1" s="1" t="s">
        <v>3</v>
      </c>
      <c r="B1" s="2"/>
      <c r="C1" s="2"/>
      <c r="D1" s="2"/>
      <c r="I1" s="2" t="s">
        <v>5</v>
      </c>
      <c r="J1" s="2">
        <v>0.25</v>
      </c>
      <c r="K1" s="2" t="s">
        <v>262</v>
      </c>
    </row>
    <row r="2" spans="1:12" ht="15.75" customHeight="1">
      <c r="A2" s="2" t="s">
        <v>240</v>
      </c>
      <c r="B2" s="2"/>
      <c r="C2" s="2"/>
      <c r="D2" s="2"/>
      <c r="F2" s="1" t="s">
        <v>9</v>
      </c>
      <c r="G2" s="2">
        <v>0.09</v>
      </c>
      <c r="I2" s="2" t="s">
        <v>142</v>
      </c>
      <c r="J2" s="2">
        <v>6</v>
      </c>
    </row>
    <row r="3" spans="1:12" ht="15.75" customHeight="1">
      <c r="A3" s="2" t="s">
        <v>264</v>
      </c>
      <c r="B3" s="2"/>
      <c r="C3" s="2"/>
      <c r="D3" s="2"/>
      <c r="I3" s="2" t="s">
        <v>265</v>
      </c>
      <c r="J3" s="2" t="s">
        <v>58</v>
      </c>
      <c r="K3" s="2" t="s">
        <v>266</v>
      </c>
      <c r="L3" s="2"/>
    </row>
    <row r="4" spans="1:12" ht="15.75" customHeight="1">
      <c r="A4" s="2"/>
      <c r="B4" s="2"/>
      <c r="C4" s="2"/>
      <c r="D4" s="2"/>
      <c r="L4" s="2"/>
    </row>
    <row r="5" spans="1:12" ht="15.75" customHeight="1">
      <c r="A5" s="2"/>
      <c r="B5" s="1" t="s">
        <v>158</v>
      </c>
      <c r="C5" s="1" t="s">
        <v>159</v>
      </c>
      <c r="D5" s="1" t="s">
        <v>160</v>
      </c>
      <c r="E5" s="1" t="s">
        <v>161</v>
      </c>
      <c r="F5" s="1" t="s">
        <v>267</v>
      </c>
      <c r="G5" s="1" t="s">
        <v>241</v>
      </c>
      <c r="L5" s="2"/>
    </row>
    <row r="6" spans="1:12" ht="15.75" customHeight="1">
      <c r="A6" s="9" t="s">
        <v>15</v>
      </c>
      <c r="B6" s="2" t="s">
        <v>168</v>
      </c>
      <c r="C6" s="2" t="s">
        <v>155</v>
      </c>
      <c r="D6" s="2" t="s">
        <v>153</v>
      </c>
      <c r="E6" s="2" t="s">
        <v>169</v>
      </c>
      <c r="F6" s="2" t="s">
        <v>156</v>
      </c>
      <c r="G6" s="2" t="s">
        <v>154</v>
      </c>
      <c r="I6" s="2" t="s">
        <v>268</v>
      </c>
      <c r="L6" s="2"/>
    </row>
    <row r="7" spans="1:12" ht="15.75" customHeight="1">
      <c r="A7" s="2" t="s">
        <v>185</v>
      </c>
      <c r="B7" s="11">
        <v>51.035699999999999</v>
      </c>
      <c r="C7" s="11">
        <v>51.490699999999997</v>
      </c>
      <c r="D7" s="11">
        <v>100.64019999999999</v>
      </c>
      <c r="E7" s="11">
        <v>102.4289</v>
      </c>
      <c r="F7" s="11">
        <v>37.5747</v>
      </c>
      <c r="G7" s="11">
        <v>43.867899999999999</v>
      </c>
      <c r="I7" s="11">
        <f t="shared" ref="I7:I10" ca="1" si="0">INDIRECT(CONCATENATE($J$3,ROW(A7)))</f>
        <v>100.64019999999999</v>
      </c>
      <c r="L7" s="2"/>
    </row>
    <row r="8" spans="1:12" ht="15.75" customHeight="1">
      <c r="A8" s="2" t="s">
        <v>186</v>
      </c>
      <c r="B8" s="11">
        <v>51.972999999999999</v>
      </c>
      <c r="C8" s="11">
        <v>52.299599999999998</v>
      </c>
      <c r="D8" s="11">
        <v>103.1562</v>
      </c>
      <c r="E8" s="11">
        <v>104.90819999999999</v>
      </c>
      <c r="F8" s="11">
        <v>38.599400000000003</v>
      </c>
      <c r="G8" s="11">
        <v>45.126800000000003</v>
      </c>
      <c r="I8" s="11">
        <f t="shared" ca="1" si="0"/>
        <v>103.1562</v>
      </c>
      <c r="L8" s="2"/>
    </row>
    <row r="9" spans="1:12" ht="15.75" customHeight="1">
      <c r="A9" s="2" t="s">
        <v>187</v>
      </c>
      <c r="B9" s="11">
        <v>50.858800000000002</v>
      </c>
      <c r="C9" s="11">
        <v>51.903399999999998</v>
      </c>
      <c r="D9" s="11">
        <v>101.6091</v>
      </c>
      <c r="E9" s="11">
        <v>103.34869999999999</v>
      </c>
      <c r="F9" s="11">
        <v>37.896299999999997</v>
      </c>
      <c r="G9" s="11">
        <v>42.029899999999998</v>
      </c>
      <c r="I9" s="11">
        <f t="shared" ca="1" si="0"/>
        <v>101.6091</v>
      </c>
      <c r="L9" s="2"/>
    </row>
    <row r="10" spans="1:12" ht="15.75" customHeight="1">
      <c r="A10" s="2" t="s">
        <v>188</v>
      </c>
      <c r="B10" s="11">
        <v>48.0807</v>
      </c>
      <c r="C10" s="11">
        <v>48.234200000000001</v>
      </c>
      <c r="D10" s="11">
        <v>95.060400000000001</v>
      </c>
      <c r="E10" s="11">
        <v>97.025999999999996</v>
      </c>
      <c r="F10" s="11">
        <v>34.880600000000001</v>
      </c>
      <c r="G10" s="11">
        <v>39.266199999999998</v>
      </c>
      <c r="I10" s="11">
        <f t="shared" ca="1" si="0"/>
        <v>95.060400000000001</v>
      </c>
      <c r="L10" s="2"/>
    </row>
    <row r="11" spans="1:12" ht="15.75" customHeight="1">
      <c r="A11" s="2"/>
      <c r="B11" s="2"/>
      <c r="C11" s="2"/>
      <c r="D11" s="2"/>
      <c r="L11" s="2"/>
    </row>
    <row r="12" spans="1:12" ht="15.75" customHeight="1">
      <c r="A12" s="9" t="s">
        <v>19</v>
      </c>
      <c r="B12" s="2" t="s">
        <v>168</v>
      </c>
      <c r="C12" s="2" t="s">
        <v>155</v>
      </c>
      <c r="D12" s="2" t="s">
        <v>153</v>
      </c>
      <c r="E12" s="2" t="s">
        <v>169</v>
      </c>
      <c r="F12" s="2" t="s">
        <v>156</v>
      </c>
      <c r="G12" s="2" t="s">
        <v>154</v>
      </c>
      <c r="I12" s="2" t="s">
        <v>268</v>
      </c>
      <c r="L12" s="2"/>
    </row>
    <row r="13" spans="1:12" ht="15.75" customHeight="1">
      <c r="A13" s="2" t="s">
        <v>185</v>
      </c>
      <c r="B13" s="11">
        <v>0.32329999999999998</v>
      </c>
      <c r="C13" s="11">
        <v>0.18010000000000001</v>
      </c>
      <c r="D13" s="11">
        <v>0.44219999999999998</v>
      </c>
      <c r="E13" s="11">
        <v>0.1467</v>
      </c>
      <c r="F13" s="11">
        <v>0.45479999999999998</v>
      </c>
      <c r="G13" s="11">
        <v>0.30299999999999999</v>
      </c>
      <c r="I13" s="11">
        <f t="shared" ref="I13:I16" ca="1" si="1">INDIRECT(CONCATENATE($J$3,ROW(A13)))</f>
        <v>0.44219999999999998</v>
      </c>
      <c r="L13" s="2"/>
    </row>
    <row r="14" spans="1:12" ht="15.75" customHeight="1">
      <c r="A14" s="2" t="s">
        <v>186</v>
      </c>
      <c r="B14" s="11">
        <v>0.35089999999999999</v>
      </c>
      <c r="C14" s="11">
        <v>0.29249999999999998</v>
      </c>
      <c r="D14" s="11">
        <v>0.55840000000000001</v>
      </c>
      <c r="E14" s="11">
        <v>0.60489999999999999</v>
      </c>
      <c r="F14" s="11">
        <v>0.40739999999999998</v>
      </c>
      <c r="G14" s="11">
        <v>0.2591</v>
      </c>
      <c r="I14" s="11">
        <f t="shared" ca="1" si="1"/>
        <v>0.55840000000000001</v>
      </c>
      <c r="L14" s="2"/>
    </row>
    <row r="15" spans="1:12" ht="15.75" customHeight="1">
      <c r="A15" s="2" t="s">
        <v>187</v>
      </c>
      <c r="B15" s="11">
        <v>0.15379999999999999</v>
      </c>
      <c r="C15" s="11">
        <v>0.41610000000000003</v>
      </c>
      <c r="D15" s="11">
        <v>0.19439999999999999</v>
      </c>
      <c r="E15" s="11">
        <v>0.38369999999999999</v>
      </c>
      <c r="F15" s="11">
        <v>0.44269999999999998</v>
      </c>
      <c r="G15" s="11">
        <v>0.2979</v>
      </c>
      <c r="I15" s="11">
        <f t="shared" ca="1" si="1"/>
        <v>0.19439999999999999</v>
      </c>
      <c r="L15" s="2"/>
    </row>
    <row r="16" spans="1:12" ht="15.75" customHeight="1">
      <c r="A16" s="2" t="s">
        <v>188</v>
      </c>
      <c r="B16" s="11">
        <v>0.3019</v>
      </c>
      <c r="C16" s="11">
        <v>0.1986</v>
      </c>
      <c r="D16" s="11">
        <v>0.3992</v>
      </c>
      <c r="E16" s="11">
        <v>0.40689999999999998</v>
      </c>
      <c r="F16" s="11">
        <v>0.43159999999999998</v>
      </c>
      <c r="G16" s="11">
        <v>0.24829999999999999</v>
      </c>
      <c r="I16" s="11">
        <f t="shared" ca="1" si="1"/>
        <v>0.3992</v>
      </c>
      <c r="L16" s="2"/>
    </row>
    <row r="17" spans="1:12" ht="15.75" customHeight="1">
      <c r="A17" s="2"/>
      <c r="B17" s="2"/>
      <c r="C17" s="2"/>
      <c r="D17" s="2"/>
      <c r="L17" s="2"/>
    </row>
    <row r="18" spans="1:12" ht="15.75" customHeight="1">
      <c r="A18" s="9" t="s">
        <v>238</v>
      </c>
      <c r="B18" s="2" t="s">
        <v>168</v>
      </c>
      <c r="C18" s="2" t="s">
        <v>155</v>
      </c>
      <c r="D18" s="2" t="s">
        <v>153</v>
      </c>
      <c r="E18" s="2" t="s">
        <v>169</v>
      </c>
      <c r="F18" s="2" t="s">
        <v>156</v>
      </c>
      <c r="G18" s="2" t="s">
        <v>154</v>
      </c>
      <c r="I18" s="2" t="s">
        <v>268</v>
      </c>
      <c r="L18" s="2"/>
    </row>
    <row r="19" spans="1:12" ht="15.75" customHeight="1">
      <c r="A19" s="2" t="s">
        <v>195</v>
      </c>
      <c r="B19" s="12">
        <f t="shared" ref="B19:G19" si="2">SQRT(AVERAGE(B13^2,B14^2))/SQRT($J$2)</f>
        <v>0.13773576756480746</v>
      </c>
      <c r="C19" s="12">
        <f t="shared" si="2"/>
        <v>9.9159912935285158E-2</v>
      </c>
      <c r="D19" s="12">
        <f t="shared" si="2"/>
        <v>0.20561926790389404</v>
      </c>
      <c r="E19" s="12">
        <f t="shared" si="2"/>
        <v>0.17968140786774056</v>
      </c>
      <c r="F19" s="12">
        <f t="shared" si="2"/>
        <v>0.17626159536325547</v>
      </c>
      <c r="G19" s="12">
        <f t="shared" si="2"/>
        <v>0.11508757897068361</v>
      </c>
      <c r="I19" s="11">
        <f t="shared" ref="I19:I20" ca="1" si="3">INDIRECT(CONCATENATE($J$3,ROW(A19)))</f>
        <v>0.20561926790389404</v>
      </c>
      <c r="L19" s="2"/>
    </row>
    <row r="20" spans="1:12" ht="15.75" customHeight="1">
      <c r="A20" s="2" t="s">
        <v>196</v>
      </c>
      <c r="B20" s="12">
        <f t="shared" ref="B20:G20" si="4">SQRT(AVERAGE(B15^2,B16^2))/SQRT($J$2)</f>
        <v>9.7808507639502759E-2</v>
      </c>
      <c r="C20" s="12">
        <f t="shared" si="4"/>
        <v>0.1330980747418985</v>
      </c>
      <c r="D20" s="12">
        <f t="shared" si="4"/>
        <v>0.12817696100833931</v>
      </c>
      <c r="E20" s="12">
        <f t="shared" si="4"/>
        <v>0.16145001806544754</v>
      </c>
      <c r="F20" s="12">
        <f t="shared" si="4"/>
        <v>0.17848012260940058</v>
      </c>
      <c r="G20" s="12">
        <f t="shared" si="4"/>
        <v>0.11195136592884132</v>
      </c>
      <c r="I20" s="11">
        <f t="shared" ca="1" si="3"/>
        <v>0.12817696100833931</v>
      </c>
      <c r="L20" s="2"/>
    </row>
    <row r="21" spans="1:12" ht="15.75" customHeight="1">
      <c r="A21" s="2"/>
      <c r="B21" s="2"/>
      <c r="C21" s="2"/>
      <c r="D21" s="2"/>
      <c r="L21" s="2"/>
    </row>
    <row r="22" spans="1:12" ht="15.75" customHeight="1">
      <c r="A22" s="9" t="s">
        <v>35</v>
      </c>
      <c r="B22" s="2" t="s">
        <v>168</v>
      </c>
      <c r="C22" s="2" t="s">
        <v>155</v>
      </c>
      <c r="D22" s="2" t="s">
        <v>153</v>
      </c>
      <c r="E22" s="2" t="s">
        <v>169</v>
      </c>
      <c r="F22" s="2" t="s">
        <v>156</v>
      </c>
      <c r="G22" s="2" t="s">
        <v>154</v>
      </c>
      <c r="L22" s="2"/>
    </row>
    <row r="23" spans="1:12" ht="15.75" customHeight="1">
      <c r="A23" s="2" t="s">
        <v>27</v>
      </c>
      <c r="B23" s="12">
        <f t="shared" ref="B23:G23" ca="1" si="5">AVERAGE(B7:B8)/AVERAGE($I$7:$I$8)</f>
        <v>0.50544906583236993</v>
      </c>
      <c r="C23" s="12">
        <f t="shared" ca="1" si="5"/>
        <v>0.50928426606161836</v>
      </c>
      <c r="D23" s="12">
        <f t="shared" ca="1" si="5"/>
        <v>1</v>
      </c>
      <c r="E23" s="12">
        <f t="shared" ca="1" si="5"/>
        <v>1.0173737121951123</v>
      </c>
      <c r="F23" s="12">
        <f t="shared" ca="1" si="5"/>
        <v>0.37377549358084838</v>
      </c>
      <c r="G23" s="12">
        <f t="shared" ca="1" si="5"/>
        <v>0.43668435752545182</v>
      </c>
      <c r="L23" s="2"/>
    </row>
    <row r="24" spans="1:12" ht="15.75" customHeight="1">
      <c r="A24" s="2" t="s">
        <v>30</v>
      </c>
      <c r="B24" s="12">
        <f t="shared" ref="B24:G24" ca="1" si="6">AVERAGE(B9:B10)/AVERAGE($I$9:$I$10)</f>
        <v>0.50307495569979077</v>
      </c>
      <c r="C24" s="12">
        <f t="shared" ca="1" si="6"/>
        <v>0.50916690183277014</v>
      </c>
      <c r="D24" s="12">
        <f t="shared" ca="1" si="6"/>
        <v>1</v>
      </c>
      <c r="E24" s="12">
        <f t="shared" ca="1" si="6"/>
        <v>1.0188397285801813</v>
      </c>
      <c r="F24" s="12">
        <f t="shared" ca="1" si="6"/>
        <v>0.37004670271699475</v>
      </c>
      <c r="G24" s="12">
        <f t="shared" ca="1" si="6"/>
        <v>0.41336404475528743</v>
      </c>
      <c r="L24" s="2"/>
    </row>
    <row r="25" spans="1:12" ht="15.75" customHeight="1">
      <c r="A25" s="2" t="s">
        <v>31</v>
      </c>
      <c r="B25" s="12">
        <f t="shared" ref="B25:G25" ca="1" si="7">B24/B23</f>
        <v>0.99530296860145639</v>
      </c>
      <c r="C25" s="12">
        <f t="shared" ca="1" si="7"/>
        <v>0.99976955064848982</v>
      </c>
      <c r="D25" s="12">
        <f t="shared" ca="1" si="7"/>
        <v>1</v>
      </c>
      <c r="E25" s="12">
        <f t="shared" ca="1" si="7"/>
        <v>1.0014409811925511</v>
      </c>
      <c r="F25" s="12">
        <f t="shared" ca="1" si="7"/>
        <v>0.99002398250315704</v>
      </c>
      <c r="G25" s="12">
        <f t="shared" ca="1" si="7"/>
        <v>0.94659686712317104</v>
      </c>
      <c r="L25" s="2"/>
    </row>
    <row r="26" spans="1:12" ht="15.75" customHeight="1">
      <c r="A26" s="7" t="s">
        <v>44</v>
      </c>
      <c r="B26" s="20">
        <f t="shared" ref="B26:G26" ca="1" si="8">(B19/AVERAGE(B7:B8))^2+($I$19/AVERAGE($I$7:$I$8))^2</f>
        <v>1.1223516470634925E-5</v>
      </c>
      <c r="C26" s="20">
        <f t="shared" ca="1" si="8"/>
        <v>7.7229344373705579E-6</v>
      </c>
      <c r="D26" s="20">
        <f t="shared" ca="1" si="8"/>
        <v>8.1437529042978652E-6</v>
      </c>
      <c r="E26" s="20">
        <f t="shared" ca="1" si="8"/>
        <v>7.075961579967477E-6</v>
      </c>
      <c r="F26" s="20">
        <f t="shared" ca="1" si="8"/>
        <v>2.5488979249158718E-5</v>
      </c>
      <c r="G26" s="20">
        <f t="shared" ca="1" si="8"/>
        <v>1.0761298740548674E-5</v>
      </c>
      <c r="H26" s="7" t="s">
        <v>43</v>
      </c>
      <c r="L26" s="2"/>
    </row>
    <row r="27" spans="1:12" ht="15.75" customHeight="1">
      <c r="A27" s="7" t="s">
        <v>42</v>
      </c>
      <c r="B27" s="20">
        <f t="shared" ref="B27:G27" ca="1" si="9">(B20/AVERAGE(B9:B10))^2+($I$20/AVERAGE($I$9:$I$10))^2</f>
        <v>5.6081224815161559E-6</v>
      </c>
      <c r="C27" s="20">
        <f t="shared" ca="1" si="9"/>
        <v>8.7656274009170164E-6</v>
      </c>
      <c r="D27" s="20">
        <f t="shared" ca="1" si="9"/>
        <v>3.3980980087085902E-6</v>
      </c>
      <c r="E27" s="20">
        <f t="shared" ca="1" si="9"/>
        <v>4.2959202461208282E-6</v>
      </c>
      <c r="F27" s="20">
        <f t="shared" ca="1" si="9"/>
        <v>2.5756665508687999E-5</v>
      </c>
      <c r="G27" s="20">
        <f t="shared" ca="1" si="9"/>
        <v>9.2844642709093551E-6</v>
      </c>
      <c r="L27" s="2"/>
    </row>
    <row r="28" spans="1:12" ht="15.75" customHeight="1">
      <c r="A28" s="1"/>
      <c r="B28" s="12"/>
      <c r="C28" s="12"/>
      <c r="D28" s="12"/>
      <c r="E28" s="12"/>
      <c r="F28" s="12"/>
      <c r="G28" s="12"/>
      <c r="L28" s="2"/>
    </row>
    <row r="29" spans="1:12" ht="15.75" customHeight="1">
      <c r="A29" s="39" t="s">
        <v>0</v>
      </c>
      <c r="B29" s="12">
        <f t="shared" ref="B29:G29" ca="1" si="10">LN(1-$G$2)/LN(1-$G$2*B25)</f>
        <v>1.0049488788501544</v>
      </c>
      <c r="C29" s="12">
        <f t="shared" ca="1" si="10"/>
        <v>1.0002417217614394</v>
      </c>
      <c r="D29" s="12">
        <f t="shared" ca="1" si="10"/>
        <v>1</v>
      </c>
      <c r="E29" s="12">
        <f t="shared" ca="1" si="10"/>
        <v>0.99849105405429639</v>
      </c>
      <c r="F29" s="12">
        <f t="shared" ca="1" si="10"/>
        <v>1.0105669186720112</v>
      </c>
      <c r="G29" s="12">
        <f t="shared" ca="1" si="10"/>
        <v>1.0591594242355173</v>
      </c>
      <c r="H29" s="2" t="s">
        <v>39</v>
      </c>
      <c r="L29" s="2"/>
    </row>
    <row r="30" spans="1:12" ht="13">
      <c r="A30" s="39" t="s">
        <v>38</v>
      </c>
      <c r="B30" s="12">
        <f t="shared" ref="B30:G30" ca="1" si="11">B29*SQRT(B36^2*(B26+B27))</f>
        <v>4.3450160670554152E-3</v>
      </c>
      <c r="C30" s="12">
        <f t="shared" ca="1" si="11"/>
        <v>4.2603135506630307E-3</v>
      </c>
      <c r="D30" s="12">
        <f t="shared" ca="1" si="11"/>
        <v>3.5626894967885885E-3</v>
      </c>
      <c r="E30" s="12">
        <f t="shared" ca="1" si="11"/>
        <v>3.5256952348132983E-3</v>
      </c>
      <c r="F30" s="12">
        <f t="shared" ca="1" si="11"/>
        <v>7.6665306947972366E-3</v>
      </c>
      <c r="G30" s="12">
        <f t="shared" ca="1" si="11"/>
        <v>5.2671320786629424E-3</v>
      </c>
      <c r="H30" s="27" t="s">
        <v>226</v>
      </c>
      <c r="L30" s="2"/>
    </row>
    <row r="31" spans="1:12" ht="13">
      <c r="A31" s="2"/>
      <c r="B31" s="2"/>
      <c r="C31" s="2"/>
      <c r="D31" s="2"/>
      <c r="L31" s="2"/>
    </row>
    <row r="32" spans="1:12" ht="13">
      <c r="A32" s="9" t="s">
        <v>148</v>
      </c>
      <c r="B32" s="2" t="s">
        <v>168</v>
      </c>
      <c r="C32" s="2" t="s">
        <v>155</v>
      </c>
      <c r="D32" s="2" t="s">
        <v>153</v>
      </c>
      <c r="E32" s="2" t="s">
        <v>169</v>
      </c>
      <c r="F32" s="2" t="s">
        <v>156</v>
      </c>
      <c r="G32" s="2" t="s">
        <v>154</v>
      </c>
      <c r="H32" s="6"/>
      <c r="L32" s="2"/>
    </row>
    <row r="33" spans="1:22" ht="13">
      <c r="A33" s="2" t="s">
        <v>149</v>
      </c>
      <c r="B33" s="12">
        <f t="shared" ref="B33:G33" si="12">$G$2/LN(1-$G$2)</f>
        <v>-0.95429277473760776</v>
      </c>
      <c r="C33" s="12">
        <f t="shared" si="12"/>
        <v>-0.95429277473760776</v>
      </c>
      <c r="D33" s="12">
        <f t="shared" si="12"/>
        <v>-0.95429277473760776</v>
      </c>
      <c r="E33" s="12">
        <f t="shared" si="12"/>
        <v>-0.95429277473760776</v>
      </c>
      <c r="F33" s="12">
        <f t="shared" si="12"/>
        <v>-0.95429277473760776</v>
      </c>
      <c r="G33" s="12">
        <f t="shared" si="12"/>
        <v>-0.95429277473760776</v>
      </c>
      <c r="H33" s="7" t="s">
        <v>217</v>
      </c>
      <c r="L33" s="2"/>
    </row>
    <row r="34" spans="1:22" ht="13">
      <c r="A34" s="2" t="s">
        <v>150</v>
      </c>
      <c r="B34" s="12">
        <f t="shared" ref="B34:G34" ca="1" si="13">B29*B25</f>
        <v>1.000228602412264</v>
      </c>
      <c r="C34" s="12">
        <f t="shared" ca="1" si="13"/>
        <v>1.0000112167053061</v>
      </c>
      <c r="D34" s="12">
        <f t="shared" ca="1" si="13"/>
        <v>1</v>
      </c>
      <c r="E34" s="12">
        <f t="shared" ca="1" si="13"/>
        <v>0.99992986088411917</v>
      </c>
      <c r="F34" s="12">
        <f t="shared" ca="1" si="13"/>
        <v>1.0004854854096086</v>
      </c>
      <c r="G34" s="12">
        <f t="shared" ca="1" si="13"/>
        <v>1.0025969927653224</v>
      </c>
      <c r="H34" s="7" t="s">
        <v>220</v>
      </c>
      <c r="L34" s="2"/>
    </row>
    <row r="35" spans="1:22" ht="13">
      <c r="A35" s="2" t="s">
        <v>151</v>
      </c>
      <c r="B35" s="12">
        <f t="shared" ref="B35:G35" ca="1" si="14">(1-$G$2)*B25</f>
        <v>0.90572570142732534</v>
      </c>
      <c r="C35" s="12">
        <f t="shared" ca="1" si="14"/>
        <v>0.90979029109012577</v>
      </c>
      <c r="D35" s="12">
        <f t="shared" ca="1" si="14"/>
        <v>0.91</v>
      </c>
      <c r="E35" s="12">
        <f t="shared" ca="1" si="14"/>
        <v>0.9113112928852215</v>
      </c>
      <c r="F35" s="12">
        <f t="shared" ca="1" si="14"/>
        <v>0.90092182407787291</v>
      </c>
      <c r="G35" s="12">
        <f t="shared" ca="1" si="14"/>
        <v>0.86140314908208571</v>
      </c>
      <c r="H35" s="7" t="s">
        <v>221</v>
      </c>
      <c r="L35" s="2"/>
    </row>
    <row r="36" spans="1:22" ht="13">
      <c r="A36" s="2" t="s">
        <v>243</v>
      </c>
      <c r="B36" s="12">
        <f t="shared" ref="B36:G36" ca="1" si="15">B33*B34/B35</f>
        <v>-1.0538631363377602</v>
      </c>
      <c r="C36" s="12">
        <f t="shared" ca="1" si="15"/>
        <v>-1.048926866008842</v>
      </c>
      <c r="D36" s="12">
        <f t="shared" ca="1" si="15"/>
        <v>-1.048673378832536</v>
      </c>
      <c r="E36" s="12">
        <f t="shared" ca="1" si="15"/>
        <v>-1.0470909873891794</v>
      </c>
      <c r="F36" s="12">
        <f t="shared" ca="1" si="15"/>
        <v>-1.0597546251401626</v>
      </c>
      <c r="G36" s="12">
        <f t="shared" ca="1" si="15"/>
        <v>-1.1107122921353834</v>
      </c>
      <c r="H36" s="2" t="s">
        <v>245</v>
      </c>
      <c r="L36" s="2"/>
    </row>
    <row r="37" spans="1:22" ht="13">
      <c r="A37" s="2"/>
      <c r="B37" s="2"/>
      <c r="C37" s="2"/>
      <c r="D37" s="2"/>
      <c r="E37" s="2"/>
      <c r="F37" s="2"/>
      <c r="L37" s="2"/>
      <c r="Q37" s="2"/>
      <c r="R37" s="2"/>
      <c r="S37" s="2"/>
      <c r="T37" s="2"/>
    </row>
    <row r="38" spans="1:22" ht="13">
      <c r="A38" s="13"/>
      <c r="B38" s="1"/>
      <c r="C38" s="1"/>
      <c r="D38" s="1"/>
      <c r="E38" s="1"/>
      <c r="F38" s="1"/>
      <c r="H38" s="1"/>
      <c r="I38" s="13"/>
      <c r="J38" s="13"/>
      <c r="L38" s="1"/>
      <c r="Q38" s="1"/>
    </row>
    <row r="39" spans="1:22" ht="13">
      <c r="A39" s="1" t="s">
        <v>246</v>
      </c>
      <c r="B39" s="1"/>
      <c r="C39" s="1"/>
      <c r="D39" s="1"/>
      <c r="E39" s="1"/>
      <c r="F39" s="1"/>
      <c r="H39" s="1"/>
      <c r="I39" s="1"/>
      <c r="J39" s="1"/>
      <c r="L39" s="2"/>
      <c r="M39" s="2"/>
      <c r="N39" s="2"/>
      <c r="O39" s="2"/>
      <c r="P39" s="2"/>
      <c r="Q39" s="2"/>
      <c r="R39" s="2"/>
      <c r="S39" s="2"/>
      <c r="T39" s="2"/>
      <c r="V39" s="2"/>
    </row>
    <row r="40" spans="1:22" ht="13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R40" s="11"/>
      <c r="S40" s="11"/>
      <c r="T40" s="11"/>
      <c r="V40" s="11"/>
    </row>
    <row r="41" spans="1:22" ht="13">
      <c r="A41" s="1" t="s">
        <v>3</v>
      </c>
      <c r="B41" s="2"/>
      <c r="C41" s="2"/>
      <c r="D41" s="2"/>
      <c r="I41" s="2" t="s">
        <v>5</v>
      </c>
      <c r="J41" s="2">
        <v>0.25</v>
      </c>
      <c r="R41" s="11"/>
      <c r="S41" s="11"/>
      <c r="T41" s="11"/>
    </row>
    <row r="42" spans="1:22" ht="13">
      <c r="A42" s="2" t="s">
        <v>240</v>
      </c>
      <c r="B42" s="2"/>
      <c r="C42" s="2"/>
      <c r="D42" s="2"/>
      <c r="F42" s="1" t="s">
        <v>9</v>
      </c>
      <c r="G42" s="2">
        <v>0.09</v>
      </c>
      <c r="I42" s="2" t="s">
        <v>142</v>
      </c>
      <c r="J42" s="2">
        <v>6</v>
      </c>
      <c r="R42" s="11"/>
      <c r="S42" s="11"/>
      <c r="T42" s="11"/>
      <c r="V42" s="11"/>
    </row>
    <row r="43" spans="1:22" ht="13">
      <c r="A43" s="2" t="s">
        <v>264</v>
      </c>
      <c r="B43" s="2"/>
      <c r="C43" s="2"/>
      <c r="D43" s="2"/>
      <c r="I43" s="2" t="s">
        <v>265</v>
      </c>
      <c r="J43" s="2" t="s">
        <v>58</v>
      </c>
      <c r="K43" s="2" t="s">
        <v>266</v>
      </c>
      <c r="L43" s="2"/>
      <c r="R43" s="11"/>
      <c r="S43" s="11"/>
      <c r="T43" s="11"/>
    </row>
    <row r="44" spans="1:22" ht="13">
      <c r="A44" s="2"/>
      <c r="B44" s="2"/>
      <c r="C44" s="2"/>
      <c r="D44" s="2"/>
      <c r="L44" s="2"/>
    </row>
    <row r="45" spans="1:22" ht="13">
      <c r="A45" s="2"/>
      <c r="B45" s="1" t="s">
        <v>158</v>
      </c>
      <c r="C45" s="1" t="s">
        <v>159</v>
      </c>
      <c r="D45" s="1" t="s">
        <v>160</v>
      </c>
      <c r="E45" s="1" t="s">
        <v>161</v>
      </c>
      <c r="F45" s="1" t="s">
        <v>267</v>
      </c>
      <c r="G45" s="1" t="s">
        <v>241</v>
      </c>
      <c r="L45" s="2"/>
    </row>
    <row r="46" spans="1:22" ht="13">
      <c r="A46" s="9" t="s">
        <v>15</v>
      </c>
      <c r="B46" s="2" t="s">
        <v>168</v>
      </c>
      <c r="C46" s="2" t="s">
        <v>155</v>
      </c>
      <c r="D46" s="2" t="s">
        <v>153</v>
      </c>
      <c r="E46" s="2" t="s">
        <v>169</v>
      </c>
      <c r="F46" s="2" t="s">
        <v>156</v>
      </c>
      <c r="G46" s="2" t="s">
        <v>154</v>
      </c>
      <c r="I46" s="2" t="s">
        <v>268</v>
      </c>
      <c r="L46" s="2"/>
      <c r="V46" s="11"/>
    </row>
    <row r="47" spans="1:22" ht="14">
      <c r="A47" s="2" t="s">
        <v>185</v>
      </c>
      <c r="B47" s="53">
        <v>49.412799999999997</v>
      </c>
      <c r="C47" s="54">
        <v>49.814999999999998</v>
      </c>
      <c r="D47" s="54">
        <v>97.546999999999997</v>
      </c>
      <c r="E47" s="54">
        <v>99.066900000000004</v>
      </c>
      <c r="F47" s="54">
        <v>36.488500000000002</v>
      </c>
      <c r="G47" s="51">
        <v>42.888500000000001</v>
      </c>
      <c r="I47" s="11">
        <f t="shared" ref="I47:I50" ca="1" si="16">INDIRECT(CONCATENATE($J$3,ROW(A47)))</f>
        <v>97.546999999999997</v>
      </c>
      <c r="L47" s="2"/>
      <c r="R47" s="11"/>
      <c r="S47" s="11"/>
      <c r="T47" s="11"/>
    </row>
    <row r="48" spans="1:22" ht="14">
      <c r="A48" s="2" t="s">
        <v>186</v>
      </c>
      <c r="B48" s="55">
        <v>50.2761</v>
      </c>
      <c r="C48" s="56">
        <v>50.571100000000001</v>
      </c>
      <c r="D48" s="56">
        <v>99.862899999999996</v>
      </c>
      <c r="E48" s="56">
        <v>101.5551</v>
      </c>
      <c r="F48" s="56">
        <v>37.410200000000003</v>
      </c>
      <c r="G48" s="51">
        <v>44.18</v>
      </c>
      <c r="I48" s="11">
        <f t="shared" ca="1" si="16"/>
        <v>99.862899999999996</v>
      </c>
      <c r="L48" s="2"/>
      <c r="R48" s="11"/>
      <c r="S48" s="11"/>
      <c r="T48" s="11"/>
    </row>
    <row r="49" spans="1:20" ht="14">
      <c r="A49" s="2" t="s">
        <v>187</v>
      </c>
      <c r="B49" s="55">
        <v>49.195500000000003</v>
      </c>
      <c r="C49" s="56">
        <v>50.270800000000001</v>
      </c>
      <c r="D49" s="56">
        <v>98.507599999999996</v>
      </c>
      <c r="E49" s="56">
        <v>100.0462</v>
      </c>
      <c r="F49" s="56">
        <v>36.908999999999999</v>
      </c>
      <c r="G49" s="51">
        <v>41.086100000000002</v>
      </c>
      <c r="I49" s="11">
        <f t="shared" ca="1" si="16"/>
        <v>98.507599999999996</v>
      </c>
      <c r="L49" s="2"/>
    </row>
    <row r="50" spans="1:20" ht="14">
      <c r="A50" s="2" t="s">
        <v>188</v>
      </c>
      <c r="B50" s="55">
        <v>46.673200000000001</v>
      </c>
      <c r="C50" s="56">
        <v>46.692999999999998</v>
      </c>
      <c r="D50" s="56">
        <v>92.153800000000004</v>
      </c>
      <c r="E50" s="56">
        <v>93.855099999999993</v>
      </c>
      <c r="F50" s="56">
        <v>34.099299999999999</v>
      </c>
      <c r="G50" s="51">
        <v>38.326099999999997</v>
      </c>
      <c r="I50" s="11">
        <f t="shared" ca="1" si="16"/>
        <v>92.153800000000004</v>
      </c>
      <c r="L50" s="2"/>
    </row>
    <row r="51" spans="1:20" ht="13">
      <c r="A51" s="2"/>
      <c r="B51" s="2"/>
      <c r="C51" s="2"/>
      <c r="D51" s="2"/>
      <c r="L51" s="2"/>
      <c r="Q51" s="2"/>
      <c r="R51" s="2"/>
      <c r="S51" s="2"/>
      <c r="T51" s="2"/>
    </row>
    <row r="52" spans="1:20" ht="13">
      <c r="A52" s="9" t="s">
        <v>19</v>
      </c>
      <c r="B52" s="2" t="s">
        <v>168</v>
      </c>
      <c r="C52" s="2" t="s">
        <v>155</v>
      </c>
      <c r="D52" s="2" t="s">
        <v>153</v>
      </c>
      <c r="E52" s="2" t="s">
        <v>169</v>
      </c>
      <c r="F52" s="2" t="s">
        <v>156</v>
      </c>
      <c r="G52" s="2" t="s">
        <v>154</v>
      </c>
      <c r="I52" s="2" t="s">
        <v>268</v>
      </c>
      <c r="L52" s="2"/>
      <c r="Q52" s="1"/>
    </row>
    <row r="53" spans="1:20" ht="14">
      <c r="A53" s="2" t="s">
        <v>185</v>
      </c>
      <c r="B53" s="53">
        <v>0.28839999999999999</v>
      </c>
      <c r="C53" s="54">
        <v>0.15210000000000001</v>
      </c>
      <c r="D53" s="54">
        <v>0.40710000000000002</v>
      </c>
      <c r="E53" s="54">
        <v>0.14660000000000001</v>
      </c>
      <c r="F53" s="54">
        <v>0.41099999999999998</v>
      </c>
      <c r="G53" s="51">
        <v>0.2626</v>
      </c>
      <c r="I53" s="11">
        <f t="shared" ref="I53:I56" ca="1" si="17">INDIRECT(CONCATENATE($J$3,ROW(A53)))</f>
        <v>0.40710000000000002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4">
      <c r="A54" s="2" t="s">
        <v>186</v>
      </c>
      <c r="B54" s="55">
        <v>0.31290000000000001</v>
      </c>
      <c r="C54" s="56">
        <v>0.26829999999999998</v>
      </c>
      <c r="D54" s="56">
        <v>0.52510000000000001</v>
      </c>
      <c r="E54" s="56">
        <v>0.58079999999999998</v>
      </c>
      <c r="F54" s="56">
        <v>0.39190000000000003</v>
      </c>
      <c r="G54" s="51">
        <v>0.25729999999999997</v>
      </c>
      <c r="I54" s="11">
        <f t="shared" ca="1" si="17"/>
        <v>0.52510000000000001</v>
      </c>
      <c r="L54" s="2"/>
      <c r="M54" s="22"/>
      <c r="N54" s="22"/>
      <c r="O54" s="22"/>
      <c r="P54" s="11"/>
      <c r="Q54" s="11"/>
      <c r="R54" s="11"/>
      <c r="S54" s="11"/>
      <c r="T54" s="11"/>
    </row>
    <row r="55" spans="1:20" ht="14">
      <c r="A55" s="2" t="s">
        <v>187</v>
      </c>
      <c r="B55" s="55">
        <v>0.14799999999999999</v>
      </c>
      <c r="C55" s="56">
        <v>0.38300000000000001</v>
      </c>
      <c r="D55" s="56">
        <v>0.18870000000000001</v>
      </c>
      <c r="E55" s="56">
        <v>0.3594</v>
      </c>
      <c r="F55" s="56">
        <v>0.36890000000000001</v>
      </c>
      <c r="G55" s="51">
        <v>0.34139999999999998</v>
      </c>
      <c r="I55" s="11">
        <f t="shared" ca="1" si="17"/>
        <v>0.18870000000000001</v>
      </c>
      <c r="L55" s="2"/>
      <c r="M55" s="22"/>
      <c r="N55" s="22"/>
      <c r="O55" s="22"/>
      <c r="P55" s="11"/>
      <c r="Q55" s="11"/>
      <c r="R55" s="11"/>
      <c r="S55" s="11"/>
      <c r="T55" s="11"/>
    </row>
    <row r="56" spans="1:20" ht="14">
      <c r="A56" s="2" t="s">
        <v>188</v>
      </c>
      <c r="B56" s="57">
        <v>0.37169999999999997</v>
      </c>
      <c r="C56" s="58">
        <v>0.21429999999999999</v>
      </c>
      <c r="D56" s="58">
        <v>0.36099999999999999</v>
      </c>
      <c r="E56" s="58">
        <v>0.37130000000000002</v>
      </c>
      <c r="F56" s="58">
        <v>0.42399999999999999</v>
      </c>
      <c r="G56" s="52">
        <v>0.28360000000000002</v>
      </c>
      <c r="I56">
        <f t="shared" ca="1" si="17"/>
        <v>0.36099999999999999</v>
      </c>
      <c r="L56" s="2"/>
      <c r="M56" s="22"/>
      <c r="N56" s="22"/>
      <c r="O56" s="22"/>
      <c r="P56" s="11"/>
      <c r="Q56" s="11"/>
      <c r="R56" s="11"/>
      <c r="S56" s="11"/>
      <c r="T56" s="11"/>
    </row>
    <row r="57" spans="1:20" ht="14">
      <c r="A57" s="2"/>
      <c r="B57" s="2"/>
      <c r="C57" s="2"/>
      <c r="D57" s="2"/>
      <c r="L57" s="2"/>
      <c r="M57" s="32"/>
      <c r="N57" s="32"/>
      <c r="O57" s="32"/>
      <c r="Q57" s="11"/>
      <c r="R57" s="11"/>
      <c r="S57" s="11"/>
      <c r="T57" s="11"/>
    </row>
    <row r="58" spans="1:20" ht="13">
      <c r="A58" s="9" t="s">
        <v>238</v>
      </c>
      <c r="B58" s="2" t="s">
        <v>168</v>
      </c>
      <c r="C58" s="2" t="s">
        <v>155</v>
      </c>
      <c r="D58" s="2" t="s">
        <v>153</v>
      </c>
      <c r="E58" s="2" t="s">
        <v>169</v>
      </c>
      <c r="F58" s="2" t="s">
        <v>156</v>
      </c>
      <c r="G58" s="2" t="s">
        <v>154</v>
      </c>
      <c r="I58" s="2" t="s">
        <v>268</v>
      </c>
      <c r="L58" s="2"/>
      <c r="P58" s="1"/>
    </row>
    <row r="59" spans="1:20" ht="13">
      <c r="A59" s="2" t="s">
        <v>195</v>
      </c>
      <c r="B59" s="12">
        <f t="shared" ref="B59:G59" si="18">SQRT(AVERAGE(B53^2,B54^2))/SQRT($J$2)</f>
        <v>0.12284169012730708</v>
      </c>
      <c r="C59" s="12">
        <f t="shared" si="18"/>
        <v>8.903150191552052E-2</v>
      </c>
      <c r="D59" s="12">
        <f t="shared" si="18"/>
        <v>0.19180294140949283</v>
      </c>
      <c r="E59" s="12">
        <f t="shared" si="18"/>
        <v>0.17292103207341014</v>
      </c>
      <c r="F59" s="12">
        <f t="shared" si="18"/>
        <v>0.16393764312485812</v>
      </c>
      <c r="G59" s="12">
        <f t="shared" si="18"/>
        <v>0.10612965733793109</v>
      </c>
      <c r="I59" s="11">
        <f t="shared" ref="I59:I60" ca="1" si="19">INDIRECT(CONCATENATE($J$3,ROW(A59)))</f>
        <v>0.19180294140949283</v>
      </c>
      <c r="L59" s="2"/>
      <c r="P59" s="1"/>
    </row>
    <row r="60" spans="1:20" ht="13">
      <c r="A60" s="2" t="s">
        <v>196</v>
      </c>
      <c r="B60" s="12">
        <f t="shared" ref="B60:G60" si="20">SQRT(AVERAGE(B55^2,B56^2))/SQRT($J$2)</f>
        <v>0.11549346662618339</v>
      </c>
      <c r="C60" s="12">
        <f t="shared" si="20"/>
        <v>0.12669303124744735</v>
      </c>
      <c r="D60" s="12">
        <f t="shared" si="20"/>
        <v>0.11758992658103555</v>
      </c>
      <c r="E60" s="12">
        <f t="shared" si="20"/>
        <v>0.14917329128678947</v>
      </c>
      <c r="F60" s="12">
        <f t="shared" si="20"/>
        <v>0.16224035924105529</v>
      </c>
      <c r="G60" s="12">
        <f t="shared" si="20"/>
        <v>0.12812198614341466</v>
      </c>
      <c r="I60" s="11">
        <f t="shared" ca="1" si="19"/>
        <v>0.11758992658103555</v>
      </c>
      <c r="L60" s="2"/>
      <c r="P60" s="1"/>
      <c r="Q60" s="11"/>
      <c r="R60" s="11"/>
      <c r="S60" s="11"/>
      <c r="T60" s="11"/>
    </row>
    <row r="61" spans="1:20" ht="13">
      <c r="A61" s="2"/>
      <c r="B61" s="2"/>
      <c r="C61" s="2"/>
      <c r="D61" s="2"/>
      <c r="L61" s="2"/>
      <c r="P61" s="1"/>
      <c r="Q61" s="11"/>
      <c r="R61" s="11"/>
      <c r="S61" s="11"/>
      <c r="T61" s="11"/>
    </row>
    <row r="62" spans="1:20" ht="13">
      <c r="A62" s="9" t="s">
        <v>35</v>
      </c>
      <c r="B62" s="2" t="s">
        <v>168</v>
      </c>
      <c r="C62" s="2" t="s">
        <v>155</v>
      </c>
      <c r="D62" s="2" t="s">
        <v>153</v>
      </c>
      <c r="E62" s="2" t="s">
        <v>169</v>
      </c>
      <c r="F62" s="2" t="s">
        <v>156</v>
      </c>
      <c r="G62" s="2" t="s">
        <v>154</v>
      </c>
      <c r="L62" s="2"/>
    </row>
    <row r="63" spans="1:20" ht="13">
      <c r="A63" s="2" t="s">
        <v>27</v>
      </c>
      <c r="B63" s="12">
        <f t="shared" ref="B63:G63" ca="1" si="21">AVERAGE(B47:B48)/AVERAGE($I$7:$I$8)</f>
        <v>0.48915927857410624</v>
      </c>
      <c r="C63" s="12">
        <f t="shared" ca="1" si="21"/>
        <v>0.49258033998637857</v>
      </c>
      <c r="D63" s="12">
        <f t="shared" ca="1" si="21"/>
        <v>0.96866235124859901</v>
      </c>
      <c r="E63" s="12">
        <f t="shared" ca="1" si="21"/>
        <v>0.98442366989799623</v>
      </c>
      <c r="F63" s="12">
        <f t="shared" ca="1" si="21"/>
        <v>0.36261042883976363</v>
      </c>
      <c r="G63" s="12">
        <f t="shared" ca="1" si="21"/>
        <v>0.42723276760531587</v>
      </c>
      <c r="L63" s="2"/>
    </row>
    <row r="64" spans="1:20" ht="13">
      <c r="A64" s="2" t="s">
        <v>30</v>
      </c>
      <c r="B64" s="12">
        <f t="shared" ref="B64:G64" ca="1" si="22">AVERAGE(B49:B50)/AVERAGE($I$9:$I$10)</f>
        <v>0.48746094335929063</v>
      </c>
      <c r="C64" s="12">
        <f t="shared" ca="1" si="22"/>
        <v>0.49302916822384757</v>
      </c>
      <c r="D64" s="12">
        <f t="shared" ca="1" si="22"/>
        <v>0.96945077909894528</v>
      </c>
      <c r="E64" s="12">
        <f t="shared" ca="1" si="22"/>
        <v>0.98592460956070971</v>
      </c>
      <c r="F64" s="12">
        <f t="shared" ca="1" si="22"/>
        <v>0.36105395091765624</v>
      </c>
      <c r="G64" s="12">
        <f t="shared" ca="1" si="22"/>
        <v>0.40378503021566636</v>
      </c>
      <c r="L64" s="2"/>
    </row>
    <row r="65" spans="1:12" ht="13">
      <c r="A65" s="2" t="s">
        <v>31</v>
      </c>
      <c r="B65" s="12">
        <f t="shared" ref="B65:G65" ca="1" si="23">B64/B63</f>
        <v>0.99652805274436129</v>
      </c>
      <c r="C65" s="12">
        <f t="shared" ca="1" si="23"/>
        <v>1.0009111777329185</v>
      </c>
      <c r="D65" s="12">
        <f t="shared" ca="1" si="23"/>
        <v>1.0008139346484666</v>
      </c>
      <c r="E65" s="12">
        <f t="shared" ca="1" si="23"/>
        <v>1.0015246887174798</v>
      </c>
      <c r="F65" s="12">
        <f t="shared" ca="1" si="23"/>
        <v>0.9957075754078899</v>
      </c>
      <c r="G65" s="12">
        <f t="shared" ca="1" si="23"/>
        <v>0.94511718396255862</v>
      </c>
      <c r="L65" s="2"/>
    </row>
    <row r="66" spans="1:12" ht="13">
      <c r="A66" s="7" t="s">
        <v>44</v>
      </c>
      <c r="B66" s="20">
        <f t="shared" ref="B66:G66" ca="1" si="24">(B59/AVERAGE(B47:B48))^2+($I$19/AVERAGE($I$7:$I$8))^2</f>
        <v>1.0145640964435084E-5</v>
      </c>
      <c r="C66" s="20">
        <f t="shared" ca="1" si="24"/>
        <v>7.2181771485899045E-6</v>
      </c>
      <c r="D66" s="20">
        <f t="shared" ca="1" si="24"/>
        <v>7.8478823189132382E-6</v>
      </c>
      <c r="E66" s="20">
        <f t="shared" ca="1" si="24"/>
        <v>7.0435323436839695E-6</v>
      </c>
      <c r="F66" s="20">
        <f t="shared" ca="1" si="24"/>
        <v>2.3757254902836706E-5</v>
      </c>
      <c r="G66" s="20">
        <f t="shared" ca="1" si="24"/>
        <v>1.0014953904930251E-5</v>
      </c>
      <c r="H66" s="7" t="s">
        <v>43</v>
      </c>
      <c r="L66" s="2"/>
    </row>
    <row r="67" spans="1:12" ht="13">
      <c r="A67" s="7" t="s">
        <v>42</v>
      </c>
      <c r="B67" s="20">
        <f t="shared" ref="B67:G67" ca="1" si="25">(B60/AVERAGE(B49:B50))^2+($I$20/AVERAGE($I$9:$I$10))^2</f>
        <v>7.5043019728663168E-6</v>
      </c>
      <c r="C67" s="20">
        <f t="shared" ca="1" si="25"/>
        <v>8.5278772765497408E-6</v>
      </c>
      <c r="D67" s="20">
        <f t="shared" ca="1" si="25"/>
        <v>3.2205585256299972E-6</v>
      </c>
      <c r="E67" s="20">
        <f t="shared" ca="1" si="25"/>
        <v>4.0664983391167618E-6</v>
      </c>
      <c r="F67" s="20">
        <f t="shared" ca="1" si="25"/>
        <v>2.2580446428108237E-5</v>
      </c>
      <c r="G67" s="20">
        <f t="shared" ca="1" si="25"/>
        <v>1.2111017872187056E-5</v>
      </c>
      <c r="L67" s="2"/>
    </row>
    <row r="68" spans="1:12" ht="13">
      <c r="A68" s="1"/>
      <c r="B68" s="12"/>
      <c r="C68" s="12"/>
      <c r="D68" s="12"/>
      <c r="E68" s="12"/>
      <c r="F68" s="12"/>
      <c r="G68" s="12"/>
      <c r="L68" s="2"/>
    </row>
    <row r="69" spans="1:12" ht="13">
      <c r="A69" s="39" t="s">
        <v>0</v>
      </c>
      <c r="B69" s="12">
        <f t="shared" ref="B69:G69" ca="1" si="26">LN(1-$G$2)/LN(1-$G$2*B65)</f>
        <v>1.0036536139921357</v>
      </c>
      <c r="C69" s="12">
        <f t="shared" ca="1" si="26"/>
        <v>0.99904534135512479</v>
      </c>
      <c r="D69" s="12">
        <f t="shared" ca="1" si="26"/>
        <v>0.99914714203274357</v>
      </c>
      <c r="E69" s="12">
        <f t="shared" ca="1" si="26"/>
        <v>0.99840353175334595</v>
      </c>
      <c r="F69" s="12">
        <f t="shared" ca="1" si="26"/>
        <v>1.0045207413285744</v>
      </c>
      <c r="G69" s="12">
        <f t="shared" ca="1" si="26"/>
        <v>1.0608937186794143</v>
      </c>
      <c r="H69" s="2" t="s">
        <v>39</v>
      </c>
      <c r="L69" s="2"/>
    </row>
    <row r="70" spans="1:12" ht="13">
      <c r="A70" s="39" t="s">
        <v>38</v>
      </c>
      <c r="B70" s="12">
        <f t="shared" ref="B70:G70" ca="1" si="27">B69*SQRT(B76^2*(B66+B67))</f>
        <v>4.4379213540048004E-3</v>
      </c>
      <c r="C70" s="12">
        <f t="shared" ca="1" si="27"/>
        <v>4.1533307303529129E-3</v>
      </c>
      <c r="D70" s="12">
        <f t="shared" ca="1" si="27"/>
        <v>3.4829109316225236E-3</v>
      </c>
      <c r="E70" s="12">
        <f t="shared" ca="1" si="27"/>
        <v>3.484256265957838E-3</v>
      </c>
      <c r="F70" s="12">
        <f t="shared" ca="1" si="27"/>
        <v>7.2031971799420913E-3</v>
      </c>
      <c r="G70" s="27">
        <f t="shared" ca="1" si="27"/>
        <v>5.5518174358983692E-3</v>
      </c>
      <c r="H70" s="27" t="s">
        <v>226</v>
      </c>
      <c r="L70" s="2"/>
    </row>
    <row r="71" spans="1:12" ht="13">
      <c r="A71" s="2"/>
      <c r="B71" s="2"/>
      <c r="C71" s="2"/>
      <c r="D71" s="2"/>
      <c r="L71" s="2"/>
    </row>
    <row r="72" spans="1:12" ht="13">
      <c r="A72" s="9" t="s">
        <v>148</v>
      </c>
      <c r="B72" s="2" t="s">
        <v>168</v>
      </c>
      <c r="C72" s="2" t="s">
        <v>155</v>
      </c>
      <c r="D72" s="2" t="s">
        <v>153</v>
      </c>
      <c r="E72" s="2" t="s">
        <v>169</v>
      </c>
      <c r="F72" s="2" t="s">
        <v>156</v>
      </c>
      <c r="G72" s="2" t="s">
        <v>154</v>
      </c>
      <c r="H72" s="6" t="s">
        <v>215</v>
      </c>
      <c r="L72" s="2"/>
    </row>
    <row r="73" spans="1:12" ht="13">
      <c r="A73" s="2" t="s">
        <v>149</v>
      </c>
      <c r="B73" s="12">
        <f t="shared" ref="B73:G73" si="28">$G$2/LN(1-$G$2)</f>
        <v>-0.95429277473760776</v>
      </c>
      <c r="C73" s="12">
        <f t="shared" si="28"/>
        <v>-0.95429277473760776</v>
      </c>
      <c r="D73" s="12">
        <f t="shared" si="28"/>
        <v>-0.95429277473760776</v>
      </c>
      <c r="E73" s="12">
        <f t="shared" si="28"/>
        <v>-0.95429277473760776</v>
      </c>
      <c r="F73" s="12">
        <f t="shared" si="28"/>
        <v>-0.95429277473760776</v>
      </c>
      <c r="G73" s="12">
        <f t="shared" si="28"/>
        <v>-0.95429277473760776</v>
      </c>
      <c r="H73" s="7" t="s">
        <v>217</v>
      </c>
      <c r="L73" s="2"/>
    </row>
    <row r="74" spans="1:12" ht="13">
      <c r="A74" s="2" t="s">
        <v>150</v>
      </c>
      <c r="B74" s="12">
        <f t="shared" ref="B74:G74" ca="1" si="29">B69*B65</f>
        <v>1.0001689815814239</v>
      </c>
      <c r="C74" s="12">
        <f t="shared" ca="1" si="29"/>
        <v>0.99995564922434355</v>
      </c>
      <c r="D74" s="12">
        <f t="shared" ca="1" si="29"/>
        <v>0.99996038251056041</v>
      </c>
      <c r="E74" s="12">
        <f t="shared" ca="1" si="29"/>
        <v>0.99992578635370222</v>
      </c>
      <c r="F74" s="12">
        <f t="shared" ca="1" si="29"/>
        <v>1.0002089117952109</v>
      </c>
      <c r="G74" s="12">
        <f t="shared" ca="1" si="29"/>
        <v>1.0026688838818549</v>
      </c>
      <c r="H74" s="7" t="s">
        <v>220</v>
      </c>
      <c r="L74" s="2"/>
    </row>
    <row r="75" spans="1:12" ht="13">
      <c r="A75" s="2" t="s">
        <v>151</v>
      </c>
      <c r="B75" s="12">
        <f t="shared" ref="B75:G75" ca="1" si="30">(1-$G$2)*B65</f>
        <v>0.90684052799736881</v>
      </c>
      <c r="C75" s="12">
        <f t="shared" ca="1" si="30"/>
        <v>0.91082917173695588</v>
      </c>
      <c r="D75" s="12">
        <f t="shared" ca="1" si="30"/>
        <v>0.9107406805301046</v>
      </c>
      <c r="E75" s="12">
        <f t="shared" ca="1" si="30"/>
        <v>0.9113874667329066</v>
      </c>
      <c r="F75" s="12">
        <f t="shared" ca="1" si="30"/>
        <v>0.90609389362117987</v>
      </c>
      <c r="G75" s="12">
        <f t="shared" ca="1" si="30"/>
        <v>0.86005663740592841</v>
      </c>
      <c r="H75" s="7" t="s">
        <v>221</v>
      </c>
      <c r="L75" s="2"/>
    </row>
    <row r="76" spans="1:12" ht="13">
      <c r="A76" s="2" t="s">
        <v>243</v>
      </c>
      <c r="B76" s="12">
        <f t="shared" ref="B76:G76" ca="1" si="31">B73*B74/B75</f>
        <v>-1.0525048265626189</v>
      </c>
      <c r="C76" s="12">
        <f t="shared" ca="1" si="31"/>
        <v>-1.047672253725783</v>
      </c>
      <c r="D76" s="12">
        <f t="shared" ca="1" si="31"/>
        <v>-1.0477790093863488</v>
      </c>
      <c r="E76" s="12">
        <f t="shared" ca="1" si="31"/>
        <v>-1.0469992050821184</v>
      </c>
      <c r="F76" s="12">
        <f t="shared" ca="1" si="31"/>
        <v>-1.0534141599163998</v>
      </c>
      <c r="G76" s="12">
        <f t="shared" ca="1" si="31"/>
        <v>-1.1125310005497553</v>
      </c>
      <c r="H76" s="2" t="s">
        <v>245</v>
      </c>
      <c r="L76" s="2"/>
    </row>
    <row r="77" spans="1:12" ht="13">
      <c r="A77" s="1"/>
      <c r="B77" s="2"/>
      <c r="C77" s="2"/>
      <c r="D77" s="2"/>
      <c r="G77" s="2"/>
    </row>
    <row r="78" spans="1:12" ht="13">
      <c r="A78" s="2"/>
      <c r="B78" s="2"/>
      <c r="C78" s="2"/>
      <c r="D78" s="2"/>
      <c r="E78" s="6" t="s">
        <v>5</v>
      </c>
      <c r="F78" s="2">
        <v>0.25</v>
      </c>
      <c r="G78" s="2" t="s">
        <v>260</v>
      </c>
    </row>
    <row r="79" spans="1:12" ht="13">
      <c r="E79" s="1" t="s">
        <v>7</v>
      </c>
      <c r="F79" s="2">
        <v>8</v>
      </c>
    </row>
    <row r="80" spans="1:12" ht="13">
      <c r="A80" s="6" t="s">
        <v>141</v>
      </c>
      <c r="B80" s="7">
        <v>0.09</v>
      </c>
      <c r="D80" s="8"/>
      <c r="E80" s="6" t="s">
        <v>10</v>
      </c>
      <c r="F80" s="7">
        <v>8</v>
      </c>
      <c r="G80" s="8"/>
    </row>
    <row r="81" spans="1:9" ht="13">
      <c r="A81" s="7"/>
      <c r="B81" s="8"/>
      <c r="C81" s="8"/>
      <c r="D81" s="8"/>
      <c r="E81" s="8"/>
      <c r="F81" s="8"/>
      <c r="G81" s="8"/>
    </row>
    <row r="82" spans="1:9" ht="13">
      <c r="A82" s="2"/>
      <c r="B82" s="1" t="s">
        <v>13</v>
      </c>
      <c r="C82" s="1" t="s">
        <v>13</v>
      </c>
      <c r="D82" s="1" t="s">
        <v>14</v>
      </c>
    </row>
    <row r="83" spans="1:9" ht="13">
      <c r="A83" s="9" t="s">
        <v>15</v>
      </c>
      <c r="B83" s="2" t="s">
        <v>16</v>
      </c>
      <c r="C83" s="2" t="s">
        <v>17</v>
      </c>
      <c r="D83" s="2" t="s">
        <v>18</v>
      </c>
      <c r="G83" s="2" t="s">
        <v>277</v>
      </c>
      <c r="I83" s="2">
        <v>0.16</v>
      </c>
    </row>
    <row r="84" spans="1:9" ht="14">
      <c r="A84" s="2" t="s">
        <v>185</v>
      </c>
      <c r="B84" s="22">
        <v>12.8659</v>
      </c>
      <c r="C84" s="32">
        <v>6.0639000000000003</v>
      </c>
      <c r="D84" s="32">
        <v>45.892899999999997</v>
      </c>
      <c r="G84" s="2"/>
    </row>
    <row r="85" spans="1:9" ht="14">
      <c r="A85" s="2" t="s">
        <v>186</v>
      </c>
      <c r="B85" s="22">
        <v>12.971500000000001</v>
      </c>
      <c r="C85" s="32">
        <v>6.056</v>
      </c>
      <c r="D85" s="32">
        <v>47.049799999999998</v>
      </c>
      <c r="E85" s="6"/>
      <c r="F85" s="2"/>
      <c r="G85" s="2"/>
    </row>
    <row r="86" spans="1:9" ht="14">
      <c r="A86" s="2" t="s">
        <v>187</v>
      </c>
      <c r="B86" s="22">
        <v>12.835800000000001</v>
      </c>
      <c r="C86" s="32">
        <v>5.7565</v>
      </c>
      <c r="D86" s="32">
        <v>46.275300000000001</v>
      </c>
      <c r="E86" s="1"/>
      <c r="F86" s="2"/>
    </row>
    <row r="87" spans="1:9" ht="14">
      <c r="A87" s="2" t="s">
        <v>188</v>
      </c>
      <c r="B87" s="22">
        <v>12.106299999999999</v>
      </c>
      <c r="C87" s="32">
        <v>5.4123999999999999</v>
      </c>
      <c r="D87" s="32">
        <v>43.289499999999997</v>
      </c>
      <c r="E87" s="6"/>
      <c r="F87" s="7"/>
      <c r="G87" s="8"/>
    </row>
    <row r="88" spans="1:9" ht="13">
      <c r="A88" s="2"/>
      <c r="B88" s="1"/>
      <c r="C88" s="6"/>
      <c r="D88" s="6"/>
      <c r="E88" s="8"/>
      <c r="F88" s="8"/>
      <c r="G88" s="8"/>
    </row>
    <row r="89" spans="1:9" ht="13">
      <c r="A89" s="9" t="s">
        <v>19</v>
      </c>
      <c r="B89" s="2" t="s">
        <v>16</v>
      </c>
      <c r="C89" s="7" t="s">
        <v>17</v>
      </c>
      <c r="D89" s="7" t="s">
        <v>18</v>
      </c>
      <c r="E89" s="7"/>
      <c r="F89" s="8"/>
      <c r="G89" s="8"/>
    </row>
    <row r="90" spans="1:9" ht="14">
      <c r="A90" s="2" t="s">
        <v>185</v>
      </c>
      <c r="B90" s="22">
        <v>0.1052</v>
      </c>
      <c r="C90" s="32">
        <v>2.9499999999999998E-2</v>
      </c>
      <c r="D90" s="32">
        <v>6.4000000000000003E-3</v>
      </c>
      <c r="E90" s="6"/>
      <c r="G90" s="8"/>
    </row>
    <row r="91" spans="1:9" ht="14">
      <c r="A91" s="2" t="s">
        <v>186</v>
      </c>
      <c r="B91" s="22">
        <v>0.1537</v>
      </c>
      <c r="C91" s="32">
        <v>2.4799999999999999E-2</v>
      </c>
      <c r="D91" s="32">
        <v>1.6899999999999998E-2</v>
      </c>
      <c r="E91" s="15"/>
      <c r="G91" s="6"/>
    </row>
    <row r="92" spans="1:9" ht="14">
      <c r="A92" s="2" t="s">
        <v>187</v>
      </c>
      <c r="B92" s="22">
        <v>6.4399999999999999E-2</v>
      </c>
      <c r="C92" s="32">
        <v>1.1299999999999999E-2</v>
      </c>
      <c r="D92" s="32">
        <v>3.49E-2</v>
      </c>
      <c r="E92" s="15"/>
      <c r="G92" s="6"/>
    </row>
    <row r="93" spans="1:9" ht="14">
      <c r="A93" s="2" t="s">
        <v>188</v>
      </c>
      <c r="B93" s="22">
        <v>9.01E-2</v>
      </c>
      <c r="C93" s="32">
        <v>1.9800000000000002E-2</v>
      </c>
      <c r="D93" s="32">
        <v>1.9400000000000001E-2</v>
      </c>
      <c r="E93" s="8"/>
      <c r="G93" s="6"/>
    </row>
    <row r="94" spans="1:9" ht="13">
      <c r="A94" s="7"/>
      <c r="B94" s="8"/>
      <c r="C94" s="8"/>
      <c r="D94" s="8"/>
      <c r="E94" s="8"/>
      <c r="G94" s="6"/>
    </row>
    <row r="95" spans="1:9" ht="13">
      <c r="A95" s="17" t="s">
        <v>238</v>
      </c>
      <c r="B95" s="2" t="s">
        <v>16</v>
      </c>
      <c r="C95" s="7" t="s">
        <v>17</v>
      </c>
      <c r="D95" s="7" t="s">
        <v>18</v>
      </c>
      <c r="E95" s="6"/>
      <c r="G95" s="1"/>
    </row>
    <row r="96" spans="1:9" ht="14">
      <c r="A96" s="7" t="s">
        <v>195</v>
      </c>
      <c r="B96" s="15">
        <f t="shared" ref="B96:D96" si="32">SQRT(AVERAGE(B90^2,B91^2))/SQRT($F$79)</f>
        <v>4.6563619114068013E-2</v>
      </c>
      <c r="C96" s="15">
        <f t="shared" si="32"/>
        <v>9.6348650743017655E-3</v>
      </c>
      <c r="D96" s="15">
        <f t="shared" si="32"/>
        <v>4.5178119704122255E-3</v>
      </c>
      <c r="E96" s="15" t="s">
        <v>239</v>
      </c>
    </row>
    <row r="97" spans="1:7" ht="14">
      <c r="A97" s="7" t="s">
        <v>196</v>
      </c>
      <c r="B97" s="15">
        <f t="shared" ref="B97:D97" si="33">SQRT(AVERAGE(B93^2,B92^2))/SQRT($F$79)</f>
        <v>2.7687282730524496E-2</v>
      </c>
      <c r="C97" s="15">
        <f t="shared" si="33"/>
        <v>5.6993968979182352E-3</v>
      </c>
      <c r="D97" s="15">
        <f t="shared" si="33"/>
        <v>9.9823907457081643E-3</v>
      </c>
      <c r="E97" s="15"/>
    </row>
    <row r="98" spans="1:7" ht="13">
      <c r="A98" s="7"/>
      <c r="B98" s="11"/>
      <c r="C98" s="11"/>
      <c r="D98" s="11"/>
      <c r="E98" s="8"/>
    </row>
    <row r="99" spans="1:7" ht="13">
      <c r="A99" s="9" t="s">
        <v>35</v>
      </c>
      <c r="B99" s="12"/>
      <c r="C99" s="12" t="s">
        <v>13</v>
      </c>
      <c r="D99" s="12" t="s">
        <v>14</v>
      </c>
      <c r="E99" s="11"/>
      <c r="G99" s="6"/>
    </row>
    <row r="100" spans="1:7" ht="13">
      <c r="A100" s="2" t="s">
        <v>27</v>
      </c>
      <c r="B100" s="11"/>
      <c r="C100" s="11">
        <f>AVERAGE(C84:C85)/AVERAGE(B84:B85)</f>
        <v>0.46908357652085736</v>
      </c>
      <c r="D100" s="11">
        <f>AVERAGE(C84:C85)/AVERAGE(D84:D85)</f>
        <v>0.13040184974183019</v>
      </c>
      <c r="E100" s="11"/>
      <c r="G100" s="6"/>
    </row>
    <row r="101" spans="1:7" ht="13">
      <c r="A101" s="2" t="s">
        <v>30</v>
      </c>
      <c r="B101" s="8"/>
      <c r="C101" s="49">
        <f>AVERAGE(C86:C87)/AVERAGE(B86:B87)</f>
        <v>0.4477930887936461</v>
      </c>
      <c r="D101" s="49">
        <f>AVERAGE(C86:C87)/AVERAGE(D86:D87)</f>
        <v>0.12470189181464149</v>
      </c>
      <c r="E101" s="8"/>
      <c r="G101" s="7"/>
    </row>
    <row r="102" spans="1:7" ht="13">
      <c r="A102" s="2" t="s">
        <v>31</v>
      </c>
      <c r="B102" s="8"/>
      <c r="C102" s="49">
        <f t="shared" ref="C102:D102" si="34">C101/C100</f>
        <v>0.95461259188582015</v>
      </c>
      <c r="D102" s="49">
        <f t="shared" si="34"/>
        <v>0.95628928624499199</v>
      </c>
      <c r="E102" s="8"/>
      <c r="F102" s="8"/>
    </row>
    <row r="103" spans="1:7" ht="13">
      <c r="A103" s="7" t="s">
        <v>44</v>
      </c>
      <c r="B103" s="8"/>
      <c r="C103" s="34">
        <f>(B96/AVERAGE(B84:B85))^2+(C96/AVERAGE(C84:C85))^2</f>
        <v>1.5519257286137235E-5</v>
      </c>
      <c r="D103" s="34">
        <f>(D96/AVERAGE(D84:D85))^2+(C96/AVERAGE(C84:C85))^2</f>
        <v>2.5373121911919979E-6</v>
      </c>
      <c r="E103" s="7" t="s">
        <v>43</v>
      </c>
      <c r="F103" s="8"/>
      <c r="G103" s="8"/>
    </row>
    <row r="104" spans="1:7" ht="13">
      <c r="A104" s="7" t="s">
        <v>42</v>
      </c>
      <c r="B104" s="8"/>
      <c r="C104" s="34">
        <f>(B97/AVERAGE(B86:B87))^2+(C97/AVERAGE(C86:C87))^2</f>
        <v>5.9705429203406594E-6</v>
      </c>
      <c r="D104" s="50">
        <f>(D97/AVERAGE(D86:D87))^2+(C97/AVERAGE(C86:C87))^2</f>
        <v>1.0912787808292636E-6</v>
      </c>
      <c r="F104" s="8"/>
      <c r="G104" s="8"/>
    </row>
    <row r="105" spans="1:7" ht="13">
      <c r="A105" s="1"/>
      <c r="B105" s="1"/>
      <c r="C105" s="20" t="s">
        <v>13</v>
      </c>
      <c r="D105" s="20" t="s">
        <v>14</v>
      </c>
      <c r="F105" s="6"/>
      <c r="G105" s="8"/>
    </row>
    <row r="106" spans="1:7" ht="13">
      <c r="A106" s="39" t="s">
        <v>0</v>
      </c>
      <c r="B106" s="16"/>
      <c r="C106" s="16">
        <f t="shared" ref="C106:D106" si="35">LN(1-$B$80)/LN(1-$B$80*C102)</f>
        <v>1.0498578081700869</v>
      </c>
      <c r="D106" s="16">
        <f t="shared" si="35"/>
        <v>1.0479318431713949</v>
      </c>
      <c r="E106" s="2" t="s">
        <v>39</v>
      </c>
      <c r="F106" s="7"/>
      <c r="G106" s="8"/>
    </row>
    <row r="107" spans="1:7" ht="13">
      <c r="A107" s="39" t="s">
        <v>38</v>
      </c>
      <c r="B107" s="16"/>
      <c r="C107" s="16">
        <f t="shared" ref="C107:D107" si="36">C106*SQRT(C113^2*(C103+C104))</f>
        <v>4.2547345249189083E-3</v>
      </c>
      <c r="D107" s="16">
        <f t="shared" si="36"/>
        <v>1.7447002589744251E-3</v>
      </c>
      <c r="E107" s="27" t="s">
        <v>226</v>
      </c>
      <c r="F107" s="7"/>
      <c r="G107" s="8"/>
    </row>
    <row r="108" spans="1:7" ht="13">
      <c r="A108" s="2"/>
      <c r="B108" s="16"/>
      <c r="C108" s="16"/>
      <c r="D108" s="16"/>
      <c r="F108" s="7"/>
      <c r="G108" s="8"/>
    </row>
    <row r="109" spans="1:7" ht="13">
      <c r="A109" s="9" t="s">
        <v>148</v>
      </c>
      <c r="B109" s="16"/>
      <c r="C109" s="12" t="s">
        <v>13</v>
      </c>
      <c r="D109" s="12" t="s">
        <v>14</v>
      </c>
      <c r="E109" s="6"/>
      <c r="F109" s="2"/>
      <c r="G109" s="8"/>
    </row>
    <row r="110" spans="1:7" ht="13">
      <c r="A110" s="2" t="s">
        <v>149</v>
      </c>
      <c r="C110" s="28">
        <f>B80/LN(1-B80)</f>
        <v>-0.95429277473760776</v>
      </c>
      <c r="D110" s="28">
        <f>B80/LN(1-B80)</f>
        <v>-0.95429277473760776</v>
      </c>
      <c r="E110" s="7" t="s">
        <v>217</v>
      </c>
    </row>
    <row r="111" spans="1:7" ht="13">
      <c r="A111" s="2" t="s">
        <v>150</v>
      </c>
      <c r="C111" s="28">
        <f t="shared" ref="C111:D111" si="37">C106*C102</f>
        <v>1.0022074833688128</v>
      </c>
      <c r="D111" s="28">
        <f t="shared" si="37"/>
        <v>1.002125994339772</v>
      </c>
      <c r="E111" s="7" t="s">
        <v>220</v>
      </c>
    </row>
    <row r="112" spans="1:7" ht="13">
      <c r="A112" s="2" t="s">
        <v>151</v>
      </c>
      <c r="C112" s="28">
        <f t="shared" ref="C112:D112" si="38">1-$B$80*C102</f>
        <v>0.91408486673027622</v>
      </c>
      <c r="D112" s="28">
        <f t="shared" si="38"/>
        <v>0.9139339642379507</v>
      </c>
      <c r="E112" s="7" t="s">
        <v>221</v>
      </c>
    </row>
    <row r="113" spans="1:5" ht="13">
      <c r="A113" s="2" t="s">
        <v>243</v>
      </c>
      <c r="C113" s="28">
        <f t="shared" ref="C113:D113" si="39">C110*C111*C112</f>
        <v>-0.87423018167900846</v>
      </c>
      <c r="D113" s="28">
        <f t="shared" si="39"/>
        <v>-0.87401478711317815</v>
      </c>
      <c r="E113" s="2" t="s">
        <v>225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45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270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E3" s="1" t="s">
        <v>7</v>
      </c>
      <c r="F3" s="2">
        <v>16</v>
      </c>
      <c r="G3" s="2" t="s">
        <v>244</v>
      </c>
    </row>
    <row r="4" spans="1:12" ht="15.75" customHeight="1">
      <c r="A4" s="6" t="s">
        <v>141</v>
      </c>
      <c r="B4" s="7">
        <v>0.08</v>
      </c>
      <c r="D4" s="8"/>
      <c r="E4" s="6" t="s">
        <v>10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8"/>
      <c r="C6" s="8"/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0.79</v>
      </c>
      <c r="C8" s="32">
        <v>0.38290000000000002</v>
      </c>
      <c r="D8" s="32">
        <v>2.7932000000000001</v>
      </c>
      <c r="E8" s="32">
        <v>27.990500000000001</v>
      </c>
      <c r="G8" s="6" t="s">
        <v>27</v>
      </c>
      <c r="H8" s="16">
        <f t="shared" ref="H8:H9" si="0">C8/B8</f>
        <v>0.48468354430379745</v>
      </c>
      <c r="I8" s="16">
        <f t="shared" ref="I8:I9" si="1">C8/D8</f>
        <v>0.13708291565229844</v>
      </c>
      <c r="J8" s="16">
        <f t="shared" ref="J8:J9" si="2">C8/E8</f>
        <v>1.3679641306871975E-2</v>
      </c>
      <c r="K8" s="32"/>
      <c r="L8" s="32"/>
    </row>
    <row r="9" spans="1:12" ht="15.75" customHeight="1">
      <c r="A9" s="7" t="s">
        <v>196</v>
      </c>
      <c r="B9" s="32">
        <v>0.8498</v>
      </c>
      <c r="C9" s="32">
        <v>0.39129999999999998</v>
      </c>
      <c r="D9" s="32">
        <v>3.0350999999999999</v>
      </c>
      <c r="E9" s="32">
        <v>30.314399999999999</v>
      </c>
      <c r="G9" s="6" t="s">
        <v>30</v>
      </c>
      <c r="H9" s="16">
        <f t="shared" si="0"/>
        <v>0.46046128500823719</v>
      </c>
      <c r="I9" s="16">
        <f t="shared" si="1"/>
        <v>0.12892491186451846</v>
      </c>
      <c r="J9" s="16">
        <f t="shared" si="2"/>
        <v>1.2908056897052225E-2</v>
      </c>
      <c r="K9" s="32"/>
      <c r="L9" s="32"/>
    </row>
    <row r="10" spans="1:12" ht="15.75" customHeight="1">
      <c r="A10" s="8"/>
      <c r="B10" s="8"/>
      <c r="C10" s="8"/>
      <c r="D10" s="8"/>
      <c r="E10" s="8"/>
      <c r="G10" s="6" t="s">
        <v>31</v>
      </c>
      <c r="H10" s="16">
        <f t="shared" ref="H10:J10" si="3">H9/H8</f>
        <v>0.95002458907419007</v>
      </c>
      <c r="I10" s="16">
        <f t="shared" si="3"/>
        <v>0.94048854484192468</v>
      </c>
      <c r="J10" s="16">
        <f t="shared" si="3"/>
        <v>0.94359615193768687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1.0548580457361647</v>
      </c>
      <c r="I11" s="16">
        <f t="shared" si="4"/>
        <v>1.0659877581048292</v>
      </c>
      <c r="J11" s="16">
        <f t="shared" si="4"/>
        <v>1.0623361101790274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6.2899915916022012E-3</v>
      </c>
      <c r="I12" s="11">
        <f t="shared" ref="I12:J12" si="5">I11*SQRT(D26^2*(I16+I17))</f>
        <v>4.380165985734632E-3</v>
      </c>
      <c r="J12" s="11">
        <f t="shared" si="5"/>
        <v>4.4279383178925111E-3</v>
      </c>
      <c r="K12" s="32"/>
      <c r="L12" s="27" t="s">
        <v>226</v>
      </c>
    </row>
    <row r="13" spans="1:12" ht="15.75" customHeight="1">
      <c r="A13" s="7" t="s">
        <v>195</v>
      </c>
      <c r="B13" s="32">
        <v>9.1000000000000004E-3</v>
      </c>
      <c r="C13" s="32">
        <v>5.1999999999999998E-3</v>
      </c>
      <c r="D13" s="32">
        <v>1.6000000000000001E-3</v>
      </c>
      <c r="E13" s="32">
        <v>2.29E-2</v>
      </c>
      <c r="K13" s="32"/>
      <c r="L13" s="2" t="s">
        <v>227</v>
      </c>
    </row>
    <row r="14" spans="1:12" ht="15.75" customHeight="1">
      <c r="A14" s="7" t="s">
        <v>196</v>
      </c>
      <c r="B14" s="22">
        <v>5.7000000000000002E-3</v>
      </c>
      <c r="C14" s="22">
        <v>5.0000000000000001E-3</v>
      </c>
      <c r="D14" s="32">
        <v>1.4E-3</v>
      </c>
      <c r="E14" s="32">
        <v>3.4200000000000001E-2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2.2750000000000001E-3</v>
      </c>
      <c r="C16" s="11">
        <f t="shared" si="6"/>
        <v>1.2999999999999999E-3</v>
      </c>
      <c r="D16" s="11">
        <f t="shared" ref="D16:E16" si="7">D13/SQRT($F$4)</f>
        <v>5.6568542494923803E-4</v>
      </c>
      <c r="E16" s="11">
        <f t="shared" si="7"/>
        <v>8.0963726445859689E-3</v>
      </c>
      <c r="G16" s="6" t="s">
        <v>44</v>
      </c>
      <c r="H16" s="34">
        <f t="shared" ref="H16:H17" si="8">(B16/B8)^2+(C16/C8)^2</f>
        <v>1.9819933309885472E-5</v>
      </c>
      <c r="I16" s="34">
        <f>(D16/D8)^2+(C16/C8)^2</f>
        <v>1.1568006775445509E-5</v>
      </c>
      <c r="J16" s="34">
        <f>(E16/E8)^2+(C16/C8)^2</f>
        <v>1.1610659527025667E-5</v>
      </c>
    </row>
    <row r="17" spans="1:10" ht="15.75" customHeight="1">
      <c r="A17" s="7" t="s">
        <v>198</v>
      </c>
      <c r="B17" s="11">
        <f t="shared" ref="B17:C17" si="9">B14/SQRT($F$3)</f>
        <v>1.4250000000000001E-3</v>
      </c>
      <c r="C17" s="11">
        <f t="shared" si="9"/>
        <v>1.25E-3</v>
      </c>
      <c r="D17" s="11">
        <f t="shared" ref="D17:E17" si="10">D14/SQRT($F$4)</f>
        <v>4.9497474683058318E-4</v>
      </c>
      <c r="E17" s="11">
        <f t="shared" si="10"/>
        <v>1.2091525958289962E-2</v>
      </c>
      <c r="G17" s="6" t="s">
        <v>42</v>
      </c>
      <c r="H17" s="34">
        <f t="shared" si="8"/>
        <v>1.3016578792183134E-5</v>
      </c>
      <c r="I17" s="34">
        <f>(C17/C9)^2+(D17/D9)^2</f>
        <v>1.0231298308229041E-5</v>
      </c>
      <c r="J17" s="34">
        <f>(C17/C9)^2+(E17/E9)^2</f>
        <v>1.0363799914126608E-5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-0.95944418700863821</v>
      </c>
      <c r="C23" s="16"/>
      <c r="D23" s="16">
        <f t="shared" ref="D23:E23" si="11">$B$4/LN(1-$B$4)</f>
        <v>-0.95944418700863821</v>
      </c>
      <c r="E23" s="16">
        <f t="shared" si="11"/>
        <v>-0.95944418700863821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1.002141081432103</v>
      </c>
      <c r="C24" s="16"/>
      <c r="D24" s="16">
        <f t="shared" ref="D24:E24" si="12">I10*I11</f>
        <v>1.0025492754393164</v>
      </c>
      <c r="E24" s="16">
        <f t="shared" si="12"/>
        <v>1.0024162656293807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0.92399803287406479</v>
      </c>
      <c r="C25" s="16"/>
      <c r="D25" s="16">
        <f>1-$B$4/I10</f>
        <v>0.91493782626193898</v>
      </c>
      <c r="E25" s="16">
        <f>1-$B$4*J10</f>
        <v>0.92451230784498506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-1.0405849373422074</v>
      </c>
      <c r="C26" s="16"/>
      <c r="D26" s="16">
        <f t="shared" ref="D26:E26" si="13">D23*D24*D25</f>
        <v>-0.88006961387509031</v>
      </c>
      <c r="E26" s="16">
        <f t="shared" si="13"/>
        <v>-0.88916123058818763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A29" s="30"/>
      <c r="B29" s="28"/>
      <c r="C29" s="30"/>
      <c r="D29" s="28"/>
    </row>
    <row r="30" spans="1:10" ht="13">
      <c r="C30" s="11">
        <f>D61</f>
        <v>0</v>
      </c>
    </row>
    <row r="31" spans="1:10" ht="13">
      <c r="A31" s="1" t="s">
        <v>273</v>
      </c>
      <c r="B31" s="28"/>
      <c r="D31" s="28"/>
    </row>
    <row r="32" spans="1:10" ht="13">
      <c r="A32" s="1" t="s">
        <v>3</v>
      </c>
      <c r="B32" s="2" t="s">
        <v>274</v>
      </c>
      <c r="C32" s="2"/>
      <c r="D32" s="2"/>
      <c r="G32" s="2"/>
      <c r="H32" s="2"/>
    </row>
    <row r="33" spans="1:12" ht="13">
      <c r="A33" s="2" t="s">
        <v>270</v>
      </c>
      <c r="B33" s="2"/>
      <c r="C33" s="2"/>
      <c r="D33" s="2"/>
      <c r="E33" s="6" t="s">
        <v>5</v>
      </c>
      <c r="F33" s="2">
        <v>0.25</v>
      </c>
      <c r="G33" s="2" t="s">
        <v>242</v>
      </c>
      <c r="H33" s="2"/>
    </row>
    <row r="34" spans="1:12" ht="13">
      <c r="E34" s="1" t="s">
        <v>7</v>
      </c>
      <c r="F34" s="2">
        <v>16</v>
      </c>
      <c r="G34" s="2" t="s">
        <v>244</v>
      </c>
    </row>
    <row r="35" spans="1:12" ht="13">
      <c r="A35" s="6" t="s">
        <v>141</v>
      </c>
      <c r="B35" s="7">
        <v>0.08</v>
      </c>
      <c r="D35" s="8"/>
      <c r="E35" s="6" t="s">
        <v>10</v>
      </c>
      <c r="F35" s="7">
        <v>8</v>
      </c>
      <c r="G35" s="8"/>
      <c r="H35" s="8"/>
      <c r="I35" s="8"/>
    </row>
    <row r="36" spans="1:12" ht="13">
      <c r="A36" s="7"/>
      <c r="B36" s="8"/>
      <c r="C36" s="8"/>
      <c r="D36" s="8"/>
      <c r="E36" s="8"/>
      <c r="F36" s="8"/>
      <c r="G36" s="8"/>
      <c r="H36" s="8"/>
      <c r="I36" s="8"/>
    </row>
    <row r="37" spans="1:12" ht="13">
      <c r="A37" s="17" t="s">
        <v>15</v>
      </c>
      <c r="B37" s="8"/>
      <c r="C37" s="8"/>
      <c r="D37" s="7" t="s">
        <v>14</v>
      </c>
      <c r="E37" s="7" t="s">
        <v>269</v>
      </c>
      <c r="F37" s="8"/>
      <c r="G37" s="8"/>
      <c r="H37" s="8"/>
      <c r="I37" s="7" t="s">
        <v>14</v>
      </c>
      <c r="J37" s="2" t="s">
        <v>269</v>
      </c>
    </row>
    <row r="38" spans="1:12" ht="13">
      <c r="A38" s="6" t="s">
        <v>68</v>
      </c>
      <c r="B38" s="6" t="s">
        <v>69</v>
      </c>
      <c r="C38" s="6" t="s">
        <v>70</v>
      </c>
      <c r="D38" s="6" t="s">
        <v>71</v>
      </c>
      <c r="E38" s="6" t="s">
        <v>71</v>
      </c>
      <c r="G38" s="8"/>
      <c r="H38" s="6" t="s">
        <v>193</v>
      </c>
      <c r="I38" s="6" t="s">
        <v>194</v>
      </c>
      <c r="J38" s="6" t="s">
        <v>194</v>
      </c>
    </row>
    <row r="39" spans="1:12" ht="14">
      <c r="A39" s="7" t="s">
        <v>195</v>
      </c>
      <c r="B39" s="32">
        <v>0.79049999999999998</v>
      </c>
      <c r="C39" s="32">
        <v>0.38350000000000001</v>
      </c>
      <c r="D39" s="32">
        <v>2.8003</v>
      </c>
      <c r="E39" s="32">
        <v>28.114000000000001</v>
      </c>
      <c r="G39" s="6" t="s">
        <v>27</v>
      </c>
      <c r="H39" s="16">
        <f t="shared" ref="H39:H40" si="14">C39/B39</f>
        <v>0.48513598987982293</v>
      </c>
      <c r="I39" s="16">
        <f t="shared" ref="I39:I40" si="15">C39/D39</f>
        <v>0.13694961254151342</v>
      </c>
      <c r="J39" s="16">
        <f t="shared" ref="J39:J40" si="16">C39/E39</f>
        <v>1.3640890659457922E-2</v>
      </c>
      <c r="K39" s="32"/>
      <c r="L39" s="32"/>
    </row>
    <row r="40" spans="1:12" ht="14">
      <c r="A40" s="7" t="s">
        <v>196</v>
      </c>
      <c r="B40" s="32">
        <v>0.85070000000000001</v>
      </c>
      <c r="C40" s="32">
        <v>0.39219999999999999</v>
      </c>
      <c r="D40" s="32">
        <v>3.0346000000000002</v>
      </c>
      <c r="E40" s="32">
        <v>30.295000000000002</v>
      </c>
      <c r="G40" s="6" t="s">
        <v>30</v>
      </c>
      <c r="H40" s="16">
        <f t="shared" si="14"/>
        <v>0.46103209121899613</v>
      </c>
      <c r="I40" s="16">
        <f t="shared" si="15"/>
        <v>0.12924273380346668</v>
      </c>
      <c r="J40" s="16">
        <f t="shared" si="16"/>
        <v>1.2946030698135005E-2</v>
      </c>
      <c r="K40" s="32"/>
      <c r="L40" s="32"/>
    </row>
    <row r="41" spans="1:12" ht="13">
      <c r="A41" s="8"/>
      <c r="B41" s="8"/>
      <c r="C41" s="8"/>
      <c r="D41" s="8"/>
      <c r="E41" s="8"/>
      <c r="G41" s="6" t="s">
        <v>31</v>
      </c>
      <c r="H41" s="16">
        <f t="shared" ref="H41:J41" si="17">H40/H39</f>
        <v>0.95031517107853047</v>
      </c>
      <c r="I41" s="16">
        <f t="shared" si="17"/>
        <v>0.94372471308956385</v>
      </c>
      <c r="J41" s="16">
        <f t="shared" si="17"/>
        <v>0.94906051381321388</v>
      </c>
    </row>
    <row r="42" spans="1:12" ht="14">
      <c r="A42" s="17" t="s">
        <v>19</v>
      </c>
      <c r="B42" s="8"/>
      <c r="C42" s="8"/>
      <c r="D42" s="8"/>
      <c r="E42" s="8"/>
      <c r="G42" s="37" t="s">
        <v>0</v>
      </c>
      <c r="H42" s="16">
        <f t="shared" ref="H42:J42" si="18">LN(1-$B$4)/LN(1-$B$4*H41)</f>
        <v>1.0545224065345533</v>
      </c>
      <c r="I42" s="16">
        <f t="shared" si="18"/>
        <v>1.0621855599133132</v>
      </c>
      <c r="J42" s="16">
        <f t="shared" si="18"/>
        <v>1.0559730803517358</v>
      </c>
      <c r="K42" s="32"/>
      <c r="L42" s="2" t="s">
        <v>39</v>
      </c>
    </row>
    <row r="43" spans="1:12" ht="14">
      <c r="A43" s="6" t="s">
        <v>68</v>
      </c>
      <c r="B43" s="6" t="s">
        <v>143</v>
      </c>
      <c r="C43" s="6" t="s">
        <v>144</v>
      </c>
      <c r="D43" s="6" t="s">
        <v>145</v>
      </c>
      <c r="E43" s="6" t="s">
        <v>145</v>
      </c>
      <c r="G43" s="39" t="s">
        <v>38</v>
      </c>
      <c r="H43" s="11">
        <f>H42*SQRT(B57^2*(H47+H48))</f>
        <v>6.2326181266414036E-3</v>
      </c>
      <c r="I43" s="11">
        <f t="shared" ref="I43:J43" si="19">I42*SQRT(D57^2*(I47+I48))</f>
        <v>4.2019353822421507E-3</v>
      </c>
      <c r="J43" s="11">
        <f t="shared" si="19"/>
        <v>4.2391972726175476E-3</v>
      </c>
      <c r="K43" s="32"/>
      <c r="L43" s="27" t="s">
        <v>226</v>
      </c>
    </row>
    <row r="44" spans="1:12" ht="14">
      <c r="A44" s="7" t="s">
        <v>195</v>
      </c>
      <c r="B44" s="32">
        <v>8.9999999999999993E-3</v>
      </c>
      <c r="C44" s="32">
        <v>5.3E-3</v>
      </c>
      <c r="D44" s="32">
        <v>1.1000000000000001E-3</v>
      </c>
      <c r="E44" s="32">
        <v>2.1299999999999999E-2</v>
      </c>
      <c r="K44" s="32"/>
      <c r="L44" s="2" t="s">
        <v>227</v>
      </c>
    </row>
    <row r="45" spans="1:12" ht="14">
      <c r="A45" s="7" t="s">
        <v>196</v>
      </c>
      <c r="B45" s="22">
        <v>6.7999999999999996E-3</v>
      </c>
      <c r="C45" s="51">
        <v>4.4999999999999997E-3</v>
      </c>
      <c r="D45" s="32">
        <v>1E-3</v>
      </c>
      <c r="E45" s="32">
        <v>3.5999999999999997E-2</v>
      </c>
      <c r="J45" s="8"/>
      <c r="K45" s="32"/>
      <c r="L45" s="2" t="s">
        <v>228</v>
      </c>
    </row>
    <row r="46" spans="1:12" ht="13">
      <c r="A46" s="7"/>
      <c r="B46" s="11"/>
      <c r="C46" s="11"/>
      <c r="D46" s="11"/>
      <c r="E46" s="8"/>
      <c r="H46" s="6" t="s">
        <v>193</v>
      </c>
      <c r="I46" s="6" t="s">
        <v>194</v>
      </c>
      <c r="J46" s="6" t="s">
        <v>194</v>
      </c>
    </row>
    <row r="47" spans="1:12" ht="13">
      <c r="A47" s="7" t="s">
        <v>197</v>
      </c>
      <c r="B47" s="11">
        <f t="shared" ref="B47:C47" si="20">B44/SQRT($F$3)</f>
        <v>2.2499999999999998E-3</v>
      </c>
      <c r="C47" s="11">
        <f t="shared" si="20"/>
        <v>1.325E-3</v>
      </c>
      <c r="D47" s="11">
        <f t="shared" ref="D47:E47" si="21">D44/SQRT($F$4)</f>
        <v>3.8890872965260113E-4</v>
      </c>
      <c r="E47" s="11">
        <f t="shared" si="21"/>
        <v>7.5306872196367301E-3</v>
      </c>
      <c r="G47" s="6" t="s">
        <v>44</v>
      </c>
      <c r="H47" s="34">
        <f t="shared" ref="H47:I47" si="22">(B47/B39)^2+(C47/C39)^2</f>
        <v>2.003858274708975E-5</v>
      </c>
      <c r="I47" s="34">
        <f t="shared" si="22"/>
        <v>1.1956448095760823E-5</v>
      </c>
      <c r="J47" s="34">
        <f t="shared" ref="J47:J48" si="23">(C47/C39)^2+(E47/E39)^2</f>
        <v>1.2008910473233427E-5</v>
      </c>
    </row>
    <row r="48" spans="1:12" ht="13">
      <c r="A48" s="7" t="s">
        <v>198</v>
      </c>
      <c r="B48" s="11">
        <f t="shared" ref="B48:C48" si="24">B45/SQRT($F$3)</f>
        <v>1.6999999999999999E-3</v>
      </c>
      <c r="C48" s="11">
        <f t="shared" si="24"/>
        <v>1.1249999999999999E-3</v>
      </c>
      <c r="D48" s="11">
        <f t="shared" ref="D48:E48" si="25">D45/SQRT($F$4)</f>
        <v>3.5355339059327376E-4</v>
      </c>
      <c r="E48" s="11">
        <f t="shared" si="25"/>
        <v>1.2727922061357854E-2</v>
      </c>
      <c r="G48" s="6" t="s">
        <v>42</v>
      </c>
      <c r="H48" s="34">
        <f t="shared" ref="H48:I48" si="26">(B48/B40)^2+(C48/C40)^2</f>
        <v>1.2221336215538599E-5</v>
      </c>
      <c r="I48" s="34">
        <f t="shared" si="26"/>
        <v>8.2414902982594809E-6</v>
      </c>
      <c r="J48" s="34">
        <f t="shared" si="23"/>
        <v>8.4044278600715127E-6</v>
      </c>
    </row>
    <row r="49" spans="1:15" ht="13">
      <c r="A49" s="7" t="s">
        <v>208</v>
      </c>
      <c r="B49" s="8"/>
      <c r="C49" s="8"/>
      <c r="D49" s="8"/>
      <c r="E49" s="8"/>
      <c r="G49" s="7" t="s">
        <v>209</v>
      </c>
    </row>
    <row r="50" spans="1:15" ht="14">
      <c r="A50" s="7" t="s">
        <v>210</v>
      </c>
      <c r="B50" s="8"/>
      <c r="C50" s="8"/>
      <c r="D50" s="8"/>
      <c r="E50" s="8"/>
      <c r="F50" s="8"/>
      <c r="K50" s="61"/>
      <c r="L50" s="32"/>
      <c r="M50" s="32"/>
      <c r="N50" s="32"/>
      <c r="O50" s="32"/>
    </row>
    <row r="51" spans="1:15" ht="14">
      <c r="A51" s="7"/>
      <c r="B51" s="8"/>
      <c r="C51" s="8"/>
      <c r="D51" s="8"/>
      <c r="E51" s="8"/>
      <c r="F51" s="8"/>
      <c r="G51" s="8"/>
      <c r="H51" s="8"/>
      <c r="I51" s="8"/>
      <c r="K51" s="61"/>
      <c r="L51" s="32"/>
      <c r="M51" s="32"/>
      <c r="N51" s="32"/>
      <c r="O51" s="32"/>
    </row>
    <row r="52" spans="1:15" ht="14">
      <c r="A52" s="17" t="s">
        <v>148</v>
      </c>
      <c r="B52" s="8"/>
      <c r="C52" s="8"/>
      <c r="D52" s="7" t="s">
        <v>14</v>
      </c>
      <c r="E52" s="7" t="s">
        <v>269</v>
      </c>
      <c r="F52" s="8"/>
      <c r="G52" s="8"/>
      <c r="H52" s="8"/>
      <c r="I52" s="8"/>
      <c r="J52" s="61"/>
      <c r="K52" s="32"/>
      <c r="L52" s="32"/>
      <c r="M52" s="32"/>
      <c r="N52" s="32"/>
      <c r="O52" s="32"/>
    </row>
    <row r="53" spans="1:15" ht="14">
      <c r="B53" s="1" t="s">
        <v>193</v>
      </c>
      <c r="C53" s="13"/>
      <c r="D53" s="1" t="s">
        <v>194</v>
      </c>
      <c r="E53" s="1" t="s">
        <v>194</v>
      </c>
      <c r="F53" s="6" t="s">
        <v>215</v>
      </c>
      <c r="G53" s="8"/>
      <c r="H53" s="8"/>
      <c r="I53" s="8"/>
      <c r="J53" s="61"/>
      <c r="K53" s="32"/>
      <c r="L53" s="32"/>
      <c r="M53" s="32"/>
      <c r="N53" s="32"/>
      <c r="O53" s="32"/>
    </row>
    <row r="54" spans="1:15" ht="14">
      <c r="A54" s="7" t="s">
        <v>149</v>
      </c>
      <c r="B54" s="16">
        <f>$B$4/LN(1-$B$4)</f>
        <v>-0.95944418700863821</v>
      </c>
      <c r="C54" s="16"/>
      <c r="D54" s="16">
        <f t="shared" ref="D54:E54" si="27">$B$4/LN(1-$B$4)</f>
        <v>-0.95944418700863821</v>
      </c>
      <c r="E54" s="16">
        <f t="shared" si="27"/>
        <v>-0.95944418700863821</v>
      </c>
      <c r="F54" s="7" t="s">
        <v>217</v>
      </c>
      <c r="G54" s="8"/>
      <c r="J54" s="61"/>
      <c r="K54" s="32"/>
      <c r="L54" s="32"/>
      <c r="M54" s="32"/>
      <c r="N54" s="32"/>
      <c r="O54" s="32"/>
    </row>
    <row r="55" spans="1:15" ht="14">
      <c r="A55" s="7" t="s">
        <v>150</v>
      </c>
      <c r="B55" s="16">
        <f>H41*H42</f>
        <v>1.0021286411720276</v>
      </c>
      <c r="C55" s="16"/>
      <c r="D55" s="16">
        <f t="shared" ref="D55:E55" si="28">I41*I42</f>
        <v>1.0024107627770693</v>
      </c>
      <c r="E55" s="16">
        <f t="shared" si="28"/>
        <v>1.0021823542115404</v>
      </c>
      <c r="F55" s="7" t="s">
        <v>220</v>
      </c>
      <c r="G55" s="8"/>
      <c r="J55" s="61"/>
      <c r="K55" s="32"/>
      <c r="L55" s="32"/>
      <c r="M55" s="32"/>
      <c r="N55" s="32"/>
      <c r="O55" s="32"/>
    </row>
    <row r="56" spans="1:15" ht="14">
      <c r="A56" s="7" t="s">
        <v>151</v>
      </c>
      <c r="B56" s="16">
        <f>1-$B$4*H41</f>
        <v>0.92397478631371754</v>
      </c>
      <c r="C56" s="16"/>
      <c r="D56" s="16">
        <f>1-$B$4/I41</f>
        <v>0.91522951673259023</v>
      </c>
      <c r="E56" s="16">
        <f>1-$B$4*J41</f>
        <v>0.92407515889494285</v>
      </c>
      <c r="F56" s="7" t="s">
        <v>221</v>
      </c>
      <c r="G56" s="8"/>
      <c r="J56" s="61"/>
      <c r="K56" s="32"/>
      <c r="L56" s="32"/>
      <c r="M56" s="32"/>
      <c r="N56" s="32"/>
      <c r="O56" s="32"/>
    </row>
    <row r="57" spans="1:15" ht="14">
      <c r="A57" s="7" t="s">
        <v>54</v>
      </c>
      <c r="B57" s="16">
        <f>B54*B55/B56</f>
        <v>-1.040598199917669</v>
      </c>
      <c r="C57" s="16"/>
      <c r="D57" s="16">
        <f t="shared" ref="D57:E57" si="29">D54*D55*D56</f>
        <v>-0.88022855846268666</v>
      </c>
      <c r="E57" s="16">
        <f t="shared" si="29"/>
        <v>-0.88853341161759281</v>
      </c>
      <c r="F57" s="2" t="s">
        <v>245</v>
      </c>
      <c r="G57" s="8"/>
      <c r="H57" s="8"/>
      <c r="I57" s="8"/>
      <c r="J57" s="61"/>
      <c r="K57" s="32"/>
      <c r="L57" s="32"/>
      <c r="M57" s="32"/>
      <c r="N57" s="32"/>
      <c r="O57" s="32"/>
    </row>
    <row r="58" spans="1:15" ht="14">
      <c r="A58" s="1"/>
      <c r="B58" s="2"/>
      <c r="C58" s="2"/>
      <c r="D58" s="2"/>
      <c r="G58" s="2"/>
      <c r="H58" s="2"/>
      <c r="J58" s="61"/>
      <c r="K58" s="32"/>
      <c r="L58" s="32"/>
      <c r="M58" s="32"/>
      <c r="N58" s="32"/>
    </row>
    <row r="59" spans="1:15" ht="14">
      <c r="A59" s="1"/>
      <c r="B59" s="2"/>
      <c r="C59" s="2"/>
      <c r="D59" s="2"/>
      <c r="G59" s="2"/>
      <c r="H59" s="2"/>
      <c r="J59" s="61"/>
      <c r="K59" s="32"/>
      <c r="L59" s="32"/>
      <c r="M59" s="32"/>
      <c r="N59" s="32"/>
    </row>
    <row r="60" spans="1:15" ht="14">
      <c r="A60" s="1" t="s">
        <v>3</v>
      </c>
      <c r="B60" s="2"/>
      <c r="C60" s="2"/>
      <c r="D60" s="2"/>
      <c r="G60" s="2"/>
      <c r="H60" s="2"/>
      <c r="J60" s="61"/>
      <c r="K60" s="32"/>
      <c r="L60" s="32"/>
      <c r="M60" s="32"/>
      <c r="N60" s="32"/>
    </row>
    <row r="61" spans="1:15" ht="14">
      <c r="A61" s="2" t="s">
        <v>270</v>
      </c>
      <c r="B61" s="2"/>
      <c r="C61" s="2"/>
      <c r="D61" s="2"/>
      <c r="E61" s="6" t="s">
        <v>5</v>
      </c>
      <c r="F61" s="2">
        <v>0.25</v>
      </c>
      <c r="G61" s="2"/>
      <c r="H61" s="2"/>
      <c r="J61" s="61"/>
      <c r="K61" s="32"/>
      <c r="L61" s="32"/>
      <c r="M61" s="32"/>
      <c r="N61" s="32"/>
    </row>
    <row r="62" spans="1:15" ht="14">
      <c r="E62" s="1" t="s">
        <v>7</v>
      </c>
      <c r="F62" s="2">
        <v>16</v>
      </c>
      <c r="J62" s="61"/>
      <c r="K62" s="32"/>
      <c r="L62" s="32"/>
      <c r="M62" s="32"/>
      <c r="N62" s="32"/>
    </row>
    <row r="63" spans="1:15" ht="13">
      <c r="A63" s="6" t="s">
        <v>141</v>
      </c>
      <c r="B63" s="7">
        <v>0.08</v>
      </c>
      <c r="D63" s="8"/>
      <c r="E63" s="6" t="s">
        <v>10</v>
      </c>
      <c r="F63" s="7">
        <v>8</v>
      </c>
      <c r="G63" s="8"/>
      <c r="H63" s="8"/>
      <c r="I63" s="8"/>
    </row>
    <row r="64" spans="1:15" ht="13">
      <c r="A64" s="7"/>
      <c r="B64" s="8"/>
      <c r="C64" s="8"/>
      <c r="D64" s="8"/>
      <c r="E64" s="8"/>
      <c r="F64" s="8"/>
      <c r="G64" s="8"/>
      <c r="H64" s="8"/>
      <c r="I64" s="8"/>
    </row>
    <row r="65" spans="1:12" ht="13">
      <c r="A65" s="17" t="s">
        <v>15</v>
      </c>
      <c r="B65" s="8"/>
      <c r="C65" s="8"/>
      <c r="D65" s="7" t="s">
        <v>14</v>
      </c>
      <c r="E65" s="7" t="s">
        <v>269</v>
      </c>
      <c r="F65" s="8"/>
      <c r="G65" s="8"/>
      <c r="H65" s="8"/>
      <c r="I65" s="7" t="s">
        <v>14</v>
      </c>
      <c r="J65" s="2" t="s">
        <v>269</v>
      </c>
    </row>
    <row r="66" spans="1:12" ht="13">
      <c r="A66" s="6" t="s">
        <v>68</v>
      </c>
      <c r="B66" s="6" t="s">
        <v>69</v>
      </c>
      <c r="C66" s="6" t="s">
        <v>70</v>
      </c>
      <c r="D66" s="6" t="s">
        <v>71</v>
      </c>
      <c r="E66" s="6" t="s">
        <v>71</v>
      </c>
      <c r="G66" s="8"/>
      <c r="H66" s="6" t="s">
        <v>193</v>
      </c>
      <c r="I66" s="6" t="s">
        <v>194</v>
      </c>
      <c r="J66" s="6" t="s">
        <v>194</v>
      </c>
    </row>
    <row r="67" spans="1:12" ht="14">
      <c r="A67" s="7" t="s">
        <v>195</v>
      </c>
      <c r="B67" s="52">
        <v>0.79039999999999999</v>
      </c>
      <c r="C67" s="52">
        <v>0.38329999999999997</v>
      </c>
      <c r="D67" s="52">
        <v>2.8018000000000001</v>
      </c>
      <c r="E67" s="52">
        <v>27.990500000000001</v>
      </c>
      <c r="G67" s="6" t="s">
        <v>27</v>
      </c>
      <c r="H67" s="16">
        <f t="shared" ref="H67:H68" si="30">C67/B67</f>
        <v>0.48494433198380565</v>
      </c>
      <c r="I67" s="16">
        <f t="shared" ref="I67:I68" si="31">C67/D67</f>
        <v>0.13680491112856019</v>
      </c>
      <c r="J67" s="16">
        <f t="shared" ref="J67:J68" si="32">C67/E67</f>
        <v>1.3693931869741518E-2</v>
      </c>
      <c r="K67" s="32"/>
      <c r="L67" s="32"/>
    </row>
    <row r="68" spans="1:12" ht="14">
      <c r="A68" s="7" t="s">
        <v>196</v>
      </c>
      <c r="B68" s="52">
        <v>0.85119999999999996</v>
      </c>
      <c r="C68" s="52">
        <v>0.39200000000000002</v>
      </c>
      <c r="D68" s="52">
        <v>3.0346000000000002</v>
      </c>
      <c r="E68" s="52">
        <v>30.2608</v>
      </c>
      <c r="G68" s="6" t="s">
        <v>30</v>
      </c>
      <c r="H68" s="16">
        <f t="shared" si="30"/>
        <v>0.46052631578947373</v>
      </c>
      <c r="I68" s="16">
        <f t="shared" si="31"/>
        <v>0.1291768272589468</v>
      </c>
      <c r="J68" s="16">
        <f t="shared" si="32"/>
        <v>1.2954052767937398E-2</v>
      </c>
      <c r="K68" s="32"/>
      <c r="L68" s="32"/>
    </row>
    <row r="69" spans="1:12" ht="13">
      <c r="A69" s="8"/>
      <c r="B69" s="8"/>
      <c r="C69" s="8"/>
      <c r="D69" s="8"/>
      <c r="E69" s="8"/>
      <c r="G69" s="6" t="s">
        <v>31</v>
      </c>
      <c r="H69" s="16">
        <f t="shared" ref="H69:J69" si="33">H68/H67</f>
        <v>0.94964779546047495</v>
      </c>
      <c r="I69" s="16">
        <f t="shared" si="33"/>
        <v>0.94424115474593584</v>
      </c>
      <c r="J69" s="16">
        <f t="shared" si="33"/>
        <v>0.94597029481072736</v>
      </c>
    </row>
    <row r="70" spans="1:12" ht="14">
      <c r="A70" s="17" t="s">
        <v>19</v>
      </c>
      <c r="B70" s="8"/>
      <c r="C70" s="8"/>
      <c r="D70" s="8"/>
      <c r="E70" s="8"/>
      <c r="G70" s="37" t="s">
        <v>0</v>
      </c>
      <c r="H70" s="16">
        <f t="shared" ref="H70:J70" si="34">LN(1-$B$4)/LN(1-$B$4*H69)</f>
        <v>1.0552935700753192</v>
      </c>
      <c r="I70" s="16">
        <f t="shared" si="34"/>
        <v>1.0615811989131807</v>
      </c>
      <c r="J70" s="16">
        <f t="shared" si="34"/>
        <v>1.059562489905532</v>
      </c>
      <c r="K70" s="32"/>
      <c r="L70" s="2" t="s">
        <v>39</v>
      </c>
    </row>
    <row r="71" spans="1:12" ht="14">
      <c r="A71" s="6" t="s">
        <v>68</v>
      </c>
      <c r="B71" s="6" t="s">
        <v>143</v>
      </c>
      <c r="C71" s="6" t="s">
        <v>144</v>
      </c>
      <c r="D71" s="6" t="s">
        <v>145</v>
      </c>
      <c r="E71" s="6" t="s">
        <v>145</v>
      </c>
      <c r="G71" s="39" t="s">
        <v>38</v>
      </c>
      <c r="H71" s="11">
        <f>H70*SQRT(B85^2*(H75+H76))</f>
        <v>6.2617203774709366E-3</v>
      </c>
      <c r="I71" s="11">
        <f t="shared" ref="I71:J71" si="35">I70*SQRT(D85^2*(I75+I76))</f>
        <v>4.9654902955069049E-3</v>
      </c>
      <c r="J71" s="11">
        <f t="shared" si="35"/>
        <v>4.9831418290288386E-3</v>
      </c>
      <c r="K71" s="32"/>
      <c r="L71" s="27" t="s">
        <v>226</v>
      </c>
    </row>
    <row r="72" spans="1:12" ht="14">
      <c r="A72" s="7" t="s">
        <v>195</v>
      </c>
      <c r="B72" s="52">
        <v>8.9999999999999993E-3</v>
      </c>
      <c r="C72" s="52">
        <v>5.3E-3</v>
      </c>
      <c r="D72" s="52">
        <v>1E-3</v>
      </c>
      <c r="E72" s="52">
        <v>2.29E-2</v>
      </c>
      <c r="K72" s="32"/>
      <c r="L72" s="2" t="s">
        <v>227</v>
      </c>
    </row>
    <row r="73" spans="1:12" ht="14">
      <c r="A73" s="7" t="s">
        <v>196</v>
      </c>
      <c r="B73" s="51">
        <v>7.0000000000000001E-3</v>
      </c>
      <c r="C73" s="51">
        <v>4.4999999999999997E-3</v>
      </c>
      <c r="D73" s="52">
        <v>1E-3</v>
      </c>
      <c r="E73" s="52">
        <v>3.4700000000000002E-2</v>
      </c>
      <c r="J73" s="8"/>
      <c r="K73" s="32"/>
      <c r="L73" s="2" t="s">
        <v>228</v>
      </c>
    </row>
    <row r="74" spans="1:12" ht="13">
      <c r="A74" s="7"/>
      <c r="B74" s="11"/>
      <c r="C74" s="11"/>
      <c r="D74" s="11"/>
      <c r="E74" s="8"/>
      <c r="H74" s="6" t="s">
        <v>193</v>
      </c>
      <c r="I74" s="6" t="s">
        <v>194</v>
      </c>
      <c r="J74" s="6" t="s">
        <v>194</v>
      </c>
    </row>
    <row r="75" spans="1:12" ht="13">
      <c r="A75" s="7" t="s">
        <v>197</v>
      </c>
      <c r="B75" s="11">
        <f t="shared" ref="B75:C75" si="36">B72/SQRT($F$3)</f>
        <v>2.2499999999999998E-3</v>
      </c>
      <c r="C75" s="11">
        <f t="shared" si="36"/>
        <v>1.325E-3</v>
      </c>
      <c r="D75" s="11">
        <f t="shared" ref="D75:E75" si="37">D72/SQRT($F$4)</f>
        <v>3.5355339059327376E-4</v>
      </c>
      <c r="E75" s="11">
        <f t="shared" si="37"/>
        <v>8.0963726445859689E-3</v>
      </c>
      <c r="G75" s="6" t="s">
        <v>44</v>
      </c>
      <c r="H75" s="34">
        <f t="shared" ref="H75:H76" si="38">(B75/B67)^2+(C75/C67)^2</f>
        <v>2.0053093332220922E-5</v>
      </c>
      <c r="I75" s="34">
        <f>(D75/D67)^2+(C75/C67)^2</f>
        <v>1.1965544035648594E-5</v>
      </c>
      <c r="J75" s="34">
        <f>(E75/E67)^2+(C75/C67)^2</f>
        <v>1.2033288691002873E-5</v>
      </c>
    </row>
    <row r="76" spans="1:12" ht="13">
      <c r="A76" s="7" t="s">
        <v>198</v>
      </c>
      <c r="B76" s="11">
        <f t="shared" ref="B76:C76" si="39">B73/SQRT($F$3)</f>
        <v>1.75E-3</v>
      </c>
      <c r="C76" s="11">
        <f t="shared" si="39"/>
        <v>1.1249999999999999E-3</v>
      </c>
      <c r="D76" s="11">
        <f t="shared" ref="D76:E76" si="40">D73/SQRT($F$4)</f>
        <v>3.5355339059327376E-4</v>
      </c>
      <c r="E76" s="11">
        <f t="shared" si="40"/>
        <v>1.22683026535866E-2</v>
      </c>
      <c r="G76" s="6" t="s">
        <v>42</v>
      </c>
      <c r="H76" s="34">
        <f t="shared" si="38"/>
        <v>1.2463125670780354E-5</v>
      </c>
      <c r="I76" s="34">
        <f>(C76/C68)^2+(D76/D68)^2</f>
        <v>8.2498882730345798E-6</v>
      </c>
      <c r="J76" s="34">
        <f>(C76/C68)^2+(E76/E68)^2</f>
        <v>8.4006788450314852E-6</v>
      </c>
    </row>
    <row r="77" spans="1:12" ht="13">
      <c r="A77" s="7" t="s">
        <v>208</v>
      </c>
      <c r="B77" s="8"/>
      <c r="C77" s="8"/>
      <c r="D77" s="8"/>
      <c r="E77" s="8"/>
      <c r="G77" s="7" t="s">
        <v>209</v>
      </c>
    </row>
    <row r="78" spans="1:12" ht="13">
      <c r="A78" s="7" t="s">
        <v>210</v>
      </c>
      <c r="B78" s="8"/>
      <c r="C78" s="8"/>
      <c r="D78" s="8"/>
      <c r="E78" s="8"/>
      <c r="F78" s="8"/>
    </row>
    <row r="79" spans="1:12" ht="13">
      <c r="A79" s="7"/>
      <c r="B79" s="8"/>
      <c r="C79" s="8"/>
      <c r="D79" s="8"/>
      <c r="E79" s="8"/>
      <c r="F79" s="8"/>
      <c r="G79" s="8"/>
      <c r="H79" s="8"/>
      <c r="I79" s="8"/>
    </row>
    <row r="80" spans="1:12" ht="13">
      <c r="A80" s="17" t="s">
        <v>148</v>
      </c>
      <c r="B80" s="8"/>
      <c r="C80" s="8"/>
      <c r="D80" s="7" t="s">
        <v>14</v>
      </c>
      <c r="E80" s="7" t="s">
        <v>269</v>
      </c>
      <c r="F80" s="8"/>
      <c r="G80" s="8"/>
      <c r="H80" s="8"/>
      <c r="I80" s="8"/>
    </row>
    <row r="81" spans="1:10" ht="13">
      <c r="B81" s="1" t="s">
        <v>193</v>
      </c>
      <c r="C81" s="13"/>
      <c r="D81" s="1" t="s">
        <v>194</v>
      </c>
      <c r="E81" s="1" t="s">
        <v>194</v>
      </c>
      <c r="F81" s="6" t="s">
        <v>215</v>
      </c>
      <c r="G81" s="8"/>
      <c r="H81" s="8"/>
      <c r="I81" s="8"/>
    </row>
    <row r="82" spans="1:10" ht="13">
      <c r="A82" s="7" t="s">
        <v>149</v>
      </c>
      <c r="B82" s="16">
        <f>$B$4/LN(1-$B$4)</f>
        <v>-0.95944418700863821</v>
      </c>
      <c r="C82" s="16"/>
      <c r="D82" s="16">
        <f t="shared" ref="D82:E82" si="41">$B$4/LN(1-$B$4)</f>
        <v>-0.95944418700863821</v>
      </c>
      <c r="E82" s="16">
        <f t="shared" si="41"/>
        <v>-0.95944418700863821</v>
      </c>
      <c r="F82" s="7" t="s">
        <v>217</v>
      </c>
      <c r="G82" s="8"/>
    </row>
    <row r="83" spans="1:10" ht="13">
      <c r="A83" s="7" t="s">
        <v>150</v>
      </c>
      <c r="B83" s="16">
        <f>H69*H70</f>
        <v>1.002157212385641</v>
      </c>
      <c r="C83" s="16"/>
      <c r="D83" s="16">
        <f t="shared" ref="D83:E83" si="42">I69*I70</f>
        <v>1.0023886571183567</v>
      </c>
      <c r="E83" s="16">
        <f t="shared" si="42"/>
        <v>1.0023146409463244</v>
      </c>
      <c r="F83" s="7" t="s">
        <v>220</v>
      </c>
      <c r="G83" s="8"/>
    </row>
    <row r="84" spans="1:10" ht="13">
      <c r="A84" s="7" t="s">
        <v>151</v>
      </c>
      <c r="B84" s="16">
        <f>1-$B$4*H69</f>
        <v>0.92402817636316203</v>
      </c>
      <c r="C84" s="16"/>
      <c r="D84" s="16">
        <f t="shared" ref="D84:E84" si="43">1-$B$4*I69</f>
        <v>0.92446070762032517</v>
      </c>
      <c r="E84" s="16">
        <f t="shared" si="43"/>
        <v>0.92432237641514181</v>
      </c>
      <c r="F84" s="7" t="s">
        <v>221</v>
      </c>
      <c r="G84" s="8"/>
    </row>
    <row r="85" spans="1:10" ht="13">
      <c r="A85" s="7" t="s">
        <v>54</v>
      </c>
      <c r="B85" s="16">
        <f>B82*B83/B84</f>
        <v>-1.0405677407766512</v>
      </c>
      <c r="C85" s="16"/>
      <c r="D85" s="16">
        <f t="shared" ref="D85:E85" si="44">D82*D83/D84</f>
        <v>-1.0403210891150023</v>
      </c>
      <c r="E85" s="16">
        <f t="shared" si="44"/>
        <v>-1.0403999517346834</v>
      </c>
      <c r="F85" s="2" t="s">
        <v>245</v>
      </c>
      <c r="G85" s="8"/>
      <c r="H85" s="8"/>
      <c r="I85" s="8"/>
      <c r="J85" s="8"/>
    </row>
    <row r="87" spans="1:10" ht="13">
      <c r="A87" s="62" t="s">
        <v>278</v>
      </c>
    </row>
    <row r="89" spans="1:10" ht="13">
      <c r="A89" s="1" t="s">
        <v>3</v>
      </c>
      <c r="B89" s="2"/>
      <c r="C89" s="2"/>
      <c r="D89" s="2"/>
      <c r="G89" s="2"/>
      <c r="H89" s="2"/>
    </row>
    <row r="90" spans="1:10" ht="13">
      <c r="A90" s="2" t="s">
        <v>270</v>
      </c>
      <c r="B90" s="2"/>
      <c r="C90" s="2"/>
      <c r="D90" s="2"/>
      <c r="E90" s="6" t="s">
        <v>5</v>
      </c>
      <c r="F90" s="2">
        <v>0.25</v>
      </c>
      <c r="G90" s="2"/>
      <c r="H90" s="2"/>
    </row>
    <row r="91" spans="1:10" ht="13">
      <c r="E91" s="1" t="s">
        <v>7</v>
      </c>
      <c r="F91" s="2">
        <v>16</v>
      </c>
    </row>
    <row r="92" spans="1:10" ht="13">
      <c r="A92" s="6" t="s">
        <v>141</v>
      </c>
      <c r="B92" s="7">
        <v>0.08</v>
      </c>
      <c r="D92" s="8"/>
      <c r="E92" s="6" t="s">
        <v>10</v>
      </c>
      <c r="F92" s="7">
        <v>8</v>
      </c>
      <c r="G92" s="8"/>
      <c r="H92" s="8"/>
      <c r="I92" s="8"/>
    </row>
    <row r="93" spans="1:10" ht="13">
      <c r="A93" s="7"/>
      <c r="B93" s="8"/>
      <c r="C93" s="8"/>
      <c r="D93" s="8"/>
      <c r="E93" s="8"/>
      <c r="F93" s="8"/>
      <c r="G93" s="8"/>
      <c r="H93" s="8"/>
      <c r="I93" s="8"/>
    </row>
    <row r="94" spans="1:10" ht="13">
      <c r="A94" s="17" t="s">
        <v>15</v>
      </c>
      <c r="B94" s="8"/>
      <c r="C94" s="8"/>
      <c r="D94" s="7" t="s">
        <v>14</v>
      </c>
      <c r="E94" s="7" t="s">
        <v>269</v>
      </c>
      <c r="F94" s="8"/>
      <c r="G94" s="8"/>
      <c r="H94" s="8"/>
      <c r="I94" s="7" t="s">
        <v>14</v>
      </c>
      <c r="J94" s="2" t="s">
        <v>269</v>
      </c>
    </row>
    <row r="95" spans="1:10" ht="13">
      <c r="A95" s="6" t="s">
        <v>68</v>
      </c>
      <c r="B95" s="6" t="s">
        <v>69</v>
      </c>
      <c r="C95" s="6" t="s">
        <v>70</v>
      </c>
      <c r="D95" s="6" t="s">
        <v>71</v>
      </c>
      <c r="E95" s="6" t="s">
        <v>71</v>
      </c>
      <c r="G95" s="8"/>
      <c r="H95" s="6" t="s">
        <v>193</v>
      </c>
      <c r="I95" s="6" t="s">
        <v>194</v>
      </c>
      <c r="J95" s="6" t="s">
        <v>194</v>
      </c>
    </row>
    <row r="96" spans="1:10" ht="14">
      <c r="A96" s="7" t="s">
        <v>195</v>
      </c>
      <c r="B96" s="32">
        <v>0.79020000000000001</v>
      </c>
      <c r="C96" s="32">
        <v>0.38329999999999997</v>
      </c>
      <c r="D96" s="32">
        <v>2.8012999999999999</v>
      </c>
      <c r="E96" s="32">
        <v>28.0093</v>
      </c>
      <c r="G96" s="6" t="s">
        <v>27</v>
      </c>
      <c r="H96" s="16">
        <f t="shared" ref="H96:H97" si="45">C96/B96</f>
        <v>0.48506707162743606</v>
      </c>
      <c r="I96" s="16">
        <f t="shared" ref="I96:I97" si="46">C96/D96</f>
        <v>0.13682932923999572</v>
      </c>
      <c r="J96" s="16">
        <f t="shared" ref="J96:J97" si="47">C96/E96</f>
        <v>1.3684740425501529E-2</v>
      </c>
    </row>
    <row r="97" spans="1:10" ht="14">
      <c r="A97" s="7" t="s">
        <v>196</v>
      </c>
      <c r="B97" s="32">
        <v>0.85040000000000004</v>
      </c>
      <c r="C97" s="32">
        <v>0.39119999999999999</v>
      </c>
      <c r="D97" s="32">
        <v>3.0348999999999999</v>
      </c>
      <c r="E97" s="32">
        <v>30.241399999999999</v>
      </c>
      <c r="G97" s="6" t="s">
        <v>30</v>
      </c>
      <c r="H97" s="16">
        <f t="shared" si="45"/>
        <v>0.46001881467544681</v>
      </c>
      <c r="I97" s="16">
        <f t="shared" si="46"/>
        <v>0.12890045800520611</v>
      </c>
      <c r="J97" s="16">
        <f t="shared" si="47"/>
        <v>1.2935909051829611E-2</v>
      </c>
    </row>
    <row r="98" spans="1:10" ht="13">
      <c r="A98" s="8"/>
      <c r="B98" s="8"/>
      <c r="C98" s="8"/>
      <c r="D98" s="8"/>
      <c r="E98" s="8"/>
      <c r="G98" s="6" t="s">
        <v>31</v>
      </c>
      <c r="H98" s="16">
        <f t="shared" ref="H98:J98" si="48">H97/H96</f>
        <v>0.94836125060406495</v>
      </c>
      <c r="I98" s="16">
        <f t="shared" si="48"/>
        <v>0.94205283853374344</v>
      </c>
      <c r="J98" s="16">
        <f t="shared" si="48"/>
        <v>0.94527982625987772</v>
      </c>
    </row>
    <row r="99" spans="1:10" ht="13">
      <c r="A99" s="17" t="s">
        <v>19</v>
      </c>
      <c r="B99" s="8"/>
      <c r="C99" s="8"/>
      <c r="D99" s="8"/>
      <c r="E99" s="8"/>
      <c r="G99" s="37" t="s">
        <v>0</v>
      </c>
      <c r="H99" s="16">
        <f t="shared" ref="H99:J99" si="49">LN(1-$B$4)/LN(1-$B$4*H98)</f>
        <v>1.0567832551399787</v>
      </c>
      <c r="I99" s="16">
        <f t="shared" si="49"/>
        <v>1.0641465977766515</v>
      </c>
      <c r="J99" s="16">
        <f t="shared" si="49"/>
        <v>1.0603677019106328</v>
      </c>
    </row>
    <row r="100" spans="1:10" ht="13">
      <c r="A100" s="6" t="s">
        <v>68</v>
      </c>
      <c r="B100" s="6" t="s">
        <v>143</v>
      </c>
      <c r="C100" s="6" t="s">
        <v>144</v>
      </c>
      <c r="D100" s="6" t="s">
        <v>145</v>
      </c>
      <c r="E100" s="6" t="s">
        <v>145</v>
      </c>
      <c r="G100" s="39" t="s">
        <v>38</v>
      </c>
      <c r="H100" s="11">
        <f>H99*SQRT(B114^2*(H104+H105))</f>
        <v>5.4527884006879759E-3</v>
      </c>
      <c r="I100" s="11">
        <f t="shared" ref="I100:J100" si="50">I99*SQRT(D114^2*(I104+I105))</f>
        <v>4.4989654319657624E-3</v>
      </c>
      <c r="J100" s="11">
        <f t="shared" si="50"/>
        <v>4.5031840782877213E-3</v>
      </c>
    </row>
    <row r="101" spans="1:10" ht="14">
      <c r="A101" s="7" t="s">
        <v>195</v>
      </c>
      <c r="B101" s="32">
        <v>8.8999999999999999E-3</v>
      </c>
      <c r="C101" s="32">
        <v>5.3E-3</v>
      </c>
      <c r="D101" s="32">
        <v>1E-3</v>
      </c>
      <c r="E101" s="32">
        <v>2.2499999999999999E-2</v>
      </c>
    </row>
    <row r="102" spans="1:10" ht="14">
      <c r="A102" s="7" t="s">
        <v>196</v>
      </c>
      <c r="B102" s="32">
        <v>6.1000000000000004E-3</v>
      </c>
      <c r="C102" s="32">
        <v>5.1000000000000004E-3</v>
      </c>
      <c r="D102" s="32">
        <v>8.9999999999999998E-4</v>
      </c>
      <c r="E102" s="32">
        <v>3.5200000000000002E-2</v>
      </c>
      <c r="J102" s="8"/>
    </row>
    <row r="103" spans="1:10" ht="13">
      <c r="A103" s="7"/>
      <c r="B103" s="11"/>
      <c r="C103" s="11"/>
      <c r="D103" s="11"/>
      <c r="E103" s="8"/>
      <c r="H103" s="6" t="s">
        <v>193</v>
      </c>
      <c r="I103" s="6" t="s">
        <v>194</v>
      </c>
      <c r="J103" s="6" t="s">
        <v>194</v>
      </c>
    </row>
    <row r="104" spans="1:10" ht="13">
      <c r="A104" s="7" t="s">
        <v>197</v>
      </c>
      <c r="B104" s="11">
        <f t="shared" ref="B104:C104" si="51">B101/SQRT($F$3)</f>
        <v>2.225E-3</v>
      </c>
      <c r="C104" s="11">
        <f t="shared" si="51"/>
        <v>1.325E-3</v>
      </c>
      <c r="D104" s="11">
        <f t="shared" ref="D104:E104" si="52">D101/SQRT($F$4)</f>
        <v>3.5355339059327376E-4</v>
      </c>
      <c r="E104" s="11">
        <f t="shared" si="52"/>
        <v>7.9549512883486592E-3</v>
      </c>
      <c r="G104" s="6" t="s">
        <v>44</v>
      </c>
      <c r="H104" s="34">
        <f t="shared" ref="H104:H105" si="53">(B104/B96)^2+(C104/C96)^2</f>
        <v>1.9878028434445741E-5</v>
      </c>
      <c r="I104" s="34">
        <f>(D104/D96)^2+(C104/C96)^2</f>
        <v>1.1965549720444619E-5</v>
      </c>
      <c r="J104" s="34">
        <f>(E104/E96)^2+(C104/C96)^2</f>
        <v>1.2030282926016089E-5</v>
      </c>
    </row>
    <row r="105" spans="1:10" ht="13">
      <c r="A105" s="7" t="s">
        <v>198</v>
      </c>
      <c r="B105" s="11">
        <f t="shared" ref="B105:C105" si="54">B102/SQRT($F$3)</f>
        <v>1.5250000000000001E-3</v>
      </c>
      <c r="C105" s="11">
        <f t="shared" si="54"/>
        <v>1.2750000000000001E-3</v>
      </c>
      <c r="D105" s="11">
        <f t="shared" ref="D105:E105" si="55">D102/SQRT($F$4)</f>
        <v>3.1819805153394633E-4</v>
      </c>
      <c r="E105" s="11">
        <f t="shared" si="55"/>
        <v>1.2445079348883236E-2</v>
      </c>
      <c r="G105" s="6" t="s">
        <v>42</v>
      </c>
      <c r="H105" s="34">
        <f t="shared" si="53"/>
        <v>1.3838231391171154E-5</v>
      </c>
      <c r="I105" s="34">
        <f>(C105/C97)^2+(D105/D97)^2</f>
        <v>1.0633393383785614E-5</v>
      </c>
      <c r="J105" s="34">
        <f>(C105/C97)^2+(E105/E97)^2</f>
        <v>1.0791753113717843E-5</v>
      </c>
    </row>
    <row r="106" spans="1:10" ht="13">
      <c r="A106" s="7" t="s">
        <v>208</v>
      </c>
      <c r="B106" s="8"/>
      <c r="C106" s="8"/>
      <c r="D106" s="8"/>
      <c r="E106" s="8"/>
      <c r="G106" s="7" t="s">
        <v>209</v>
      </c>
    </row>
    <row r="107" spans="1:10" ht="13">
      <c r="A107" s="7" t="s">
        <v>210</v>
      </c>
      <c r="B107" s="8"/>
      <c r="C107" s="8"/>
      <c r="D107" s="8"/>
      <c r="E107" s="8"/>
      <c r="F107" s="8"/>
    </row>
    <row r="108" spans="1:10" ht="13">
      <c r="A108" s="7"/>
      <c r="B108" s="8"/>
      <c r="C108" s="8"/>
      <c r="D108" s="8"/>
      <c r="E108" s="8"/>
      <c r="F108" s="8"/>
      <c r="G108" s="8"/>
      <c r="H108" s="8"/>
      <c r="I108" s="8"/>
    </row>
    <row r="109" spans="1:10" ht="13">
      <c r="A109" s="17" t="s">
        <v>148</v>
      </c>
      <c r="B109" s="8"/>
      <c r="C109" s="8"/>
      <c r="D109" s="7" t="s">
        <v>14</v>
      </c>
      <c r="E109" s="7" t="s">
        <v>269</v>
      </c>
      <c r="F109" s="8"/>
      <c r="G109" s="8"/>
      <c r="H109" s="8"/>
      <c r="I109" s="8"/>
    </row>
    <row r="110" spans="1:10" ht="13">
      <c r="B110" s="1" t="s">
        <v>193</v>
      </c>
      <c r="C110" s="13"/>
      <c r="D110" s="1" t="s">
        <v>194</v>
      </c>
      <c r="E110" s="1" t="s">
        <v>194</v>
      </c>
      <c r="F110" s="6" t="s">
        <v>215</v>
      </c>
      <c r="G110" s="8"/>
      <c r="H110" s="8"/>
      <c r="I110" s="8"/>
    </row>
    <row r="111" spans="1:10" ht="13">
      <c r="A111" s="7" t="s">
        <v>149</v>
      </c>
      <c r="B111" s="16">
        <f>$B$4/LN(1-$B$4)</f>
        <v>-0.95944418700863821</v>
      </c>
      <c r="C111" s="16"/>
      <c r="D111" s="16">
        <f t="shared" ref="D111:E111" si="56">$B$4/LN(1-$B$4)</f>
        <v>-0.95944418700863821</v>
      </c>
      <c r="E111" s="16">
        <f t="shared" si="56"/>
        <v>-0.95944418700863821</v>
      </c>
      <c r="F111" s="7" t="s">
        <v>217</v>
      </c>
      <c r="G111" s="8"/>
    </row>
    <row r="112" spans="1:10" ht="13">
      <c r="A112" s="7" t="s">
        <v>150</v>
      </c>
      <c r="B112" s="16">
        <f>H98*H99</f>
        <v>1.0022122894619849</v>
      </c>
      <c r="C112" s="16"/>
      <c r="D112" s="16">
        <f t="shared" ref="D112:E112" si="57">I98*I99</f>
        <v>1.0024823230515203</v>
      </c>
      <c r="E112" s="16">
        <f t="shared" si="57"/>
        <v>1.0023441970336688</v>
      </c>
      <c r="F112" s="7" t="s">
        <v>220</v>
      </c>
      <c r="G112" s="8"/>
    </row>
    <row r="113" spans="1:10" ht="13">
      <c r="A113" s="7" t="s">
        <v>151</v>
      </c>
      <c r="B113" s="16">
        <f>1-$B$4*H98</f>
        <v>0.92413109995167475</v>
      </c>
      <c r="C113" s="16"/>
      <c r="D113" s="16">
        <f t="shared" ref="D113:E113" si="58">1-$B$4*I98</f>
        <v>0.92463577291730048</v>
      </c>
      <c r="E113" s="16">
        <f t="shared" si="58"/>
        <v>0.9243776138992098</v>
      </c>
      <c r="F113" s="7" t="s">
        <v>221</v>
      </c>
      <c r="G113" s="8"/>
    </row>
    <row r="114" spans="1:10" ht="13">
      <c r="A114" s="7" t="s">
        <v>54</v>
      </c>
      <c r="B114" s="16">
        <f>B111*B112*B113</f>
        <v>-0.88861374322732656</v>
      </c>
      <c r="C114" s="16"/>
      <c r="D114" s="16">
        <f t="shared" ref="D114:E114" si="59">D111*D112*D113</f>
        <v>-0.88933857660456228</v>
      </c>
      <c r="E114" s="16">
        <f t="shared" si="59"/>
        <v>-0.88896777018248541</v>
      </c>
      <c r="F114" s="2" t="s">
        <v>225</v>
      </c>
      <c r="G114" s="8"/>
      <c r="H114" s="8"/>
      <c r="I114" s="8"/>
      <c r="J114" s="8"/>
    </row>
    <row r="118" spans="1:10" ht="13">
      <c r="A118" s="1" t="s">
        <v>279</v>
      </c>
    </row>
    <row r="120" spans="1:10" ht="13">
      <c r="A120" s="1" t="s">
        <v>3</v>
      </c>
      <c r="B120" s="2"/>
      <c r="C120" s="2"/>
      <c r="D120" s="2"/>
      <c r="G120" s="2"/>
      <c r="H120" s="2"/>
    </row>
    <row r="121" spans="1:10" ht="13">
      <c r="A121" s="2" t="s">
        <v>270</v>
      </c>
      <c r="B121" s="2"/>
      <c r="C121" s="2"/>
      <c r="D121" s="2"/>
      <c r="E121" s="6" t="s">
        <v>5</v>
      </c>
      <c r="F121" s="2">
        <v>0.25</v>
      </c>
      <c r="G121" s="2"/>
      <c r="H121" s="2"/>
    </row>
    <row r="122" spans="1:10" ht="13">
      <c r="E122" s="1" t="s">
        <v>7</v>
      </c>
      <c r="F122" s="2">
        <v>16</v>
      </c>
    </row>
    <row r="123" spans="1:10" ht="13">
      <c r="A123" s="6" t="s">
        <v>141</v>
      </c>
      <c r="B123" s="7">
        <v>0.08</v>
      </c>
      <c r="D123" s="8"/>
      <c r="E123" s="6" t="s">
        <v>10</v>
      </c>
      <c r="F123" s="7">
        <v>8</v>
      </c>
      <c r="G123" s="8"/>
      <c r="H123" s="8"/>
      <c r="I123" s="8"/>
    </row>
    <row r="124" spans="1:10" ht="13">
      <c r="A124" s="7"/>
      <c r="B124" s="8"/>
      <c r="C124" s="8"/>
      <c r="D124" s="8"/>
      <c r="E124" s="8"/>
      <c r="F124" s="8"/>
      <c r="G124" s="8"/>
      <c r="H124" s="8"/>
      <c r="I124" s="8"/>
    </row>
    <row r="125" spans="1:10" ht="13">
      <c r="A125" s="17" t="s">
        <v>15</v>
      </c>
      <c r="B125" s="8"/>
      <c r="C125" s="8"/>
      <c r="D125" s="7" t="s">
        <v>14</v>
      </c>
      <c r="E125" s="7" t="s">
        <v>269</v>
      </c>
      <c r="F125" s="8"/>
      <c r="G125" s="8"/>
      <c r="H125" s="8"/>
      <c r="I125" s="7" t="s">
        <v>14</v>
      </c>
      <c r="J125" s="2" t="s">
        <v>269</v>
      </c>
    </row>
    <row r="126" spans="1:10" ht="13">
      <c r="A126" s="6" t="s">
        <v>68</v>
      </c>
      <c r="B126" s="6" t="s">
        <v>69</v>
      </c>
      <c r="C126" s="6" t="s">
        <v>70</v>
      </c>
      <c r="D126" s="6" t="s">
        <v>71</v>
      </c>
      <c r="E126" s="6" t="s">
        <v>71</v>
      </c>
      <c r="G126" s="8"/>
      <c r="H126" s="6" t="s">
        <v>193</v>
      </c>
      <c r="I126" s="6" t="s">
        <v>194</v>
      </c>
      <c r="J126" s="6" t="s">
        <v>194</v>
      </c>
    </row>
    <row r="127" spans="1:10" ht="14">
      <c r="A127" s="7" t="s">
        <v>195</v>
      </c>
      <c r="B127" s="32">
        <v>0.79020000000000001</v>
      </c>
      <c r="C127" s="32">
        <v>0.38329999999999997</v>
      </c>
      <c r="D127" s="32">
        <v>2.8012999999999999</v>
      </c>
      <c r="E127" s="32">
        <v>28.0093</v>
      </c>
      <c r="G127" s="6" t="s">
        <v>27</v>
      </c>
      <c r="H127" s="16">
        <f t="shared" ref="H127:H128" si="60">C127/B127</f>
        <v>0.48506707162743606</v>
      </c>
      <c r="I127" s="16">
        <f t="shared" ref="I127:I128" si="61">C127/D127</f>
        <v>0.13682932923999572</v>
      </c>
      <c r="J127" s="16">
        <f t="shared" ref="J127:J128" si="62">C127/E127</f>
        <v>1.3684740425501529E-2</v>
      </c>
    </row>
    <row r="128" spans="1:10" ht="14">
      <c r="A128" s="7" t="s">
        <v>196</v>
      </c>
      <c r="B128" s="32">
        <v>0.85089999999999999</v>
      </c>
      <c r="C128" s="32">
        <v>0.39219999999999999</v>
      </c>
      <c r="D128" s="32">
        <v>3.0348999999999999</v>
      </c>
      <c r="E128" s="32">
        <v>30.241399999999999</v>
      </c>
      <c r="G128" s="6" t="s">
        <v>30</v>
      </c>
      <c r="H128" s="16">
        <f t="shared" si="60"/>
        <v>0.46092372781760488</v>
      </c>
      <c r="I128" s="16">
        <f t="shared" si="61"/>
        <v>0.12922995815348118</v>
      </c>
      <c r="J128" s="16">
        <f t="shared" si="62"/>
        <v>1.296897630400709E-2</v>
      </c>
    </row>
    <row r="129" spans="1:10" ht="13">
      <c r="A129" s="8"/>
      <c r="B129" s="8"/>
      <c r="C129" s="8"/>
      <c r="D129" s="8"/>
      <c r="E129" s="8"/>
      <c r="G129" s="6" t="s">
        <v>31</v>
      </c>
      <c r="H129" s="16">
        <f t="shared" ref="H129:J129" si="63">H128/H127</f>
        <v>0.95022679290756951</v>
      </c>
      <c r="I129" s="16">
        <f t="shared" si="63"/>
        <v>0.94446094906169276</v>
      </c>
      <c r="J129" s="16">
        <f t="shared" si="63"/>
        <v>0.94769618573395731</v>
      </c>
    </row>
    <row r="130" spans="1:10" ht="13">
      <c r="A130" s="17" t="s">
        <v>19</v>
      </c>
      <c r="B130" s="8"/>
      <c r="C130" s="8"/>
      <c r="D130" s="8"/>
      <c r="E130" s="8"/>
      <c r="G130" s="37" t="s">
        <v>0</v>
      </c>
      <c r="H130" s="16">
        <f t="shared" ref="H130:J130" si="64">LN(1-$B$4)/LN(1-$B$4*H129)</f>
        <v>1.0546244667775577</v>
      </c>
      <c r="I130" s="16">
        <f t="shared" si="64"/>
        <v>1.061324187076121</v>
      </c>
      <c r="J130" s="16">
        <f t="shared" si="64"/>
        <v>1.0575549160279056</v>
      </c>
    </row>
    <row r="131" spans="1:10" ht="13">
      <c r="A131" s="6" t="s">
        <v>68</v>
      </c>
      <c r="B131" s="6" t="s">
        <v>143</v>
      </c>
      <c r="C131" s="6" t="s">
        <v>144</v>
      </c>
      <c r="D131" s="6" t="s">
        <v>145</v>
      </c>
      <c r="E131" s="6" t="s">
        <v>145</v>
      </c>
      <c r="G131" s="39" t="s">
        <v>38</v>
      </c>
      <c r="H131" s="11">
        <f>H130*SQRT(B145^2*(H135+H136))</f>
        <v>5.6181318172580418E-3</v>
      </c>
      <c r="I131" s="11">
        <f t="shared" ref="I131:J131" si="65">I130*SQRT(D145^2*(I135+I136))</f>
        <v>4.605684076250581E-3</v>
      </c>
      <c r="J131" s="11">
        <f t="shared" si="65"/>
        <v>3.0009773019609533E-2</v>
      </c>
    </row>
    <row r="132" spans="1:10" ht="14">
      <c r="A132" s="7" t="s">
        <v>195</v>
      </c>
      <c r="B132" s="32">
        <v>8.8999999999999999E-3</v>
      </c>
      <c r="C132" s="32">
        <v>5.3E-3</v>
      </c>
      <c r="D132" s="32">
        <v>1E-3</v>
      </c>
      <c r="E132" s="32">
        <v>2.2499999999999999E-2</v>
      </c>
    </row>
    <row r="133" spans="1:10" ht="14">
      <c r="A133" s="7" t="s">
        <v>196</v>
      </c>
      <c r="B133" s="32">
        <v>7.0000000000000001E-3</v>
      </c>
      <c r="C133" s="32">
        <v>5.4000000000000003E-3</v>
      </c>
      <c r="D133" s="32">
        <v>8.9999999999999998E-4</v>
      </c>
      <c r="E133" s="32">
        <v>3.5200000000000002E-2</v>
      </c>
      <c r="J133" s="8"/>
    </row>
    <row r="134" spans="1:10" ht="13">
      <c r="A134" s="7"/>
      <c r="B134" s="11"/>
      <c r="C134" s="11"/>
      <c r="D134" s="11"/>
      <c r="E134" s="8"/>
      <c r="H134" s="6" t="s">
        <v>193</v>
      </c>
      <c r="I134" s="6" t="s">
        <v>194</v>
      </c>
      <c r="J134" s="6" t="s">
        <v>194</v>
      </c>
    </row>
    <row r="135" spans="1:10" ht="13">
      <c r="A135" s="7" t="s">
        <v>197</v>
      </c>
      <c r="B135" s="11">
        <f t="shared" ref="B135:C135" si="66">B132/SQRT($F$3)</f>
        <v>2.225E-3</v>
      </c>
      <c r="C135" s="11">
        <f t="shared" si="66"/>
        <v>1.325E-3</v>
      </c>
      <c r="D135" s="11">
        <f t="shared" ref="D135:E135" si="67">D132/SQRT($F$4)</f>
        <v>3.5355339059327376E-4</v>
      </c>
      <c r="E135" s="11">
        <f t="shared" si="67"/>
        <v>7.9549512883486592E-3</v>
      </c>
      <c r="G135" s="6" t="s">
        <v>44</v>
      </c>
      <c r="H135" s="34">
        <f t="shared" ref="H135:H136" si="68">(B135/B127)^2+(C135/C127)^2</f>
        <v>1.9878028434445741E-5</v>
      </c>
      <c r="I135" s="34">
        <f>(D135/D127)^2+(C135/C127)^2</f>
        <v>1.1965549720444619E-5</v>
      </c>
      <c r="J135" s="34">
        <f>(E135/E127)^2+(C135/C127)^2</f>
        <v>1.2030282926016089E-5</v>
      </c>
    </row>
    <row r="136" spans="1:10" ht="13">
      <c r="A136" s="7" t="s">
        <v>198</v>
      </c>
      <c r="B136" s="11">
        <f t="shared" ref="B136:C136" si="69">B133/SQRT($F$3)</f>
        <v>1.75E-3</v>
      </c>
      <c r="C136" s="11">
        <f t="shared" si="69"/>
        <v>1.3500000000000001E-3</v>
      </c>
      <c r="D136" s="11">
        <f t="shared" ref="D136:E136" si="70">D133/SQRT($F$4)</f>
        <v>3.1819805153394633E-4</v>
      </c>
      <c r="E136" s="11">
        <f t="shared" si="70"/>
        <v>1.2445079348883236E-2</v>
      </c>
      <c r="G136" s="6" t="s">
        <v>42</v>
      </c>
      <c r="H136" s="34">
        <f t="shared" si="68"/>
        <v>1.6077991878570633E-5</v>
      </c>
      <c r="I136" s="34">
        <f>(C136/C128)^2+(D136/D128)^2</f>
        <v>1.1859192250452155E-5</v>
      </c>
      <c r="J136" s="34">
        <f>(D136/C128)^2+(E136/C128)^2</f>
        <v>1.0075439062743384E-3</v>
      </c>
    </row>
    <row r="137" spans="1:10" ht="13">
      <c r="A137" s="7" t="s">
        <v>208</v>
      </c>
      <c r="B137" s="8"/>
      <c r="C137" s="8"/>
      <c r="D137" s="8"/>
      <c r="E137" s="8"/>
      <c r="G137" s="7" t="s">
        <v>209</v>
      </c>
    </row>
    <row r="138" spans="1:10" ht="13">
      <c r="A138" s="7" t="s">
        <v>210</v>
      </c>
      <c r="B138" s="8"/>
      <c r="C138" s="8"/>
      <c r="D138" s="8"/>
      <c r="E138" s="8"/>
      <c r="F138" s="8"/>
    </row>
    <row r="139" spans="1:10" ht="13">
      <c r="A139" s="7"/>
      <c r="B139" s="8"/>
      <c r="C139" s="8"/>
      <c r="D139" s="8"/>
      <c r="E139" s="8"/>
      <c r="F139" s="8"/>
      <c r="G139" s="8"/>
      <c r="H139" s="8"/>
      <c r="I139" s="8"/>
    </row>
    <row r="140" spans="1:10" ht="13">
      <c r="A140" s="17" t="s">
        <v>148</v>
      </c>
      <c r="B140" s="8"/>
      <c r="C140" s="8"/>
      <c r="D140" s="7" t="s">
        <v>14</v>
      </c>
      <c r="E140" s="7" t="s">
        <v>269</v>
      </c>
      <c r="F140" s="8"/>
      <c r="G140" s="8"/>
      <c r="H140" s="8"/>
      <c r="I140" s="8"/>
    </row>
    <row r="141" spans="1:10" ht="13">
      <c r="B141" s="1" t="s">
        <v>193</v>
      </c>
      <c r="C141" s="13"/>
      <c r="D141" s="1" t="s">
        <v>194</v>
      </c>
      <c r="E141" s="1" t="s">
        <v>194</v>
      </c>
      <c r="F141" s="6" t="s">
        <v>215</v>
      </c>
      <c r="G141" s="8"/>
      <c r="H141" s="8"/>
      <c r="I141" s="8"/>
    </row>
    <row r="142" spans="1:10" ht="13">
      <c r="A142" s="7" t="s">
        <v>149</v>
      </c>
      <c r="B142" s="16">
        <f>$B$4/LN(1-$B$4)</f>
        <v>-0.95944418700863821</v>
      </c>
      <c r="C142" s="16"/>
      <c r="D142" s="16">
        <f t="shared" ref="D142:E142" si="71">$B$4/LN(1-$B$4)</f>
        <v>-0.95944418700863821</v>
      </c>
      <c r="E142" s="16">
        <f t="shared" si="71"/>
        <v>-0.95944418700863821</v>
      </c>
      <c r="F142" s="7" t="s">
        <v>217</v>
      </c>
      <c r="G142" s="8"/>
    </row>
    <row r="143" spans="1:10" ht="13">
      <c r="A143" s="7" t="s">
        <v>150</v>
      </c>
      <c r="B143" s="16">
        <f>H129*H130</f>
        <v>1.0021324247878942</v>
      </c>
      <c r="C143" s="16"/>
      <c r="D143" s="16">
        <f t="shared" ref="D143:E143" si="72">I129*I130</f>
        <v>1.0023792489880428</v>
      </c>
      <c r="E143" s="16">
        <f t="shared" si="72"/>
        <v>1.0022407601238417</v>
      </c>
      <c r="F143" s="7" t="s">
        <v>220</v>
      </c>
      <c r="G143" s="8"/>
    </row>
    <row r="144" spans="1:10" ht="13">
      <c r="A144" s="7" t="s">
        <v>151</v>
      </c>
      <c r="B144" s="16">
        <f>1-$B$4*H129</f>
        <v>0.9239818565673944</v>
      </c>
      <c r="C144" s="16"/>
      <c r="D144" s="16">
        <f t="shared" ref="D144:E144" si="73">1-$B$4*I129</f>
        <v>0.92444312407506457</v>
      </c>
      <c r="E144" s="16">
        <f t="shared" si="73"/>
        <v>0.92418430514128347</v>
      </c>
      <c r="F144" s="7" t="s">
        <v>221</v>
      </c>
      <c r="G144" s="8"/>
    </row>
    <row r="145" spans="1:10" ht="13">
      <c r="A145" s="7" t="s">
        <v>54</v>
      </c>
      <c r="B145" s="16">
        <f>B142*B143*B144</f>
        <v>-0.88839943499650265</v>
      </c>
      <c r="C145" s="16"/>
      <c r="D145" s="16">
        <f t="shared" ref="D145:E145" si="74">D142*D143*D144</f>
        <v>-0.88906186026692391</v>
      </c>
      <c r="E145" s="16">
        <f t="shared" si="74"/>
        <v>-0.88869014859752482</v>
      </c>
      <c r="F145" s="2" t="s">
        <v>225</v>
      </c>
      <c r="G145" s="8"/>
      <c r="H145" s="8"/>
      <c r="I145" s="8"/>
      <c r="J145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271</v>
      </c>
      <c r="E3" s="1" t="s">
        <v>7</v>
      </c>
      <c r="F3" s="2">
        <v>22</v>
      </c>
      <c r="G3" s="2" t="s">
        <v>244</v>
      </c>
    </row>
    <row r="4" spans="1:12" ht="15.75" customHeight="1">
      <c r="A4" s="6" t="s">
        <v>141</v>
      </c>
      <c r="B4" s="7">
        <v>8.3000000000000004E-2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2.2892000000000001</v>
      </c>
      <c r="C8" s="32">
        <v>1.0727</v>
      </c>
      <c r="D8" s="32">
        <v>16.309999999999999</v>
      </c>
      <c r="E8" s="32">
        <v>16.6614</v>
      </c>
      <c r="G8" s="6" t="s">
        <v>27</v>
      </c>
      <c r="H8" s="16">
        <f t="shared" ref="H8:H9" si="0">C8/B8</f>
        <v>0.46859164773720074</v>
      </c>
      <c r="I8" s="16">
        <f t="shared" ref="I8:I9" si="1">C8/D8</f>
        <v>6.5769466584917238E-2</v>
      </c>
      <c r="J8" s="16">
        <f t="shared" ref="J8:J9" si="2">C8/E8</f>
        <v>6.4382344820963416E-2</v>
      </c>
      <c r="K8" s="32"/>
      <c r="L8" s="32"/>
    </row>
    <row r="9" spans="1:12" ht="15.75" customHeight="1">
      <c r="A9" s="7" t="s">
        <v>196</v>
      </c>
      <c r="B9" s="32">
        <v>2.3125</v>
      </c>
      <c r="C9" s="32">
        <v>1.0405</v>
      </c>
      <c r="D9" s="32">
        <v>16.7121</v>
      </c>
      <c r="E9" s="32">
        <v>17.145299999999999</v>
      </c>
      <c r="G9" s="6" t="s">
        <v>30</v>
      </c>
      <c r="H9" s="16">
        <f t="shared" si="0"/>
        <v>0.44994594594594595</v>
      </c>
      <c r="I9" s="16">
        <f t="shared" si="1"/>
        <v>6.2260278480861173E-2</v>
      </c>
      <c r="J9" s="16">
        <f t="shared" si="2"/>
        <v>6.0687185409412495E-2</v>
      </c>
      <c r="K9" s="32"/>
      <c r="L9" s="32"/>
    </row>
    <row r="10" spans="1:12" ht="15.75" customHeight="1">
      <c r="A10" s="8"/>
      <c r="C10" s="8"/>
      <c r="D10" s="8"/>
      <c r="E10" s="8"/>
      <c r="G10" s="6" t="s">
        <v>31</v>
      </c>
      <c r="H10" s="16">
        <f t="shared" ref="H10:J10" si="3">H9/H8</f>
        <v>0.96020906074341339</v>
      </c>
      <c r="I10" s="16">
        <f t="shared" si="3"/>
        <v>0.94664411487167477</v>
      </c>
      <c r="J10" s="16">
        <f t="shared" si="3"/>
        <v>0.9426060137786757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1.0432870810215455</v>
      </c>
      <c r="I11" s="16">
        <f t="shared" si="4"/>
        <v>1.0588751011098019</v>
      </c>
      <c r="J11" s="16">
        <f t="shared" si="4"/>
        <v>1.0636020507452171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3.5751629150193292E-3</v>
      </c>
      <c r="I12" s="11">
        <f t="shared" ref="I12:J12" si="5">I11*SQRT(D26^2*(I16+I17))</f>
        <v>2.2562494551821278E-3</v>
      </c>
      <c r="J12" s="11">
        <f t="shared" si="5"/>
        <v>2.2951995082289645E-3</v>
      </c>
      <c r="K12" s="32"/>
      <c r="L12" s="27" t="s">
        <v>226</v>
      </c>
    </row>
    <row r="13" spans="1:12" ht="15.75" customHeight="1">
      <c r="A13" s="7" t="s">
        <v>195</v>
      </c>
      <c r="B13" s="32">
        <v>1.2800000000000001E-2</v>
      </c>
      <c r="C13" s="32">
        <v>7.1999999999999998E-3</v>
      </c>
      <c r="D13" s="32">
        <v>3.4000000000000002E-2</v>
      </c>
      <c r="E13" s="32">
        <v>3.3099999999999997E-2</v>
      </c>
      <c r="K13" s="32"/>
      <c r="L13" s="2" t="s">
        <v>227</v>
      </c>
    </row>
    <row r="14" spans="1:12" ht="15.75" customHeight="1">
      <c r="A14" s="7" t="s">
        <v>196</v>
      </c>
      <c r="B14" s="22">
        <v>2.23E-2</v>
      </c>
      <c r="C14" s="22">
        <v>8.6E-3</v>
      </c>
      <c r="D14" s="32">
        <v>2.2200000000000001E-2</v>
      </c>
      <c r="E14" s="32">
        <v>2.64E-2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2.7289691693518137E-3</v>
      </c>
      <c r="C16" s="11">
        <f t="shared" si="6"/>
        <v>1.5350451577603951E-3</v>
      </c>
      <c r="D16" s="11">
        <f t="shared" ref="D16:E16" si="7">D13/SQRT($F$4)</f>
        <v>1.2020815280171309E-2</v>
      </c>
      <c r="E16" s="11">
        <f t="shared" si="7"/>
        <v>1.1702617228637359E-2</v>
      </c>
      <c r="G16" s="6" t="s">
        <v>44</v>
      </c>
      <c r="H16" s="34">
        <f t="shared" ref="H16:H17" si="8">(B16/B8)^2+(C16/C8)^2</f>
        <v>3.4689084039332453E-6</v>
      </c>
      <c r="I16" s="34">
        <f>(D16/D8)^2+(C16/C8)^2</f>
        <v>2.5909917746072543E-6</v>
      </c>
      <c r="J16" s="34">
        <f>(E16/E8)^2+(C16/C8)^2</f>
        <v>2.5411278090482365E-6</v>
      </c>
    </row>
    <row r="17" spans="1:10" ht="15.75" customHeight="1">
      <c r="A17" s="7" t="s">
        <v>198</v>
      </c>
      <c r="B17" s="11">
        <f t="shared" ref="B17:C17" si="9">B14/SQRT($F$3)</f>
        <v>4.7543759747301125E-3</v>
      </c>
      <c r="C17" s="11">
        <f t="shared" si="9"/>
        <v>1.8335261606582498E-3</v>
      </c>
      <c r="D17" s="11">
        <f t="shared" ref="D17:E17" si="10">D14/SQRT($F$4)</f>
        <v>7.8488852711706778E-3</v>
      </c>
      <c r="E17" s="11">
        <f t="shared" si="10"/>
        <v>9.3338095116624262E-3</v>
      </c>
      <c r="G17" s="6" t="s">
        <v>42</v>
      </c>
      <c r="H17" s="34">
        <f t="shared" si="8"/>
        <v>7.3321188626397247E-6</v>
      </c>
      <c r="I17" s="34">
        <f>(C17/C9)^2+(D17/D9)^2</f>
        <v>3.3257771893875652E-6</v>
      </c>
      <c r="J17" s="34">
        <f>(C17/C9)^2+(E17/E9)^2</f>
        <v>3.4015689266112727E-6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-0.95790076098266219</v>
      </c>
      <c r="C23" s="16"/>
      <c r="D23" s="16">
        <f t="shared" ref="D23:E23" si="11">$B$4/LN(1-$B$4)</f>
        <v>-0.95790076098266219</v>
      </c>
      <c r="E23" s="16">
        <f t="shared" si="11"/>
        <v>-0.95790076098266219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1.0017737081534357</v>
      </c>
      <c r="C24" s="16"/>
      <c r="D24" s="16">
        <f t="shared" ref="D24:E24" si="12">I10*I11</f>
        <v>1.0023778828497436</v>
      </c>
      <c r="E24" s="16">
        <f t="shared" si="12"/>
        <v>1.0025576892997738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0.92030264795829664</v>
      </c>
      <c r="C25" s="16"/>
      <c r="D25" s="16">
        <f>1-$B$4/I10</f>
        <v>0.91232185496526186</v>
      </c>
      <c r="E25" s="16">
        <f>1-$B$4*J10</f>
        <v>0.92176370085636994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-1.042700245947878</v>
      </c>
      <c r="C26" s="16"/>
      <c r="D26" s="16">
        <f t="shared" ref="D26:E26" si="13">D23*D24*D25</f>
        <v>-0.87599186376744942</v>
      </c>
      <c r="E26" s="16">
        <f t="shared" si="13"/>
        <v>-0.88521648311018475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C29" s="11"/>
    </row>
    <row r="30" spans="1:10" ht="13">
      <c r="A30" s="30"/>
      <c r="B30" s="28"/>
      <c r="C30" s="30"/>
      <c r="D30" s="28"/>
    </row>
    <row r="31" spans="1:10" ht="13">
      <c r="A31" s="1"/>
      <c r="B31" s="28"/>
      <c r="D31" s="28"/>
    </row>
    <row r="32" spans="1:10" ht="13">
      <c r="A32" s="2"/>
      <c r="B32" s="28"/>
      <c r="C32" s="28"/>
      <c r="D32" s="28"/>
    </row>
    <row r="33" spans="1:12" ht="13">
      <c r="A33" s="1"/>
      <c r="B33" s="2"/>
      <c r="C33" s="2"/>
      <c r="D33" s="2"/>
      <c r="G33" s="2"/>
      <c r="H33" s="2"/>
    </row>
    <row r="34" spans="1:12" ht="13">
      <c r="A34" s="2"/>
      <c r="B34" s="2"/>
      <c r="C34" s="2"/>
      <c r="D34" s="2"/>
      <c r="E34" s="6"/>
      <c r="F34" s="2"/>
      <c r="G34" s="2"/>
      <c r="H34" s="2"/>
    </row>
    <row r="35" spans="1:12" ht="13">
      <c r="E35" s="1"/>
      <c r="F35" s="2"/>
    </row>
    <row r="36" spans="1:12" ht="13">
      <c r="A36" s="6"/>
      <c r="B36" s="7"/>
      <c r="D36" s="8"/>
      <c r="E36" s="6"/>
      <c r="F36" s="7"/>
      <c r="G36" s="8"/>
      <c r="H36" s="8"/>
      <c r="I36" s="8"/>
    </row>
    <row r="37" spans="1:12" ht="13">
      <c r="A37" s="7"/>
      <c r="B37" s="8"/>
      <c r="C37" s="8"/>
      <c r="D37" s="8"/>
      <c r="E37" s="8"/>
      <c r="F37" s="8"/>
      <c r="G37" s="8"/>
      <c r="H37" s="8"/>
      <c r="I37" s="8"/>
    </row>
    <row r="38" spans="1:12" ht="13">
      <c r="A38" s="7"/>
      <c r="B38" s="8"/>
      <c r="C38" s="8"/>
      <c r="D38" s="7"/>
      <c r="E38" s="7"/>
      <c r="F38" s="8"/>
      <c r="G38" s="8"/>
      <c r="H38" s="8"/>
      <c r="I38" s="7"/>
      <c r="J38" s="2"/>
    </row>
    <row r="39" spans="1:12" ht="13">
      <c r="A39" s="6"/>
      <c r="B39" s="6"/>
      <c r="C39" s="6"/>
      <c r="D39" s="6"/>
      <c r="E39" s="6"/>
      <c r="G39" s="8"/>
      <c r="H39" s="6"/>
      <c r="I39" s="6"/>
      <c r="J39" s="6"/>
    </row>
    <row r="40" spans="1:12" ht="14">
      <c r="A40" s="7"/>
      <c r="B40" s="59"/>
      <c r="C40" s="59"/>
      <c r="D40" s="59"/>
      <c r="E40" s="59"/>
      <c r="G40" s="6"/>
      <c r="H40" s="16"/>
      <c r="I40" s="16"/>
      <c r="J40" s="16"/>
      <c r="K40" s="15"/>
      <c r="L40" s="15"/>
    </row>
    <row r="41" spans="1:12" ht="14">
      <c r="A41" s="7"/>
      <c r="B41" s="59"/>
      <c r="C41" s="59"/>
      <c r="D41" s="59"/>
      <c r="E41" s="59"/>
      <c r="G41" s="6"/>
      <c r="H41" s="16"/>
      <c r="I41" s="16"/>
      <c r="J41" s="16"/>
      <c r="K41" s="15"/>
      <c r="L41" s="15"/>
    </row>
    <row r="42" spans="1:12" ht="13">
      <c r="A42" s="8"/>
      <c r="B42" s="8"/>
      <c r="C42" s="8"/>
      <c r="D42" s="8"/>
      <c r="E42" s="8"/>
      <c r="G42" s="6"/>
      <c r="H42" s="16"/>
      <c r="I42" s="16"/>
      <c r="J42" s="16"/>
    </row>
    <row r="43" spans="1:12" ht="14">
      <c r="A43" s="7"/>
      <c r="B43" s="8"/>
      <c r="C43" s="8"/>
      <c r="D43" s="8"/>
      <c r="E43" s="8"/>
      <c r="G43" s="6"/>
      <c r="H43" s="16"/>
      <c r="I43" s="16"/>
      <c r="J43" s="16"/>
      <c r="K43" s="15"/>
      <c r="L43" s="2"/>
    </row>
    <row r="44" spans="1:12" ht="14">
      <c r="A44" s="6"/>
      <c r="B44" s="6"/>
      <c r="C44" s="6"/>
      <c r="D44" s="6"/>
      <c r="E44" s="6"/>
      <c r="G44" s="1"/>
      <c r="H44" s="11"/>
      <c r="I44" s="11"/>
      <c r="J44" s="11"/>
      <c r="K44" s="15"/>
      <c r="L44" s="27"/>
    </row>
    <row r="45" spans="1:12" ht="14">
      <c r="A45" s="7"/>
      <c r="B45" s="59"/>
      <c r="C45" s="59"/>
      <c r="D45" s="59"/>
      <c r="E45" s="59"/>
      <c r="K45" s="15"/>
      <c r="L45" s="2"/>
    </row>
    <row r="46" spans="1:12" ht="14">
      <c r="A46" s="7"/>
      <c r="B46" s="60"/>
      <c r="C46" s="60"/>
      <c r="D46" s="59"/>
      <c r="E46" s="59"/>
      <c r="J46" s="8"/>
      <c r="K46" s="15"/>
      <c r="L46" s="2"/>
    </row>
    <row r="47" spans="1:12" ht="13">
      <c r="A47" s="7"/>
      <c r="B47" s="11"/>
      <c r="C47" s="11"/>
      <c r="D47" s="11"/>
      <c r="E47" s="8"/>
      <c r="H47" s="6"/>
      <c r="I47" s="6"/>
      <c r="J47" s="6"/>
    </row>
    <row r="48" spans="1:12" ht="13">
      <c r="A48" s="7"/>
      <c r="B48" s="11"/>
      <c r="C48" s="11"/>
      <c r="D48" s="11"/>
      <c r="E48" s="11"/>
      <c r="G48" s="6"/>
      <c r="H48" s="34"/>
      <c r="I48" s="34"/>
      <c r="J48" s="34"/>
    </row>
    <row r="49" spans="1:10" ht="13">
      <c r="A49" s="7"/>
      <c r="B49" s="11"/>
      <c r="C49" s="11"/>
      <c r="D49" s="11"/>
      <c r="E49" s="11"/>
      <c r="G49" s="6"/>
      <c r="H49" s="34"/>
      <c r="I49" s="34"/>
      <c r="J49" s="34"/>
    </row>
    <row r="50" spans="1:10" ht="13">
      <c r="A50" s="7"/>
      <c r="B50" s="8"/>
      <c r="C50" s="8"/>
      <c r="D50" s="8"/>
      <c r="E50" s="8"/>
      <c r="G50" s="7"/>
    </row>
    <row r="51" spans="1:10" ht="13">
      <c r="A51" s="7"/>
      <c r="B51" s="8"/>
      <c r="C51" s="8"/>
      <c r="D51" s="8"/>
      <c r="E51" s="8"/>
      <c r="F51" s="8"/>
    </row>
    <row r="52" spans="1:10" ht="13">
      <c r="A52" s="7"/>
      <c r="B52" s="8"/>
      <c r="C52" s="8"/>
      <c r="D52" s="8"/>
      <c r="E52" s="8"/>
      <c r="F52" s="8"/>
      <c r="G52" s="8"/>
      <c r="H52" s="8"/>
      <c r="I52" s="8"/>
    </row>
    <row r="53" spans="1:10" ht="13">
      <c r="A53" s="7"/>
      <c r="B53" s="8"/>
      <c r="C53" s="8"/>
      <c r="D53" s="7"/>
      <c r="E53" s="7"/>
      <c r="F53" s="8"/>
      <c r="G53" s="8"/>
      <c r="H53" s="8"/>
      <c r="I53" s="8"/>
    </row>
    <row r="54" spans="1:10" ht="13">
      <c r="B54" s="1"/>
      <c r="C54" s="13"/>
      <c r="D54" s="1"/>
      <c r="E54" s="1"/>
      <c r="F54" s="6"/>
      <c r="G54" s="8"/>
      <c r="H54" s="8"/>
      <c r="I54" s="8"/>
    </row>
    <row r="55" spans="1:10" ht="13">
      <c r="A55" s="7"/>
      <c r="B55" s="16"/>
      <c r="C55" s="16"/>
      <c r="D55" s="16"/>
      <c r="E55" s="16"/>
      <c r="F55" s="7"/>
      <c r="G55" s="8"/>
    </row>
    <row r="56" spans="1:10" ht="13">
      <c r="A56" s="7"/>
      <c r="B56" s="16"/>
      <c r="C56" s="16"/>
      <c r="D56" s="16"/>
      <c r="E56" s="16"/>
      <c r="F56" s="7"/>
      <c r="G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271</v>
      </c>
      <c r="E3" s="1" t="s">
        <v>7</v>
      </c>
      <c r="F3" s="2">
        <v>22</v>
      </c>
      <c r="G3" s="2" t="s">
        <v>244</v>
      </c>
    </row>
    <row r="4" spans="1:12" ht="15.75" customHeight="1">
      <c r="A4" s="6" t="s">
        <v>141</v>
      </c>
      <c r="B4" s="7">
        <v>8.3000000000000004E-2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275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2.3090999999999999</v>
      </c>
      <c r="C8" s="32">
        <v>1.0709</v>
      </c>
      <c r="D8" s="32">
        <v>16.462399999999999</v>
      </c>
      <c r="E8" s="32">
        <v>16.412700000000001</v>
      </c>
      <c r="G8" s="6" t="s">
        <v>27</v>
      </c>
      <c r="H8" s="16">
        <f t="shared" ref="H8:H9" si="0">C8/B8</f>
        <v>0.46377376467021786</v>
      </c>
      <c r="I8" s="16">
        <f t="shared" ref="I8:I9" si="1">C8/D8</f>
        <v>6.5051268344834295E-2</v>
      </c>
      <c r="J8" s="16">
        <f t="shared" ref="J8:J9" si="2">C8/E8</f>
        <v>6.5248252877344981E-2</v>
      </c>
      <c r="K8" s="32"/>
      <c r="L8" s="32"/>
    </row>
    <row r="9" spans="1:12" ht="15.75" customHeight="1">
      <c r="A9" s="7" t="s">
        <v>196</v>
      </c>
      <c r="B9" s="32">
        <v>2.2917999999999998</v>
      </c>
      <c r="C9" s="32">
        <v>1.0307999999999999</v>
      </c>
      <c r="D9" s="32">
        <v>16.867699999999999</v>
      </c>
      <c r="E9" s="32">
        <v>16.959900000000001</v>
      </c>
      <c r="G9" s="6" t="s">
        <v>30</v>
      </c>
      <c r="H9" s="16">
        <f t="shared" si="0"/>
        <v>0.4497774674928004</v>
      </c>
      <c r="I9" s="16">
        <f t="shared" si="1"/>
        <v>6.1110880558700946E-2</v>
      </c>
      <c r="J9" s="16">
        <f t="shared" si="2"/>
        <v>6.0778660251534493E-2</v>
      </c>
      <c r="K9" s="32"/>
      <c r="L9" s="32"/>
    </row>
    <row r="10" spans="1:12" ht="15.75" customHeight="1">
      <c r="A10" s="8"/>
      <c r="B10" s="8"/>
      <c r="C10" s="8"/>
      <c r="D10" s="8"/>
      <c r="E10" s="8"/>
      <c r="G10" s="6" t="s">
        <v>31</v>
      </c>
      <c r="H10" s="16">
        <f t="shared" ref="H10:J10" si="3">H9/H8</f>
        <v>0.96982085179533606</v>
      </c>
      <c r="I10" s="16">
        <f t="shared" si="3"/>
        <v>0.93942642647264762</v>
      </c>
      <c r="J10" s="16">
        <f t="shared" si="3"/>
        <v>0.93149866197624442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1.0325055927274513</v>
      </c>
      <c r="I11" s="16">
        <f t="shared" si="4"/>
        <v>1.0673526148480403</v>
      </c>
      <c r="J11" s="16">
        <f t="shared" si="4"/>
        <v>1.0768154573692357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276</v>
      </c>
      <c r="E12" s="6" t="s">
        <v>145</v>
      </c>
      <c r="G12" s="39" t="s">
        <v>38</v>
      </c>
      <c r="H12" s="11">
        <f>H11*SQRT(B26^2*(H16+H17))</f>
        <v>3.2128662408777409E-3</v>
      </c>
      <c r="I12" s="11">
        <f t="shared" ref="I12:J12" si="5">I11*SQRT(D26^2*(I16+I17))</f>
        <v>2.0153044947178521E-3</v>
      </c>
      <c r="J12" s="11">
        <f t="shared" si="5"/>
        <v>1.9623665197882134E-3</v>
      </c>
      <c r="K12" s="32"/>
      <c r="L12" s="27" t="s">
        <v>226</v>
      </c>
    </row>
    <row r="13" spans="1:12" ht="15.75" customHeight="1">
      <c r="A13" s="7" t="s">
        <v>195</v>
      </c>
      <c r="B13" s="32">
        <v>1.66E-2</v>
      </c>
      <c r="C13" s="32">
        <v>6.7999999999999996E-3</v>
      </c>
      <c r="D13" s="32">
        <v>3.2199999999999999E-2</v>
      </c>
      <c r="E13" s="32">
        <v>1.9199999999999998E-2</v>
      </c>
      <c r="K13" s="32"/>
      <c r="L13" s="2" t="s">
        <v>227</v>
      </c>
    </row>
    <row r="14" spans="1:12" ht="15.75" customHeight="1">
      <c r="A14" s="7" t="s">
        <v>196</v>
      </c>
      <c r="B14" s="22">
        <v>1.7399999999999999E-2</v>
      </c>
      <c r="C14" s="22">
        <v>7.0000000000000001E-3</v>
      </c>
      <c r="D14" s="32">
        <v>2.35E-2</v>
      </c>
      <c r="E14" s="32">
        <v>1.7000000000000001E-2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3.5391318915031331E-3</v>
      </c>
      <c r="C16" s="11">
        <f t="shared" si="6"/>
        <v>1.4497648712181509E-3</v>
      </c>
      <c r="D16" s="11">
        <f t="shared" ref="D16:E16" si="7">D13/SQRT($F$4)</f>
        <v>1.1384419177103413E-2</v>
      </c>
      <c r="E16" s="11">
        <f t="shared" si="7"/>
        <v>6.7882250993908551E-3</v>
      </c>
      <c r="G16" s="6" t="s">
        <v>44</v>
      </c>
      <c r="H16" s="34">
        <f t="shared" ref="H16:H17" si="8">(B16/B8)^2+(C16/C8)^2</f>
        <v>4.1818602154968762E-6</v>
      </c>
      <c r="I16" s="34">
        <f>(D16/D8)^2+(C16/C8)^2</f>
        <v>2.3109535169270699E-6</v>
      </c>
      <c r="J16" s="34">
        <f>(E16/E8)^2+(C16/C8)^2</f>
        <v>2.0037865662920624E-6</v>
      </c>
    </row>
    <row r="17" spans="1:10" ht="15.75" customHeight="1">
      <c r="A17" s="7" t="s">
        <v>198</v>
      </c>
      <c r="B17" s="11">
        <f t="shared" ref="B17:C17" si="9">B14/SQRT($F$3)</f>
        <v>3.7096924645876211E-3</v>
      </c>
      <c r="C17" s="11">
        <f t="shared" si="9"/>
        <v>1.4924050144892731E-3</v>
      </c>
      <c r="D17" s="11">
        <f t="shared" ref="D17:E17" si="10">D14/SQRT($F$4)</f>
        <v>8.3085046789419335E-3</v>
      </c>
      <c r="E17" s="11">
        <f t="shared" si="10"/>
        <v>6.0104076400856543E-3</v>
      </c>
      <c r="G17" s="6" t="s">
        <v>42</v>
      </c>
      <c r="H17" s="34">
        <f t="shared" si="8"/>
        <v>4.7162879845884021E-6</v>
      </c>
      <c r="I17" s="34">
        <f>(C17/C9)^2+(D17/D9)^2</f>
        <v>2.3387848602418695E-6</v>
      </c>
      <c r="J17" s="34">
        <f>(C17/C9)^2+(E17/E9)^2</f>
        <v>2.2217525237023003E-6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-0.95790076098266219</v>
      </c>
      <c r="C23" s="16"/>
      <c r="D23" s="16">
        <f t="shared" ref="D23:E23" si="11">$B$4/LN(1-$B$4)</f>
        <v>-0.95790076098266219</v>
      </c>
      <c r="E23" s="16">
        <f t="shared" si="11"/>
        <v>-0.95790076098266219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1.0013454534223851</v>
      </c>
      <c r="C24" s="16"/>
      <c r="D24" s="16">
        <f t="shared" ref="D24:E24" si="12">I10*I11</f>
        <v>1.0026992527529308</v>
      </c>
      <c r="E24" s="16">
        <f t="shared" si="12"/>
        <v>1.0030521577347806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0.91950486930098707</v>
      </c>
      <c r="C25" s="16"/>
      <c r="D25" s="16">
        <f>1-$B$4/I10</f>
        <v>0.91164821676174479</v>
      </c>
      <c r="E25" s="16">
        <f>1-$B$4*J10</f>
        <v>0.92268561105597169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-1.0431587736658894</v>
      </c>
      <c r="C26" s="16"/>
      <c r="D26" s="16">
        <f t="shared" ref="D26:E26" si="13">D23*D24*D25</f>
        <v>-0.87562569304279803</v>
      </c>
      <c r="E26" s="16">
        <f t="shared" si="13"/>
        <v>-0.88653887188265512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C29" s="11"/>
    </row>
    <row r="30" spans="1:10" ht="13">
      <c r="A30" s="30"/>
      <c r="B30" s="28"/>
      <c r="C30" s="30"/>
      <c r="D30" s="28"/>
    </row>
    <row r="31" spans="1:10" ht="13">
      <c r="A31" s="1"/>
      <c r="B31" s="28"/>
      <c r="D31" s="28"/>
    </row>
    <row r="32" spans="1:10" ht="13">
      <c r="A32" s="2"/>
      <c r="B32" s="28"/>
      <c r="C32" s="28"/>
      <c r="D32" s="28"/>
    </row>
    <row r="33" spans="1:12" ht="13">
      <c r="A33" s="1"/>
      <c r="B33" s="2"/>
      <c r="C33" s="2"/>
      <c r="D33" s="2"/>
      <c r="G33" s="2"/>
      <c r="H33" s="2"/>
    </row>
    <row r="34" spans="1:12" ht="13">
      <c r="A34" s="2"/>
      <c r="B34" s="2"/>
      <c r="C34" s="2"/>
      <c r="D34" s="2"/>
      <c r="E34" s="6"/>
      <c r="F34" s="2"/>
      <c r="G34" s="2"/>
      <c r="H34" s="2"/>
    </row>
    <row r="35" spans="1:12" ht="13">
      <c r="E35" s="1"/>
      <c r="F35" s="2"/>
    </row>
    <row r="36" spans="1:12" ht="13">
      <c r="A36" s="6"/>
      <c r="B36" s="7"/>
      <c r="D36" s="8"/>
      <c r="E36" s="6"/>
      <c r="F36" s="7"/>
      <c r="G36" s="8"/>
      <c r="H36" s="8"/>
      <c r="I36" s="8"/>
    </row>
    <row r="37" spans="1:12" ht="13">
      <c r="A37" s="7"/>
      <c r="B37" s="8"/>
      <c r="C37" s="8"/>
      <c r="D37" s="8"/>
      <c r="E37" s="8"/>
      <c r="F37" s="8"/>
      <c r="G37" s="8"/>
      <c r="H37" s="8"/>
      <c r="I37" s="8"/>
    </row>
    <row r="38" spans="1:12" ht="13">
      <c r="A38" s="7"/>
      <c r="B38" s="8"/>
      <c r="C38" s="8"/>
      <c r="D38" s="7"/>
      <c r="E38" s="7"/>
      <c r="F38" s="8"/>
      <c r="G38" s="8"/>
      <c r="H38" s="8"/>
      <c r="I38" s="7"/>
      <c r="J38" s="2"/>
    </row>
    <row r="39" spans="1:12" ht="13">
      <c r="A39" s="6"/>
      <c r="B39" s="6"/>
      <c r="C39" s="6"/>
      <c r="D39" s="6"/>
      <c r="E39" s="6"/>
      <c r="G39" s="8"/>
      <c r="H39" s="6"/>
      <c r="I39" s="6"/>
      <c r="J39" s="6"/>
    </row>
    <row r="40" spans="1:12" ht="14">
      <c r="A40" s="7"/>
      <c r="B40" s="59"/>
      <c r="C40" s="59"/>
      <c r="D40" s="59"/>
      <c r="E40" s="59"/>
      <c r="G40" s="6"/>
      <c r="H40" s="16"/>
      <c r="I40" s="16"/>
      <c r="J40" s="16"/>
      <c r="K40" s="15"/>
      <c r="L40" s="15"/>
    </row>
    <row r="41" spans="1:12" ht="14">
      <c r="A41" s="7"/>
      <c r="B41" s="59"/>
      <c r="C41" s="59"/>
      <c r="D41" s="59"/>
      <c r="E41" s="59"/>
      <c r="G41" s="6"/>
      <c r="H41" s="16"/>
      <c r="I41" s="16"/>
      <c r="J41" s="16"/>
      <c r="K41" s="15"/>
      <c r="L41" s="15"/>
    </row>
    <row r="42" spans="1:12" ht="13">
      <c r="A42" s="8"/>
      <c r="B42" s="8"/>
      <c r="C42" s="8"/>
      <c r="D42" s="8"/>
      <c r="E42" s="8"/>
      <c r="G42" s="6"/>
      <c r="H42" s="16"/>
      <c r="I42" s="16"/>
      <c r="J42" s="16"/>
    </row>
    <row r="43" spans="1:12" ht="14">
      <c r="A43" s="7"/>
      <c r="B43" s="8"/>
      <c r="C43" s="8"/>
      <c r="D43" s="8"/>
      <c r="E43" s="8"/>
      <c r="G43" s="6"/>
      <c r="H43" s="16"/>
      <c r="I43" s="16"/>
      <c r="J43" s="16"/>
      <c r="K43" s="15"/>
      <c r="L43" s="2"/>
    </row>
    <row r="44" spans="1:12" ht="14">
      <c r="A44" s="6"/>
      <c r="B44" s="6"/>
      <c r="C44" s="6"/>
      <c r="D44" s="6"/>
      <c r="E44" s="6"/>
      <c r="G44" s="1"/>
      <c r="H44" s="11"/>
      <c r="I44" s="11"/>
      <c r="J44" s="11"/>
      <c r="K44" s="15"/>
      <c r="L44" s="27"/>
    </row>
    <row r="45" spans="1:12" ht="14">
      <c r="A45" s="7"/>
      <c r="B45" s="59"/>
      <c r="C45" s="59"/>
      <c r="D45" s="59"/>
      <c r="E45" s="59"/>
      <c r="K45" s="15"/>
      <c r="L45" s="2"/>
    </row>
    <row r="46" spans="1:12" ht="14">
      <c r="A46" s="7"/>
      <c r="B46" s="60"/>
      <c r="C46" s="60"/>
      <c r="D46" s="59"/>
      <c r="E46" s="59"/>
      <c r="J46" s="8"/>
      <c r="K46" s="15"/>
      <c r="L46" s="2"/>
    </row>
    <row r="47" spans="1:12" ht="13">
      <c r="A47" s="7"/>
      <c r="B47" s="11"/>
      <c r="C47" s="11"/>
      <c r="D47" s="11"/>
      <c r="E47" s="8"/>
      <c r="H47" s="6"/>
      <c r="I47" s="6"/>
      <c r="J47" s="6"/>
    </row>
    <row r="48" spans="1:12" ht="13">
      <c r="A48" s="7"/>
      <c r="B48" s="11"/>
      <c r="C48" s="11"/>
      <c r="D48" s="11"/>
      <c r="E48" s="11"/>
      <c r="G48" s="6"/>
      <c r="H48" s="34"/>
      <c r="I48" s="34"/>
      <c r="J48" s="34"/>
    </row>
    <row r="49" spans="1:10" ht="13">
      <c r="A49" s="7"/>
      <c r="B49" s="11"/>
      <c r="C49" s="11"/>
      <c r="D49" s="11"/>
      <c r="E49" s="11"/>
      <c r="G49" s="6"/>
      <c r="H49" s="34"/>
      <c r="I49" s="34"/>
      <c r="J49" s="34"/>
    </row>
    <row r="50" spans="1:10" ht="13">
      <c r="A50" s="7"/>
      <c r="B50" s="8"/>
      <c r="C50" s="8"/>
      <c r="D50" s="8"/>
      <c r="E50" s="8"/>
      <c r="G50" s="7"/>
    </row>
    <row r="51" spans="1:10" ht="13">
      <c r="A51" s="7"/>
      <c r="B51" s="8"/>
      <c r="C51" s="8"/>
      <c r="D51" s="8"/>
      <c r="E51" s="8"/>
      <c r="F51" s="8"/>
    </row>
    <row r="52" spans="1:10" ht="13">
      <c r="A52" s="7"/>
      <c r="B52" s="8"/>
      <c r="C52" s="8"/>
      <c r="D52" s="8"/>
      <c r="E52" s="8"/>
      <c r="F52" s="8"/>
      <c r="G52" s="8"/>
      <c r="H52" s="8"/>
      <c r="I52" s="8"/>
    </row>
    <row r="53" spans="1:10" ht="13">
      <c r="A53" s="7"/>
      <c r="B53" s="8"/>
      <c r="C53" s="8"/>
      <c r="D53" s="7"/>
      <c r="E53" s="7"/>
      <c r="F53" s="8"/>
      <c r="G53" s="8"/>
      <c r="H53" s="8"/>
      <c r="I53" s="8"/>
    </row>
    <row r="54" spans="1:10" ht="13">
      <c r="B54" s="1"/>
      <c r="C54" s="13"/>
      <c r="D54" s="1"/>
      <c r="E54" s="1"/>
      <c r="F54" s="6"/>
      <c r="G54" s="8"/>
      <c r="H54" s="8"/>
      <c r="I54" s="8"/>
    </row>
    <row r="55" spans="1:10" ht="13">
      <c r="A55" s="7"/>
      <c r="B55" s="16"/>
      <c r="C55" s="16"/>
      <c r="D55" s="16"/>
      <c r="E55" s="16"/>
      <c r="F55" s="7"/>
      <c r="G55" s="8"/>
    </row>
    <row r="56" spans="1:10" ht="13">
      <c r="A56" s="7"/>
      <c r="B56" s="16"/>
      <c r="C56" s="16"/>
      <c r="D56" s="16"/>
      <c r="E56" s="16"/>
      <c r="F56" s="7"/>
      <c r="G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261</v>
      </c>
      <c r="E3" s="1" t="s">
        <v>7</v>
      </c>
      <c r="F3" s="2">
        <v>28</v>
      </c>
      <c r="G3" s="2" t="s">
        <v>244</v>
      </c>
    </row>
    <row r="4" spans="1:12" ht="15.75" customHeight="1">
      <c r="A4" s="6" t="s">
        <v>141</v>
      </c>
      <c r="B4" s="7">
        <v>0.128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2.3351999999999999</v>
      </c>
      <c r="C8" s="32">
        <v>1.1193</v>
      </c>
      <c r="D8" s="32">
        <v>8.4343000000000004</v>
      </c>
      <c r="E8" s="32">
        <v>17.240400000000001</v>
      </c>
      <c r="G8" s="6" t="s">
        <v>27</v>
      </c>
      <c r="H8" s="16">
        <f t="shared" ref="H8:H9" si="0">C8/B8</f>
        <v>0.47931654676258995</v>
      </c>
      <c r="I8" s="16">
        <f t="shared" ref="I8:I9" si="1">C8/D8</f>
        <v>0.13270810855672668</v>
      </c>
      <c r="J8" s="16">
        <f t="shared" ref="J8:J9" si="2">C8/E8</f>
        <v>6.4923087631377455E-2</v>
      </c>
      <c r="K8" s="32"/>
      <c r="L8" s="32"/>
    </row>
    <row r="9" spans="1:12" ht="15.75" customHeight="1">
      <c r="A9" s="7" t="s">
        <v>196</v>
      </c>
      <c r="B9" s="32">
        <v>2.4035000000000002</v>
      </c>
      <c r="C9" s="32">
        <v>1.0907</v>
      </c>
      <c r="D9" s="32">
        <v>8.6728000000000005</v>
      </c>
      <c r="E9" s="32">
        <v>17.730799999999999</v>
      </c>
      <c r="G9" s="6" t="s">
        <v>30</v>
      </c>
      <c r="H9" s="16">
        <f t="shared" si="0"/>
        <v>0.45379654670272518</v>
      </c>
      <c r="I9" s="16">
        <f t="shared" si="1"/>
        <v>0.12576099990775758</v>
      </c>
      <c r="J9" s="16">
        <f t="shared" si="2"/>
        <v>6.1514426873011938E-2</v>
      </c>
      <c r="K9" s="32"/>
      <c r="L9" s="32"/>
    </row>
    <row r="10" spans="1:12" ht="15.75" customHeight="1">
      <c r="A10" s="8"/>
      <c r="C10" s="8"/>
      <c r="D10" s="8"/>
      <c r="E10" s="8"/>
      <c r="G10" s="6" t="s">
        <v>31</v>
      </c>
      <c r="H10" s="16">
        <f t="shared" ref="H10:J10" si="3">H9/H8</f>
        <v>0.94675752332726149</v>
      </c>
      <c r="I10" s="16">
        <f t="shared" si="3"/>
        <v>0.94765121193781809</v>
      </c>
      <c r="J10" s="16">
        <f t="shared" si="3"/>
        <v>0.9474969401067409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1.0602645720618447</v>
      </c>
      <c r="I11" s="16">
        <f t="shared" si="4"/>
        <v>1.0591972247727304</v>
      </c>
      <c r="J11" s="16">
        <f t="shared" si="4"/>
        <v>1.0593813306340181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3.8201708882001262E-3</v>
      </c>
      <c r="I12" s="11">
        <f t="shared" ref="I12:J12" si="5">I11*SQRT(D26^2*(I16+I17))</f>
        <v>2.0481540835676042E-3</v>
      </c>
      <c r="J12" s="11">
        <f t="shared" si="5"/>
        <v>2.1690663347435904E-3</v>
      </c>
      <c r="K12" s="32"/>
      <c r="L12" s="27" t="s">
        <v>226</v>
      </c>
    </row>
    <row r="13" spans="1:12" ht="15.75" customHeight="1">
      <c r="A13" s="7" t="s">
        <v>195</v>
      </c>
      <c r="B13" s="32">
        <v>1.9400000000000001E-2</v>
      </c>
      <c r="C13" s="32">
        <v>1.0500000000000001E-2</v>
      </c>
      <c r="D13" s="32">
        <v>5.0000000000000001E-3</v>
      </c>
      <c r="E13" s="32">
        <v>2.69E-2</v>
      </c>
      <c r="K13" s="32"/>
      <c r="L13" s="2" t="s">
        <v>227</v>
      </c>
    </row>
    <row r="14" spans="1:12" ht="15.75" customHeight="1">
      <c r="A14" s="7" t="s">
        <v>196</v>
      </c>
      <c r="B14" s="22">
        <v>2.3099999999999999E-2</v>
      </c>
      <c r="C14" s="22">
        <v>9.1000000000000004E-3</v>
      </c>
      <c r="D14" s="32">
        <v>2.0999999999999999E-3</v>
      </c>
      <c r="E14" s="32">
        <v>2.4400000000000002E-2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3.6662553881895042E-3</v>
      </c>
      <c r="C16" s="11">
        <f t="shared" si="6"/>
        <v>1.9843134832984431E-3</v>
      </c>
      <c r="D16" s="11">
        <f t="shared" ref="D16:E16" si="7">D13/SQRT($F$4)</f>
        <v>1.7677669529663686E-3</v>
      </c>
      <c r="E16" s="11">
        <f t="shared" si="7"/>
        <v>9.5105862069590642E-3</v>
      </c>
      <c r="G16" s="6" t="s">
        <v>44</v>
      </c>
      <c r="H16" s="34">
        <f t="shared" ref="H16:H17" si="8">(B16/B8)^2+(C16/C8)^2</f>
        <v>5.6077666832400799E-6</v>
      </c>
      <c r="I16" s="34">
        <f>(D16/D8)^2+(C16/C8)^2</f>
        <v>3.1868073252871191E-6</v>
      </c>
      <c r="J16" s="34">
        <f>(E16/E8)^2+(C16/C8)^2</f>
        <v>3.4471908369256838E-6</v>
      </c>
    </row>
    <row r="17" spans="1:10" ht="15.75" customHeight="1">
      <c r="A17" s="7" t="s">
        <v>198</v>
      </c>
      <c r="B17" s="11">
        <f t="shared" ref="B17:C17" si="9">B14/SQRT($F$3)</f>
        <v>4.365489663256574E-3</v>
      </c>
      <c r="C17" s="11">
        <f t="shared" si="9"/>
        <v>1.7197383521919839E-3</v>
      </c>
      <c r="D17" s="11">
        <f t="shared" ref="D17:E17" si="10">D14/SQRT($F$4)</f>
        <v>7.4246212024587483E-4</v>
      </c>
      <c r="E17" s="11">
        <f t="shared" si="10"/>
        <v>8.6267027304758794E-3</v>
      </c>
      <c r="G17" s="6" t="s">
        <v>42</v>
      </c>
      <c r="H17" s="34">
        <f t="shared" si="8"/>
        <v>5.7850391850895261E-6</v>
      </c>
      <c r="I17" s="34">
        <f>(C17/C9)^2+(D17/D9)^2</f>
        <v>2.4934031821955825E-6</v>
      </c>
      <c r="J17" s="34">
        <f>(C17/C9)^2+(E17/E9)^2</f>
        <v>2.7227933695220552E-6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-0.93453948746299942</v>
      </c>
      <c r="C23" s="16"/>
      <c r="D23" s="16">
        <f t="shared" ref="D23:E23" si="11">$B$4/LN(1-$B$4)</f>
        <v>-0.93453948746299942</v>
      </c>
      <c r="E23" s="16">
        <f t="shared" si="11"/>
        <v>-0.93453948746299942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1.0038134603169109</v>
      </c>
      <c r="C24" s="16"/>
      <c r="D24" s="16">
        <f t="shared" ref="D24:E24" si="12">I10*I11</f>
        <v>1.0037495337370514</v>
      </c>
      <c r="E24" s="16">
        <f t="shared" si="12"/>
        <v>1.0037605691819398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0.87881503701411057</v>
      </c>
      <c r="C25" s="16"/>
      <c r="D25" s="16">
        <f>1-$B$4/I10</f>
        <v>0.86492920772162851</v>
      </c>
      <c r="E25" s="16">
        <f>1-$B$4*J10</f>
        <v>0.8787203916663372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-1.0674638885337635</v>
      </c>
      <c r="C26" s="16"/>
      <c r="D26" s="16">
        <f t="shared" ref="D26:E26" si="13">D23*D24*D25</f>
        <v>-0.81134128595999733</v>
      </c>
      <c r="E26" s="16">
        <f t="shared" si="13"/>
        <v>-0.8242870797434666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A29" s="2"/>
      <c r="C29" s="11"/>
      <c r="D29" s="2"/>
      <c r="E29" s="2"/>
    </row>
    <row r="30" spans="1:10" ht="13">
      <c r="A30" s="1"/>
      <c r="B30" s="2"/>
      <c r="C30" s="2"/>
      <c r="D30" s="2"/>
      <c r="G30" s="2"/>
      <c r="H30" s="2"/>
    </row>
    <row r="31" spans="1:10" ht="13">
      <c r="A31" s="2"/>
      <c r="B31" s="2"/>
      <c r="C31" s="2"/>
      <c r="D31" s="2"/>
      <c r="E31" s="6"/>
      <c r="F31" s="2"/>
      <c r="G31" s="2"/>
      <c r="H31" s="2"/>
    </row>
    <row r="32" spans="1:10" ht="13">
      <c r="A32" s="2"/>
      <c r="E32" s="1"/>
      <c r="F32" s="2"/>
      <c r="G32" s="2"/>
    </row>
    <row r="33" spans="1:12" ht="13">
      <c r="A33" s="6"/>
      <c r="B33" s="7"/>
      <c r="D33" s="8"/>
      <c r="E33" s="6"/>
      <c r="F33" s="7"/>
      <c r="G33" s="8"/>
      <c r="H33" s="8"/>
      <c r="I33" s="8"/>
    </row>
    <row r="34" spans="1:12" ht="13">
      <c r="A34" s="7"/>
      <c r="B34" s="8"/>
      <c r="C34" s="8"/>
      <c r="D34" s="8"/>
      <c r="E34" s="8"/>
      <c r="F34" s="8"/>
      <c r="G34" s="8"/>
      <c r="H34" s="8"/>
      <c r="I34" s="8"/>
    </row>
    <row r="35" spans="1:12" ht="13">
      <c r="A35" s="7"/>
      <c r="B35" s="7"/>
      <c r="C35" s="7"/>
      <c r="D35" s="7"/>
      <c r="E35" s="7"/>
      <c r="F35" s="8"/>
      <c r="G35" s="8"/>
      <c r="H35" s="8"/>
      <c r="I35" s="7"/>
      <c r="J35" s="2"/>
    </row>
    <row r="36" spans="1:12" ht="13">
      <c r="A36" s="6"/>
      <c r="B36" s="6"/>
      <c r="C36" s="6"/>
      <c r="D36" s="6"/>
      <c r="E36" s="6"/>
      <c r="G36" s="8"/>
      <c r="H36" s="6"/>
      <c r="I36" s="6"/>
      <c r="J36" s="6"/>
    </row>
    <row r="37" spans="1:12" ht="14">
      <c r="A37" s="7"/>
      <c r="B37" s="15"/>
      <c r="C37" s="15"/>
      <c r="D37" s="15"/>
      <c r="E37" s="15"/>
      <c r="G37" s="6"/>
      <c r="H37" s="16"/>
      <c r="I37" s="16"/>
      <c r="J37" s="16"/>
      <c r="K37" s="32"/>
      <c r="L37" s="32"/>
    </row>
    <row r="38" spans="1:12" ht="14">
      <c r="A38" s="7"/>
      <c r="B38" s="15"/>
      <c r="C38" s="15"/>
      <c r="D38" s="15"/>
      <c r="E38" s="15"/>
      <c r="G38" s="6"/>
      <c r="H38" s="16"/>
      <c r="I38" s="16"/>
      <c r="J38" s="16"/>
      <c r="K38" s="32"/>
      <c r="L38" s="32"/>
    </row>
    <row r="39" spans="1:12" ht="13">
      <c r="A39" s="8"/>
      <c r="C39" s="8"/>
      <c r="D39" s="8"/>
      <c r="E39" s="8"/>
      <c r="G39" s="6"/>
      <c r="H39" s="16"/>
      <c r="I39" s="16"/>
      <c r="J39" s="16"/>
    </row>
    <row r="40" spans="1:12" ht="14">
      <c r="A40" s="7"/>
      <c r="B40" s="8"/>
      <c r="C40" s="8"/>
      <c r="D40" s="8"/>
      <c r="E40" s="8"/>
      <c r="G40" s="6"/>
      <c r="H40" s="16"/>
      <c r="I40" s="16"/>
      <c r="J40" s="16"/>
      <c r="K40" s="32"/>
      <c r="L40" s="2"/>
    </row>
    <row r="41" spans="1:12" ht="14">
      <c r="A41" s="6"/>
      <c r="B41" s="6"/>
      <c r="C41" s="6"/>
      <c r="D41" s="6"/>
      <c r="E41" s="6"/>
      <c r="G41" s="1"/>
      <c r="H41" s="11"/>
      <c r="I41" s="11"/>
      <c r="J41" s="11"/>
      <c r="K41" s="32"/>
      <c r="L41" s="27"/>
    </row>
    <row r="42" spans="1:12" ht="14">
      <c r="A42" s="7"/>
      <c r="B42" s="15"/>
      <c r="C42" s="15"/>
      <c r="D42" s="15"/>
      <c r="E42" s="15"/>
      <c r="K42" s="32"/>
      <c r="L42" s="2"/>
    </row>
    <row r="43" spans="1:12" ht="14">
      <c r="A43" s="7"/>
      <c r="B43" s="21"/>
      <c r="C43" s="21"/>
      <c r="D43" s="15"/>
      <c r="E43" s="15"/>
      <c r="J43" s="8"/>
      <c r="K43" s="32"/>
      <c r="L43" s="2"/>
    </row>
    <row r="44" spans="1:12" ht="13">
      <c r="A44" s="7"/>
      <c r="B44" s="11"/>
      <c r="C44" s="11"/>
      <c r="D44" s="11"/>
      <c r="E44" s="8"/>
      <c r="H44" s="6"/>
      <c r="I44" s="6"/>
      <c r="J44" s="6"/>
    </row>
    <row r="45" spans="1:12" ht="13">
      <c r="A45" s="7"/>
      <c r="B45" s="11"/>
      <c r="C45" s="11"/>
      <c r="D45" s="11"/>
      <c r="E45" s="11"/>
      <c r="G45" s="6"/>
      <c r="H45" s="34"/>
      <c r="I45" s="34"/>
      <c r="J45" s="34"/>
    </row>
    <row r="46" spans="1:12" ht="13">
      <c r="A46" s="7"/>
      <c r="B46" s="11"/>
      <c r="C46" s="11"/>
      <c r="D46" s="11"/>
      <c r="E46" s="11"/>
      <c r="G46" s="6"/>
      <c r="H46" s="34"/>
      <c r="I46" s="34"/>
      <c r="J46" s="34"/>
    </row>
    <row r="47" spans="1:12" ht="13">
      <c r="A47" s="7"/>
      <c r="B47" s="8"/>
      <c r="C47" s="8"/>
      <c r="D47" s="8"/>
      <c r="E47" s="8"/>
      <c r="G47" s="7"/>
    </row>
    <row r="48" spans="1:12" ht="13">
      <c r="A48" s="7"/>
      <c r="B48" s="8"/>
      <c r="C48" s="8"/>
      <c r="D48" s="8"/>
      <c r="E48" s="8"/>
      <c r="F48" s="8"/>
    </row>
    <row r="49" spans="1:10" ht="13">
      <c r="A49" s="7"/>
      <c r="B49" s="8"/>
      <c r="C49" s="8"/>
      <c r="D49" s="8"/>
      <c r="E49" s="8"/>
      <c r="F49" s="8"/>
      <c r="G49" s="8"/>
      <c r="H49" s="8"/>
      <c r="I49" s="8"/>
    </row>
    <row r="50" spans="1:10" ht="13">
      <c r="A50" s="7"/>
      <c r="B50" s="8"/>
      <c r="C50" s="8"/>
      <c r="D50" s="7"/>
      <c r="E50" s="7"/>
      <c r="F50" s="8"/>
      <c r="G50" s="8"/>
      <c r="H50" s="8"/>
      <c r="I50" s="8"/>
    </row>
    <row r="51" spans="1:10" ht="13">
      <c r="B51" s="1"/>
      <c r="C51" s="13"/>
      <c r="D51" s="1"/>
      <c r="E51" s="1"/>
      <c r="F51" s="6"/>
      <c r="G51" s="8"/>
      <c r="H51" s="8"/>
      <c r="I51" s="8"/>
    </row>
    <row r="52" spans="1:10" ht="13">
      <c r="A52" s="7"/>
      <c r="B52" s="16"/>
      <c r="C52" s="16"/>
      <c r="D52" s="16"/>
      <c r="E52" s="16"/>
      <c r="F52" s="7"/>
      <c r="G52" s="8"/>
    </row>
    <row r="53" spans="1:10" ht="13">
      <c r="A53" s="7"/>
      <c r="B53" s="16"/>
      <c r="C53" s="16"/>
      <c r="D53" s="16"/>
      <c r="E53" s="16"/>
      <c r="F53" s="7"/>
      <c r="G53" s="8"/>
    </row>
    <row r="54" spans="1:10" ht="13">
      <c r="A54" s="7"/>
      <c r="B54" s="16"/>
      <c r="C54" s="16"/>
      <c r="D54" s="16"/>
      <c r="E54" s="16"/>
      <c r="F54" s="7"/>
      <c r="G54" s="8"/>
    </row>
    <row r="55" spans="1:10" ht="13">
      <c r="A55" s="7"/>
      <c r="B55" s="16"/>
      <c r="C55" s="16"/>
      <c r="D55" s="16"/>
      <c r="E55" s="16"/>
      <c r="F55" s="2"/>
      <c r="G55" s="8"/>
      <c r="H55" s="8"/>
      <c r="I55" s="8"/>
      <c r="J55" s="8"/>
    </row>
    <row r="56" spans="1:10" ht="13">
      <c r="A56" s="8"/>
      <c r="B56" s="8"/>
      <c r="C56" s="8"/>
      <c r="D56" s="8"/>
      <c r="E56" s="27"/>
      <c r="F56" s="2"/>
      <c r="I56" s="8"/>
      <c r="J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250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261</v>
      </c>
      <c r="E3" s="1" t="s">
        <v>7</v>
      </c>
      <c r="F3" s="2">
        <v>28</v>
      </c>
      <c r="G3" s="2" t="s">
        <v>244</v>
      </c>
    </row>
    <row r="4" spans="1:12" ht="15.75" customHeight="1">
      <c r="A4" s="6" t="s">
        <v>141</v>
      </c>
      <c r="B4" s="7">
        <v>0.128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 t="s">
        <v>14</v>
      </c>
      <c r="J6" s="2" t="s">
        <v>269</v>
      </c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 t="s">
        <v>193</v>
      </c>
      <c r="I7" s="6" t="s">
        <v>194</v>
      </c>
      <c r="J7" s="6" t="s">
        <v>194</v>
      </c>
    </row>
    <row r="8" spans="1:12" ht="15.75" customHeight="1">
      <c r="A8" s="7" t="s">
        <v>195</v>
      </c>
      <c r="B8" s="32">
        <v>2.3376000000000001</v>
      </c>
      <c r="C8" s="32">
        <v>1.1180000000000001</v>
      </c>
      <c r="D8" s="32">
        <v>8.4009</v>
      </c>
      <c r="E8" s="32">
        <v>17.137799999999999</v>
      </c>
      <c r="G8" s="6" t="s">
        <v>27</v>
      </c>
      <c r="H8" s="16">
        <f t="shared" ref="H8:H9" si="0">C8/B8</f>
        <v>0.47826830937713899</v>
      </c>
      <c r="I8" s="16">
        <f t="shared" ref="I8:I9" si="1">C8/D8</f>
        <v>0.13308097941887179</v>
      </c>
      <c r="J8" s="16">
        <f t="shared" ref="J8:J9" si="2">C8/E8</f>
        <v>6.5235911260488527E-2</v>
      </c>
      <c r="K8" s="32"/>
      <c r="L8" s="32"/>
    </row>
    <row r="9" spans="1:12" ht="15.75" customHeight="1">
      <c r="A9" s="7" t="s">
        <v>196</v>
      </c>
      <c r="B9" s="32">
        <v>2.3807999999999998</v>
      </c>
      <c r="C9" s="32">
        <v>1.0914999999999999</v>
      </c>
      <c r="D9" s="32">
        <v>8.6458999999999993</v>
      </c>
      <c r="E9" s="32">
        <v>17.658200000000001</v>
      </c>
      <c r="G9" s="6" t="s">
        <v>30</v>
      </c>
      <c r="H9" s="16">
        <f t="shared" si="0"/>
        <v>0.45845934139784944</v>
      </c>
      <c r="I9" s="16">
        <f t="shared" si="1"/>
        <v>0.12624480967857599</v>
      </c>
      <c r="J9" s="16">
        <f t="shared" si="2"/>
        <v>6.1812642285170624E-2</v>
      </c>
      <c r="K9" s="32"/>
      <c r="L9" s="32"/>
    </row>
    <row r="10" spans="1:12" ht="15.75" customHeight="1">
      <c r="A10" s="8"/>
      <c r="C10" s="8"/>
      <c r="D10" s="8"/>
      <c r="E10" s="8"/>
      <c r="G10" s="6" t="s">
        <v>31</v>
      </c>
      <c r="H10" s="16">
        <f t="shared" ref="H10:J10" si="3">H9/H8</f>
        <v>0.9585818930694211</v>
      </c>
      <c r="I10" s="16">
        <f t="shared" si="3"/>
        <v>0.94863150414020481</v>
      </c>
      <c r="J10" s="16">
        <f t="shared" si="3"/>
        <v>0.9475247772404265</v>
      </c>
    </row>
    <row r="11" spans="1:12" ht="15.75" customHeight="1">
      <c r="A11" s="17" t="s">
        <v>19</v>
      </c>
      <c r="B11" s="8"/>
      <c r="C11" s="8"/>
      <c r="D11" s="8"/>
      <c r="E11" s="8"/>
      <c r="G11" s="37" t="s">
        <v>0</v>
      </c>
      <c r="H11" s="16">
        <f t="shared" ref="H11:J11" si="4">LN(1-$B$4)/LN(1-$B$4*H10)</f>
        <v>1.0463033228708911</v>
      </c>
      <c r="I11" s="16">
        <f t="shared" si="4"/>
        <v>1.0580287547502942</v>
      </c>
      <c r="J11" s="16">
        <f t="shared" si="4"/>
        <v>1.0593481057589298</v>
      </c>
      <c r="K11" s="32"/>
      <c r="L11" s="2" t="s">
        <v>39</v>
      </c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39" t="s">
        <v>38</v>
      </c>
      <c r="H12" s="11">
        <f>H11*SQRT(B26^2*(H16+H17))</f>
        <v>3.5211573936662758E-3</v>
      </c>
      <c r="I12" s="11">
        <f t="shared" ref="I12:J12" si="5">I11*SQRT(D26^2*(I16+I17))</f>
        <v>2.0150287733725989E-3</v>
      </c>
      <c r="J12" s="11">
        <f t="shared" si="5"/>
        <v>2.1216887817763282E-3</v>
      </c>
      <c r="K12" s="32"/>
      <c r="L12" s="27" t="s">
        <v>226</v>
      </c>
    </row>
    <row r="13" spans="1:12" ht="15.75" customHeight="1">
      <c r="A13" s="7" t="s">
        <v>195</v>
      </c>
      <c r="B13" s="32">
        <v>1.8800000000000001E-2</v>
      </c>
      <c r="C13" s="32">
        <v>1.0200000000000001E-2</v>
      </c>
      <c r="D13" s="32">
        <v>4.1000000000000003E-3</v>
      </c>
      <c r="E13" s="32">
        <v>1.29E-2</v>
      </c>
      <c r="K13" s="32"/>
      <c r="L13" s="2" t="s">
        <v>227</v>
      </c>
    </row>
    <row r="14" spans="1:12" ht="15.75" customHeight="1">
      <c r="A14" s="7" t="s">
        <v>196</v>
      </c>
      <c r="B14" s="22">
        <v>1.8499999999999999E-2</v>
      </c>
      <c r="C14" s="22">
        <v>9.1000000000000004E-3</v>
      </c>
      <c r="D14" s="32">
        <v>3.8E-3</v>
      </c>
      <c r="E14" s="32">
        <v>3.0700000000000002E-2</v>
      </c>
      <c r="J14" s="8"/>
      <c r="K14" s="32"/>
      <c r="L14" s="2" t="s">
        <v>228</v>
      </c>
    </row>
    <row r="15" spans="1:12" ht="15.75" customHeight="1">
      <c r="A15" s="7"/>
      <c r="B15" s="11"/>
      <c r="C15" s="11"/>
      <c r="D15" s="11"/>
      <c r="E15" s="8"/>
      <c r="H15" s="6" t="s">
        <v>193</v>
      </c>
      <c r="I15" s="6" t="s">
        <v>194</v>
      </c>
      <c r="J15" s="6" t="s">
        <v>194</v>
      </c>
    </row>
    <row r="16" spans="1:12" ht="15.75" customHeight="1">
      <c r="A16" s="7" t="s">
        <v>197</v>
      </c>
      <c r="B16" s="11">
        <f t="shared" ref="B16:C16" si="6">B13/SQRT($F$3)</f>
        <v>3.5528660462867357E-3</v>
      </c>
      <c r="C16" s="11">
        <f t="shared" si="6"/>
        <v>1.9276188123470588E-3</v>
      </c>
      <c r="D16" s="11">
        <f t="shared" ref="D16:E16" si="7">D13/SQRT($F$4)</f>
        <v>1.4495689014324225E-3</v>
      </c>
      <c r="E16" s="11">
        <f t="shared" si="7"/>
        <v>4.5608387386532308E-3</v>
      </c>
      <c r="G16" s="6" t="s">
        <v>44</v>
      </c>
      <c r="H16" s="34">
        <f t="shared" ref="H16:H17" si="8">(B16/B8)^2+(C16/C8)^2</f>
        <v>5.2827803100330982E-6</v>
      </c>
      <c r="I16" s="34">
        <f>(D16/D8)^2+(C16/C8)^2</f>
        <v>3.002525411763131E-6</v>
      </c>
      <c r="J16" s="34">
        <f>(E16/E8)^2+(C16/C8)^2</f>
        <v>3.0435759830386071E-6</v>
      </c>
    </row>
    <row r="17" spans="1:10" ht="15.75" customHeight="1">
      <c r="A17" s="7" t="s">
        <v>198</v>
      </c>
      <c r="B17" s="11">
        <f t="shared" ref="B17:C17" si="9">B14/SQRT($F$3)</f>
        <v>3.4961713753353515E-3</v>
      </c>
      <c r="C17" s="11">
        <f t="shared" si="9"/>
        <v>1.7197383521919839E-3</v>
      </c>
      <c r="D17" s="11">
        <f t="shared" ref="D17:E17" si="10">D14/SQRT($F$4)</f>
        <v>1.3435028842544402E-3</v>
      </c>
      <c r="E17" s="11">
        <f t="shared" si="10"/>
        <v>1.0854089091213505E-2</v>
      </c>
      <c r="G17" s="6" t="s">
        <v>42</v>
      </c>
      <c r="H17" s="34">
        <f t="shared" si="8"/>
        <v>4.6388825155326321E-6</v>
      </c>
      <c r="I17" s="34">
        <f>(C17/C9)^2+(D17/D9)^2</f>
        <v>2.5065781432354649E-6</v>
      </c>
      <c r="J17" s="34">
        <f>(C17/C9)^2+(E17/E9)^2</f>
        <v>2.8602592913692824E-6</v>
      </c>
    </row>
    <row r="18" spans="1:10" ht="15.75" customHeight="1">
      <c r="A18" s="7" t="s">
        <v>208</v>
      </c>
      <c r="B18" s="8"/>
      <c r="C18" s="8"/>
      <c r="D18" s="8"/>
      <c r="E18" s="8"/>
      <c r="G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1" t="s">
        <v>194</v>
      </c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-0.93453948746299942</v>
      </c>
      <c r="C23" s="16"/>
      <c r="D23" s="16">
        <f t="shared" ref="D23:E23" si="11">$B$4/LN(1-$B$4)</f>
        <v>-0.93453948746299942</v>
      </c>
      <c r="E23" s="16">
        <f t="shared" si="11"/>
        <v>-0.93453948746299942</v>
      </c>
      <c r="F23" s="7" t="s">
        <v>217</v>
      </c>
      <c r="G23" s="8"/>
    </row>
    <row r="24" spans="1:10" ht="15.75" customHeight="1">
      <c r="A24" s="7" t="s">
        <v>150</v>
      </c>
      <c r="B24" s="16">
        <f>H10*H11</f>
        <v>1.0029674199624046</v>
      </c>
      <c r="C24" s="16"/>
      <c r="D24" s="16">
        <f t="shared" ref="D24:E24" si="12">I10*I11</f>
        <v>1.0036794090423595</v>
      </c>
      <c r="E24" s="16">
        <f t="shared" si="12"/>
        <v>1.0037585779292977</v>
      </c>
      <c r="F24" s="7" t="s">
        <v>220</v>
      </c>
      <c r="G24" s="8"/>
    </row>
    <row r="25" spans="1:10" ht="15.75" customHeight="1">
      <c r="A25" s="7" t="s">
        <v>151</v>
      </c>
      <c r="B25" s="16">
        <f>1-$B$4*H10</f>
        <v>0.87730151768711406</v>
      </c>
      <c r="C25" s="16"/>
      <c r="D25" s="16">
        <f>1-$B$4/I10</f>
        <v>0.86506878651894104</v>
      </c>
      <c r="E25" s="16">
        <f>1-$B$4*J10</f>
        <v>0.87871682851322541</v>
      </c>
      <c r="F25" s="7" t="s">
        <v>221</v>
      </c>
      <c r="G25" s="8"/>
    </row>
    <row r="26" spans="1:10" ht="15.75" customHeight="1">
      <c r="A26" s="7" t="s">
        <v>54</v>
      </c>
      <c r="B26" s="16">
        <f>B23*B24/B25</f>
        <v>-1.0684042369661568</v>
      </c>
      <c r="C26" s="16"/>
      <c r="D26" s="16">
        <f t="shared" ref="D26:E26" si="13">D23*D24*D25</f>
        <v>-0.81141552527987437</v>
      </c>
      <c r="E26" s="16">
        <f t="shared" si="13"/>
        <v>-0.82428210210597952</v>
      </c>
      <c r="F26" s="2" t="s">
        <v>245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9" spans="1:10" ht="15.75" customHeight="1">
      <c r="C29" s="11"/>
    </row>
    <row r="30" spans="1:10" ht="13">
      <c r="A30" s="30"/>
      <c r="B30" s="28"/>
      <c r="C30" s="30"/>
      <c r="D30" s="28"/>
    </row>
    <row r="31" spans="1:10" ht="13">
      <c r="A31" s="1"/>
      <c r="B31" s="28"/>
      <c r="D31" s="28"/>
    </row>
    <row r="32" spans="1:10" ht="13">
      <c r="A32" s="2"/>
      <c r="B32" s="28"/>
      <c r="C32" s="28"/>
      <c r="D32" s="28"/>
    </row>
    <row r="33" spans="1:12" ht="13">
      <c r="A33" s="1"/>
      <c r="B33" s="2"/>
      <c r="C33" s="2"/>
      <c r="D33" s="2"/>
      <c r="G33" s="2"/>
      <c r="H33" s="2"/>
    </row>
    <row r="34" spans="1:12" ht="13">
      <c r="A34" s="2"/>
      <c r="B34" s="2"/>
      <c r="C34" s="2"/>
      <c r="D34" s="2"/>
      <c r="E34" s="6"/>
      <c r="F34" s="2"/>
      <c r="G34" s="2"/>
      <c r="H34" s="2"/>
    </row>
    <row r="35" spans="1:12" ht="13">
      <c r="E35" s="1"/>
      <c r="F35" s="2"/>
    </row>
    <row r="36" spans="1:12" ht="13">
      <c r="A36" s="6"/>
      <c r="B36" s="7"/>
      <c r="D36" s="8"/>
      <c r="E36" s="6"/>
      <c r="F36" s="7"/>
      <c r="G36" s="8"/>
      <c r="H36" s="8"/>
      <c r="I36" s="8"/>
    </row>
    <row r="37" spans="1:12" ht="13">
      <c r="A37" s="7"/>
      <c r="B37" s="8"/>
      <c r="C37" s="8"/>
      <c r="D37" s="8"/>
      <c r="E37" s="8"/>
      <c r="F37" s="8"/>
      <c r="G37" s="8"/>
      <c r="H37" s="8"/>
      <c r="I37" s="8"/>
    </row>
    <row r="38" spans="1:12" ht="13">
      <c r="A38" s="7"/>
      <c r="B38" s="8"/>
      <c r="C38" s="8"/>
      <c r="D38" s="7"/>
      <c r="E38" s="7"/>
      <c r="F38" s="8"/>
      <c r="G38" s="8"/>
      <c r="H38" s="8"/>
      <c r="I38" s="7"/>
      <c r="J38" s="2"/>
    </row>
    <row r="39" spans="1:12" ht="13">
      <c r="A39" s="6"/>
      <c r="B39" s="6"/>
      <c r="C39" s="6"/>
      <c r="D39" s="6"/>
      <c r="E39" s="6"/>
      <c r="G39" s="8"/>
      <c r="H39" s="6"/>
      <c r="I39" s="6"/>
      <c r="J39" s="6"/>
    </row>
    <row r="40" spans="1:12" ht="14">
      <c r="A40" s="7"/>
      <c r="B40" s="59"/>
      <c r="C40" s="59"/>
      <c r="D40" s="59"/>
      <c r="E40" s="59"/>
      <c r="G40" s="6"/>
      <c r="H40" s="16"/>
      <c r="I40" s="16"/>
      <c r="J40" s="16"/>
      <c r="K40" s="15"/>
      <c r="L40" s="15"/>
    </row>
    <row r="41" spans="1:12" ht="14">
      <c r="A41" s="7"/>
      <c r="B41" s="59"/>
      <c r="C41" s="59"/>
      <c r="D41" s="59"/>
      <c r="E41" s="59"/>
      <c r="G41" s="6"/>
      <c r="H41" s="16"/>
      <c r="I41" s="16"/>
      <c r="J41" s="16"/>
      <c r="K41" s="15"/>
      <c r="L41" s="15"/>
    </row>
    <row r="42" spans="1:12" ht="13">
      <c r="A42" s="8"/>
      <c r="B42" s="8"/>
      <c r="C42" s="8"/>
      <c r="D42" s="8"/>
      <c r="E42" s="8"/>
      <c r="G42" s="6"/>
      <c r="H42" s="16"/>
      <c r="I42" s="16"/>
      <c r="J42" s="16"/>
    </row>
    <row r="43" spans="1:12" ht="14">
      <c r="A43" s="7"/>
      <c r="B43" s="8"/>
      <c r="C43" s="8"/>
      <c r="D43" s="8"/>
      <c r="E43" s="8"/>
      <c r="G43" s="6"/>
      <c r="H43" s="16"/>
      <c r="I43" s="16"/>
      <c r="J43" s="16"/>
      <c r="K43" s="15"/>
      <c r="L43" s="2"/>
    </row>
    <row r="44" spans="1:12" ht="14">
      <c r="A44" s="6"/>
      <c r="B44" s="6"/>
      <c r="C44" s="6"/>
      <c r="D44" s="6"/>
      <c r="E44" s="6"/>
      <c r="G44" s="1"/>
      <c r="H44" s="11"/>
      <c r="I44" s="11"/>
      <c r="J44" s="11"/>
      <c r="K44" s="15"/>
      <c r="L44" s="27"/>
    </row>
    <row r="45" spans="1:12" ht="14">
      <c r="A45" s="7"/>
      <c r="B45" s="59"/>
      <c r="C45" s="59"/>
      <c r="D45" s="59"/>
      <c r="E45" s="59"/>
      <c r="K45" s="15"/>
      <c r="L45" s="2"/>
    </row>
    <row r="46" spans="1:12" ht="14">
      <c r="A46" s="7"/>
      <c r="B46" s="60"/>
      <c r="C46" s="60"/>
      <c r="D46" s="59"/>
      <c r="E46" s="59"/>
      <c r="J46" s="8"/>
      <c r="K46" s="15"/>
      <c r="L46" s="2"/>
    </row>
    <row r="47" spans="1:12" ht="13">
      <c r="A47" s="7"/>
      <c r="B47" s="11"/>
      <c r="C47" s="11"/>
      <c r="D47" s="11"/>
      <c r="E47" s="8"/>
      <c r="H47" s="6"/>
      <c r="I47" s="6"/>
      <c r="J47" s="6"/>
    </row>
    <row r="48" spans="1:12" ht="13">
      <c r="A48" s="7"/>
      <c r="B48" s="11"/>
      <c r="C48" s="11"/>
      <c r="D48" s="11"/>
      <c r="E48" s="11"/>
      <c r="G48" s="6"/>
      <c r="H48" s="34"/>
      <c r="I48" s="34"/>
      <c r="J48" s="34"/>
    </row>
    <row r="49" spans="1:10" ht="13">
      <c r="A49" s="7"/>
      <c r="B49" s="11"/>
      <c r="C49" s="11"/>
      <c r="D49" s="11"/>
      <c r="E49" s="11"/>
      <c r="G49" s="6"/>
      <c r="H49" s="34"/>
      <c r="I49" s="34"/>
      <c r="J49" s="34"/>
    </row>
    <row r="50" spans="1:10" ht="13">
      <c r="A50" s="7"/>
      <c r="B50" s="8"/>
      <c r="C50" s="8"/>
      <c r="D50" s="8"/>
      <c r="E50" s="8"/>
      <c r="G50" s="7"/>
    </row>
    <row r="51" spans="1:10" ht="13">
      <c r="A51" s="7"/>
      <c r="B51" s="8"/>
      <c r="C51" s="8"/>
      <c r="D51" s="8"/>
      <c r="E51" s="8"/>
      <c r="F51" s="8"/>
    </row>
    <row r="52" spans="1:10" ht="13">
      <c r="A52" s="7"/>
      <c r="B52" s="8"/>
      <c r="C52" s="8"/>
      <c r="D52" s="8"/>
      <c r="E52" s="8"/>
      <c r="F52" s="8"/>
      <c r="G52" s="8"/>
      <c r="H52" s="8"/>
      <c r="I52" s="8"/>
    </row>
    <row r="53" spans="1:10" ht="13">
      <c r="A53" s="7"/>
      <c r="B53" s="8"/>
      <c r="C53" s="8"/>
      <c r="D53" s="7"/>
      <c r="E53" s="7"/>
      <c r="F53" s="8"/>
      <c r="G53" s="8"/>
      <c r="H53" s="8"/>
      <c r="I53" s="8"/>
    </row>
    <row r="54" spans="1:10" ht="13">
      <c r="B54" s="1"/>
      <c r="C54" s="13"/>
      <c r="D54" s="1"/>
      <c r="E54" s="1"/>
      <c r="F54" s="6"/>
      <c r="G54" s="8"/>
      <c r="H54" s="8"/>
      <c r="I54" s="8"/>
    </row>
    <row r="55" spans="1:10" ht="13">
      <c r="A55" s="7"/>
      <c r="B55" s="16"/>
      <c r="C55" s="16"/>
      <c r="D55" s="16"/>
      <c r="E55" s="16"/>
      <c r="F55" s="7"/>
      <c r="G55" s="8"/>
    </row>
    <row r="56" spans="1:10" ht="13">
      <c r="A56" s="7"/>
      <c r="B56" s="16"/>
      <c r="C56" s="16"/>
      <c r="D56" s="16"/>
      <c r="E56" s="16"/>
      <c r="F56" s="7"/>
      <c r="G56" s="8"/>
    </row>
    <row r="57" spans="1:10" ht="13">
      <c r="A57" s="7"/>
      <c r="B57" s="16"/>
      <c r="C57" s="16"/>
      <c r="D57" s="16"/>
      <c r="E57" s="16"/>
      <c r="F57" s="7"/>
      <c r="G57" s="8"/>
    </row>
    <row r="58" spans="1:10" ht="13">
      <c r="A58" s="7"/>
      <c r="B58" s="16"/>
      <c r="C58" s="16"/>
      <c r="D58" s="16"/>
      <c r="E58" s="16"/>
      <c r="F58" s="2"/>
      <c r="G58" s="8"/>
      <c r="H58" s="8"/>
      <c r="I58" s="8"/>
      <c r="J58" s="8"/>
    </row>
    <row r="60" spans="1:10" ht="13">
      <c r="A60" s="1"/>
    </row>
    <row r="62" spans="1:10" ht="13">
      <c r="A62" s="1"/>
      <c r="B62" s="2"/>
      <c r="C62" s="2"/>
      <c r="D62" s="2"/>
      <c r="G62" s="2"/>
      <c r="H62" s="2"/>
    </row>
    <row r="63" spans="1:10" ht="13">
      <c r="A63" s="2"/>
      <c r="B63" s="2"/>
      <c r="C63" s="2"/>
      <c r="D63" s="2"/>
      <c r="E63" s="6"/>
      <c r="F63" s="2"/>
      <c r="G63" s="2"/>
      <c r="H63" s="2"/>
    </row>
    <row r="64" spans="1:10" ht="13">
      <c r="E64" s="1"/>
      <c r="F64" s="2"/>
    </row>
    <row r="65" spans="1:10" ht="13">
      <c r="A65" s="6"/>
      <c r="B65" s="7"/>
      <c r="D65" s="8"/>
      <c r="E65" s="6"/>
      <c r="F65" s="7"/>
      <c r="G65" s="8"/>
      <c r="H65" s="8"/>
      <c r="I65" s="8"/>
    </row>
    <row r="66" spans="1:10" ht="13">
      <c r="A66" s="7"/>
      <c r="B66" s="8"/>
      <c r="C66" s="8"/>
      <c r="D66" s="8"/>
      <c r="E66" s="8"/>
      <c r="F66" s="8"/>
      <c r="G66" s="8"/>
      <c r="H66" s="8"/>
      <c r="I66" s="8"/>
    </row>
    <row r="67" spans="1:10" ht="13">
      <c r="A67" s="7"/>
      <c r="B67" s="8"/>
      <c r="C67" s="8"/>
      <c r="D67" s="7"/>
      <c r="E67" s="7"/>
      <c r="F67" s="8"/>
      <c r="G67" s="8"/>
      <c r="H67" s="8"/>
      <c r="I67" s="7"/>
      <c r="J67" s="2"/>
    </row>
    <row r="68" spans="1:10" ht="13">
      <c r="A68" s="6"/>
      <c r="B68" s="6"/>
      <c r="C68" s="6"/>
      <c r="D68" s="6"/>
      <c r="E68" s="6"/>
      <c r="G68" s="8"/>
      <c r="H68" s="6"/>
      <c r="I68" s="6"/>
      <c r="J68" s="6"/>
    </row>
    <row r="69" spans="1:10" ht="14">
      <c r="A69" s="7"/>
      <c r="B69" s="15"/>
      <c r="C69" s="15"/>
      <c r="D69" s="15"/>
      <c r="E69" s="15"/>
      <c r="G69" s="6"/>
      <c r="H69" s="16"/>
      <c r="I69" s="16"/>
      <c r="J69" s="16"/>
    </row>
    <row r="70" spans="1:10" ht="14">
      <c r="A70" s="7"/>
      <c r="B70" s="15"/>
      <c r="C70" s="15"/>
      <c r="D70" s="15"/>
      <c r="E70" s="15"/>
      <c r="G70" s="6"/>
      <c r="H70" s="16"/>
      <c r="I70" s="16"/>
      <c r="J70" s="16"/>
    </row>
    <row r="71" spans="1:10" ht="13">
      <c r="A71" s="8"/>
      <c r="B71" s="8"/>
      <c r="C71" s="8"/>
      <c r="D71" s="8"/>
      <c r="E71" s="8"/>
      <c r="G71" s="6"/>
      <c r="H71" s="16"/>
      <c r="I71" s="16"/>
      <c r="J71" s="16"/>
    </row>
    <row r="72" spans="1:10" ht="13">
      <c r="A72" s="7"/>
      <c r="B72" s="8"/>
      <c r="C72" s="8"/>
      <c r="D72" s="8"/>
      <c r="E72" s="8"/>
      <c r="G72" s="6"/>
      <c r="H72" s="16"/>
      <c r="I72" s="16"/>
      <c r="J72" s="16"/>
    </row>
    <row r="73" spans="1:10" ht="13">
      <c r="A73" s="6"/>
      <c r="B73" s="6"/>
      <c r="C73" s="6"/>
      <c r="D73" s="6"/>
      <c r="E73" s="6"/>
      <c r="G73" s="1"/>
      <c r="H73" s="11"/>
      <c r="I73" s="11"/>
      <c r="J73" s="11"/>
    </row>
    <row r="74" spans="1:10" ht="14">
      <c r="A74" s="7"/>
      <c r="B74" s="15"/>
      <c r="C74" s="15"/>
      <c r="D74" s="15"/>
      <c r="E74" s="15"/>
    </row>
    <row r="75" spans="1:10" ht="14">
      <c r="A75" s="7"/>
      <c r="B75" s="15"/>
      <c r="C75" s="15"/>
      <c r="D75" s="15"/>
      <c r="E75" s="15"/>
      <c r="J75" s="8"/>
    </row>
    <row r="76" spans="1:10" ht="13">
      <c r="A76" s="7"/>
      <c r="B76" s="11"/>
      <c r="C76" s="11"/>
      <c r="D76" s="11"/>
      <c r="E76" s="8"/>
      <c r="H76" s="6"/>
      <c r="I76" s="6"/>
      <c r="J76" s="6"/>
    </row>
    <row r="77" spans="1:10" ht="13">
      <c r="A77" s="7"/>
      <c r="B77" s="11"/>
      <c r="C77" s="11"/>
      <c r="D77" s="11"/>
      <c r="E77" s="11"/>
      <c r="G77" s="6"/>
      <c r="H77" s="34"/>
      <c r="I77" s="34"/>
      <c r="J77" s="34"/>
    </row>
    <row r="78" spans="1:10" ht="13">
      <c r="A78" s="7"/>
      <c r="B78" s="11"/>
      <c r="C78" s="11"/>
      <c r="D78" s="11"/>
      <c r="E78" s="11"/>
      <c r="G78" s="6"/>
      <c r="H78" s="34"/>
      <c r="I78" s="34"/>
      <c r="J78" s="34"/>
    </row>
    <row r="79" spans="1:10" ht="13">
      <c r="A79" s="7"/>
      <c r="B79" s="8"/>
      <c r="C79" s="8"/>
      <c r="D79" s="8"/>
      <c r="E79" s="8"/>
      <c r="G79" s="7"/>
    </row>
    <row r="80" spans="1:10" ht="13">
      <c r="A80" s="7"/>
      <c r="B80" s="8"/>
      <c r="C80" s="8"/>
      <c r="D80" s="8"/>
      <c r="E80" s="8"/>
      <c r="F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</row>
    <row r="82" spans="1:10" ht="13">
      <c r="A82" s="7"/>
      <c r="B82" s="8"/>
      <c r="C82" s="8"/>
      <c r="D82" s="7"/>
      <c r="E82" s="7"/>
      <c r="F82" s="8"/>
      <c r="G82" s="8"/>
      <c r="H82" s="8"/>
      <c r="I82" s="8"/>
    </row>
    <row r="83" spans="1:10" ht="13">
      <c r="B83" s="1"/>
      <c r="C83" s="13"/>
      <c r="D83" s="1"/>
      <c r="E83" s="1"/>
      <c r="F83" s="6"/>
      <c r="G83" s="8"/>
      <c r="H83" s="8"/>
      <c r="I83" s="8"/>
    </row>
    <row r="84" spans="1:10" ht="13">
      <c r="A84" s="7"/>
      <c r="B84" s="16"/>
      <c r="C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7"/>
      <c r="G85" s="8"/>
    </row>
    <row r="86" spans="1:10" ht="13">
      <c r="A86" s="7"/>
      <c r="B86" s="16"/>
      <c r="C86" s="16"/>
      <c r="D86" s="16"/>
      <c r="E86" s="16"/>
      <c r="F86" s="7"/>
      <c r="G86" s="8"/>
    </row>
    <row r="87" spans="1:10" ht="13">
      <c r="A87" s="7"/>
      <c r="B87" s="16"/>
      <c r="C87" s="16"/>
      <c r="D87" s="16"/>
      <c r="E87" s="16"/>
      <c r="F87" s="2"/>
      <c r="G87" s="8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G93" s="2"/>
      <c r="H93" s="2"/>
    </row>
    <row r="94" spans="1:10" ht="13">
      <c r="A94" s="2"/>
      <c r="B94" s="2"/>
      <c r="C94" s="2"/>
      <c r="D94" s="2"/>
      <c r="E94" s="6"/>
      <c r="F94" s="2"/>
      <c r="G94" s="2"/>
      <c r="H94" s="2"/>
    </row>
    <row r="95" spans="1:10" ht="13">
      <c r="E95" s="1"/>
      <c r="F95" s="2"/>
    </row>
    <row r="96" spans="1:10" ht="13">
      <c r="A96" s="6"/>
      <c r="B96" s="7"/>
      <c r="D96" s="8"/>
      <c r="E96" s="6"/>
      <c r="F96" s="7"/>
      <c r="G96" s="8"/>
      <c r="H96" s="8"/>
      <c r="I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</row>
    <row r="98" spans="1:10" ht="13">
      <c r="A98" s="7"/>
      <c r="B98" s="8"/>
      <c r="C98" s="8"/>
      <c r="D98" s="7"/>
      <c r="E98" s="7"/>
      <c r="F98" s="8"/>
      <c r="G98" s="8"/>
      <c r="H98" s="8"/>
      <c r="I98" s="7"/>
      <c r="J98" s="2"/>
    </row>
    <row r="99" spans="1:10" ht="13">
      <c r="A99" s="6"/>
      <c r="B99" s="6"/>
      <c r="C99" s="6"/>
      <c r="D99" s="6"/>
      <c r="E99" s="6"/>
      <c r="G99" s="8"/>
      <c r="H99" s="6"/>
      <c r="I99" s="6"/>
      <c r="J99" s="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4">
      <c r="A101" s="7"/>
      <c r="B101" s="15"/>
      <c r="C101" s="15"/>
      <c r="D101" s="15"/>
      <c r="E101" s="15"/>
      <c r="G101" s="6"/>
      <c r="H101" s="16"/>
      <c r="I101" s="16"/>
      <c r="J101" s="16"/>
    </row>
    <row r="102" spans="1:10" ht="13">
      <c r="A102" s="8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7"/>
      <c r="B103" s="8"/>
      <c r="C103" s="8"/>
      <c r="D103" s="8"/>
      <c r="E103" s="8"/>
      <c r="G103" s="6"/>
      <c r="H103" s="16"/>
      <c r="I103" s="16"/>
      <c r="J103" s="16"/>
    </row>
    <row r="104" spans="1:10" ht="13">
      <c r="A104" s="6"/>
      <c r="B104" s="6"/>
      <c r="C104" s="6"/>
      <c r="D104" s="6"/>
      <c r="E104" s="6"/>
      <c r="G104" s="1"/>
      <c r="H104" s="11"/>
      <c r="I104" s="11"/>
      <c r="J104" s="11"/>
    </row>
    <row r="105" spans="1:10" ht="14">
      <c r="A105" s="7"/>
      <c r="B105" s="15"/>
      <c r="C105" s="15"/>
      <c r="D105" s="15"/>
      <c r="E105" s="15"/>
    </row>
    <row r="106" spans="1:10" ht="14">
      <c r="A106" s="7"/>
      <c r="B106" s="15"/>
      <c r="C106" s="15"/>
      <c r="D106" s="15"/>
      <c r="E106" s="15"/>
      <c r="J106" s="8"/>
    </row>
    <row r="107" spans="1:10" ht="13">
      <c r="A107" s="7"/>
      <c r="B107" s="11"/>
      <c r="C107" s="11"/>
      <c r="D107" s="11"/>
      <c r="E107" s="8"/>
      <c r="H107" s="6"/>
      <c r="I107" s="6"/>
      <c r="J107" s="6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11"/>
      <c r="C109" s="11"/>
      <c r="D109" s="11"/>
      <c r="E109" s="11"/>
      <c r="G109" s="6"/>
      <c r="H109" s="34"/>
      <c r="I109" s="34"/>
      <c r="J109" s="34"/>
    </row>
    <row r="110" spans="1:10" ht="13">
      <c r="A110" s="7"/>
      <c r="B110" s="8"/>
      <c r="C110" s="8"/>
      <c r="D110" s="8"/>
      <c r="E110" s="8"/>
      <c r="G110" s="7"/>
    </row>
    <row r="111" spans="1:10" ht="13">
      <c r="A111" s="7"/>
      <c r="B111" s="8"/>
      <c r="C111" s="8"/>
      <c r="D111" s="8"/>
      <c r="E111" s="8"/>
      <c r="F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</row>
    <row r="113" spans="1:10" ht="13">
      <c r="A113" s="7"/>
      <c r="B113" s="8"/>
      <c r="C113" s="8"/>
      <c r="D113" s="7"/>
      <c r="E113" s="7"/>
      <c r="F113" s="8"/>
      <c r="G113" s="8"/>
      <c r="H113" s="8"/>
      <c r="I113" s="8"/>
    </row>
    <row r="114" spans="1:10" ht="13">
      <c r="B114" s="1"/>
      <c r="C114" s="13"/>
      <c r="D114" s="1"/>
      <c r="E114" s="1"/>
      <c r="F114" s="6"/>
      <c r="G114" s="8"/>
      <c r="H114" s="8"/>
      <c r="I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2"/>
      <c r="G118" s="8"/>
      <c r="H118" s="8"/>
      <c r="I118" s="8"/>
      <c r="J1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62"/>
  <sheetViews>
    <sheetView workbookViewId="0"/>
  </sheetViews>
  <sheetFormatPr baseColWidth="10" defaultColWidth="14.5" defaultRowHeight="15.75" customHeight="1"/>
  <cols>
    <col min="1" max="1" width="24.83203125" customWidth="1"/>
  </cols>
  <sheetData>
    <row r="1" spans="1:9" ht="15.75" customHeight="1">
      <c r="A1" s="2" t="s">
        <v>567</v>
      </c>
      <c r="D1" s="2" t="s">
        <v>568</v>
      </c>
    </row>
    <row r="3" spans="1:9" ht="15">
      <c r="A3" s="102" t="s">
        <v>569</v>
      </c>
      <c r="B3" s="102" t="s">
        <v>570</v>
      </c>
      <c r="C3" s="102" t="s">
        <v>571</v>
      </c>
      <c r="D3" s="102" t="s">
        <v>573</v>
      </c>
      <c r="E3" s="2" t="s">
        <v>574</v>
      </c>
      <c r="F3" s="2" t="s">
        <v>575</v>
      </c>
      <c r="I3" s="2"/>
    </row>
    <row r="4" spans="1:9" ht="15">
      <c r="A4" s="102" t="s">
        <v>576</v>
      </c>
      <c r="B4" s="103">
        <v>1.0368999999999999</v>
      </c>
      <c r="C4" s="103">
        <v>1.0586</v>
      </c>
      <c r="D4" s="103">
        <f t="shared" ref="D4:D55" si="0">C4-B4</f>
        <v>2.1700000000000053E-2</v>
      </c>
      <c r="E4" s="2">
        <v>1.911</v>
      </c>
      <c r="F4" s="2">
        <v>2.274</v>
      </c>
      <c r="I4" s="2"/>
    </row>
    <row r="5" spans="1:9" ht="15">
      <c r="A5" s="2" t="s">
        <v>579</v>
      </c>
      <c r="B5" s="2">
        <v>1.0375000000000001</v>
      </c>
      <c r="C5" s="2">
        <v>1.0588</v>
      </c>
      <c r="D5" s="103">
        <f t="shared" si="0"/>
        <v>2.1299999999999875E-2</v>
      </c>
      <c r="E5" s="2">
        <v>1.9079999999999999</v>
      </c>
      <c r="F5" s="2">
        <v>2.2709999999999999</v>
      </c>
      <c r="I5" s="2"/>
    </row>
    <row r="6" spans="1:9" ht="15">
      <c r="A6" s="2" t="s">
        <v>580</v>
      </c>
      <c r="B6" s="2">
        <v>1.0367</v>
      </c>
      <c r="C6" s="2">
        <v>1.0579000000000001</v>
      </c>
      <c r="D6" s="103">
        <f t="shared" si="0"/>
        <v>2.1200000000000108E-2</v>
      </c>
      <c r="E6" s="2">
        <v>1.9319999999999999</v>
      </c>
      <c r="F6" s="2">
        <v>2.2949999999999999</v>
      </c>
    </row>
    <row r="7" spans="1:9" ht="15">
      <c r="A7" s="102" t="s">
        <v>581</v>
      </c>
      <c r="B7" s="103">
        <v>1.0364</v>
      </c>
      <c r="C7" s="103">
        <v>1.0575000000000001</v>
      </c>
      <c r="D7" s="103">
        <f t="shared" si="0"/>
        <v>2.1100000000000119E-2</v>
      </c>
      <c r="E7" s="2">
        <v>1.927</v>
      </c>
      <c r="F7" s="2">
        <v>2.2919999999999998</v>
      </c>
    </row>
    <row r="8" spans="1:9" ht="15">
      <c r="A8" s="102" t="s">
        <v>582</v>
      </c>
      <c r="B8" s="103">
        <v>1.0377000000000001</v>
      </c>
      <c r="C8" s="103">
        <v>1.0587</v>
      </c>
      <c r="D8" s="103">
        <f t="shared" si="0"/>
        <v>2.0999999999999908E-2</v>
      </c>
      <c r="E8" s="2">
        <v>1.9159999999999999</v>
      </c>
      <c r="F8" s="2">
        <v>2.2799999999999998</v>
      </c>
    </row>
    <row r="9" spans="1:9" ht="15">
      <c r="A9" s="2" t="s">
        <v>583</v>
      </c>
      <c r="B9" s="2">
        <v>1.0374000000000001</v>
      </c>
      <c r="C9" s="2">
        <v>1.0583</v>
      </c>
      <c r="D9" s="103">
        <f t="shared" si="0"/>
        <v>2.0899999999999919E-2</v>
      </c>
      <c r="E9" s="2">
        <v>1.917</v>
      </c>
      <c r="F9" s="2">
        <v>2.2799999999999998</v>
      </c>
    </row>
    <row r="10" spans="1:9" ht="15">
      <c r="A10" s="2" t="s">
        <v>584</v>
      </c>
      <c r="B10" s="2">
        <v>1.0375000000000001</v>
      </c>
      <c r="C10" s="2">
        <v>1.0584</v>
      </c>
      <c r="D10" s="103">
        <f t="shared" si="0"/>
        <v>2.0899999999999919E-2</v>
      </c>
      <c r="E10" s="2">
        <v>1.9339999999999999</v>
      </c>
      <c r="F10" s="2">
        <v>2.2959999999999998</v>
      </c>
    </row>
    <row r="11" spans="1:9" ht="15">
      <c r="A11" s="2" t="s">
        <v>585</v>
      </c>
      <c r="B11" s="2">
        <v>1.038</v>
      </c>
      <c r="C11" s="2">
        <v>1.0588</v>
      </c>
      <c r="D11" s="103">
        <f t="shared" si="0"/>
        <v>2.079999999999993E-2</v>
      </c>
      <c r="E11" s="2">
        <v>1.9219999999999999</v>
      </c>
      <c r="F11" s="2">
        <v>2.2850000000000001</v>
      </c>
    </row>
    <row r="12" spans="1:9" ht="15">
      <c r="A12" s="102" t="s">
        <v>586</v>
      </c>
      <c r="B12" s="103">
        <v>1.0373000000000001</v>
      </c>
      <c r="C12" s="103">
        <v>1.0581</v>
      </c>
      <c r="D12" s="103">
        <f t="shared" si="0"/>
        <v>2.079999999999993E-2</v>
      </c>
      <c r="E12" s="2">
        <v>1.9219999999999999</v>
      </c>
      <c r="F12" s="2">
        <v>2.286</v>
      </c>
    </row>
    <row r="13" spans="1:9" ht="15">
      <c r="A13" s="104" t="s">
        <v>587</v>
      </c>
      <c r="B13" s="105">
        <v>1.036</v>
      </c>
      <c r="C13" s="105">
        <v>1.0568</v>
      </c>
      <c r="D13" s="103">
        <f t="shared" si="0"/>
        <v>2.079999999999993E-2</v>
      </c>
      <c r="E13" s="2">
        <v>1.907</v>
      </c>
      <c r="F13" s="2">
        <v>2.2770000000000001</v>
      </c>
    </row>
    <row r="14" spans="1:9" ht="15">
      <c r="A14" s="102" t="s">
        <v>588</v>
      </c>
      <c r="B14" s="103">
        <v>1.0368999999999999</v>
      </c>
      <c r="C14" s="103">
        <v>1.0576000000000001</v>
      </c>
      <c r="D14" s="103">
        <f t="shared" si="0"/>
        <v>2.0700000000000163E-2</v>
      </c>
      <c r="E14" s="2">
        <v>1.9179999999999999</v>
      </c>
      <c r="F14" s="2">
        <v>2.2879999999999998</v>
      </c>
    </row>
    <row r="15" spans="1:9" ht="15">
      <c r="A15" s="2" t="s">
        <v>589</v>
      </c>
      <c r="B15" s="2">
        <v>1.0368999999999999</v>
      </c>
      <c r="C15" s="2">
        <v>1.0575000000000001</v>
      </c>
      <c r="D15" s="103">
        <f t="shared" si="0"/>
        <v>2.0600000000000174E-2</v>
      </c>
      <c r="E15" s="2">
        <v>1.9259999999999999</v>
      </c>
      <c r="F15" s="2">
        <v>2.3039999999999998</v>
      </c>
    </row>
    <row r="16" spans="1:9" ht="15">
      <c r="A16" s="2" t="s">
        <v>590</v>
      </c>
      <c r="B16" s="106">
        <v>1.0370999999999999</v>
      </c>
      <c r="C16" s="106">
        <v>1.0576000000000001</v>
      </c>
      <c r="D16" s="103">
        <f t="shared" si="0"/>
        <v>2.0500000000000185E-2</v>
      </c>
      <c r="E16" s="2">
        <v>1.9430000000000001</v>
      </c>
      <c r="F16" s="2">
        <v>2.3050000000000002</v>
      </c>
    </row>
    <row r="17" spans="1:6" ht="15">
      <c r="A17" s="2" t="s">
        <v>591</v>
      </c>
      <c r="B17" s="2">
        <v>1.0373000000000001</v>
      </c>
      <c r="C17" s="2">
        <v>1.0577000000000001</v>
      </c>
      <c r="D17" s="103">
        <f t="shared" si="0"/>
        <v>2.0399999999999974E-2</v>
      </c>
      <c r="E17" s="2">
        <v>1.9410000000000001</v>
      </c>
      <c r="F17" s="2">
        <v>2.3050000000000002</v>
      </c>
    </row>
    <row r="18" spans="1:6" ht="15">
      <c r="A18" s="102" t="s">
        <v>592</v>
      </c>
      <c r="B18" s="103">
        <v>1.0367999999999999</v>
      </c>
      <c r="C18" s="103">
        <v>1.0570999999999999</v>
      </c>
      <c r="D18" s="103">
        <f t="shared" si="0"/>
        <v>2.0299999999999985E-2</v>
      </c>
      <c r="E18" s="2">
        <v>1.931</v>
      </c>
      <c r="F18" s="2">
        <v>2.3090000000000002</v>
      </c>
    </row>
    <row r="19" spans="1:6" ht="15">
      <c r="A19" s="2" t="s">
        <v>593</v>
      </c>
      <c r="B19" s="2">
        <v>1.0365</v>
      </c>
      <c r="C19" s="2">
        <v>1.0568</v>
      </c>
      <c r="D19" s="103">
        <f t="shared" si="0"/>
        <v>2.0299999999999985E-2</v>
      </c>
      <c r="E19" s="2">
        <v>1.94</v>
      </c>
      <c r="F19" s="2">
        <v>2.306</v>
      </c>
    </row>
    <row r="20" spans="1:6" ht="15">
      <c r="A20" s="102" t="s">
        <v>594</v>
      </c>
      <c r="B20" s="103">
        <v>1.0371999999999999</v>
      </c>
      <c r="C20" s="103">
        <v>1.0573999999999999</v>
      </c>
      <c r="D20" s="103">
        <f t="shared" si="0"/>
        <v>2.0199999999999996E-2</v>
      </c>
      <c r="E20" s="2">
        <v>1.9350000000000001</v>
      </c>
      <c r="F20" s="2">
        <v>2.298</v>
      </c>
    </row>
    <row r="21" spans="1:6" ht="15">
      <c r="A21" s="2" t="s">
        <v>595</v>
      </c>
      <c r="B21" s="2">
        <v>1.0370999999999999</v>
      </c>
      <c r="C21" s="2">
        <v>1.0572999999999999</v>
      </c>
      <c r="D21" s="103">
        <f t="shared" si="0"/>
        <v>2.0199999999999996E-2</v>
      </c>
      <c r="E21" s="2">
        <v>1.9530000000000001</v>
      </c>
      <c r="F21" s="2">
        <v>2.319</v>
      </c>
    </row>
    <row r="22" spans="1:6" ht="15">
      <c r="A22" s="102" t="s">
        <v>596</v>
      </c>
      <c r="B22" s="103">
        <v>1.0376000000000001</v>
      </c>
      <c r="C22" s="103">
        <v>1.0577000000000001</v>
      </c>
      <c r="D22" s="103">
        <f t="shared" si="0"/>
        <v>2.0100000000000007E-2</v>
      </c>
      <c r="E22" s="2">
        <v>1.9350000000000001</v>
      </c>
      <c r="F22" s="2">
        <v>2.2959999999999998</v>
      </c>
    </row>
    <row r="23" spans="1:6" ht="15">
      <c r="A23" s="102" t="s">
        <v>597</v>
      </c>
      <c r="B23" s="103">
        <v>1.0365</v>
      </c>
      <c r="C23" s="103">
        <v>1.0566</v>
      </c>
      <c r="D23" s="103">
        <f t="shared" si="0"/>
        <v>2.0100000000000007E-2</v>
      </c>
      <c r="E23" s="2">
        <v>1.9359999999999999</v>
      </c>
      <c r="F23" s="2">
        <v>2.3130000000000002</v>
      </c>
    </row>
    <row r="24" spans="1:6" ht="15">
      <c r="A24" s="2" t="s">
        <v>598</v>
      </c>
      <c r="B24" s="2">
        <v>1.0347</v>
      </c>
      <c r="C24" s="2">
        <v>1.0546</v>
      </c>
      <c r="D24" s="103">
        <f t="shared" si="0"/>
        <v>1.9900000000000029E-2</v>
      </c>
      <c r="E24" s="2">
        <v>1.9330000000000001</v>
      </c>
      <c r="F24" s="2">
        <v>2.31</v>
      </c>
    </row>
    <row r="25" spans="1:6" ht="15">
      <c r="A25" s="102" t="s">
        <v>599</v>
      </c>
      <c r="B25" s="103">
        <v>1.0371999999999999</v>
      </c>
      <c r="C25" s="103">
        <v>1.0559000000000001</v>
      </c>
      <c r="D25" s="103">
        <f t="shared" si="0"/>
        <v>1.8700000000000161E-2</v>
      </c>
      <c r="E25" s="2">
        <v>1.952</v>
      </c>
      <c r="F25" s="2">
        <v>2.3090000000000002</v>
      </c>
    </row>
    <row r="26" spans="1:6" ht="15">
      <c r="A26" s="102" t="s">
        <v>600</v>
      </c>
      <c r="B26" s="103">
        <v>1.0364</v>
      </c>
      <c r="C26" s="103">
        <v>1.0548999999999999</v>
      </c>
      <c r="D26" s="103">
        <f t="shared" si="0"/>
        <v>1.8499999999999961E-2</v>
      </c>
      <c r="E26" s="2">
        <v>1.952</v>
      </c>
      <c r="F26" s="2">
        <v>2.4039999999999999</v>
      </c>
    </row>
    <row r="27" spans="1:6" ht="15">
      <c r="A27" s="102" t="s">
        <v>601</v>
      </c>
      <c r="B27" s="103">
        <v>1.0361</v>
      </c>
      <c r="C27" s="103">
        <v>1.0543</v>
      </c>
      <c r="D27" s="103">
        <f t="shared" si="0"/>
        <v>1.8199999999999994E-2</v>
      </c>
      <c r="E27" s="2">
        <v>1.9570000000000001</v>
      </c>
      <c r="F27" s="2">
        <v>2.4079999999999999</v>
      </c>
    </row>
    <row r="28" spans="1:6" ht="15">
      <c r="A28" s="2" t="s">
        <v>604</v>
      </c>
      <c r="B28" s="2">
        <v>1.0364</v>
      </c>
      <c r="C28" s="2">
        <v>1.0544</v>
      </c>
      <c r="D28" s="103">
        <f t="shared" si="0"/>
        <v>1.8000000000000016E-2</v>
      </c>
      <c r="E28" s="2">
        <v>1.9510000000000001</v>
      </c>
      <c r="F28" s="2">
        <v>2.4</v>
      </c>
    </row>
    <row r="29" spans="1:6" ht="15">
      <c r="A29" s="102" t="s">
        <v>605</v>
      </c>
      <c r="B29" s="103">
        <v>1.0365</v>
      </c>
      <c r="C29" s="103">
        <v>1.0543</v>
      </c>
      <c r="D29" s="103">
        <f t="shared" si="0"/>
        <v>1.7800000000000038E-2</v>
      </c>
      <c r="E29" s="2">
        <v>1.9710000000000001</v>
      </c>
      <c r="F29" s="2">
        <v>2.4220000000000002</v>
      </c>
    </row>
    <row r="30" spans="1:6" ht="15">
      <c r="A30" s="102" t="s">
        <v>606</v>
      </c>
      <c r="B30" s="103">
        <v>1.0373000000000001</v>
      </c>
      <c r="C30" s="103">
        <v>1.0550999999999999</v>
      </c>
      <c r="D30" s="103">
        <f t="shared" si="0"/>
        <v>1.7799999999999816E-2</v>
      </c>
      <c r="E30" s="2">
        <v>1.956</v>
      </c>
      <c r="F30" s="2">
        <v>2.403</v>
      </c>
    </row>
    <row r="31" spans="1:6" ht="15">
      <c r="A31" s="102" t="s">
        <v>609</v>
      </c>
      <c r="B31" s="103">
        <v>1.0365</v>
      </c>
      <c r="C31" s="103">
        <v>1.0541</v>
      </c>
      <c r="D31" s="103">
        <f t="shared" si="0"/>
        <v>1.760000000000006E-2</v>
      </c>
      <c r="E31" s="2">
        <v>1.962</v>
      </c>
      <c r="F31" s="2">
        <v>2.4119999999999999</v>
      </c>
    </row>
    <row r="32" spans="1:6" ht="15">
      <c r="A32" s="102" t="s">
        <v>610</v>
      </c>
      <c r="B32" s="103">
        <v>1.0369999999999999</v>
      </c>
      <c r="C32" s="103">
        <v>1.0546</v>
      </c>
      <c r="D32" s="103">
        <f t="shared" si="0"/>
        <v>1.760000000000006E-2</v>
      </c>
      <c r="E32" s="2">
        <v>1.9610000000000001</v>
      </c>
      <c r="F32" s="2">
        <v>2.411</v>
      </c>
    </row>
    <row r="33" spans="1:6" ht="15">
      <c r="A33" s="2" t="s">
        <v>611</v>
      </c>
      <c r="B33" s="2">
        <v>1.0361</v>
      </c>
      <c r="C33" s="2">
        <v>1.0537000000000001</v>
      </c>
      <c r="D33" s="103">
        <f t="shared" si="0"/>
        <v>1.760000000000006E-2</v>
      </c>
      <c r="E33" s="2">
        <v>1.964</v>
      </c>
      <c r="F33" s="2">
        <v>2.4129999999999998</v>
      </c>
    </row>
    <row r="34" spans="1:6" ht="15">
      <c r="A34" s="102" t="s">
        <v>613</v>
      </c>
      <c r="B34" s="103">
        <v>1.0367999999999999</v>
      </c>
      <c r="C34" s="103">
        <v>1.0543</v>
      </c>
      <c r="D34" s="103">
        <f t="shared" si="0"/>
        <v>1.7500000000000071E-2</v>
      </c>
      <c r="E34" s="2">
        <v>1.9710000000000001</v>
      </c>
      <c r="F34" s="2">
        <v>2.423</v>
      </c>
    </row>
    <row r="35" spans="1:6" ht="15">
      <c r="A35" s="102" t="s">
        <v>614</v>
      </c>
      <c r="B35" s="103">
        <v>1.0338000000000001</v>
      </c>
      <c r="C35" s="103">
        <v>1.0512999999999999</v>
      </c>
      <c r="D35" s="103">
        <f t="shared" si="0"/>
        <v>1.7499999999999849E-2</v>
      </c>
      <c r="E35" s="2">
        <v>1.95</v>
      </c>
      <c r="F35" s="2">
        <v>2.4079999999999999</v>
      </c>
    </row>
    <row r="36" spans="1:6" ht="15">
      <c r="A36" s="102" t="s">
        <v>615</v>
      </c>
      <c r="B36" s="103">
        <v>1.0365</v>
      </c>
      <c r="C36" s="103">
        <v>1.0539000000000001</v>
      </c>
      <c r="D36" s="103">
        <f t="shared" si="0"/>
        <v>1.7400000000000082E-2</v>
      </c>
      <c r="E36" s="2">
        <v>1.9650000000000001</v>
      </c>
      <c r="F36" s="2">
        <v>2.419</v>
      </c>
    </row>
    <row r="37" spans="1:6" ht="15">
      <c r="A37" s="102" t="s">
        <v>617</v>
      </c>
      <c r="B37" s="103">
        <v>1.0373000000000001</v>
      </c>
      <c r="C37" s="103">
        <v>1.0547</v>
      </c>
      <c r="D37" s="103">
        <f t="shared" si="0"/>
        <v>1.739999999999986E-2</v>
      </c>
      <c r="E37" s="2">
        <v>1.974</v>
      </c>
      <c r="F37" s="2">
        <v>2.4239999999999999</v>
      </c>
    </row>
    <row r="38" spans="1:6" ht="15">
      <c r="A38" s="102" t="s">
        <v>618</v>
      </c>
      <c r="B38" s="103">
        <v>1.0364</v>
      </c>
      <c r="C38" s="103">
        <v>1.0537000000000001</v>
      </c>
      <c r="D38" s="103">
        <f t="shared" si="0"/>
        <v>1.7300000000000093E-2</v>
      </c>
      <c r="E38" s="2">
        <v>1.9650000000000001</v>
      </c>
      <c r="F38" s="2">
        <v>2.4169999999999998</v>
      </c>
    </row>
    <row r="39" spans="1:6" ht="15">
      <c r="A39" s="2" t="s">
        <v>620</v>
      </c>
      <c r="B39" s="2">
        <v>1.0365</v>
      </c>
      <c r="C39" s="2">
        <v>1.0538000000000001</v>
      </c>
      <c r="D39" s="103">
        <f t="shared" si="0"/>
        <v>1.7300000000000093E-2</v>
      </c>
      <c r="E39" s="2">
        <v>1.9770000000000001</v>
      </c>
      <c r="F39" s="2">
        <v>2.431</v>
      </c>
    </row>
    <row r="40" spans="1:6" ht="15">
      <c r="A40" s="102" t="s">
        <v>621</v>
      </c>
      <c r="B40" s="103">
        <v>1.0373000000000001</v>
      </c>
      <c r="C40" s="103">
        <v>1.0546</v>
      </c>
      <c r="D40" s="103">
        <f t="shared" si="0"/>
        <v>1.7299999999999871E-2</v>
      </c>
      <c r="E40" s="2">
        <v>1.964</v>
      </c>
      <c r="F40" s="2">
        <v>2.4209999999999998</v>
      </c>
    </row>
    <row r="41" spans="1:6" ht="15">
      <c r="A41" s="2" t="s">
        <v>622</v>
      </c>
      <c r="B41" s="2">
        <v>1.0366</v>
      </c>
      <c r="C41" s="2">
        <v>1.0537000000000001</v>
      </c>
      <c r="D41" s="103">
        <f t="shared" si="0"/>
        <v>1.7100000000000115E-2</v>
      </c>
      <c r="E41" s="2">
        <v>1.9830000000000001</v>
      </c>
      <c r="F41" s="2">
        <v>2.4319999999999999</v>
      </c>
    </row>
    <row r="42" spans="1:6" ht="15">
      <c r="A42" s="2" t="s">
        <v>623</v>
      </c>
      <c r="B42" s="2">
        <v>1.0370999999999999</v>
      </c>
      <c r="C42" s="2">
        <v>1.0542</v>
      </c>
      <c r="D42" s="103">
        <f t="shared" si="0"/>
        <v>1.7100000000000115E-2</v>
      </c>
      <c r="E42" s="2">
        <v>1.984</v>
      </c>
      <c r="F42" s="2">
        <v>2.4369999999999998</v>
      </c>
    </row>
    <row r="43" spans="1:6" ht="15">
      <c r="A43" s="2" t="s">
        <v>624</v>
      </c>
      <c r="B43" s="2">
        <v>1.0358000000000001</v>
      </c>
      <c r="C43" s="2">
        <v>1.0528999999999999</v>
      </c>
      <c r="D43" s="103">
        <f t="shared" si="0"/>
        <v>1.7099999999999893E-2</v>
      </c>
      <c r="E43" s="2">
        <v>1.9890000000000001</v>
      </c>
      <c r="F43" s="2">
        <v>2.4390000000000001</v>
      </c>
    </row>
    <row r="44" spans="1:6" ht="15">
      <c r="A44" s="102" t="s">
        <v>625</v>
      </c>
      <c r="B44" s="103">
        <v>1.0357000000000001</v>
      </c>
      <c r="C44" s="103">
        <v>1.0527</v>
      </c>
      <c r="D44" s="103">
        <f t="shared" si="0"/>
        <v>1.6999999999999904E-2</v>
      </c>
      <c r="E44" s="2">
        <v>1.98</v>
      </c>
      <c r="F44" s="2">
        <v>2.4300000000000002</v>
      </c>
    </row>
    <row r="45" spans="1:6" ht="15">
      <c r="A45" s="102" t="s">
        <v>627</v>
      </c>
      <c r="B45" s="103">
        <v>1.0362</v>
      </c>
      <c r="C45" s="103">
        <v>1.0531999999999999</v>
      </c>
      <c r="D45" s="103">
        <f t="shared" si="0"/>
        <v>1.6999999999999904E-2</v>
      </c>
      <c r="E45" s="2">
        <v>1.9730000000000001</v>
      </c>
      <c r="F45" s="2">
        <v>2.4209999999999998</v>
      </c>
    </row>
    <row r="46" spans="1:6" ht="15">
      <c r="A46" s="102" t="s">
        <v>628</v>
      </c>
      <c r="B46" s="103">
        <v>1.0362</v>
      </c>
      <c r="C46" s="103">
        <v>1.0530999999999999</v>
      </c>
      <c r="D46" s="103">
        <f t="shared" si="0"/>
        <v>1.6899999999999915E-2</v>
      </c>
      <c r="E46" s="2">
        <v>1.9830000000000001</v>
      </c>
      <c r="F46" s="2">
        <v>2.4319999999999999</v>
      </c>
    </row>
    <row r="47" spans="1:6" ht="15">
      <c r="A47" s="102" t="s">
        <v>629</v>
      </c>
      <c r="B47" s="103">
        <v>1.0356000000000001</v>
      </c>
      <c r="C47" s="103">
        <v>1.0525</v>
      </c>
      <c r="D47" s="103">
        <f t="shared" si="0"/>
        <v>1.6899999999999915E-2</v>
      </c>
      <c r="E47" s="2">
        <v>1.9770000000000001</v>
      </c>
      <c r="F47" s="2">
        <v>2.4430000000000001</v>
      </c>
    </row>
    <row r="48" spans="1:6" ht="15">
      <c r="A48" s="102" t="s">
        <v>630</v>
      </c>
      <c r="B48" s="103">
        <v>1.0355000000000001</v>
      </c>
      <c r="C48" s="103">
        <v>1.0523</v>
      </c>
      <c r="D48" s="103">
        <f t="shared" si="0"/>
        <v>1.6799999999999926E-2</v>
      </c>
      <c r="E48" s="2">
        <v>1.9910000000000001</v>
      </c>
      <c r="F48" s="2">
        <v>2.4420000000000002</v>
      </c>
    </row>
    <row r="49" spans="1:15" ht="15">
      <c r="A49" s="2" t="s">
        <v>631</v>
      </c>
      <c r="B49" s="2">
        <v>1.0358000000000001</v>
      </c>
      <c r="C49" s="2">
        <v>1.0526</v>
      </c>
      <c r="D49" s="103">
        <f t="shared" si="0"/>
        <v>1.6799999999999926E-2</v>
      </c>
      <c r="E49" s="2">
        <v>1.9890000000000001</v>
      </c>
      <c r="F49" s="2">
        <v>2.4409999999999998</v>
      </c>
    </row>
    <row r="50" spans="1:15" ht="15">
      <c r="A50" s="2" t="s">
        <v>634</v>
      </c>
      <c r="B50" s="2">
        <v>1.0367999999999999</v>
      </c>
      <c r="C50" s="2">
        <v>1.0533999999999999</v>
      </c>
      <c r="D50" s="103">
        <f t="shared" si="0"/>
        <v>1.6599999999999948E-2</v>
      </c>
      <c r="E50" s="2">
        <v>1.988</v>
      </c>
      <c r="F50" s="2">
        <v>2.444</v>
      </c>
    </row>
    <row r="51" spans="1:15" ht="15">
      <c r="A51" s="102" t="s">
        <v>635</v>
      </c>
      <c r="B51" s="103">
        <v>1.0359</v>
      </c>
      <c r="C51" s="103">
        <v>1.0523</v>
      </c>
      <c r="D51" s="103">
        <f t="shared" si="0"/>
        <v>1.639999999999997E-2</v>
      </c>
      <c r="E51" s="2">
        <v>1.988</v>
      </c>
      <c r="F51" s="2">
        <v>2.4359999999999999</v>
      </c>
    </row>
    <row r="52" spans="1:15" ht="15">
      <c r="A52" s="2" t="s">
        <v>636</v>
      </c>
      <c r="B52" s="2">
        <v>1.0367999999999999</v>
      </c>
      <c r="C52" s="2">
        <v>1.0530999999999999</v>
      </c>
      <c r="D52" s="103">
        <f t="shared" si="0"/>
        <v>1.6299999999999981E-2</v>
      </c>
      <c r="E52" s="2">
        <v>2.0049999999999999</v>
      </c>
      <c r="F52" s="2">
        <v>2.4620000000000002</v>
      </c>
    </row>
    <row r="53" spans="1:15" ht="15">
      <c r="A53" s="102" t="s">
        <v>638</v>
      </c>
      <c r="B53" s="103">
        <v>1.0333000000000001</v>
      </c>
      <c r="C53" s="103">
        <v>1.0495000000000001</v>
      </c>
      <c r="D53" s="103">
        <f t="shared" si="0"/>
        <v>1.6199999999999992E-2</v>
      </c>
      <c r="E53" s="2">
        <v>1.976</v>
      </c>
      <c r="F53" s="2">
        <v>2.4449999999999998</v>
      </c>
    </row>
    <row r="54" spans="1:15" ht="15">
      <c r="A54" s="102" t="s">
        <v>639</v>
      </c>
      <c r="B54" s="103">
        <v>1.0358000000000001</v>
      </c>
      <c r="C54" s="103">
        <v>1.0517000000000001</v>
      </c>
      <c r="D54" s="103">
        <f t="shared" si="0"/>
        <v>1.5900000000000025E-2</v>
      </c>
      <c r="E54" s="2">
        <v>1.9850000000000001</v>
      </c>
      <c r="F54" s="2">
        <v>2.4380000000000002</v>
      </c>
    </row>
    <row r="55" spans="1:15" ht="15">
      <c r="A55" s="102" t="s">
        <v>640</v>
      </c>
      <c r="B55" s="103">
        <v>1.0390999999999999</v>
      </c>
      <c r="C55" s="103">
        <v>1.0544</v>
      </c>
      <c r="D55" s="103">
        <f t="shared" si="0"/>
        <v>1.5300000000000091E-2</v>
      </c>
      <c r="E55" s="2">
        <v>1.9950000000000001</v>
      </c>
      <c r="F55" s="2">
        <v>2.3889999999999998</v>
      </c>
    </row>
    <row r="56" spans="1:15" ht="13">
      <c r="E56" s="2"/>
    </row>
    <row r="57" spans="1:15" ht="13">
      <c r="E57" s="2"/>
    </row>
    <row r="58" spans="1:15" ht="13">
      <c r="E58" s="2"/>
    </row>
    <row r="59" spans="1:15" ht="13">
      <c r="A59" s="2" t="s">
        <v>567</v>
      </c>
      <c r="D59" s="2" t="s">
        <v>641</v>
      </c>
      <c r="E59" s="2"/>
      <c r="G59" s="2" t="s">
        <v>567</v>
      </c>
      <c r="J59" s="2" t="s">
        <v>642</v>
      </c>
      <c r="L59" s="2" t="s">
        <v>567</v>
      </c>
      <c r="O59" s="2" t="s">
        <v>643</v>
      </c>
    </row>
    <row r="60" spans="1:15" ht="13">
      <c r="E60" s="2"/>
    </row>
    <row r="61" spans="1:15" ht="15">
      <c r="A61" s="102" t="s">
        <v>569</v>
      </c>
      <c r="B61" s="102" t="s">
        <v>570</v>
      </c>
      <c r="C61" s="102" t="s">
        <v>571</v>
      </c>
      <c r="D61" s="102" t="s">
        <v>573</v>
      </c>
      <c r="E61" s="2"/>
      <c r="G61" s="102" t="s">
        <v>569</v>
      </c>
      <c r="H61" s="102" t="s">
        <v>570</v>
      </c>
      <c r="I61" s="102" t="s">
        <v>571</v>
      </c>
      <c r="J61" s="102" t="s">
        <v>573</v>
      </c>
      <c r="L61" s="102" t="s">
        <v>569</v>
      </c>
      <c r="M61" s="102" t="s">
        <v>570</v>
      </c>
      <c r="N61" s="102" t="s">
        <v>571</v>
      </c>
      <c r="O61" s="102" t="s">
        <v>573</v>
      </c>
    </row>
    <row r="62" spans="1:15" ht="15">
      <c r="A62" s="102" t="s">
        <v>576</v>
      </c>
      <c r="B62" s="103">
        <v>1.0418000000000001</v>
      </c>
      <c r="C62" s="103">
        <v>1.1085</v>
      </c>
      <c r="D62" s="103">
        <f t="shared" ref="D62:D113" si="1">C62-B62</f>
        <v>6.6699999999999982E-2</v>
      </c>
      <c r="E62" s="2"/>
      <c r="G62" s="102" t="s">
        <v>576</v>
      </c>
      <c r="H62" s="103">
        <v>1.0379</v>
      </c>
      <c r="I62" s="103">
        <v>1.0646</v>
      </c>
      <c r="J62" s="103">
        <f t="shared" ref="J62:J113" si="2">I62-H62</f>
        <v>2.6699999999999946E-2</v>
      </c>
      <c r="L62" s="102" t="s">
        <v>576</v>
      </c>
      <c r="M62" s="103">
        <v>1.0331999999999999</v>
      </c>
      <c r="N62" s="103">
        <v>1.0410999999999999</v>
      </c>
      <c r="O62" s="103">
        <f t="shared" ref="O62:O113" si="3">N62-M62</f>
        <v>7.9000000000000181E-3</v>
      </c>
    </row>
    <row r="63" spans="1:15" ht="15">
      <c r="A63" s="102" t="s">
        <v>579</v>
      </c>
      <c r="B63" s="103">
        <v>1.0427</v>
      </c>
      <c r="C63" s="103">
        <v>1.1077999999999999</v>
      </c>
      <c r="D63" s="103">
        <f t="shared" si="1"/>
        <v>6.5099999999999936E-2</v>
      </c>
      <c r="G63" s="102" t="s">
        <v>579</v>
      </c>
      <c r="H63" s="2">
        <v>1.0385</v>
      </c>
      <c r="I63" s="2">
        <v>1.0647</v>
      </c>
      <c r="J63" s="103">
        <f t="shared" si="2"/>
        <v>2.6200000000000001E-2</v>
      </c>
      <c r="L63" s="102" t="s">
        <v>580</v>
      </c>
      <c r="M63" s="2">
        <v>1.0327999999999999</v>
      </c>
      <c r="N63" s="2">
        <v>1.0405</v>
      </c>
      <c r="O63" s="103">
        <f t="shared" si="3"/>
        <v>7.7000000000000401E-3</v>
      </c>
    </row>
    <row r="64" spans="1:15" ht="15">
      <c r="A64" s="102" t="s">
        <v>580</v>
      </c>
      <c r="B64" s="103">
        <v>1.0419</v>
      </c>
      <c r="C64" s="103">
        <v>1.1067</v>
      </c>
      <c r="D64" s="103">
        <f t="shared" si="1"/>
        <v>6.4799999999999969E-2</v>
      </c>
      <c r="G64" s="102" t="s">
        <v>580</v>
      </c>
      <c r="H64" s="2">
        <v>1.0377000000000001</v>
      </c>
      <c r="I64" s="2">
        <v>1.0638000000000001</v>
      </c>
      <c r="J64" s="103">
        <f t="shared" si="2"/>
        <v>2.6100000000000012E-2</v>
      </c>
      <c r="L64" s="102" t="s">
        <v>579</v>
      </c>
      <c r="M64" s="2">
        <v>1.0335000000000001</v>
      </c>
      <c r="N64" s="2">
        <v>1.0411999999999999</v>
      </c>
      <c r="O64" s="103">
        <f t="shared" si="3"/>
        <v>7.6999999999998181E-3</v>
      </c>
    </row>
    <row r="65" spans="1:15" ht="15">
      <c r="A65" s="102" t="s">
        <v>581</v>
      </c>
      <c r="B65" s="103">
        <v>1.0414000000000001</v>
      </c>
      <c r="C65" s="103">
        <v>1.1056999999999999</v>
      </c>
      <c r="D65" s="103">
        <f t="shared" si="1"/>
        <v>6.4299999999999802E-2</v>
      </c>
      <c r="G65" s="102" t="s">
        <v>582</v>
      </c>
      <c r="H65" s="103">
        <v>1.0387</v>
      </c>
      <c r="I65" s="103">
        <v>1.0646</v>
      </c>
      <c r="J65" s="103">
        <f t="shared" si="2"/>
        <v>2.5900000000000034E-2</v>
      </c>
      <c r="L65" s="102" t="s">
        <v>581</v>
      </c>
      <c r="M65" s="103">
        <v>1.0327</v>
      </c>
      <c r="N65" s="103">
        <v>1.0403</v>
      </c>
      <c r="O65" s="103">
        <f t="shared" si="3"/>
        <v>7.6000000000000512E-3</v>
      </c>
    </row>
    <row r="66" spans="1:15" ht="15">
      <c r="A66" s="102" t="s">
        <v>582</v>
      </c>
      <c r="B66" s="103">
        <v>1.0432999999999999</v>
      </c>
      <c r="C66" s="103">
        <v>1.1073999999999999</v>
      </c>
      <c r="D66" s="103">
        <f t="shared" si="1"/>
        <v>6.4100000000000046E-2</v>
      </c>
      <c r="G66" s="102" t="s">
        <v>581</v>
      </c>
      <c r="H66" s="103">
        <v>1.0374000000000001</v>
      </c>
      <c r="I66" s="103">
        <v>1.0632999999999999</v>
      </c>
      <c r="J66" s="103">
        <f t="shared" si="2"/>
        <v>2.5899999999999812E-2</v>
      </c>
      <c r="L66" s="102" t="s">
        <v>585</v>
      </c>
      <c r="M66" s="103">
        <v>1.0334000000000001</v>
      </c>
      <c r="N66" s="103">
        <v>1.0409999999999999</v>
      </c>
      <c r="O66" s="103">
        <f t="shared" si="3"/>
        <v>7.5999999999998291E-3</v>
      </c>
    </row>
    <row r="67" spans="1:15" ht="15">
      <c r="A67" s="2" t="s">
        <v>583</v>
      </c>
      <c r="B67" s="2">
        <v>1.0425</v>
      </c>
      <c r="C67" s="2">
        <v>1.1060000000000001</v>
      </c>
      <c r="D67" s="103">
        <f t="shared" si="1"/>
        <v>6.3500000000000112E-2</v>
      </c>
      <c r="G67" s="2" t="s">
        <v>583</v>
      </c>
      <c r="H67" s="2">
        <v>1.0384</v>
      </c>
      <c r="I67" s="2">
        <v>1.0642</v>
      </c>
      <c r="J67" s="103">
        <f t="shared" si="2"/>
        <v>2.5800000000000045E-2</v>
      </c>
      <c r="L67" s="102" t="s">
        <v>582</v>
      </c>
      <c r="M67" s="106">
        <v>1.0334000000000001</v>
      </c>
      <c r="N67" s="106">
        <v>1.0409999999999999</v>
      </c>
      <c r="O67" s="103">
        <f t="shared" si="3"/>
        <v>7.5999999999998291E-3</v>
      </c>
    </row>
    <row r="68" spans="1:15" ht="15">
      <c r="A68" s="2" t="s">
        <v>584</v>
      </c>
      <c r="B68" s="2">
        <v>1.0430999999999999</v>
      </c>
      <c r="C68" s="2">
        <v>1.1066</v>
      </c>
      <c r="D68" s="103">
        <f t="shared" si="1"/>
        <v>6.3500000000000112E-2</v>
      </c>
      <c r="G68" s="2" t="s">
        <v>584</v>
      </c>
      <c r="H68" s="2">
        <v>1.0386</v>
      </c>
      <c r="I68" s="2">
        <v>1.0643</v>
      </c>
      <c r="J68" s="103">
        <f t="shared" si="2"/>
        <v>2.5700000000000056E-2</v>
      </c>
      <c r="L68" s="102" t="s">
        <v>586</v>
      </c>
      <c r="M68" s="103">
        <v>1.0329999999999999</v>
      </c>
      <c r="N68" s="103">
        <v>1.0405</v>
      </c>
      <c r="O68" s="103">
        <f t="shared" si="3"/>
        <v>7.5000000000000622E-3</v>
      </c>
    </row>
    <row r="69" spans="1:15" ht="15">
      <c r="A69" s="102" t="s">
        <v>585</v>
      </c>
      <c r="B69" s="103">
        <v>1.0441</v>
      </c>
      <c r="C69" s="103">
        <v>1.1073999999999999</v>
      </c>
      <c r="D69" s="103">
        <f t="shared" si="1"/>
        <v>6.3299999999999912E-2</v>
      </c>
      <c r="G69" s="102" t="s">
        <v>585</v>
      </c>
      <c r="H69" s="103">
        <v>1.0390999999999999</v>
      </c>
      <c r="I69" s="103">
        <v>1.0647</v>
      </c>
      <c r="J69" s="103">
        <f t="shared" si="2"/>
        <v>2.5600000000000067E-2</v>
      </c>
      <c r="L69" s="102" t="s">
        <v>588</v>
      </c>
      <c r="M69" s="103">
        <v>1.0329999999999999</v>
      </c>
      <c r="N69" s="103">
        <v>1.0405</v>
      </c>
      <c r="O69" s="103">
        <f t="shared" si="3"/>
        <v>7.5000000000000622E-3</v>
      </c>
    </row>
    <row r="70" spans="1:15" ht="15">
      <c r="A70" s="102" t="s">
        <v>586</v>
      </c>
      <c r="B70" s="103">
        <v>1.0426</v>
      </c>
      <c r="C70" s="103">
        <v>1.1057999999999999</v>
      </c>
      <c r="D70" s="103">
        <f t="shared" si="1"/>
        <v>6.3199999999999923E-2</v>
      </c>
      <c r="G70" s="102" t="s">
        <v>588</v>
      </c>
      <c r="H70" s="103">
        <v>1.0378000000000001</v>
      </c>
      <c r="I70" s="103">
        <v>1.0633999999999999</v>
      </c>
      <c r="J70" s="103">
        <f t="shared" si="2"/>
        <v>2.5599999999999845E-2</v>
      </c>
      <c r="L70" s="102" t="s">
        <v>587</v>
      </c>
      <c r="M70" s="103">
        <v>1.0327999999999999</v>
      </c>
      <c r="N70" s="103">
        <v>1.0403</v>
      </c>
      <c r="O70" s="103">
        <f t="shared" si="3"/>
        <v>7.5000000000000622E-3</v>
      </c>
    </row>
    <row r="71" spans="1:15" ht="15">
      <c r="A71" s="102" t="s">
        <v>588</v>
      </c>
      <c r="B71" s="103">
        <v>1.0416000000000001</v>
      </c>
      <c r="C71" s="103">
        <v>1.1046</v>
      </c>
      <c r="D71" s="103">
        <f t="shared" si="1"/>
        <v>6.2999999999999945E-2</v>
      </c>
      <c r="G71" s="102" t="s">
        <v>586</v>
      </c>
      <c r="H71" s="103">
        <v>1.0384</v>
      </c>
      <c r="I71" s="103">
        <v>1.0639000000000001</v>
      </c>
      <c r="J71" s="103">
        <f t="shared" si="2"/>
        <v>2.5500000000000078E-2</v>
      </c>
      <c r="L71" s="2" t="s">
        <v>584</v>
      </c>
      <c r="M71" s="2">
        <v>1.0330999999999999</v>
      </c>
      <c r="N71" s="2">
        <v>1.0406</v>
      </c>
      <c r="O71" s="103">
        <f t="shared" si="3"/>
        <v>7.5000000000000622E-3</v>
      </c>
    </row>
    <row r="72" spans="1:15" ht="15">
      <c r="A72" s="102" t="s">
        <v>587</v>
      </c>
      <c r="B72" s="103">
        <v>1.0392999999999999</v>
      </c>
      <c r="C72" s="103">
        <v>1.1021000000000001</v>
      </c>
      <c r="D72" s="103">
        <f t="shared" si="1"/>
        <v>6.2800000000000189E-2</v>
      </c>
      <c r="G72" s="102" t="s">
        <v>587</v>
      </c>
      <c r="H72" s="103">
        <v>1.0367999999999999</v>
      </c>
      <c r="I72" s="103">
        <v>1.0623</v>
      </c>
      <c r="J72" s="103">
        <f t="shared" si="2"/>
        <v>2.5500000000000078E-2</v>
      </c>
      <c r="L72" s="102" t="s">
        <v>589</v>
      </c>
      <c r="M72" s="2">
        <v>1.0327999999999999</v>
      </c>
      <c r="N72" s="2">
        <v>1.0403</v>
      </c>
      <c r="O72" s="103">
        <f t="shared" si="3"/>
        <v>7.5000000000000622E-3</v>
      </c>
    </row>
    <row r="73" spans="1:15" ht="15">
      <c r="A73" s="102" t="s">
        <v>589</v>
      </c>
      <c r="B73" s="103">
        <v>1.0419</v>
      </c>
      <c r="C73" s="103">
        <v>1.1044</v>
      </c>
      <c r="D73" s="103">
        <f t="shared" si="1"/>
        <v>6.25E-2</v>
      </c>
      <c r="G73" s="2" t="s">
        <v>590</v>
      </c>
      <c r="H73" s="103">
        <v>1.0381</v>
      </c>
      <c r="I73" s="103">
        <v>1.0633999999999999</v>
      </c>
      <c r="J73" s="103">
        <f t="shared" si="2"/>
        <v>2.5299999999999878E-2</v>
      </c>
      <c r="L73" s="2" t="s">
        <v>583</v>
      </c>
      <c r="M73" s="2">
        <v>1.0333000000000001</v>
      </c>
      <c r="N73" s="2">
        <v>1.0407999999999999</v>
      </c>
      <c r="O73" s="103">
        <f t="shared" si="3"/>
        <v>7.4999999999998401E-3</v>
      </c>
    </row>
    <row r="74" spans="1:15" ht="15">
      <c r="A74" s="2" t="s">
        <v>590</v>
      </c>
      <c r="B74" s="2">
        <v>1.0427999999999999</v>
      </c>
      <c r="C74" s="2">
        <v>1.1051</v>
      </c>
      <c r="D74" s="103">
        <f t="shared" si="1"/>
        <v>6.2300000000000022E-2</v>
      </c>
      <c r="G74" s="102" t="s">
        <v>589</v>
      </c>
      <c r="H74" s="2">
        <v>1.0379</v>
      </c>
      <c r="I74" s="2">
        <v>1.0631999999999999</v>
      </c>
      <c r="J74" s="103">
        <f t="shared" si="2"/>
        <v>2.5299999999999878E-2</v>
      </c>
      <c r="L74" s="2" t="s">
        <v>590</v>
      </c>
      <c r="M74" s="103">
        <v>1.0327999999999999</v>
      </c>
      <c r="N74" s="103">
        <v>1.0402</v>
      </c>
      <c r="O74" s="103">
        <f t="shared" si="3"/>
        <v>7.4000000000000732E-3</v>
      </c>
    </row>
    <row r="75" spans="1:15" ht="15">
      <c r="A75" s="102" t="s">
        <v>591</v>
      </c>
      <c r="B75" s="103">
        <v>1.0431999999999999</v>
      </c>
      <c r="C75" s="103">
        <v>1.1052</v>
      </c>
      <c r="D75" s="103">
        <f t="shared" si="1"/>
        <v>6.2000000000000055E-2</v>
      </c>
      <c r="G75" s="102" t="s">
        <v>591</v>
      </c>
      <c r="H75" s="2">
        <v>1.0384</v>
      </c>
      <c r="I75" s="2">
        <v>1.0634999999999999</v>
      </c>
      <c r="J75" s="103">
        <f t="shared" si="2"/>
        <v>2.50999999999999E-2</v>
      </c>
      <c r="L75" s="102" t="s">
        <v>591</v>
      </c>
      <c r="M75" s="2">
        <v>1.0329999999999999</v>
      </c>
      <c r="N75" s="2">
        <v>1.0404</v>
      </c>
      <c r="O75" s="103">
        <f t="shared" si="3"/>
        <v>7.4000000000000732E-3</v>
      </c>
    </row>
    <row r="76" spans="1:15" ht="15">
      <c r="A76" s="102" t="s">
        <v>592</v>
      </c>
      <c r="B76" s="103">
        <v>1.0422</v>
      </c>
      <c r="C76" s="103">
        <v>1.1037999999999999</v>
      </c>
      <c r="D76" s="103">
        <f t="shared" si="1"/>
        <v>6.1599999999999877E-2</v>
      </c>
      <c r="G76" s="102" t="s">
        <v>592</v>
      </c>
      <c r="H76" s="103">
        <v>1.0378000000000001</v>
      </c>
      <c r="I76" s="103">
        <v>1.0628</v>
      </c>
      <c r="J76" s="103">
        <f t="shared" si="2"/>
        <v>2.4999999999999911E-2</v>
      </c>
      <c r="L76" s="102" t="s">
        <v>596</v>
      </c>
      <c r="M76" s="103">
        <v>1.0329999999999999</v>
      </c>
      <c r="N76" s="103">
        <v>1.0403</v>
      </c>
      <c r="O76" s="103">
        <f t="shared" si="3"/>
        <v>7.3000000000000842E-3</v>
      </c>
    </row>
    <row r="77" spans="1:15" ht="15">
      <c r="A77" s="2" t="s">
        <v>595</v>
      </c>
      <c r="B77" s="2">
        <v>1.0431999999999999</v>
      </c>
      <c r="C77" s="2">
        <v>1.1046</v>
      </c>
      <c r="D77" s="103">
        <f t="shared" si="1"/>
        <v>6.1400000000000121E-2</v>
      </c>
      <c r="G77" s="102" t="s">
        <v>594</v>
      </c>
      <c r="H77" s="103">
        <v>1.0383</v>
      </c>
      <c r="I77" s="103">
        <v>1.0631999999999999</v>
      </c>
      <c r="J77" s="103">
        <f t="shared" si="2"/>
        <v>2.4899999999999922E-2</v>
      </c>
      <c r="L77" s="102" t="s">
        <v>597</v>
      </c>
      <c r="M77" s="103">
        <v>1.0324</v>
      </c>
      <c r="N77" s="103">
        <v>1.0397000000000001</v>
      </c>
      <c r="O77" s="103">
        <f t="shared" si="3"/>
        <v>7.3000000000000842E-3</v>
      </c>
    </row>
    <row r="78" spans="1:15" ht="15">
      <c r="A78" s="102" t="s">
        <v>594</v>
      </c>
      <c r="B78" s="103">
        <v>1.0427</v>
      </c>
      <c r="C78" s="103">
        <v>1.1040000000000001</v>
      </c>
      <c r="D78" s="103">
        <f t="shared" si="1"/>
        <v>6.1300000000000132E-2</v>
      </c>
      <c r="G78" s="2" t="s">
        <v>595</v>
      </c>
      <c r="H78" s="2">
        <v>1.0382</v>
      </c>
      <c r="I78" s="2">
        <v>1.0630999999999999</v>
      </c>
      <c r="J78" s="103">
        <f t="shared" si="2"/>
        <v>2.4899999999999922E-2</v>
      </c>
      <c r="L78" s="102" t="s">
        <v>594</v>
      </c>
      <c r="M78" s="103">
        <v>1.0327999999999999</v>
      </c>
      <c r="N78" s="103">
        <v>1.0401</v>
      </c>
      <c r="O78" s="103">
        <f t="shared" si="3"/>
        <v>7.3000000000000842E-3</v>
      </c>
    </row>
    <row r="79" spans="1:15" ht="15">
      <c r="A79" s="102" t="s">
        <v>593</v>
      </c>
      <c r="B79" s="103">
        <v>1.042</v>
      </c>
      <c r="C79" s="103">
        <v>1.1032999999999999</v>
      </c>
      <c r="D79" s="103">
        <f t="shared" si="1"/>
        <v>6.129999999999991E-2</v>
      </c>
      <c r="G79" s="102" t="s">
        <v>596</v>
      </c>
      <c r="H79" s="103">
        <v>1.0387</v>
      </c>
      <c r="I79" s="103">
        <v>1.0634999999999999</v>
      </c>
      <c r="J79" s="103">
        <f t="shared" si="2"/>
        <v>2.4799999999999933E-2</v>
      </c>
      <c r="L79" s="102" t="s">
        <v>592</v>
      </c>
      <c r="M79" s="103">
        <v>1.0326</v>
      </c>
      <c r="N79" s="103">
        <v>1.0399</v>
      </c>
      <c r="O79" s="103">
        <f t="shared" si="3"/>
        <v>7.3000000000000842E-3</v>
      </c>
    </row>
    <row r="80" spans="1:15" ht="15">
      <c r="A80" s="102" t="s">
        <v>596</v>
      </c>
      <c r="B80" s="103">
        <v>1.0432999999999999</v>
      </c>
      <c r="C80" s="103">
        <v>1.1040000000000001</v>
      </c>
      <c r="D80" s="103">
        <f t="shared" si="1"/>
        <v>6.0700000000000198E-2</v>
      </c>
      <c r="G80" s="102" t="s">
        <v>593</v>
      </c>
      <c r="H80" s="2">
        <v>1.0376000000000001</v>
      </c>
      <c r="I80" s="2">
        <v>1.0624</v>
      </c>
      <c r="J80" s="103">
        <f t="shared" si="2"/>
        <v>2.4799999999999933E-2</v>
      </c>
      <c r="L80" s="102" t="s">
        <v>593</v>
      </c>
      <c r="M80" s="2">
        <v>1.0325</v>
      </c>
      <c r="N80" s="2">
        <v>1.0398000000000001</v>
      </c>
      <c r="O80" s="103">
        <f t="shared" si="3"/>
        <v>7.3000000000000842E-3</v>
      </c>
    </row>
    <row r="81" spans="1:15" ht="15">
      <c r="A81" s="102" t="s">
        <v>597</v>
      </c>
      <c r="B81" s="103">
        <v>1.0418000000000001</v>
      </c>
      <c r="C81" s="103">
        <v>1.1025</v>
      </c>
      <c r="D81" s="103">
        <f t="shared" si="1"/>
        <v>6.0699999999999976E-2</v>
      </c>
      <c r="G81" s="102" t="s">
        <v>597</v>
      </c>
      <c r="H81" s="103">
        <v>1.0376000000000001</v>
      </c>
      <c r="I81" s="103">
        <v>1.0622</v>
      </c>
      <c r="J81" s="103">
        <f t="shared" si="2"/>
        <v>2.4599999999999955E-2</v>
      </c>
      <c r="L81" s="2" t="s">
        <v>595</v>
      </c>
      <c r="M81" s="2">
        <v>1.0326</v>
      </c>
      <c r="N81" s="2">
        <v>1.0399</v>
      </c>
      <c r="O81" s="103">
        <f t="shared" si="3"/>
        <v>7.3000000000000842E-3</v>
      </c>
    </row>
    <row r="82" spans="1:15" ht="15">
      <c r="A82" s="102" t="s">
        <v>598</v>
      </c>
      <c r="B82" s="103">
        <v>1.0374000000000001</v>
      </c>
      <c r="C82" s="103">
        <v>1.0972999999999999</v>
      </c>
      <c r="D82" s="103">
        <f t="shared" si="1"/>
        <v>5.9899999999999842E-2</v>
      </c>
      <c r="G82" s="102" t="s">
        <v>598</v>
      </c>
      <c r="H82" s="2">
        <v>1.0353000000000001</v>
      </c>
      <c r="I82" s="2">
        <v>1.0598000000000001</v>
      </c>
      <c r="J82" s="103">
        <f t="shared" si="2"/>
        <v>2.4499999999999966E-2</v>
      </c>
      <c r="L82" s="102" t="s">
        <v>598</v>
      </c>
      <c r="M82" s="103">
        <v>1.0317000000000001</v>
      </c>
      <c r="N82" s="103">
        <v>1.0389999999999999</v>
      </c>
      <c r="O82" s="103">
        <f t="shared" si="3"/>
        <v>7.2999999999998622E-3</v>
      </c>
    </row>
    <row r="83" spans="1:15" ht="15">
      <c r="A83" s="102" t="s">
        <v>599</v>
      </c>
      <c r="B83" s="103">
        <v>1.0426</v>
      </c>
      <c r="C83" s="103">
        <v>1.0982000000000001</v>
      </c>
      <c r="D83" s="103">
        <f t="shared" si="1"/>
        <v>5.5600000000000094E-2</v>
      </c>
      <c r="G83" s="102" t="s">
        <v>599</v>
      </c>
      <c r="H83" s="103">
        <v>1.0383</v>
      </c>
      <c r="I83" s="103">
        <v>1.0612999999999999</v>
      </c>
      <c r="J83" s="103">
        <f t="shared" si="2"/>
        <v>2.2999999999999909E-2</v>
      </c>
      <c r="L83" s="102" t="s">
        <v>599</v>
      </c>
      <c r="M83" s="103">
        <v>1.0326</v>
      </c>
      <c r="N83" s="103">
        <v>1.0395000000000001</v>
      </c>
      <c r="O83" s="103">
        <f t="shared" si="3"/>
        <v>6.9000000000001283E-3</v>
      </c>
    </row>
    <row r="84" spans="1:15" ht="15">
      <c r="A84" s="102" t="s">
        <v>600</v>
      </c>
      <c r="B84" s="103">
        <v>1.0408999999999999</v>
      </c>
      <c r="C84" s="103">
        <v>1.0946</v>
      </c>
      <c r="D84" s="103">
        <f t="shared" si="1"/>
        <v>5.3700000000000081E-2</v>
      </c>
      <c r="G84" s="102" t="s">
        <v>600</v>
      </c>
      <c r="H84" s="103">
        <v>1.0371999999999999</v>
      </c>
      <c r="I84" s="103">
        <v>1.0599000000000001</v>
      </c>
      <c r="J84" s="103">
        <f t="shared" si="2"/>
        <v>2.2700000000000164E-2</v>
      </c>
      <c r="L84" s="102" t="s">
        <v>600</v>
      </c>
      <c r="M84" s="103">
        <v>1.0331999999999999</v>
      </c>
      <c r="N84" s="103">
        <v>1.04</v>
      </c>
      <c r="O84" s="103">
        <f t="shared" si="3"/>
        <v>6.8000000000001393E-3</v>
      </c>
    </row>
    <row r="85" spans="1:15" ht="15">
      <c r="A85" s="102" t="s">
        <v>601</v>
      </c>
      <c r="B85" s="103">
        <v>1.0403</v>
      </c>
      <c r="C85" s="103">
        <v>1.0928</v>
      </c>
      <c r="D85" s="103">
        <f t="shared" si="1"/>
        <v>5.2499999999999991E-2</v>
      </c>
      <c r="G85" s="102" t="s">
        <v>601</v>
      </c>
      <c r="H85" s="103">
        <v>1.0368999999999999</v>
      </c>
      <c r="I85" s="103">
        <v>1.0590999999999999</v>
      </c>
      <c r="J85" s="103">
        <f t="shared" si="2"/>
        <v>2.2199999999999998E-2</v>
      </c>
      <c r="L85" s="102" t="s">
        <v>601</v>
      </c>
      <c r="M85" s="103">
        <v>1.0328999999999999</v>
      </c>
      <c r="N85" s="103">
        <v>1.0396000000000001</v>
      </c>
      <c r="O85" s="103">
        <f t="shared" si="3"/>
        <v>6.7000000000001503E-3</v>
      </c>
    </row>
    <row r="86" spans="1:15" ht="15">
      <c r="A86" s="102" t="s">
        <v>604</v>
      </c>
      <c r="B86" s="103">
        <v>1.0409999999999999</v>
      </c>
      <c r="C86" s="103">
        <v>1.0931999999999999</v>
      </c>
      <c r="D86" s="103">
        <f t="shared" si="1"/>
        <v>5.2200000000000024E-2</v>
      </c>
      <c r="G86" s="102" t="s">
        <v>604</v>
      </c>
      <c r="H86" s="2">
        <v>1.0371999999999999</v>
      </c>
      <c r="I86" s="2">
        <v>1.0592999999999999</v>
      </c>
      <c r="J86" s="103">
        <f t="shared" si="2"/>
        <v>2.2100000000000009E-2</v>
      </c>
      <c r="L86" s="102" t="s">
        <v>605</v>
      </c>
      <c r="M86" s="103">
        <v>1.0329999999999999</v>
      </c>
      <c r="N86" s="103">
        <v>1.0396000000000001</v>
      </c>
      <c r="O86" s="103">
        <f t="shared" si="3"/>
        <v>6.6000000000001613E-3</v>
      </c>
    </row>
    <row r="87" spans="1:15" ht="15">
      <c r="A87" s="102" t="s">
        <v>605</v>
      </c>
      <c r="B87" s="103">
        <v>1.0414000000000001</v>
      </c>
      <c r="C87" s="103">
        <v>1.0929</v>
      </c>
      <c r="D87" s="103">
        <f t="shared" si="1"/>
        <v>5.1499999999999879E-2</v>
      </c>
      <c r="G87" s="102" t="s">
        <v>606</v>
      </c>
      <c r="H87" s="103">
        <v>1.0383</v>
      </c>
      <c r="I87" s="103">
        <v>1.0601</v>
      </c>
      <c r="J87" s="103">
        <f t="shared" si="2"/>
        <v>2.1800000000000042E-2</v>
      </c>
      <c r="L87" s="102" t="s">
        <v>604</v>
      </c>
      <c r="M87" s="2">
        <v>1.0331999999999999</v>
      </c>
      <c r="N87" s="2">
        <v>1.0398000000000001</v>
      </c>
      <c r="O87" s="103">
        <f t="shared" si="3"/>
        <v>6.6000000000001613E-3</v>
      </c>
    </row>
    <row r="88" spans="1:15" ht="15">
      <c r="A88" s="102" t="s">
        <v>606</v>
      </c>
      <c r="B88" s="103">
        <v>1.0426</v>
      </c>
      <c r="C88" s="103">
        <v>1.0939000000000001</v>
      </c>
      <c r="D88" s="103">
        <f t="shared" si="1"/>
        <v>5.1300000000000123E-2</v>
      </c>
      <c r="G88" s="102" t="s">
        <v>605</v>
      </c>
      <c r="H88" s="103">
        <v>1.0374000000000001</v>
      </c>
      <c r="I88" s="103">
        <v>1.0591999999999999</v>
      </c>
      <c r="J88" s="103">
        <f t="shared" si="2"/>
        <v>2.179999999999982E-2</v>
      </c>
      <c r="L88" s="102" t="s">
        <v>609</v>
      </c>
      <c r="M88" s="2">
        <v>1.0329999999999999</v>
      </c>
      <c r="N88" s="2">
        <v>1.0395000000000001</v>
      </c>
      <c r="O88" s="103">
        <f t="shared" si="3"/>
        <v>6.5000000000001723E-3</v>
      </c>
    </row>
    <row r="89" spans="1:15" ht="15">
      <c r="A89" s="102" t="s">
        <v>609</v>
      </c>
      <c r="B89" s="103">
        <v>1.0415000000000001</v>
      </c>
      <c r="C89" s="103">
        <v>1.0923</v>
      </c>
      <c r="D89" s="103">
        <f t="shared" si="1"/>
        <v>5.0799999999999956E-2</v>
      </c>
      <c r="G89" s="102" t="s">
        <v>609</v>
      </c>
      <c r="H89" s="103">
        <v>1.0374000000000001</v>
      </c>
      <c r="I89" s="103">
        <v>1.0589999999999999</v>
      </c>
      <c r="J89" s="103">
        <f t="shared" si="2"/>
        <v>2.1599999999999842E-2</v>
      </c>
      <c r="L89" s="2" t="s">
        <v>610</v>
      </c>
      <c r="M89" s="103">
        <v>1.0330999999999999</v>
      </c>
      <c r="N89" s="103">
        <v>1.0396000000000001</v>
      </c>
      <c r="O89" s="103">
        <f t="shared" si="3"/>
        <v>6.5000000000001723E-3</v>
      </c>
    </row>
    <row r="90" spans="1:15" ht="15">
      <c r="A90" s="2" t="s">
        <v>610</v>
      </c>
      <c r="B90" s="2">
        <v>1.0423</v>
      </c>
      <c r="C90" s="2">
        <v>1.0929</v>
      </c>
      <c r="D90" s="103">
        <f t="shared" si="1"/>
        <v>5.0599999999999978E-2</v>
      </c>
      <c r="G90" s="2" t="s">
        <v>610</v>
      </c>
      <c r="H90" s="103">
        <v>1.038</v>
      </c>
      <c r="I90" s="103">
        <v>1.0595000000000001</v>
      </c>
      <c r="J90" s="103">
        <f t="shared" si="2"/>
        <v>2.1500000000000075E-2</v>
      </c>
      <c r="L90" s="102" t="s">
        <v>614</v>
      </c>
      <c r="M90" s="103">
        <v>1.0317000000000001</v>
      </c>
      <c r="N90" s="103">
        <v>1.0382</v>
      </c>
      <c r="O90" s="103">
        <f t="shared" si="3"/>
        <v>6.4999999999999503E-3</v>
      </c>
    </row>
    <row r="91" spans="1:15" ht="15">
      <c r="A91" s="2" t="s">
        <v>611</v>
      </c>
      <c r="B91" s="2">
        <v>1.0408999999999999</v>
      </c>
      <c r="C91" s="2">
        <v>1.0913999999999999</v>
      </c>
      <c r="D91" s="103">
        <f t="shared" si="1"/>
        <v>5.0499999999999989E-2</v>
      </c>
      <c r="G91" s="2" t="s">
        <v>611</v>
      </c>
      <c r="H91" s="2">
        <v>1.0370999999999999</v>
      </c>
      <c r="I91" s="2">
        <v>1.0586</v>
      </c>
      <c r="J91" s="103">
        <f t="shared" si="2"/>
        <v>2.1500000000000075E-2</v>
      </c>
      <c r="L91" s="102" t="s">
        <v>606</v>
      </c>
      <c r="M91" s="103">
        <v>1.0334000000000001</v>
      </c>
      <c r="N91" s="103">
        <v>1.0399</v>
      </c>
      <c r="O91" s="103">
        <f t="shared" si="3"/>
        <v>6.4999999999999503E-3</v>
      </c>
    </row>
    <row r="92" spans="1:15" ht="15">
      <c r="A92" s="102" t="s">
        <v>613</v>
      </c>
      <c r="B92" s="103">
        <v>1.0423</v>
      </c>
      <c r="C92" s="103">
        <v>1.0925</v>
      </c>
      <c r="D92" s="103">
        <f t="shared" si="1"/>
        <v>5.0200000000000022E-2</v>
      </c>
      <c r="G92" s="102" t="s">
        <v>614</v>
      </c>
      <c r="H92" s="2">
        <v>1.0343</v>
      </c>
      <c r="I92" s="2">
        <v>1.0557000000000001</v>
      </c>
      <c r="J92" s="103">
        <f t="shared" si="2"/>
        <v>2.1400000000000086E-2</v>
      </c>
      <c r="L92" s="2" t="s">
        <v>611</v>
      </c>
      <c r="M92" s="2">
        <v>1.0326</v>
      </c>
      <c r="N92" s="2">
        <v>1.0390999999999999</v>
      </c>
      <c r="O92" s="103">
        <f t="shared" si="3"/>
        <v>6.4999999999999503E-3</v>
      </c>
    </row>
    <row r="93" spans="1:15" ht="15">
      <c r="A93" s="102" t="s">
        <v>617</v>
      </c>
      <c r="B93" s="103">
        <v>1.0431999999999999</v>
      </c>
      <c r="C93" s="103">
        <v>1.0933999999999999</v>
      </c>
      <c r="D93" s="103">
        <f t="shared" si="1"/>
        <v>5.0200000000000022E-2</v>
      </c>
      <c r="G93" s="102" t="s">
        <v>617</v>
      </c>
      <c r="H93" s="103">
        <v>1.0384</v>
      </c>
      <c r="I93" s="103">
        <v>1.0597000000000001</v>
      </c>
      <c r="J93" s="103">
        <f t="shared" si="2"/>
        <v>2.1300000000000097E-2</v>
      </c>
      <c r="L93" s="102" t="s">
        <v>621</v>
      </c>
      <c r="M93" s="103">
        <v>1.0331999999999999</v>
      </c>
      <c r="N93" s="103">
        <v>1.0396000000000001</v>
      </c>
      <c r="O93" s="103">
        <f t="shared" si="3"/>
        <v>6.4000000000001833E-3</v>
      </c>
    </row>
    <row r="94" spans="1:15" ht="15">
      <c r="A94" s="102" t="s">
        <v>614</v>
      </c>
      <c r="B94" s="103">
        <v>1.036</v>
      </c>
      <c r="C94" s="103">
        <v>1.0861000000000001</v>
      </c>
      <c r="D94" s="103">
        <f t="shared" si="1"/>
        <v>5.0100000000000033E-2</v>
      </c>
      <c r="G94" s="102" t="s">
        <v>613</v>
      </c>
      <c r="H94" s="103">
        <v>1.0379</v>
      </c>
      <c r="I94" s="103">
        <v>1.0591999999999999</v>
      </c>
      <c r="J94" s="103">
        <f t="shared" si="2"/>
        <v>2.1299999999999875E-2</v>
      </c>
      <c r="L94" s="102" t="s">
        <v>617</v>
      </c>
      <c r="M94" s="103">
        <v>1.0330999999999999</v>
      </c>
      <c r="N94" s="103">
        <v>1.0395000000000001</v>
      </c>
      <c r="O94" s="103">
        <f t="shared" si="3"/>
        <v>6.4000000000001833E-3</v>
      </c>
    </row>
    <row r="95" spans="1:15" ht="15">
      <c r="A95" s="102" t="s">
        <v>615</v>
      </c>
      <c r="B95" s="103">
        <v>1.0417000000000001</v>
      </c>
      <c r="C95" s="103">
        <v>1.0916999999999999</v>
      </c>
      <c r="D95" s="103">
        <f t="shared" si="1"/>
        <v>4.9999999999999822E-2</v>
      </c>
      <c r="G95" s="102" t="s">
        <v>615</v>
      </c>
      <c r="H95" s="103">
        <v>1.0374000000000001</v>
      </c>
      <c r="I95" s="103">
        <v>1.0587</v>
      </c>
      <c r="J95" s="103">
        <f t="shared" si="2"/>
        <v>2.1299999999999875E-2</v>
      </c>
      <c r="L95" s="102" t="s">
        <v>618</v>
      </c>
      <c r="M95" s="103">
        <v>1.0327999999999999</v>
      </c>
      <c r="N95" s="103">
        <v>1.0391999999999999</v>
      </c>
      <c r="O95" s="103">
        <f t="shared" si="3"/>
        <v>6.3999999999999613E-3</v>
      </c>
    </row>
    <row r="96" spans="1:15" ht="15">
      <c r="A96" s="102" t="s">
        <v>618</v>
      </c>
      <c r="B96" s="103">
        <v>1.0417000000000001</v>
      </c>
      <c r="C96" s="103">
        <v>1.0913999999999999</v>
      </c>
      <c r="D96" s="103">
        <f t="shared" si="1"/>
        <v>4.9699999999999855E-2</v>
      </c>
      <c r="G96" s="102" t="s">
        <v>620</v>
      </c>
      <c r="H96" s="2">
        <v>1.0374000000000001</v>
      </c>
      <c r="I96" s="2">
        <v>1.0586</v>
      </c>
      <c r="J96" s="103">
        <f t="shared" si="2"/>
        <v>2.1199999999999886E-2</v>
      </c>
      <c r="L96" s="102" t="s">
        <v>613</v>
      </c>
      <c r="M96" s="103">
        <v>1.0328999999999999</v>
      </c>
      <c r="N96" s="103">
        <v>1.0392999999999999</v>
      </c>
      <c r="O96" s="103">
        <f t="shared" si="3"/>
        <v>6.3999999999999613E-3</v>
      </c>
    </row>
    <row r="97" spans="1:15" ht="15">
      <c r="A97" s="102" t="s">
        <v>620</v>
      </c>
      <c r="B97" s="103">
        <v>1.0416000000000001</v>
      </c>
      <c r="C97" s="103">
        <v>1.0912999999999999</v>
      </c>
      <c r="D97" s="103">
        <f t="shared" si="1"/>
        <v>4.9699999999999855E-2</v>
      </c>
      <c r="G97" s="102" t="s">
        <v>621</v>
      </c>
      <c r="H97" s="103">
        <v>1.0384</v>
      </c>
      <c r="I97" s="103">
        <v>1.0595000000000001</v>
      </c>
      <c r="J97" s="103">
        <f t="shared" si="2"/>
        <v>2.1100000000000119E-2</v>
      </c>
      <c r="L97" s="102" t="s">
        <v>615</v>
      </c>
      <c r="M97" s="103">
        <v>1.0328999999999999</v>
      </c>
      <c r="N97" s="103">
        <v>1.0392999999999999</v>
      </c>
      <c r="O97" s="103">
        <f t="shared" si="3"/>
        <v>6.3999999999999613E-3</v>
      </c>
    </row>
    <row r="98" spans="1:15" ht="15">
      <c r="A98" s="102" t="s">
        <v>621</v>
      </c>
      <c r="B98" s="103">
        <v>1.0428999999999999</v>
      </c>
      <c r="C98" s="103">
        <v>1.0925</v>
      </c>
      <c r="D98" s="103">
        <f t="shared" si="1"/>
        <v>4.9600000000000088E-2</v>
      </c>
      <c r="G98" s="102" t="s">
        <v>618</v>
      </c>
      <c r="H98" s="103">
        <v>1.0374000000000001</v>
      </c>
      <c r="I98" s="103">
        <v>1.0585</v>
      </c>
      <c r="J98" s="103">
        <f t="shared" si="2"/>
        <v>2.1099999999999897E-2</v>
      </c>
      <c r="L98" s="102" t="s">
        <v>620</v>
      </c>
      <c r="M98" s="2">
        <v>1.0327</v>
      </c>
      <c r="N98" s="2">
        <v>1.0390999999999999</v>
      </c>
      <c r="O98" s="103">
        <f t="shared" si="3"/>
        <v>6.3999999999999613E-3</v>
      </c>
    </row>
    <row r="99" spans="1:15" ht="15">
      <c r="A99" s="2" t="s">
        <v>623</v>
      </c>
      <c r="B99" s="2">
        <v>1.0429999999999999</v>
      </c>
      <c r="C99" s="2">
        <v>1.0922000000000001</v>
      </c>
      <c r="D99" s="103">
        <f t="shared" si="1"/>
        <v>4.9200000000000133E-2</v>
      </c>
      <c r="G99" s="2" t="s">
        <v>623</v>
      </c>
      <c r="H99" s="2">
        <v>1.0382</v>
      </c>
      <c r="I99" s="2">
        <v>1.0591999999999999</v>
      </c>
      <c r="J99" s="103">
        <f t="shared" si="2"/>
        <v>2.0999999999999908E-2</v>
      </c>
      <c r="L99" s="102" t="s">
        <v>622</v>
      </c>
      <c r="M99" s="103">
        <v>1.0326</v>
      </c>
      <c r="N99" s="103">
        <v>1.0388999999999999</v>
      </c>
      <c r="O99" s="103">
        <f t="shared" si="3"/>
        <v>6.2999999999999723E-3</v>
      </c>
    </row>
    <row r="100" spans="1:15" ht="15">
      <c r="A100" s="102" t="s">
        <v>624</v>
      </c>
      <c r="B100" s="102">
        <v>1.0409999999999999</v>
      </c>
      <c r="C100" s="102">
        <v>1.0900000000000001</v>
      </c>
      <c r="D100" s="103">
        <f t="shared" si="1"/>
        <v>4.9000000000000155E-2</v>
      </c>
      <c r="G100" s="102" t="s">
        <v>624</v>
      </c>
      <c r="H100" s="2">
        <v>1.0367999999999999</v>
      </c>
      <c r="I100" s="2">
        <v>1.0577000000000001</v>
      </c>
      <c r="J100" s="103">
        <f t="shared" si="2"/>
        <v>2.0900000000000141E-2</v>
      </c>
      <c r="L100" s="102" t="s">
        <v>627</v>
      </c>
      <c r="M100" s="103">
        <v>1.0325</v>
      </c>
      <c r="N100" s="103">
        <v>1.0387999999999999</v>
      </c>
      <c r="O100" s="103">
        <f t="shared" si="3"/>
        <v>6.2999999999999723E-3</v>
      </c>
    </row>
    <row r="101" spans="1:15" ht="15">
      <c r="A101" s="102" t="s">
        <v>622</v>
      </c>
      <c r="B101" s="103">
        <v>1.0421</v>
      </c>
      <c r="C101" s="103">
        <v>1.0911</v>
      </c>
      <c r="D101" s="103">
        <f t="shared" si="1"/>
        <v>4.8999999999999932E-2</v>
      </c>
      <c r="E101" s="2"/>
      <c r="F101" s="2"/>
      <c r="G101" s="102" t="s">
        <v>622</v>
      </c>
      <c r="H101" s="103">
        <v>1.0376000000000001</v>
      </c>
      <c r="I101" s="103">
        <v>1.0585</v>
      </c>
      <c r="J101" s="103">
        <f t="shared" si="2"/>
        <v>2.0899999999999919E-2</v>
      </c>
      <c r="L101" s="2" t="s">
        <v>623</v>
      </c>
      <c r="M101" s="2">
        <v>1.0327999999999999</v>
      </c>
      <c r="N101" s="2">
        <v>1.0390999999999999</v>
      </c>
      <c r="O101" s="103">
        <f t="shared" si="3"/>
        <v>6.2999999999999723E-3</v>
      </c>
    </row>
    <row r="102" spans="1:15" ht="15">
      <c r="A102" s="102" t="s">
        <v>627</v>
      </c>
      <c r="B102" s="103">
        <v>1.0416000000000001</v>
      </c>
      <c r="C102" s="103">
        <v>1.0903</v>
      </c>
      <c r="D102" s="103">
        <f t="shared" si="1"/>
        <v>4.8699999999999966E-2</v>
      </c>
      <c r="E102" s="2"/>
      <c r="F102" s="2"/>
      <c r="G102" s="2" t="s">
        <v>625</v>
      </c>
      <c r="H102" s="2">
        <v>1.0366</v>
      </c>
      <c r="I102" s="2">
        <v>1.0573999999999999</v>
      </c>
      <c r="J102" s="103">
        <f t="shared" si="2"/>
        <v>2.079999999999993E-2</v>
      </c>
      <c r="L102" s="2" t="s">
        <v>625</v>
      </c>
      <c r="M102" s="103">
        <v>1.0322</v>
      </c>
      <c r="N102" s="103">
        <v>1.0384</v>
      </c>
      <c r="O102" s="103">
        <f t="shared" si="3"/>
        <v>6.1999999999999833E-3</v>
      </c>
    </row>
    <row r="103" spans="1:15" ht="15">
      <c r="A103" s="2" t="s">
        <v>625</v>
      </c>
      <c r="B103" s="106">
        <v>1.0406</v>
      </c>
      <c r="C103" s="106">
        <v>1.0891</v>
      </c>
      <c r="D103" s="103">
        <f t="shared" si="1"/>
        <v>4.8499999999999988E-2</v>
      </c>
      <c r="E103" s="2"/>
      <c r="F103" s="2"/>
      <c r="G103" s="102" t="s">
        <v>627</v>
      </c>
      <c r="H103" s="103">
        <v>1.0371999999999999</v>
      </c>
      <c r="I103" s="103">
        <v>1.0579000000000001</v>
      </c>
      <c r="J103" s="103">
        <f t="shared" si="2"/>
        <v>2.0700000000000163E-2</v>
      </c>
      <c r="L103" s="102" t="s">
        <v>628</v>
      </c>
      <c r="M103" s="2">
        <v>1.0325</v>
      </c>
      <c r="N103" s="2">
        <v>1.0387</v>
      </c>
      <c r="O103" s="103">
        <f t="shared" si="3"/>
        <v>6.1999999999999833E-3</v>
      </c>
    </row>
    <row r="104" spans="1:15" ht="15">
      <c r="A104" s="102" t="s">
        <v>628</v>
      </c>
      <c r="B104" s="103">
        <v>1.0417000000000001</v>
      </c>
      <c r="C104" s="103">
        <v>1.0900000000000001</v>
      </c>
      <c r="D104" s="103">
        <f t="shared" si="1"/>
        <v>4.830000000000001E-2</v>
      </c>
      <c r="E104" s="2"/>
      <c r="F104" s="2"/>
      <c r="G104" s="102" t="s">
        <v>628</v>
      </c>
      <c r="H104" s="106">
        <v>1.0371999999999999</v>
      </c>
      <c r="I104" s="106">
        <v>1.0578000000000001</v>
      </c>
      <c r="J104" s="103">
        <f t="shared" si="2"/>
        <v>2.0600000000000174E-2</v>
      </c>
      <c r="L104" s="102" t="s">
        <v>629</v>
      </c>
      <c r="M104" s="103">
        <v>1.0321</v>
      </c>
      <c r="N104" s="103">
        <v>1.0383</v>
      </c>
      <c r="O104" s="103">
        <f t="shared" si="3"/>
        <v>6.1999999999999833E-3</v>
      </c>
    </row>
    <row r="105" spans="1:15" ht="15">
      <c r="A105" s="102" t="s">
        <v>629</v>
      </c>
      <c r="B105" s="103">
        <v>1.0406</v>
      </c>
      <c r="C105" s="103">
        <v>1.0888</v>
      </c>
      <c r="D105" s="103">
        <f t="shared" si="1"/>
        <v>4.8200000000000021E-2</v>
      </c>
      <c r="E105" s="2"/>
      <c r="F105" s="2"/>
      <c r="G105" s="102" t="s">
        <v>629</v>
      </c>
      <c r="H105" s="103">
        <v>1.0365</v>
      </c>
      <c r="I105" s="103">
        <v>1.0570999999999999</v>
      </c>
      <c r="J105" s="103">
        <f t="shared" si="2"/>
        <v>2.0599999999999952E-2</v>
      </c>
      <c r="L105" s="2" t="s">
        <v>630</v>
      </c>
      <c r="M105" s="2">
        <v>1.0321</v>
      </c>
      <c r="N105" s="2">
        <v>1.0383</v>
      </c>
      <c r="O105" s="103">
        <f t="shared" si="3"/>
        <v>6.1999999999999833E-3</v>
      </c>
    </row>
    <row r="106" spans="1:15" ht="15">
      <c r="A106" s="102" t="s">
        <v>631</v>
      </c>
      <c r="B106" s="103">
        <v>1.0409999999999999</v>
      </c>
      <c r="C106" s="103">
        <v>1.0891</v>
      </c>
      <c r="D106" s="103">
        <f t="shared" si="1"/>
        <v>4.8100000000000032E-2</v>
      </c>
      <c r="E106" s="2"/>
      <c r="F106" s="2"/>
      <c r="G106" s="2" t="s">
        <v>630</v>
      </c>
      <c r="H106" s="103">
        <v>1.0364</v>
      </c>
      <c r="I106" s="103">
        <v>1.0569</v>
      </c>
      <c r="J106" s="103">
        <f t="shared" si="2"/>
        <v>2.0499999999999963E-2</v>
      </c>
      <c r="L106" s="102" t="s">
        <v>624</v>
      </c>
      <c r="M106" s="2">
        <v>1.0324</v>
      </c>
      <c r="N106" s="2">
        <v>1.0386</v>
      </c>
      <c r="O106" s="103">
        <f t="shared" si="3"/>
        <v>6.1999999999999833E-3</v>
      </c>
    </row>
    <row r="107" spans="1:15" ht="15">
      <c r="A107" s="2" t="s">
        <v>630</v>
      </c>
      <c r="B107" s="2">
        <v>1.0405</v>
      </c>
      <c r="C107" s="2">
        <v>1.0885</v>
      </c>
      <c r="D107" s="103">
        <f t="shared" si="1"/>
        <v>4.8000000000000043E-2</v>
      </c>
      <c r="E107" s="2"/>
      <c r="F107" s="2"/>
      <c r="G107" s="102" t="s">
        <v>631</v>
      </c>
      <c r="H107" s="2">
        <v>1.0367</v>
      </c>
      <c r="I107" s="2">
        <v>1.0571999999999999</v>
      </c>
      <c r="J107" s="103">
        <f t="shared" si="2"/>
        <v>2.0499999999999963E-2</v>
      </c>
      <c r="L107" s="102" t="s">
        <v>634</v>
      </c>
      <c r="M107" s="2">
        <v>1.0327</v>
      </c>
      <c r="N107" s="2">
        <v>1.0387999999999999</v>
      </c>
      <c r="O107" s="103">
        <f t="shared" si="3"/>
        <v>6.0999999999999943E-3</v>
      </c>
    </row>
    <row r="108" spans="1:15" ht="15">
      <c r="A108" s="102" t="s">
        <v>634</v>
      </c>
      <c r="B108" s="103">
        <v>1.0428999999999999</v>
      </c>
      <c r="C108" s="103">
        <v>1.0901000000000001</v>
      </c>
      <c r="D108" s="103">
        <f t="shared" si="1"/>
        <v>4.7200000000000131E-2</v>
      </c>
      <c r="E108" s="2"/>
      <c r="F108" s="2"/>
      <c r="G108" s="102" t="s">
        <v>634</v>
      </c>
      <c r="H108" s="2">
        <v>1.0379</v>
      </c>
      <c r="I108" s="2">
        <v>1.0581</v>
      </c>
      <c r="J108" s="103">
        <f t="shared" si="2"/>
        <v>2.0199999999999996E-2</v>
      </c>
      <c r="L108" s="102" t="s">
        <v>631</v>
      </c>
      <c r="M108" s="2">
        <v>1.0323</v>
      </c>
      <c r="N108" s="2">
        <v>1.0384</v>
      </c>
      <c r="O108" s="103">
        <f t="shared" si="3"/>
        <v>6.0999999999999943E-3</v>
      </c>
    </row>
    <row r="109" spans="1:15" ht="15">
      <c r="A109" s="102" t="s">
        <v>635</v>
      </c>
      <c r="B109" s="103">
        <v>1.0411999999999999</v>
      </c>
      <c r="C109" s="103">
        <v>1.0879000000000001</v>
      </c>
      <c r="D109" s="103">
        <f t="shared" si="1"/>
        <v>4.6700000000000186E-2</v>
      </c>
      <c r="E109" s="2"/>
      <c r="F109" s="2"/>
      <c r="G109" s="102" t="s">
        <v>635</v>
      </c>
      <c r="H109" s="103">
        <v>1.0368999999999999</v>
      </c>
      <c r="I109" s="103">
        <v>1.0569</v>
      </c>
      <c r="J109" s="103">
        <f t="shared" si="2"/>
        <v>2.0000000000000018E-2</v>
      </c>
      <c r="L109" s="102" t="s">
        <v>638</v>
      </c>
      <c r="M109" s="103">
        <v>1.0309999999999999</v>
      </c>
      <c r="N109" s="103">
        <v>1.0369999999999999</v>
      </c>
      <c r="O109" s="103">
        <f t="shared" si="3"/>
        <v>6.0000000000000053E-3</v>
      </c>
    </row>
    <row r="110" spans="1:15" ht="15">
      <c r="A110" s="2" t="s">
        <v>636</v>
      </c>
      <c r="B110" s="2">
        <v>1.0429999999999999</v>
      </c>
      <c r="C110" s="2">
        <v>1.0893999999999999</v>
      </c>
      <c r="D110" s="103">
        <f t="shared" si="1"/>
        <v>4.6399999999999997E-2</v>
      </c>
      <c r="E110" s="2"/>
      <c r="F110" s="2"/>
      <c r="G110" s="2" t="s">
        <v>636</v>
      </c>
      <c r="H110" s="2">
        <v>1.0379</v>
      </c>
      <c r="I110" s="2">
        <v>1.0579000000000001</v>
      </c>
      <c r="J110" s="103">
        <f t="shared" si="2"/>
        <v>2.0000000000000018E-2</v>
      </c>
      <c r="L110" s="102" t="s">
        <v>635</v>
      </c>
      <c r="M110" s="103">
        <v>1.0324</v>
      </c>
      <c r="N110" s="103">
        <v>1.0384</v>
      </c>
      <c r="O110" s="103">
        <f t="shared" si="3"/>
        <v>6.0000000000000053E-3</v>
      </c>
    </row>
    <row r="111" spans="1:15" ht="15">
      <c r="A111" s="102" t="s">
        <v>638</v>
      </c>
      <c r="B111" s="103">
        <v>1.0358000000000001</v>
      </c>
      <c r="C111" s="103">
        <v>1.0815999999999999</v>
      </c>
      <c r="D111" s="103">
        <f t="shared" si="1"/>
        <v>4.5799999999999841E-2</v>
      </c>
      <c r="E111" s="2"/>
      <c r="F111" s="2"/>
      <c r="G111" s="102" t="s">
        <v>638</v>
      </c>
      <c r="H111" s="103">
        <v>1.0339</v>
      </c>
      <c r="I111" s="103">
        <v>1.0536000000000001</v>
      </c>
      <c r="J111" s="103">
        <f t="shared" si="2"/>
        <v>1.9700000000000051E-2</v>
      </c>
      <c r="L111" s="2" t="s">
        <v>636</v>
      </c>
      <c r="M111" s="2">
        <v>1.0327</v>
      </c>
      <c r="N111" s="2">
        <v>1.0387</v>
      </c>
      <c r="O111" s="103">
        <f t="shared" si="3"/>
        <v>6.0000000000000053E-3</v>
      </c>
    </row>
    <row r="112" spans="1:15" ht="15">
      <c r="A112" s="102" t="s">
        <v>639</v>
      </c>
      <c r="B112" s="103">
        <v>1.0410999999999999</v>
      </c>
      <c r="C112" s="103">
        <v>1.0863</v>
      </c>
      <c r="D112" s="103">
        <f t="shared" si="1"/>
        <v>4.5200000000000129E-2</v>
      </c>
      <c r="E112" s="2"/>
      <c r="F112" s="2"/>
      <c r="G112" s="102" t="s">
        <v>639</v>
      </c>
      <c r="H112" s="103">
        <v>1.0367</v>
      </c>
      <c r="I112" s="103">
        <v>1.0562</v>
      </c>
      <c r="J112" s="103">
        <f t="shared" si="2"/>
        <v>1.9500000000000073E-2</v>
      </c>
      <c r="L112" s="102" t="s">
        <v>639</v>
      </c>
      <c r="M112" s="103">
        <v>1.0322</v>
      </c>
      <c r="N112" s="103">
        <v>1.0381</v>
      </c>
      <c r="O112" s="103">
        <f t="shared" si="3"/>
        <v>5.9000000000000163E-3</v>
      </c>
    </row>
    <row r="113" spans="1:15" ht="15">
      <c r="A113" s="102" t="s">
        <v>640</v>
      </c>
      <c r="B113" s="103">
        <v>1.0504</v>
      </c>
      <c r="C113" s="103">
        <v>1.0946</v>
      </c>
      <c r="D113" s="103">
        <f t="shared" si="1"/>
        <v>4.4200000000000017E-2</v>
      </c>
      <c r="E113" s="2"/>
      <c r="F113" s="2"/>
      <c r="G113" s="102" t="s">
        <v>640</v>
      </c>
      <c r="H113" s="103">
        <v>1.0409999999999999</v>
      </c>
      <c r="I113" s="103">
        <v>1.0598000000000001</v>
      </c>
      <c r="J113" s="103">
        <f t="shared" si="2"/>
        <v>1.880000000000015E-2</v>
      </c>
      <c r="L113" s="102" t="s">
        <v>640</v>
      </c>
      <c r="M113" s="103">
        <v>1.0319</v>
      </c>
      <c r="N113" s="103">
        <v>1.0376000000000001</v>
      </c>
      <c r="O113" s="103">
        <f t="shared" si="3"/>
        <v>5.7000000000000384E-3</v>
      </c>
    </row>
    <row r="114" spans="1:15" ht="15">
      <c r="A114" s="102"/>
      <c r="B114" s="103"/>
      <c r="C114" s="103"/>
      <c r="D114" s="103"/>
      <c r="E114" s="2"/>
      <c r="F114" s="2"/>
    </row>
    <row r="115" spans="1:15" ht="15">
      <c r="A115" s="102"/>
      <c r="B115" s="103"/>
      <c r="C115" s="103"/>
      <c r="D115" s="103"/>
      <c r="E115" s="2"/>
      <c r="F115" s="2"/>
    </row>
    <row r="116" spans="1:15" ht="15">
      <c r="A116" s="102"/>
      <c r="B116" s="103"/>
      <c r="C116" s="103"/>
      <c r="D116" s="103"/>
      <c r="E116" s="2"/>
      <c r="F116" s="2"/>
    </row>
    <row r="117" spans="1:15" ht="15">
      <c r="A117" s="102"/>
      <c r="B117" s="103"/>
      <c r="C117" s="103"/>
      <c r="D117" s="103"/>
      <c r="E117" s="2"/>
      <c r="F117" s="2"/>
    </row>
    <row r="118" spans="1:15" ht="15">
      <c r="A118" s="102"/>
      <c r="B118" s="103"/>
      <c r="C118" s="103"/>
      <c r="D118" s="103"/>
      <c r="E118" s="2"/>
      <c r="F118" s="2"/>
    </row>
    <row r="119" spans="1:15" ht="15">
      <c r="A119" s="102"/>
      <c r="B119" s="103"/>
      <c r="C119" s="103"/>
      <c r="D119" s="103"/>
      <c r="E119" s="2"/>
      <c r="F119" s="2"/>
    </row>
    <row r="120" spans="1:15" ht="15">
      <c r="A120" s="102"/>
      <c r="B120" s="103"/>
      <c r="C120" s="103"/>
      <c r="D120" s="103"/>
      <c r="E120" s="2"/>
      <c r="F120" s="2"/>
    </row>
    <row r="121" spans="1:15" ht="15">
      <c r="A121" s="102"/>
      <c r="B121" s="103"/>
      <c r="C121" s="103"/>
      <c r="D121" s="103"/>
      <c r="E121" s="2"/>
      <c r="F121" s="2"/>
    </row>
    <row r="122" spans="1:15" ht="15">
      <c r="A122" s="102"/>
      <c r="B122" s="103"/>
      <c r="C122" s="103"/>
      <c r="D122" s="103"/>
      <c r="E122" s="2"/>
      <c r="F122" s="2"/>
    </row>
    <row r="123" spans="1:15" ht="15">
      <c r="A123" s="102"/>
      <c r="B123" s="103"/>
      <c r="C123" s="103"/>
      <c r="D123" s="103"/>
      <c r="E123" s="2"/>
      <c r="F123" s="2"/>
    </row>
    <row r="124" spans="1:15" ht="15">
      <c r="A124" s="102"/>
      <c r="B124" s="103"/>
      <c r="C124" s="103"/>
      <c r="D124" s="103"/>
      <c r="E124" s="2"/>
      <c r="F124" s="2"/>
    </row>
    <row r="125" spans="1:15" ht="15">
      <c r="A125" s="102"/>
      <c r="B125" s="103"/>
      <c r="C125" s="103"/>
      <c r="D125" s="103"/>
      <c r="E125" s="2"/>
      <c r="F125" s="2"/>
    </row>
    <row r="126" spans="1:15" ht="15">
      <c r="A126" s="112"/>
      <c r="B126" s="113"/>
      <c r="C126" s="113"/>
      <c r="D126" s="113"/>
      <c r="E126" s="99"/>
      <c r="F126" s="99"/>
    </row>
    <row r="127" spans="1:15" ht="15">
      <c r="A127" s="102"/>
      <c r="B127" s="103"/>
      <c r="C127" s="103"/>
      <c r="D127" s="103"/>
      <c r="E127" s="2"/>
      <c r="F127" s="2"/>
    </row>
    <row r="128" spans="1:15" ht="15">
      <c r="A128" s="102"/>
      <c r="B128" s="103"/>
      <c r="C128" s="103"/>
      <c r="D128" s="103"/>
      <c r="E128" s="2"/>
      <c r="F128" s="2"/>
    </row>
    <row r="129" spans="1:6" ht="15">
      <c r="A129" s="102"/>
      <c r="B129" s="103"/>
      <c r="C129" s="103"/>
      <c r="D129" s="103"/>
      <c r="E129" s="2"/>
      <c r="F129" s="2"/>
    </row>
    <row r="130" spans="1:6" ht="15">
      <c r="A130" s="102"/>
      <c r="B130" s="103"/>
      <c r="C130" s="103"/>
      <c r="D130" s="103"/>
      <c r="E130" s="2"/>
      <c r="F130" s="2"/>
    </row>
    <row r="131" spans="1:6" ht="15">
      <c r="A131" s="2"/>
      <c r="B131" s="106"/>
      <c r="C131" s="106"/>
      <c r="D131" s="103"/>
      <c r="E131" s="2"/>
      <c r="F131" s="2"/>
    </row>
    <row r="132" spans="1:6" ht="15">
      <c r="A132" s="102"/>
      <c r="B132" s="103"/>
      <c r="C132" s="103"/>
      <c r="D132" s="103"/>
      <c r="E132" s="2"/>
      <c r="F132" s="2"/>
    </row>
    <row r="133" spans="1:6" ht="15">
      <c r="A133" s="102"/>
      <c r="B133" s="103"/>
      <c r="C133" s="103"/>
      <c r="D133" s="103"/>
      <c r="E133" s="2"/>
      <c r="F133" s="2"/>
    </row>
    <row r="134" spans="1:6" ht="15">
      <c r="A134" s="102"/>
      <c r="B134" s="103"/>
      <c r="C134" s="103"/>
      <c r="D134" s="103"/>
      <c r="E134" s="2"/>
      <c r="F134" s="2"/>
    </row>
    <row r="135" spans="1:6" ht="15">
      <c r="A135" s="102"/>
      <c r="B135" s="103"/>
      <c r="C135" s="103"/>
      <c r="D135" s="103"/>
      <c r="E135" s="2"/>
      <c r="F135" s="2"/>
    </row>
    <row r="136" spans="1:6" ht="15">
      <c r="A136" s="102"/>
      <c r="B136" s="103"/>
      <c r="C136" s="103"/>
      <c r="D136" s="103"/>
      <c r="E136" s="2"/>
      <c r="F136" s="2"/>
    </row>
    <row r="137" spans="1:6" ht="15">
      <c r="A137" s="102"/>
      <c r="B137" s="103"/>
      <c r="C137" s="103"/>
      <c r="D137" s="103"/>
      <c r="E137" s="2"/>
      <c r="F137" s="2"/>
    </row>
    <row r="141" spans="1:6" ht="15">
      <c r="A141" s="102"/>
      <c r="B141" s="2"/>
    </row>
    <row r="142" spans="1:6" ht="15">
      <c r="A142" s="102"/>
      <c r="B142" s="2"/>
    </row>
    <row r="143" spans="1:6" ht="15">
      <c r="A143" s="102"/>
      <c r="B143" s="2"/>
    </row>
    <row r="144" spans="1:6" ht="13">
      <c r="A144" s="2"/>
      <c r="B144" s="2"/>
    </row>
    <row r="145" spans="1:2" ht="15">
      <c r="A145" s="102"/>
      <c r="B145" s="2"/>
    </row>
    <row r="146" spans="1:2" ht="13">
      <c r="A146" s="2"/>
      <c r="B146" s="2"/>
    </row>
    <row r="147" spans="1:2" ht="15">
      <c r="A147" s="102"/>
      <c r="B147" s="2"/>
    </row>
    <row r="148" spans="1:2" ht="15">
      <c r="A148" s="102"/>
      <c r="B148" s="2"/>
    </row>
    <row r="149" spans="1:2" ht="15">
      <c r="A149" s="102"/>
      <c r="B149" s="2"/>
    </row>
    <row r="150" spans="1:2" ht="15">
      <c r="A150" s="102"/>
      <c r="B150" s="2"/>
    </row>
    <row r="151" spans="1:2" ht="15">
      <c r="A151" s="104"/>
      <c r="B151" s="2"/>
    </row>
    <row r="152" spans="1:2" ht="13">
      <c r="A152" s="2"/>
      <c r="B152" s="2"/>
    </row>
    <row r="153" spans="1:2" ht="15">
      <c r="A153" s="102"/>
      <c r="B153" s="2"/>
    </row>
    <row r="154" spans="1:2" ht="15">
      <c r="A154" s="102"/>
      <c r="B154" s="2"/>
    </row>
    <row r="155" spans="1:2" ht="13">
      <c r="A155" s="2"/>
      <c r="B155" s="2"/>
    </row>
    <row r="156" spans="1:2" ht="13">
      <c r="A156" s="2"/>
      <c r="B156" s="2"/>
    </row>
    <row r="157" spans="1:2" ht="13">
      <c r="A157" s="2"/>
      <c r="B157" s="2"/>
    </row>
    <row r="158" spans="1:2" ht="13">
      <c r="A158" s="2"/>
      <c r="B158" s="2"/>
    </row>
    <row r="159" spans="1:2" ht="13">
      <c r="A159" s="2"/>
      <c r="B159" s="2"/>
    </row>
    <row r="160" spans="1:2" ht="13">
      <c r="A160" s="2"/>
      <c r="B160" s="2"/>
    </row>
    <row r="161" spans="1:2" ht="13">
      <c r="A161" s="2"/>
      <c r="B161" s="2"/>
    </row>
    <row r="162" spans="1:2" ht="13">
      <c r="A162" s="2"/>
      <c r="B162" s="2"/>
    </row>
  </sheetData>
  <autoFilter ref="A3:F55" xr:uid="{00000000-0009-0000-0000-000010000000}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0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28.83203125" customWidth="1"/>
    <col min="5" max="5" width="13.33203125" customWidth="1"/>
    <col min="6" max="6" width="8.5" customWidth="1"/>
    <col min="7" max="7" width="13.33203125" customWidth="1"/>
    <col min="8" max="8" width="5.1640625" customWidth="1"/>
    <col min="12" max="12" width="16.33203125" customWidth="1"/>
    <col min="13" max="13" width="20.33203125" customWidth="1"/>
  </cols>
  <sheetData>
    <row r="1" spans="1:13" ht="15.75" customHeight="1">
      <c r="A1" s="1" t="s">
        <v>280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L1" s="1" t="s">
        <v>290</v>
      </c>
    </row>
    <row r="2" spans="1:13" ht="15.75" customHeight="1">
      <c r="A2" s="2" t="s">
        <v>291</v>
      </c>
      <c r="B2" s="63" t="s">
        <v>292</v>
      </c>
      <c r="C2" s="65" t="s">
        <v>311</v>
      </c>
      <c r="D2" s="65" t="s">
        <v>312</v>
      </c>
      <c r="E2" s="66" t="s">
        <v>313</v>
      </c>
      <c r="F2" s="2">
        <v>8</v>
      </c>
      <c r="G2" s="2">
        <v>11</v>
      </c>
      <c r="H2" s="2">
        <v>20</v>
      </c>
      <c r="I2" s="2" t="s">
        <v>314</v>
      </c>
      <c r="J2" s="2">
        <v>1</v>
      </c>
      <c r="L2" s="2" t="s">
        <v>315</v>
      </c>
    </row>
    <row r="3" spans="1:13" ht="15.75" customHeight="1">
      <c r="A3" s="2" t="s">
        <v>316</v>
      </c>
      <c r="B3" s="67" t="s">
        <v>292</v>
      </c>
      <c r="C3" s="2" t="s">
        <v>317</v>
      </c>
      <c r="D3" s="2" t="s">
        <v>312</v>
      </c>
      <c r="E3" s="68" t="s">
        <v>313</v>
      </c>
      <c r="F3" s="2">
        <v>8</v>
      </c>
      <c r="G3" s="2">
        <v>11</v>
      </c>
      <c r="H3" s="2">
        <v>20</v>
      </c>
      <c r="I3" s="2" t="s">
        <v>318</v>
      </c>
      <c r="J3" s="2">
        <v>1</v>
      </c>
      <c r="L3" s="2" t="s">
        <v>315</v>
      </c>
    </row>
    <row r="4" spans="1:13" ht="15.75" customHeight="1">
      <c r="A4" s="2" t="s">
        <v>319</v>
      </c>
      <c r="B4" s="70" t="s">
        <v>292</v>
      </c>
      <c r="C4" s="71" t="s">
        <v>2</v>
      </c>
      <c r="D4" s="71" t="s">
        <v>312</v>
      </c>
      <c r="E4" s="72" t="s">
        <v>313</v>
      </c>
      <c r="F4" s="2">
        <v>8</v>
      </c>
      <c r="G4" s="2">
        <v>12</v>
      </c>
      <c r="H4" s="2">
        <v>11</v>
      </c>
      <c r="I4" s="2" t="s">
        <v>323</v>
      </c>
      <c r="J4" s="2">
        <v>1</v>
      </c>
      <c r="L4" s="2" t="s">
        <v>315</v>
      </c>
    </row>
    <row r="5" spans="1:13" ht="15.75" customHeight="1">
      <c r="A5" s="2" t="s">
        <v>324</v>
      </c>
      <c r="B5" s="67" t="s">
        <v>292</v>
      </c>
      <c r="C5" s="65" t="s">
        <v>311</v>
      </c>
      <c r="D5" s="65" t="s">
        <v>325</v>
      </c>
      <c r="E5" s="66" t="s">
        <v>326</v>
      </c>
      <c r="F5" s="2">
        <v>8</v>
      </c>
      <c r="G5" s="2">
        <v>10</v>
      </c>
      <c r="H5" s="2">
        <v>13</v>
      </c>
      <c r="I5" s="2" t="s">
        <v>314</v>
      </c>
      <c r="J5" s="2">
        <v>1</v>
      </c>
      <c r="L5" s="2" t="s">
        <v>327</v>
      </c>
      <c r="M5" s="2" t="s">
        <v>328</v>
      </c>
    </row>
    <row r="6" spans="1:13" ht="15.75" customHeight="1">
      <c r="A6" s="2" t="s">
        <v>329</v>
      </c>
      <c r="B6" s="67" t="s">
        <v>292</v>
      </c>
      <c r="C6" s="2" t="s">
        <v>317</v>
      </c>
      <c r="D6" s="2" t="s">
        <v>325</v>
      </c>
      <c r="E6" s="68" t="s">
        <v>326</v>
      </c>
      <c r="F6" s="2">
        <v>8</v>
      </c>
      <c r="G6" s="2">
        <v>10</v>
      </c>
      <c r="H6" s="2">
        <v>20</v>
      </c>
      <c r="I6" s="2" t="s">
        <v>318</v>
      </c>
      <c r="J6" s="2">
        <v>1</v>
      </c>
      <c r="L6" s="2" t="s">
        <v>327</v>
      </c>
      <c r="M6" s="2" t="s">
        <v>330</v>
      </c>
    </row>
    <row r="7" spans="1:13" ht="15.75" customHeight="1">
      <c r="A7" s="2" t="s">
        <v>331</v>
      </c>
      <c r="B7" s="70" t="s">
        <v>292</v>
      </c>
      <c r="C7" s="71" t="s">
        <v>2</v>
      </c>
      <c r="D7" s="71" t="s">
        <v>325</v>
      </c>
      <c r="E7" s="72" t="s">
        <v>332</v>
      </c>
      <c r="F7" s="2">
        <v>8</v>
      </c>
      <c r="G7" s="2">
        <v>10</v>
      </c>
      <c r="H7" s="2">
        <v>20</v>
      </c>
      <c r="I7" s="2" t="s">
        <v>323</v>
      </c>
      <c r="J7" s="2">
        <v>1</v>
      </c>
      <c r="L7" s="2" t="s">
        <v>333</v>
      </c>
    </row>
    <row r="8" spans="1:13" ht="15.75" customHeight="1">
      <c r="A8" s="2" t="s">
        <v>334</v>
      </c>
      <c r="B8" s="67" t="s">
        <v>292</v>
      </c>
      <c r="C8" s="65" t="s">
        <v>311</v>
      </c>
      <c r="D8" s="65" t="s">
        <v>335</v>
      </c>
      <c r="E8" s="66" t="s">
        <v>326</v>
      </c>
      <c r="F8" s="2">
        <v>8</v>
      </c>
      <c r="G8" s="2">
        <v>9</v>
      </c>
      <c r="H8" s="2">
        <v>21</v>
      </c>
      <c r="I8" s="2" t="s">
        <v>314</v>
      </c>
      <c r="J8" s="2">
        <v>1</v>
      </c>
      <c r="L8" s="2" t="s">
        <v>315</v>
      </c>
    </row>
    <row r="9" spans="1:13" ht="15.75" customHeight="1">
      <c r="A9" s="2" t="s">
        <v>336</v>
      </c>
      <c r="B9" s="67" t="s">
        <v>292</v>
      </c>
      <c r="C9" s="2" t="s">
        <v>317</v>
      </c>
      <c r="D9" s="2" t="s">
        <v>335</v>
      </c>
      <c r="E9" s="68" t="s">
        <v>326</v>
      </c>
      <c r="F9" s="2">
        <v>8</v>
      </c>
      <c r="G9" s="2">
        <v>9</v>
      </c>
      <c r="H9" s="2">
        <v>15</v>
      </c>
      <c r="I9" s="2" t="s">
        <v>318</v>
      </c>
      <c r="J9" s="2">
        <v>1</v>
      </c>
      <c r="L9" s="2" t="s">
        <v>315</v>
      </c>
    </row>
    <row r="10" spans="1:13" ht="15.75" customHeight="1">
      <c r="A10" s="2" t="s">
        <v>337</v>
      </c>
      <c r="B10" s="67" t="s">
        <v>292</v>
      </c>
      <c r="C10" s="71" t="s">
        <v>2</v>
      </c>
      <c r="D10" s="71" t="s">
        <v>335</v>
      </c>
      <c r="E10" s="72" t="s">
        <v>313</v>
      </c>
      <c r="F10" s="2">
        <v>8</v>
      </c>
      <c r="G10" s="2">
        <v>9</v>
      </c>
      <c r="H10" s="2">
        <v>21</v>
      </c>
      <c r="I10" s="2" t="s">
        <v>323</v>
      </c>
      <c r="J10" s="2">
        <v>1</v>
      </c>
      <c r="L10" s="2" t="s">
        <v>315</v>
      </c>
    </row>
    <row r="11" spans="1:13" ht="15.75" customHeight="1">
      <c r="A11" s="2" t="s">
        <v>338</v>
      </c>
      <c r="B11" s="63" t="s">
        <v>292</v>
      </c>
      <c r="C11" s="65" t="s">
        <v>311</v>
      </c>
      <c r="D11" s="65" t="s">
        <v>339</v>
      </c>
      <c r="E11" s="66" t="s">
        <v>326</v>
      </c>
      <c r="F11" s="2">
        <v>8</v>
      </c>
      <c r="G11" s="2">
        <v>11</v>
      </c>
      <c r="H11" s="2">
        <v>19</v>
      </c>
      <c r="I11" s="2" t="s">
        <v>314</v>
      </c>
      <c r="J11" s="2">
        <v>1</v>
      </c>
      <c r="L11" s="2" t="s">
        <v>327</v>
      </c>
      <c r="M11" s="2" t="s">
        <v>340</v>
      </c>
    </row>
    <row r="12" spans="1:13" ht="15.75" customHeight="1">
      <c r="A12" s="2" t="s">
        <v>341</v>
      </c>
      <c r="B12" s="67" t="s">
        <v>292</v>
      </c>
      <c r="C12" s="2" t="s">
        <v>317</v>
      </c>
      <c r="D12" s="2" t="s">
        <v>339</v>
      </c>
      <c r="E12" s="68" t="s">
        <v>326</v>
      </c>
      <c r="F12" s="2">
        <v>8</v>
      </c>
      <c r="G12" s="2">
        <v>11</v>
      </c>
      <c r="H12" s="2">
        <v>19</v>
      </c>
      <c r="I12" s="2" t="s">
        <v>318</v>
      </c>
      <c r="J12" s="2">
        <v>1</v>
      </c>
      <c r="L12" s="2" t="s">
        <v>327</v>
      </c>
      <c r="M12" s="2" t="s">
        <v>330</v>
      </c>
    </row>
    <row r="13" spans="1:13" ht="15.75" customHeight="1">
      <c r="A13" s="2" t="s">
        <v>342</v>
      </c>
      <c r="B13" s="70" t="s">
        <v>292</v>
      </c>
      <c r="C13" s="71" t="s">
        <v>2</v>
      </c>
      <c r="D13" s="71" t="s">
        <v>339</v>
      </c>
      <c r="E13" s="72" t="s">
        <v>332</v>
      </c>
      <c r="F13" s="2">
        <v>8</v>
      </c>
      <c r="G13" s="2">
        <v>12</v>
      </c>
      <c r="H13" s="2">
        <v>11</v>
      </c>
      <c r="I13" s="2" t="s">
        <v>323</v>
      </c>
      <c r="J13" s="2">
        <v>1</v>
      </c>
      <c r="L13" s="2" t="s">
        <v>333</v>
      </c>
    </row>
    <row r="14" spans="1:13" ht="15.75" customHeight="1">
      <c r="A14" s="2"/>
      <c r="B14" s="2"/>
      <c r="C14" s="2"/>
      <c r="D14" s="2"/>
      <c r="E14" s="2"/>
      <c r="F14" s="2"/>
      <c r="G14" s="2"/>
    </row>
    <row r="15" spans="1:13" ht="15.75" customHeight="1">
      <c r="A15" s="2" t="s">
        <v>343</v>
      </c>
      <c r="B15" s="63" t="s">
        <v>344</v>
      </c>
      <c r="C15" s="65" t="s">
        <v>311</v>
      </c>
      <c r="D15" s="65" t="s">
        <v>312</v>
      </c>
      <c r="E15" s="66" t="s">
        <v>313</v>
      </c>
      <c r="F15" s="2">
        <v>11</v>
      </c>
      <c r="G15" s="2">
        <v>14</v>
      </c>
      <c r="H15" s="2">
        <v>17</v>
      </c>
      <c r="I15" s="2" t="s">
        <v>345</v>
      </c>
      <c r="J15" s="2">
        <v>1</v>
      </c>
      <c r="L15" s="2" t="s">
        <v>315</v>
      </c>
    </row>
    <row r="16" spans="1:13" ht="15.75" customHeight="1">
      <c r="A16" s="2" t="s">
        <v>346</v>
      </c>
      <c r="B16" s="67" t="s">
        <v>344</v>
      </c>
      <c r="C16" s="2" t="s">
        <v>317</v>
      </c>
      <c r="D16" s="2" t="s">
        <v>312</v>
      </c>
      <c r="E16" s="68" t="s">
        <v>313</v>
      </c>
      <c r="F16" s="2">
        <v>11</v>
      </c>
      <c r="G16" s="2">
        <v>14</v>
      </c>
      <c r="H16" s="2">
        <v>17</v>
      </c>
      <c r="I16" s="2" t="s">
        <v>347</v>
      </c>
      <c r="J16" s="2">
        <v>1</v>
      </c>
      <c r="L16" s="2" t="s">
        <v>315</v>
      </c>
    </row>
    <row r="17" spans="1:14" ht="15.75" customHeight="1">
      <c r="A17" s="2" t="s">
        <v>348</v>
      </c>
      <c r="B17" s="70" t="s">
        <v>344</v>
      </c>
      <c r="C17" s="71" t="s">
        <v>2</v>
      </c>
      <c r="D17" s="71" t="s">
        <v>312</v>
      </c>
      <c r="E17" s="72" t="s">
        <v>313</v>
      </c>
      <c r="F17" s="2">
        <v>11</v>
      </c>
      <c r="G17" s="2">
        <v>15</v>
      </c>
      <c r="H17" s="2">
        <v>14</v>
      </c>
      <c r="I17" s="2" t="s">
        <v>349</v>
      </c>
      <c r="J17" s="2">
        <v>1</v>
      </c>
      <c r="L17" s="2" t="s">
        <v>315</v>
      </c>
    </row>
    <row r="18" spans="1:14" ht="15.75" customHeight="1">
      <c r="A18" s="2" t="s">
        <v>350</v>
      </c>
      <c r="B18" s="63" t="s">
        <v>344</v>
      </c>
      <c r="C18" s="65" t="s">
        <v>311</v>
      </c>
      <c r="D18" s="65" t="s">
        <v>325</v>
      </c>
      <c r="E18" s="66" t="s">
        <v>326</v>
      </c>
      <c r="F18" s="2">
        <v>11</v>
      </c>
      <c r="G18" s="2">
        <v>13</v>
      </c>
      <c r="H18" s="2">
        <v>16</v>
      </c>
      <c r="I18" s="2" t="s">
        <v>345</v>
      </c>
      <c r="J18" s="2">
        <v>1</v>
      </c>
      <c r="L18" s="2" t="s">
        <v>327</v>
      </c>
      <c r="M18" s="2" t="s">
        <v>328</v>
      </c>
    </row>
    <row r="19" spans="1:14" ht="15.75" customHeight="1">
      <c r="A19" s="2" t="s">
        <v>351</v>
      </c>
      <c r="B19" s="67" t="s">
        <v>344</v>
      </c>
      <c r="C19" s="2" t="s">
        <v>317</v>
      </c>
      <c r="D19" s="2" t="s">
        <v>325</v>
      </c>
      <c r="E19" s="68" t="s">
        <v>326</v>
      </c>
      <c r="F19" s="2">
        <v>11</v>
      </c>
      <c r="G19" s="2">
        <v>13</v>
      </c>
      <c r="H19" s="2">
        <v>17</v>
      </c>
      <c r="I19" s="2" t="s">
        <v>347</v>
      </c>
      <c r="J19" s="2">
        <v>1</v>
      </c>
      <c r="L19" s="2" t="s">
        <v>327</v>
      </c>
      <c r="M19" s="2" t="s">
        <v>330</v>
      </c>
      <c r="N19" s="2" t="s">
        <v>352</v>
      </c>
    </row>
    <row r="20" spans="1:14" ht="15.75" customHeight="1">
      <c r="A20" s="2" t="s">
        <v>353</v>
      </c>
      <c r="B20" s="70" t="s">
        <v>344</v>
      </c>
      <c r="C20" s="71" t="s">
        <v>2</v>
      </c>
      <c r="D20" s="71" t="s">
        <v>325</v>
      </c>
      <c r="E20" s="72" t="s">
        <v>332</v>
      </c>
      <c r="F20" s="2">
        <v>11</v>
      </c>
      <c r="G20" s="2">
        <v>13</v>
      </c>
      <c r="H20" s="2">
        <v>17</v>
      </c>
      <c r="I20" s="2" t="s">
        <v>349</v>
      </c>
      <c r="J20" s="2">
        <v>1</v>
      </c>
      <c r="L20" s="2" t="s">
        <v>333</v>
      </c>
    </row>
    <row r="21" spans="1:14" ht="15.75" customHeight="1">
      <c r="A21" s="2" t="s">
        <v>354</v>
      </c>
      <c r="B21" s="63" t="s">
        <v>344</v>
      </c>
      <c r="C21" s="65" t="s">
        <v>311</v>
      </c>
      <c r="D21" s="65" t="s">
        <v>335</v>
      </c>
      <c r="E21" s="66" t="s">
        <v>326</v>
      </c>
      <c r="F21" s="2">
        <v>11</v>
      </c>
      <c r="G21" s="2">
        <v>12</v>
      </c>
      <c r="H21" s="2">
        <v>16</v>
      </c>
      <c r="I21" s="2" t="s">
        <v>345</v>
      </c>
      <c r="J21" s="2">
        <v>1</v>
      </c>
      <c r="L21" s="2" t="s">
        <v>315</v>
      </c>
    </row>
    <row r="22" spans="1:14" ht="15.75" customHeight="1">
      <c r="A22" s="2" t="s">
        <v>355</v>
      </c>
      <c r="B22" s="67" t="s">
        <v>344</v>
      </c>
      <c r="C22" s="2" t="s">
        <v>317</v>
      </c>
      <c r="D22" s="2" t="s">
        <v>335</v>
      </c>
      <c r="E22" s="68" t="s">
        <v>332</v>
      </c>
      <c r="F22" s="2">
        <v>11</v>
      </c>
      <c r="G22" s="2">
        <v>12</v>
      </c>
      <c r="H22" s="2">
        <v>18</v>
      </c>
      <c r="I22" s="2" t="s">
        <v>347</v>
      </c>
      <c r="J22" s="2">
        <v>1</v>
      </c>
      <c r="L22" s="2" t="s">
        <v>333</v>
      </c>
    </row>
    <row r="23" spans="1:14" ht="15.75" customHeight="1">
      <c r="A23" s="2" t="s">
        <v>357</v>
      </c>
      <c r="B23" s="70" t="s">
        <v>344</v>
      </c>
      <c r="C23" s="71" t="s">
        <v>2</v>
      </c>
      <c r="D23" s="71" t="s">
        <v>335</v>
      </c>
      <c r="E23" s="72" t="s">
        <v>332</v>
      </c>
      <c r="F23" s="2">
        <v>11</v>
      </c>
      <c r="G23" s="2">
        <v>12</v>
      </c>
      <c r="H23" s="2">
        <v>18</v>
      </c>
      <c r="I23" s="2" t="s">
        <v>349</v>
      </c>
      <c r="J23" s="2">
        <v>1</v>
      </c>
      <c r="L23" s="2" t="s">
        <v>333</v>
      </c>
    </row>
    <row r="24" spans="1:14" ht="15.75" customHeight="1">
      <c r="A24" s="2" t="s">
        <v>358</v>
      </c>
      <c r="B24" s="63" t="s">
        <v>344</v>
      </c>
      <c r="C24" s="65" t="s">
        <v>311</v>
      </c>
      <c r="D24" s="65" t="s">
        <v>339</v>
      </c>
      <c r="E24" s="66" t="s">
        <v>326</v>
      </c>
      <c r="F24" s="2">
        <v>11</v>
      </c>
      <c r="G24" s="2">
        <v>14</v>
      </c>
      <c r="H24" s="2">
        <v>16</v>
      </c>
      <c r="I24" s="2" t="s">
        <v>345</v>
      </c>
      <c r="J24" s="2">
        <v>1</v>
      </c>
      <c r="L24" s="2" t="s">
        <v>327</v>
      </c>
      <c r="M24" s="2" t="s">
        <v>328</v>
      </c>
    </row>
    <row r="25" spans="1:14" ht="15.75" customHeight="1">
      <c r="A25" s="2" t="s">
        <v>359</v>
      </c>
      <c r="B25" s="67" t="s">
        <v>344</v>
      </c>
      <c r="C25" s="2" t="s">
        <v>317</v>
      </c>
      <c r="D25" s="2" t="s">
        <v>339</v>
      </c>
      <c r="E25" s="68" t="s">
        <v>326</v>
      </c>
      <c r="F25" s="2">
        <v>11</v>
      </c>
      <c r="G25" s="2">
        <v>14</v>
      </c>
      <c r="H25" s="2">
        <v>16</v>
      </c>
      <c r="I25" s="2" t="s">
        <v>347</v>
      </c>
      <c r="J25" s="2">
        <v>1</v>
      </c>
      <c r="L25" s="2" t="s">
        <v>327</v>
      </c>
      <c r="M25" s="2" t="s">
        <v>330</v>
      </c>
      <c r="N25" s="2" t="s">
        <v>352</v>
      </c>
    </row>
    <row r="26" spans="1:14" ht="15.75" customHeight="1">
      <c r="A26" s="2" t="s">
        <v>360</v>
      </c>
      <c r="B26" s="70" t="s">
        <v>344</v>
      </c>
      <c r="C26" s="71" t="s">
        <v>2</v>
      </c>
      <c r="D26" s="71" t="s">
        <v>339</v>
      </c>
      <c r="E26" s="72" t="s">
        <v>332</v>
      </c>
      <c r="F26" s="2">
        <v>11</v>
      </c>
      <c r="G26" s="2">
        <v>15</v>
      </c>
      <c r="H26" s="2">
        <v>14</v>
      </c>
      <c r="I26" s="2" t="s">
        <v>349</v>
      </c>
      <c r="J26" s="2">
        <v>1</v>
      </c>
      <c r="L26" s="2" t="s">
        <v>333</v>
      </c>
    </row>
    <row r="27" spans="1:14" ht="15.75" customHeight="1">
      <c r="A27" s="2"/>
      <c r="B27" s="2"/>
      <c r="C27" s="2"/>
      <c r="D27" s="2"/>
      <c r="E27" s="2"/>
    </row>
    <row r="28" spans="1:14" ht="15.75" customHeight="1">
      <c r="A28" s="2" t="s">
        <v>361</v>
      </c>
      <c r="B28" s="63" t="s">
        <v>362</v>
      </c>
      <c r="C28" s="65" t="s">
        <v>311</v>
      </c>
      <c r="D28" s="65" t="s">
        <v>312</v>
      </c>
      <c r="E28" s="66" t="s">
        <v>313</v>
      </c>
      <c r="F28" s="2">
        <v>14</v>
      </c>
      <c r="G28" s="2">
        <v>16</v>
      </c>
      <c r="H28" s="2">
        <v>19</v>
      </c>
      <c r="I28" s="2" t="s">
        <v>363</v>
      </c>
      <c r="J28" s="2">
        <v>1</v>
      </c>
      <c r="L28" s="2" t="s">
        <v>315</v>
      </c>
    </row>
    <row r="29" spans="1:14" ht="15.75" customHeight="1">
      <c r="A29" s="2" t="s">
        <v>364</v>
      </c>
      <c r="B29" s="67" t="s">
        <v>362</v>
      </c>
      <c r="C29" s="2" t="s">
        <v>317</v>
      </c>
      <c r="D29" s="2" t="s">
        <v>312</v>
      </c>
      <c r="E29" s="68" t="s">
        <v>313</v>
      </c>
      <c r="F29" s="2">
        <v>14</v>
      </c>
      <c r="G29" s="2">
        <v>16</v>
      </c>
      <c r="H29" s="2">
        <v>19</v>
      </c>
      <c r="I29" s="2" t="s">
        <v>365</v>
      </c>
      <c r="J29" s="2">
        <v>1</v>
      </c>
      <c r="L29" s="2" t="s">
        <v>315</v>
      </c>
    </row>
    <row r="30" spans="1:14" ht="15.75" customHeight="1">
      <c r="A30" s="2" t="s">
        <v>366</v>
      </c>
      <c r="B30" s="70" t="s">
        <v>362</v>
      </c>
      <c r="C30" s="71" t="s">
        <v>2</v>
      </c>
      <c r="D30" s="71" t="s">
        <v>312</v>
      </c>
      <c r="E30" s="72" t="s">
        <v>313</v>
      </c>
      <c r="F30" s="2">
        <v>14</v>
      </c>
      <c r="G30" s="2">
        <v>17</v>
      </c>
      <c r="H30" s="2">
        <v>16</v>
      </c>
      <c r="I30" s="2" t="s">
        <v>367</v>
      </c>
      <c r="J30" s="2">
        <v>1</v>
      </c>
      <c r="L30" s="2" t="s">
        <v>315</v>
      </c>
    </row>
    <row r="31" spans="1:14" ht="15.75" customHeight="1">
      <c r="A31" s="2" t="s">
        <v>368</v>
      </c>
      <c r="B31" s="63" t="s">
        <v>362</v>
      </c>
      <c r="C31" s="65" t="s">
        <v>311</v>
      </c>
      <c r="D31" s="65" t="s">
        <v>325</v>
      </c>
      <c r="E31" s="66" t="s">
        <v>326</v>
      </c>
      <c r="F31" s="2">
        <v>14</v>
      </c>
      <c r="G31" s="2">
        <v>16</v>
      </c>
      <c r="H31" s="2">
        <v>19</v>
      </c>
      <c r="I31" s="2" t="s">
        <v>363</v>
      </c>
      <c r="J31" s="2">
        <v>1</v>
      </c>
      <c r="L31" s="2" t="s">
        <v>327</v>
      </c>
      <c r="M31" s="2" t="s">
        <v>328</v>
      </c>
    </row>
    <row r="32" spans="1:14" ht="13">
      <c r="A32" s="2" t="s">
        <v>369</v>
      </c>
      <c r="B32" s="67" t="s">
        <v>362</v>
      </c>
      <c r="C32" s="2" t="s">
        <v>317</v>
      </c>
      <c r="D32" s="2" t="s">
        <v>325</v>
      </c>
      <c r="E32" s="68" t="s">
        <v>326</v>
      </c>
      <c r="F32" s="2">
        <v>14</v>
      </c>
      <c r="G32" s="2">
        <v>16</v>
      </c>
      <c r="H32" s="2">
        <v>19</v>
      </c>
      <c r="I32" s="2" t="s">
        <v>365</v>
      </c>
      <c r="J32" s="2">
        <v>1</v>
      </c>
      <c r="L32" s="2" t="s">
        <v>327</v>
      </c>
      <c r="M32" s="2" t="s">
        <v>328</v>
      </c>
    </row>
    <row r="33" spans="1:13" ht="13">
      <c r="A33" s="2" t="s">
        <v>370</v>
      </c>
      <c r="B33" s="70" t="s">
        <v>362</v>
      </c>
      <c r="C33" s="71" t="s">
        <v>2</v>
      </c>
      <c r="D33" s="71" t="s">
        <v>325</v>
      </c>
      <c r="E33" s="72" t="s">
        <v>332</v>
      </c>
      <c r="F33" s="2">
        <v>14</v>
      </c>
      <c r="G33" s="2">
        <v>17</v>
      </c>
      <c r="H33" s="2">
        <v>16</v>
      </c>
      <c r="I33" s="2" t="s">
        <v>367</v>
      </c>
      <c r="J33" s="2">
        <v>1</v>
      </c>
      <c r="L33" s="2" t="s">
        <v>333</v>
      </c>
    </row>
    <row r="34" spans="1:13" ht="13">
      <c r="A34" s="2" t="s">
        <v>371</v>
      </c>
      <c r="B34" s="63" t="s">
        <v>362</v>
      </c>
      <c r="C34" s="65" t="s">
        <v>311</v>
      </c>
      <c r="D34" s="65" t="s">
        <v>335</v>
      </c>
      <c r="E34" s="66" t="s">
        <v>332</v>
      </c>
      <c r="F34" s="2">
        <v>14</v>
      </c>
      <c r="G34" s="2">
        <v>15</v>
      </c>
      <c r="H34" s="2">
        <v>19</v>
      </c>
      <c r="I34" s="2" t="s">
        <v>363</v>
      </c>
      <c r="J34" s="2">
        <v>1</v>
      </c>
      <c r="L34" s="2" t="s">
        <v>333</v>
      </c>
    </row>
    <row r="35" spans="1:13" ht="13">
      <c r="A35" s="2" t="s">
        <v>372</v>
      </c>
      <c r="B35" s="67" t="s">
        <v>362</v>
      </c>
      <c r="C35" s="2" t="s">
        <v>317</v>
      </c>
      <c r="D35" s="2" t="s">
        <v>335</v>
      </c>
      <c r="E35" s="68" t="s">
        <v>332</v>
      </c>
      <c r="F35" s="2">
        <v>14</v>
      </c>
      <c r="G35" s="2">
        <v>15</v>
      </c>
      <c r="H35" s="2">
        <v>20</v>
      </c>
      <c r="I35" s="2" t="s">
        <v>365</v>
      </c>
      <c r="J35" s="2">
        <v>1</v>
      </c>
      <c r="L35" s="2" t="s">
        <v>333</v>
      </c>
    </row>
    <row r="36" spans="1:13" ht="13">
      <c r="A36" s="2" t="s">
        <v>373</v>
      </c>
      <c r="B36" s="70" t="s">
        <v>362</v>
      </c>
      <c r="C36" s="71" t="s">
        <v>2</v>
      </c>
      <c r="D36" s="71" t="s">
        <v>335</v>
      </c>
      <c r="E36" s="72" t="s">
        <v>332</v>
      </c>
      <c r="F36" s="2">
        <v>14</v>
      </c>
      <c r="G36" s="2">
        <v>15</v>
      </c>
      <c r="H36" s="2">
        <v>20</v>
      </c>
      <c r="I36" s="2" t="s">
        <v>367</v>
      </c>
      <c r="J36" s="2">
        <v>1</v>
      </c>
      <c r="L36" s="2" t="s">
        <v>333</v>
      </c>
    </row>
    <row r="37" spans="1:13" ht="13">
      <c r="A37" s="2" t="s">
        <v>374</v>
      </c>
      <c r="B37" s="63" t="s">
        <v>362</v>
      </c>
      <c r="C37" s="65" t="s">
        <v>311</v>
      </c>
      <c r="D37" s="65" t="s">
        <v>339</v>
      </c>
      <c r="E37" s="66" t="s">
        <v>332</v>
      </c>
      <c r="F37" s="2">
        <v>14</v>
      </c>
      <c r="G37" s="2">
        <v>16</v>
      </c>
      <c r="H37" s="2">
        <v>15</v>
      </c>
      <c r="I37" s="2" t="s">
        <v>363</v>
      </c>
      <c r="J37" s="2">
        <v>1</v>
      </c>
      <c r="L37" s="2" t="s">
        <v>375</v>
      </c>
      <c r="M37" s="2" t="s">
        <v>376</v>
      </c>
    </row>
    <row r="38" spans="1:13" ht="13">
      <c r="A38" s="2" t="s">
        <v>377</v>
      </c>
      <c r="B38" s="67" t="s">
        <v>362</v>
      </c>
      <c r="C38" s="2" t="s">
        <v>317</v>
      </c>
      <c r="D38" s="2" t="s">
        <v>339</v>
      </c>
      <c r="E38" s="68" t="s">
        <v>332</v>
      </c>
      <c r="F38" s="2">
        <v>14</v>
      </c>
      <c r="G38" s="2">
        <v>15</v>
      </c>
      <c r="H38" s="2">
        <v>18</v>
      </c>
      <c r="I38" s="2" t="s">
        <v>365</v>
      </c>
      <c r="J38" s="2">
        <v>1</v>
      </c>
      <c r="L38" s="2" t="s">
        <v>375</v>
      </c>
      <c r="M38" s="2" t="s">
        <v>376</v>
      </c>
    </row>
    <row r="39" spans="1:13" ht="13">
      <c r="A39" s="2" t="s">
        <v>378</v>
      </c>
      <c r="B39" s="70" t="s">
        <v>362</v>
      </c>
      <c r="C39" s="71" t="s">
        <v>2</v>
      </c>
      <c r="D39" s="71" t="s">
        <v>339</v>
      </c>
      <c r="E39" s="72" t="s">
        <v>332</v>
      </c>
      <c r="F39" s="2">
        <v>14</v>
      </c>
      <c r="G39" s="2">
        <v>15</v>
      </c>
      <c r="H39" s="2">
        <v>18</v>
      </c>
      <c r="I39" s="2" t="s">
        <v>367</v>
      </c>
      <c r="J39" s="2">
        <v>1</v>
      </c>
      <c r="L39" s="2" t="s">
        <v>333</v>
      </c>
    </row>
    <row r="40" spans="1:13" ht="13">
      <c r="A40" s="2"/>
      <c r="B40" s="2"/>
      <c r="C40" s="2"/>
      <c r="D40" s="2"/>
      <c r="E40" s="2"/>
    </row>
    <row r="41" spans="1:13" ht="13">
      <c r="A41" s="2" t="s">
        <v>381</v>
      </c>
      <c r="B41" s="73" t="s">
        <v>382</v>
      </c>
      <c r="C41" s="65" t="s">
        <v>311</v>
      </c>
      <c r="D41" s="65" t="s">
        <v>312</v>
      </c>
      <c r="E41" s="66" t="s">
        <v>313</v>
      </c>
      <c r="F41" s="2">
        <v>17</v>
      </c>
      <c r="G41" s="2">
        <v>18</v>
      </c>
      <c r="H41" s="2">
        <v>21</v>
      </c>
      <c r="I41" s="2" t="s">
        <v>384</v>
      </c>
      <c r="J41" s="2">
        <v>1</v>
      </c>
      <c r="L41" s="2" t="s">
        <v>315</v>
      </c>
    </row>
    <row r="42" spans="1:13" ht="13">
      <c r="A42" s="2" t="s">
        <v>385</v>
      </c>
      <c r="B42" s="74" t="s">
        <v>382</v>
      </c>
      <c r="C42" s="2" t="s">
        <v>317</v>
      </c>
      <c r="D42" s="2" t="s">
        <v>312</v>
      </c>
      <c r="E42" s="68" t="s">
        <v>313</v>
      </c>
      <c r="F42" s="2">
        <v>17</v>
      </c>
      <c r="G42" s="2">
        <v>18</v>
      </c>
      <c r="H42" s="2">
        <v>21</v>
      </c>
      <c r="I42" s="2" t="s">
        <v>386</v>
      </c>
      <c r="J42" s="2">
        <v>1</v>
      </c>
      <c r="L42" s="2" t="s">
        <v>315</v>
      </c>
    </row>
    <row r="43" spans="1:13" ht="13">
      <c r="A43" s="2" t="s">
        <v>387</v>
      </c>
      <c r="B43" s="75" t="s">
        <v>382</v>
      </c>
      <c r="C43" s="71" t="s">
        <v>2</v>
      </c>
      <c r="D43" s="71" t="s">
        <v>312</v>
      </c>
      <c r="E43" s="72" t="s">
        <v>313</v>
      </c>
      <c r="F43" s="2">
        <v>17</v>
      </c>
      <c r="G43" s="2">
        <v>18</v>
      </c>
      <c r="H43" s="2">
        <v>20</v>
      </c>
      <c r="I43" s="2" t="s">
        <v>389</v>
      </c>
      <c r="J43" s="2">
        <v>1</v>
      </c>
      <c r="L43" s="2" t="s">
        <v>315</v>
      </c>
    </row>
    <row r="44" spans="1:13" ht="13">
      <c r="A44" s="2" t="s">
        <v>390</v>
      </c>
      <c r="B44" s="73" t="s">
        <v>382</v>
      </c>
      <c r="C44" s="65" t="s">
        <v>311</v>
      </c>
      <c r="D44" s="65" t="s">
        <v>325</v>
      </c>
      <c r="E44" s="66" t="s">
        <v>332</v>
      </c>
      <c r="F44" s="2">
        <v>17</v>
      </c>
      <c r="G44" s="2">
        <v>18</v>
      </c>
      <c r="H44" s="2">
        <v>21</v>
      </c>
      <c r="I44" s="2" t="s">
        <v>384</v>
      </c>
      <c r="J44" s="2">
        <v>1</v>
      </c>
      <c r="L44" s="2" t="s">
        <v>333</v>
      </c>
    </row>
    <row r="45" spans="1:13" ht="13">
      <c r="A45" s="30" t="s">
        <v>391</v>
      </c>
      <c r="B45" s="74" t="s">
        <v>382</v>
      </c>
      <c r="C45" s="2" t="s">
        <v>317</v>
      </c>
      <c r="D45" s="2" t="s">
        <v>325</v>
      </c>
      <c r="E45" s="68" t="s">
        <v>332</v>
      </c>
      <c r="F45" s="2">
        <v>17</v>
      </c>
      <c r="G45" s="2">
        <v>18</v>
      </c>
      <c r="H45" s="2">
        <v>21</v>
      </c>
      <c r="I45" s="2" t="s">
        <v>386</v>
      </c>
      <c r="J45" s="2">
        <v>1</v>
      </c>
      <c r="L45" s="2" t="s">
        <v>333</v>
      </c>
    </row>
    <row r="46" spans="1:13" ht="13">
      <c r="A46" s="30" t="s">
        <v>392</v>
      </c>
      <c r="B46" s="70" t="s">
        <v>382</v>
      </c>
      <c r="C46" s="71" t="s">
        <v>2</v>
      </c>
      <c r="D46" s="71" t="s">
        <v>325</v>
      </c>
      <c r="E46" s="72" t="s">
        <v>332</v>
      </c>
      <c r="F46" s="2">
        <v>17</v>
      </c>
      <c r="G46" s="2">
        <v>19</v>
      </c>
      <c r="H46" s="2">
        <v>18</v>
      </c>
      <c r="I46" s="2" t="s">
        <v>389</v>
      </c>
      <c r="J46" s="2">
        <v>1</v>
      </c>
      <c r="L46" s="2" t="s">
        <v>333</v>
      </c>
    </row>
    <row r="47" spans="1:13" ht="13">
      <c r="A47" s="30" t="s">
        <v>393</v>
      </c>
      <c r="B47" s="73" t="s">
        <v>382</v>
      </c>
      <c r="C47" s="65" t="s">
        <v>311</v>
      </c>
      <c r="D47" s="65" t="s">
        <v>335</v>
      </c>
      <c r="E47" s="66" t="s">
        <v>332</v>
      </c>
      <c r="F47" s="2">
        <v>17</v>
      </c>
      <c r="G47" s="2">
        <v>18</v>
      </c>
      <c r="H47" s="2">
        <v>22</v>
      </c>
      <c r="I47" s="2" t="s">
        <v>384</v>
      </c>
      <c r="J47" s="2">
        <v>1</v>
      </c>
      <c r="L47" s="2" t="s">
        <v>333</v>
      </c>
    </row>
    <row r="48" spans="1:13" ht="13">
      <c r="A48" s="30" t="s">
        <v>394</v>
      </c>
      <c r="B48" s="74" t="s">
        <v>382</v>
      </c>
      <c r="C48" s="2" t="s">
        <v>317</v>
      </c>
      <c r="D48" s="2" t="s">
        <v>335</v>
      </c>
      <c r="E48" s="68" t="s">
        <v>332</v>
      </c>
      <c r="F48" s="2">
        <v>17</v>
      </c>
      <c r="G48" s="2">
        <v>18</v>
      </c>
      <c r="H48" s="2">
        <v>22</v>
      </c>
      <c r="I48" s="2" t="s">
        <v>386</v>
      </c>
      <c r="J48" s="2">
        <v>1</v>
      </c>
      <c r="L48" s="2" t="s">
        <v>333</v>
      </c>
    </row>
    <row r="49" spans="1:13" ht="13">
      <c r="A49" s="30" t="s">
        <v>395</v>
      </c>
      <c r="B49" s="75" t="s">
        <v>382</v>
      </c>
      <c r="C49" s="71" t="s">
        <v>2</v>
      </c>
      <c r="D49" s="71" t="s">
        <v>335</v>
      </c>
      <c r="E49" s="72" t="s">
        <v>332</v>
      </c>
      <c r="F49" s="2">
        <v>17</v>
      </c>
      <c r="G49" s="2">
        <v>19</v>
      </c>
      <c r="H49" s="2">
        <v>18</v>
      </c>
      <c r="I49" s="2" t="s">
        <v>389</v>
      </c>
      <c r="J49" s="2">
        <v>1</v>
      </c>
      <c r="L49" s="2" t="s">
        <v>333</v>
      </c>
    </row>
    <row r="50" spans="1:13" ht="13">
      <c r="A50" s="30" t="s">
        <v>396</v>
      </c>
      <c r="B50" s="63" t="s">
        <v>382</v>
      </c>
      <c r="C50" s="65" t="s">
        <v>311</v>
      </c>
      <c r="D50" s="65" t="s">
        <v>339</v>
      </c>
      <c r="E50" s="66" t="s">
        <v>332</v>
      </c>
      <c r="F50" s="2">
        <v>17</v>
      </c>
      <c r="G50" s="2">
        <v>19</v>
      </c>
      <c r="H50" s="2">
        <v>18</v>
      </c>
      <c r="I50" s="2" t="s">
        <v>384</v>
      </c>
      <c r="J50" s="2">
        <v>1</v>
      </c>
      <c r="L50" s="2" t="s">
        <v>333</v>
      </c>
    </row>
    <row r="51" spans="1:13" ht="13">
      <c r="A51" s="30" t="s">
        <v>397</v>
      </c>
      <c r="B51" s="67" t="s">
        <v>382</v>
      </c>
      <c r="C51" s="2" t="s">
        <v>317</v>
      </c>
      <c r="D51" s="2" t="s">
        <v>339</v>
      </c>
      <c r="E51" s="68" t="s">
        <v>332</v>
      </c>
      <c r="F51" s="2">
        <v>17</v>
      </c>
      <c r="G51" s="2">
        <v>18</v>
      </c>
      <c r="H51" s="2">
        <v>20</v>
      </c>
      <c r="I51" s="2" t="s">
        <v>386</v>
      </c>
      <c r="J51" s="2">
        <v>1</v>
      </c>
      <c r="L51" s="2" t="s">
        <v>333</v>
      </c>
    </row>
    <row r="52" spans="1:13" ht="13">
      <c r="A52" s="30" t="s">
        <v>398</v>
      </c>
      <c r="B52" s="70" t="s">
        <v>382</v>
      </c>
      <c r="C52" s="71" t="s">
        <v>2</v>
      </c>
      <c r="D52" s="71" t="s">
        <v>339</v>
      </c>
      <c r="E52" s="72" t="s">
        <v>332</v>
      </c>
      <c r="F52" s="2">
        <v>17</v>
      </c>
      <c r="G52" s="2">
        <v>18</v>
      </c>
      <c r="H52" s="2">
        <v>20</v>
      </c>
      <c r="I52" s="2" t="s">
        <v>389</v>
      </c>
      <c r="J52" s="2">
        <v>1</v>
      </c>
      <c r="L52" s="2" t="s">
        <v>375</v>
      </c>
      <c r="M52" s="2" t="s">
        <v>340</v>
      </c>
    </row>
    <row r="53" spans="1:13" ht="13">
      <c r="A53" s="76"/>
      <c r="B53" s="76"/>
      <c r="J53" s="2"/>
    </row>
    <row r="54" spans="1:13" ht="13">
      <c r="A54" s="2" t="s">
        <v>399</v>
      </c>
      <c r="B54" s="63" t="s">
        <v>400</v>
      </c>
      <c r="C54" s="65" t="s">
        <v>2</v>
      </c>
      <c r="D54" s="65" t="s">
        <v>2</v>
      </c>
      <c r="E54" s="66" t="s">
        <v>332</v>
      </c>
      <c r="F54" s="2">
        <v>11</v>
      </c>
      <c r="G54" s="2">
        <v>13</v>
      </c>
      <c r="H54" s="2">
        <v>12</v>
      </c>
      <c r="I54" s="2" t="s">
        <v>401</v>
      </c>
      <c r="J54" s="2">
        <v>1</v>
      </c>
      <c r="L54" s="2" t="s">
        <v>402</v>
      </c>
    </row>
    <row r="55" spans="1:13" ht="13">
      <c r="A55" s="2" t="s">
        <v>403</v>
      </c>
      <c r="B55" s="67" t="s">
        <v>400</v>
      </c>
      <c r="C55" s="2" t="s">
        <v>2</v>
      </c>
      <c r="D55" s="2" t="s">
        <v>404</v>
      </c>
      <c r="E55" s="68" t="s">
        <v>332</v>
      </c>
      <c r="F55" s="2">
        <v>11</v>
      </c>
      <c r="G55" s="2">
        <v>13</v>
      </c>
      <c r="H55" s="2">
        <v>12</v>
      </c>
      <c r="I55" s="2" t="s">
        <v>401</v>
      </c>
      <c r="J55" s="2">
        <v>1</v>
      </c>
      <c r="L55" s="2" t="s">
        <v>402</v>
      </c>
    </row>
    <row r="56" spans="1:13" ht="13">
      <c r="A56" s="2" t="s">
        <v>405</v>
      </c>
      <c r="B56" s="67" t="s">
        <v>400</v>
      </c>
      <c r="C56" s="2" t="s">
        <v>2</v>
      </c>
      <c r="D56" s="2" t="s">
        <v>406</v>
      </c>
      <c r="E56" s="68" t="s">
        <v>313</v>
      </c>
      <c r="F56" s="2">
        <v>11</v>
      </c>
      <c r="G56" s="2">
        <v>13</v>
      </c>
      <c r="H56" s="2">
        <v>12</v>
      </c>
      <c r="I56" s="2" t="s">
        <v>401</v>
      </c>
      <c r="J56" s="2">
        <v>1</v>
      </c>
      <c r="L56" s="2" t="s">
        <v>402</v>
      </c>
    </row>
    <row r="57" spans="1:13" ht="13">
      <c r="A57" s="2" t="s">
        <v>408</v>
      </c>
      <c r="B57" s="67" t="s">
        <v>400</v>
      </c>
      <c r="C57" s="2" t="s">
        <v>2</v>
      </c>
      <c r="D57" s="2" t="s">
        <v>409</v>
      </c>
      <c r="E57" s="68" t="s">
        <v>332</v>
      </c>
      <c r="F57" s="2">
        <v>11</v>
      </c>
      <c r="G57" s="2">
        <v>13</v>
      </c>
      <c r="H57" s="2">
        <v>12</v>
      </c>
      <c r="I57" s="2" t="s">
        <v>401</v>
      </c>
      <c r="J57" s="2">
        <v>1</v>
      </c>
      <c r="L57" s="2" t="s">
        <v>402</v>
      </c>
    </row>
    <row r="58" spans="1:13" ht="13">
      <c r="A58" s="2" t="s">
        <v>410</v>
      </c>
      <c r="B58" s="70" t="s">
        <v>400</v>
      </c>
      <c r="C58" s="71" t="s">
        <v>2</v>
      </c>
      <c r="D58" s="71" t="s">
        <v>411</v>
      </c>
      <c r="E58" s="72" t="s">
        <v>332</v>
      </c>
      <c r="F58" s="2">
        <v>11</v>
      </c>
      <c r="G58" s="2">
        <v>16</v>
      </c>
      <c r="H58" s="2">
        <v>12</v>
      </c>
      <c r="I58" s="2" t="s">
        <v>401</v>
      </c>
      <c r="J58" s="2">
        <v>1</v>
      </c>
      <c r="L58" s="2" t="s">
        <v>402</v>
      </c>
    </row>
    <row r="59" spans="1:13" ht="13">
      <c r="L59" s="2"/>
    </row>
    <row r="60" spans="1:13" ht="13">
      <c r="A60" s="2" t="s">
        <v>412</v>
      </c>
      <c r="B60" s="63" t="s">
        <v>400</v>
      </c>
      <c r="C60" s="65" t="s">
        <v>317</v>
      </c>
      <c r="D60" s="65" t="s">
        <v>2</v>
      </c>
      <c r="E60" s="66" t="s">
        <v>326</v>
      </c>
      <c r="F60" s="2">
        <v>11</v>
      </c>
      <c r="G60" s="2">
        <v>12</v>
      </c>
      <c r="H60" s="2">
        <v>13</v>
      </c>
      <c r="I60" s="2" t="s">
        <v>413</v>
      </c>
      <c r="J60" s="2">
        <v>1</v>
      </c>
      <c r="L60" s="2" t="s">
        <v>402</v>
      </c>
    </row>
    <row r="61" spans="1:13" ht="13">
      <c r="A61" s="2" t="s">
        <v>414</v>
      </c>
      <c r="B61" s="67" t="s">
        <v>400</v>
      </c>
      <c r="C61" s="2" t="s">
        <v>317</v>
      </c>
      <c r="D61" s="2" t="s">
        <v>404</v>
      </c>
      <c r="E61" s="68" t="s">
        <v>326</v>
      </c>
      <c r="F61" s="2">
        <v>11</v>
      </c>
      <c r="G61" s="2">
        <v>12</v>
      </c>
      <c r="H61" s="2">
        <v>17</v>
      </c>
      <c r="I61" s="2" t="s">
        <v>413</v>
      </c>
      <c r="J61" s="2">
        <v>1</v>
      </c>
      <c r="L61" s="2" t="s">
        <v>402</v>
      </c>
    </row>
    <row r="62" spans="1:13" ht="13">
      <c r="A62" s="2" t="s">
        <v>415</v>
      </c>
      <c r="B62" s="67" t="s">
        <v>400</v>
      </c>
      <c r="C62" s="2" t="s">
        <v>317</v>
      </c>
      <c r="D62" s="2" t="s">
        <v>406</v>
      </c>
      <c r="E62" s="68" t="s">
        <v>326</v>
      </c>
      <c r="F62" s="2">
        <v>11</v>
      </c>
      <c r="G62" s="2">
        <v>12</v>
      </c>
      <c r="H62" s="2">
        <v>15</v>
      </c>
      <c r="I62" s="2" t="s">
        <v>413</v>
      </c>
      <c r="J62" s="2">
        <v>1</v>
      </c>
      <c r="L62" s="2" t="s">
        <v>402</v>
      </c>
    </row>
    <row r="63" spans="1:13" ht="13">
      <c r="A63" s="2" t="s">
        <v>416</v>
      </c>
      <c r="B63" s="67" t="s">
        <v>400</v>
      </c>
      <c r="C63" s="2" t="s">
        <v>317</v>
      </c>
      <c r="D63" s="2" t="s">
        <v>409</v>
      </c>
      <c r="E63" s="68" t="s">
        <v>326</v>
      </c>
      <c r="F63" s="2">
        <v>11</v>
      </c>
      <c r="G63" s="2">
        <v>12</v>
      </c>
      <c r="H63" s="2">
        <v>21</v>
      </c>
      <c r="I63" s="2" t="s">
        <v>413</v>
      </c>
      <c r="J63" s="2">
        <v>1</v>
      </c>
      <c r="L63" s="2" t="s">
        <v>402</v>
      </c>
    </row>
    <row r="64" spans="1:13" ht="13">
      <c r="A64" s="2" t="s">
        <v>417</v>
      </c>
      <c r="B64" s="70" t="s">
        <v>400</v>
      </c>
      <c r="C64" s="71" t="s">
        <v>317</v>
      </c>
      <c r="D64" s="71" t="s">
        <v>411</v>
      </c>
      <c r="E64" s="72" t="s">
        <v>326</v>
      </c>
      <c r="F64" s="2">
        <v>11</v>
      </c>
      <c r="G64" s="2">
        <v>15</v>
      </c>
      <c r="H64" s="2">
        <v>16</v>
      </c>
      <c r="I64" s="2" t="s">
        <v>413</v>
      </c>
      <c r="J64" s="2">
        <v>1</v>
      </c>
      <c r="L64" s="2" t="s">
        <v>402</v>
      </c>
    </row>
    <row r="65" spans="1:12" ht="13">
      <c r="L65" s="2"/>
    </row>
    <row r="66" spans="1:12" ht="13">
      <c r="A66" s="2" t="s">
        <v>418</v>
      </c>
      <c r="B66" s="63" t="s">
        <v>400</v>
      </c>
      <c r="C66" s="65" t="s">
        <v>311</v>
      </c>
      <c r="D66" s="65" t="s">
        <v>2</v>
      </c>
      <c r="E66" s="66" t="s">
        <v>326</v>
      </c>
      <c r="F66" s="2">
        <v>11</v>
      </c>
      <c r="G66" s="2">
        <v>12</v>
      </c>
      <c r="H66" s="2">
        <v>13</v>
      </c>
      <c r="I66" s="2" t="s">
        <v>419</v>
      </c>
      <c r="J66" s="2">
        <v>1</v>
      </c>
      <c r="L66" s="2" t="s">
        <v>402</v>
      </c>
    </row>
    <row r="67" spans="1:12" ht="13">
      <c r="A67" s="2" t="s">
        <v>420</v>
      </c>
      <c r="B67" s="67" t="s">
        <v>400</v>
      </c>
      <c r="C67" s="2" t="s">
        <v>311</v>
      </c>
      <c r="D67" s="2" t="s">
        <v>404</v>
      </c>
      <c r="E67" s="68" t="s">
        <v>326</v>
      </c>
      <c r="F67" s="2">
        <v>11</v>
      </c>
      <c r="G67" s="2">
        <v>12</v>
      </c>
      <c r="H67" s="2">
        <v>17</v>
      </c>
      <c r="I67" s="2" t="s">
        <v>419</v>
      </c>
      <c r="J67" s="2">
        <v>1</v>
      </c>
      <c r="L67" s="2" t="s">
        <v>402</v>
      </c>
    </row>
    <row r="68" spans="1:12" ht="13">
      <c r="A68" s="2" t="s">
        <v>421</v>
      </c>
      <c r="B68" s="67" t="s">
        <v>400</v>
      </c>
      <c r="C68" s="2" t="s">
        <v>311</v>
      </c>
      <c r="D68" s="2" t="s">
        <v>406</v>
      </c>
      <c r="E68" s="68" t="s">
        <v>326</v>
      </c>
      <c r="F68" s="2">
        <v>11</v>
      </c>
      <c r="G68" s="2">
        <v>12</v>
      </c>
      <c r="H68" s="2">
        <v>15</v>
      </c>
      <c r="I68" s="2" t="s">
        <v>419</v>
      </c>
      <c r="J68" s="2">
        <v>1</v>
      </c>
      <c r="L68" s="2" t="s">
        <v>402</v>
      </c>
    </row>
    <row r="69" spans="1:12" ht="13">
      <c r="A69" s="2" t="s">
        <v>422</v>
      </c>
      <c r="B69" s="67" t="s">
        <v>400</v>
      </c>
      <c r="C69" s="2" t="s">
        <v>311</v>
      </c>
      <c r="D69" s="2" t="s">
        <v>409</v>
      </c>
      <c r="E69" s="68" t="s">
        <v>326</v>
      </c>
      <c r="F69" s="2">
        <v>11</v>
      </c>
      <c r="G69" s="2">
        <v>12</v>
      </c>
      <c r="H69" s="2">
        <v>21</v>
      </c>
      <c r="I69" s="2" t="s">
        <v>419</v>
      </c>
      <c r="J69" s="2">
        <v>1</v>
      </c>
      <c r="L69" s="2" t="s">
        <v>402</v>
      </c>
    </row>
    <row r="70" spans="1:12" ht="13">
      <c r="A70" s="2" t="s">
        <v>423</v>
      </c>
      <c r="B70" s="70" t="s">
        <v>400</v>
      </c>
      <c r="C70" s="71" t="s">
        <v>311</v>
      </c>
      <c r="D70" s="71" t="s">
        <v>411</v>
      </c>
      <c r="E70" s="72" t="s">
        <v>326</v>
      </c>
      <c r="F70" s="2">
        <v>11</v>
      </c>
      <c r="G70" s="2">
        <v>15</v>
      </c>
      <c r="H70" s="2">
        <v>16</v>
      </c>
      <c r="I70" s="2" t="s">
        <v>419</v>
      </c>
      <c r="J70" s="2">
        <v>1</v>
      </c>
      <c r="L70" s="2" t="s">
        <v>402</v>
      </c>
    </row>
    <row r="71" spans="1:12" ht="13">
      <c r="L71" s="2"/>
    </row>
    <row r="72" spans="1:12" ht="13">
      <c r="A72" s="2" t="s">
        <v>424</v>
      </c>
      <c r="B72" s="63" t="s">
        <v>425</v>
      </c>
      <c r="C72" s="65" t="s">
        <v>2</v>
      </c>
      <c r="D72" s="65" t="s">
        <v>2</v>
      </c>
      <c r="E72" s="66" t="s">
        <v>332</v>
      </c>
      <c r="F72" s="2">
        <v>9</v>
      </c>
      <c r="G72" s="2">
        <v>11</v>
      </c>
      <c r="H72" s="2">
        <v>10</v>
      </c>
      <c r="I72" s="2" t="s">
        <v>426</v>
      </c>
      <c r="J72" s="2">
        <v>1</v>
      </c>
      <c r="L72" s="2" t="s">
        <v>402</v>
      </c>
    </row>
    <row r="73" spans="1:12" ht="13">
      <c r="A73" s="2" t="s">
        <v>427</v>
      </c>
      <c r="B73" s="67" t="s">
        <v>425</v>
      </c>
      <c r="C73" s="2" t="s">
        <v>2</v>
      </c>
      <c r="D73" s="2" t="s">
        <v>404</v>
      </c>
      <c r="E73" s="68" t="s">
        <v>332</v>
      </c>
      <c r="F73" s="2">
        <v>9</v>
      </c>
      <c r="G73" s="2">
        <v>11</v>
      </c>
      <c r="H73" s="2">
        <v>10</v>
      </c>
      <c r="I73" s="2" t="s">
        <v>426</v>
      </c>
      <c r="J73" s="2">
        <v>1</v>
      </c>
      <c r="L73" s="2" t="s">
        <v>402</v>
      </c>
    </row>
    <row r="74" spans="1:12" ht="13">
      <c r="A74" s="2" t="s">
        <v>428</v>
      </c>
      <c r="B74" s="67" t="s">
        <v>425</v>
      </c>
      <c r="C74" s="2" t="s">
        <v>2</v>
      </c>
      <c r="D74" s="2" t="s">
        <v>406</v>
      </c>
      <c r="E74" s="68" t="s">
        <v>332</v>
      </c>
      <c r="F74" s="2">
        <v>9</v>
      </c>
      <c r="G74" s="2">
        <v>11</v>
      </c>
      <c r="H74" s="2">
        <v>10</v>
      </c>
      <c r="I74" s="2" t="s">
        <v>426</v>
      </c>
      <c r="J74" s="2">
        <v>1</v>
      </c>
      <c r="L74" s="2" t="s">
        <v>402</v>
      </c>
    </row>
    <row r="75" spans="1:12" ht="13">
      <c r="A75" s="2" t="s">
        <v>429</v>
      </c>
      <c r="B75" s="67" t="s">
        <v>425</v>
      </c>
      <c r="C75" s="2" t="s">
        <v>2</v>
      </c>
      <c r="D75" s="2" t="s">
        <v>409</v>
      </c>
      <c r="E75" s="68" t="s">
        <v>332</v>
      </c>
      <c r="F75" s="2">
        <v>9</v>
      </c>
      <c r="G75" s="2">
        <v>11</v>
      </c>
      <c r="H75" s="2">
        <v>10</v>
      </c>
      <c r="I75" s="2" t="s">
        <v>426</v>
      </c>
      <c r="J75" s="2">
        <v>1</v>
      </c>
      <c r="L75" s="2" t="s">
        <v>402</v>
      </c>
    </row>
    <row r="76" spans="1:12" ht="13">
      <c r="A76" s="2" t="s">
        <v>430</v>
      </c>
      <c r="B76" s="70" t="s">
        <v>425</v>
      </c>
      <c r="C76" s="71" t="s">
        <v>2</v>
      </c>
      <c r="D76" s="71" t="s">
        <v>411</v>
      </c>
      <c r="E76" s="72" t="s">
        <v>332</v>
      </c>
      <c r="F76" s="2">
        <v>9</v>
      </c>
      <c r="G76" s="2">
        <v>14</v>
      </c>
      <c r="H76" s="2">
        <v>10</v>
      </c>
      <c r="I76" s="2" t="s">
        <v>426</v>
      </c>
      <c r="J76" s="2">
        <v>1</v>
      </c>
      <c r="L76" s="2" t="s">
        <v>402</v>
      </c>
    </row>
    <row r="77" spans="1:12" ht="13">
      <c r="L77" s="2"/>
    </row>
    <row r="78" spans="1:12" ht="13">
      <c r="A78" s="2" t="s">
        <v>431</v>
      </c>
      <c r="B78" s="63" t="s">
        <v>425</v>
      </c>
      <c r="C78" s="65" t="s">
        <v>317</v>
      </c>
      <c r="D78" s="65" t="s">
        <v>2</v>
      </c>
      <c r="E78" s="66" t="s">
        <v>313</v>
      </c>
      <c r="F78" s="2">
        <v>9</v>
      </c>
      <c r="G78" s="2">
        <v>10</v>
      </c>
      <c r="H78" s="2">
        <v>11</v>
      </c>
      <c r="I78" s="2" t="s">
        <v>433</v>
      </c>
      <c r="J78" s="2">
        <v>1</v>
      </c>
      <c r="L78" s="2" t="s">
        <v>402</v>
      </c>
    </row>
    <row r="79" spans="1:12" ht="13">
      <c r="A79" s="2" t="s">
        <v>434</v>
      </c>
      <c r="B79" s="67" t="s">
        <v>425</v>
      </c>
      <c r="C79" s="2" t="s">
        <v>317</v>
      </c>
      <c r="D79" s="2" t="s">
        <v>404</v>
      </c>
      <c r="E79" s="68" t="s">
        <v>326</v>
      </c>
      <c r="F79" s="2">
        <v>9</v>
      </c>
      <c r="G79" s="2">
        <v>10</v>
      </c>
      <c r="H79" s="2">
        <v>15</v>
      </c>
      <c r="I79" s="2" t="s">
        <v>433</v>
      </c>
      <c r="J79" s="2">
        <v>1</v>
      </c>
      <c r="L79" s="2" t="s">
        <v>402</v>
      </c>
    </row>
    <row r="80" spans="1:12" ht="13">
      <c r="A80" s="2" t="s">
        <v>435</v>
      </c>
      <c r="B80" s="67" t="s">
        <v>425</v>
      </c>
      <c r="C80" s="2" t="s">
        <v>317</v>
      </c>
      <c r="D80" s="2" t="s">
        <v>406</v>
      </c>
      <c r="E80" s="68" t="s">
        <v>332</v>
      </c>
      <c r="F80" s="2">
        <v>9</v>
      </c>
      <c r="G80" s="2">
        <v>10</v>
      </c>
      <c r="H80" s="2">
        <v>13</v>
      </c>
      <c r="I80" s="2" t="s">
        <v>433</v>
      </c>
      <c r="J80" s="2">
        <v>1</v>
      </c>
      <c r="L80" s="2" t="s">
        <v>402</v>
      </c>
    </row>
    <row r="81" spans="1:12" ht="13">
      <c r="A81" s="2" t="s">
        <v>436</v>
      </c>
      <c r="B81" s="67" t="s">
        <v>425</v>
      </c>
      <c r="C81" s="2" t="s">
        <v>317</v>
      </c>
      <c r="D81" s="2" t="s">
        <v>409</v>
      </c>
      <c r="E81" s="68" t="s">
        <v>326</v>
      </c>
      <c r="F81" s="2">
        <v>9</v>
      </c>
      <c r="G81" s="2">
        <v>10</v>
      </c>
      <c r="H81" s="2">
        <v>19</v>
      </c>
      <c r="I81" s="2" t="s">
        <v>433</v>
      </c>
      <c r="J81" s="2">
        <v>1</v>
      </c>
      <c r="L81" s="2" t="s">
        <v>402</v>
      </c>
    </row>
    <row r="82" spans="1:12" ht="13">
      <c r="A82" s="2" t="s">
        <v>437</v>
      </c>
      <c r="B82" s="70" t="s">
        <v>425</v>
      </c>
      <c r="C82" s="71" t="s">
        <v>317</v>
      </c>
      <c r="D82" s="71" t="s">
        <v>411</v>
      </c>
      <c r="E82" s="72" t="s">
        <v>326</v>
      </c>
      <c r="F82" s="2">
        <v>9</v>
      </c>
      <c r="G82" s="2">
        <v>13</v>
      </c>
      <c r="H82" s="2">
        <v>14</v>
      </c>
      <c r="I82" s="2" t="s">
        <v>433</v>
      </c>
      <c r="J82" s="2">
        <v>1</v>
      </c>
      <c r="L82" s="2" t="s">
        <v>402</v>
      </c>
    </row>
    <row r="83" spans="1:12" ht="13">
      <c r="L83" s="2"/>
    </row>
    <row r="84" spans="1:12" ht="13">
      <c r="A84" s="2" t="s">
        <v>438</v>
      </c>
      <c r="B84" s="63" t="s">
        <v>425</v>
      </c>
      <c r="C84" s="65" t="s">
        <v>311</v>
      </c>
      <c r="D84" s="65" t="s">
        <v>2</v>
      </c>
      <c r="E84" s="66" t="s">
        <v>313</v>
      </c>
      <c r="F84" s="2">
        <v>9</v>
      </c>
      <c r="G84" s="2">
        <v>10</v>
      </c>
      <c r="H84" s="2">
        <v>11</v>
      </c>
      <c r="I84" s="2" t="s">
        <v>439</v>
      </c>
      <c r="J84" s="2">
        <v>1</v>
      </c>
      <c r="L84" s="2" t="s">
        <v>402</v>
      </c>
    </row>
    <row r="85" spans="1:12" ht="13">
      <c r="A85" s="2" t="s">
        <v>440</v>
      </c>
      <c r="B85" s="67" t="s">
        <v>425</v>
      </c>
      <c r="C85" s="2" t="s">
        <v>311</v>
      </c>
      <c r="D85" s="2" t="s">
        <v>404</v>
      </c>
      <c r="E85" s="68" t="s">
        <v>326</v>
      </c>
      <c r="F85" s="2">
        <v>9</v>
      </c>
      <c r="G85" s="2">
        <v>10</v>
      </c>
      <c r="H85" s="2">
        <v>15</v>
      </c>
      <c r="I85" s="2" t="s">
        <v>439</v>
      </c>
      <c r="J85" s="2">
        <v>1</v>
      </c>
      <c r="L85" s="2" t="s">
        <v>402</v>
      </c>
    </row>
    <row r="86" spans="1:12" ht="13">
      <c r="A86" s="2" t="s">
        <v>441</v>
      </c>
      <c r="B86" s="67" t="s">
        <v>425</v>
      </c>
      <c r="C86" s="2" t="s">
        <v>311</v>
      </c>
      <c r="D86" s="2" t="s">
        <v>406</v>
      </c>
      <c r="E86" s="68" t="s">
        <v>332</v>
      </c>
      <c r="F86" s="2">
        <v>9</v>
      </c>
      <c r="G86" s="2">
        <v>10</v>
      </c>
      <c r="H86" s="2">
        <v>13</v>
      </c>
      <c r="I86" s="2" t="s">
        <v>439</v>
      </c>
      <c r="J86" s="2">
        <v>1</v>
      </c>
      <c r="L86" s="2" t="s">
        <v>402</v>
      </c>
    </row>
    <row r="87" spans="1:12" ht="13">
      <c r="A87" s="2" t="s">
        <v>442</v>
      </c>
      <c r="B87" s="67" t="s">
        <v>425</v>
      </c>
      <c r="C87" s="2" t="s">
        <v>311</v>
      </c>
      <c r="D87" s="2" t="s">
        <v>409</v>
      </c>
      <c r="E87" s="68" t="s">
        <v>326</v>
      </c>
      <c r="F87" s="2">
        <v>9</v>
      </c>
      <c r="G87" s="2">
        <v>10</v>
      </c>
      <c r="H87" s="2">
        <v>19</v>
      </c>
      <c r="I87" s="2" t="s">
        <v>439</v>
      </c>
      <c r="J87" s="2">
        <v>1</v>
      </c>
      <c r="L87" s="2" t="s">
        <v>402</v>
      </c>
    </row>
    <row r="88" spans="1:12" ht="13">
      <c r="A88" s="2" t="s">
        <v>443</v>
      </c>
      <c r="B88" s="70" t="s">
        <v>425</v>
      </c>
      <c r="C88" s="71" t="s">
        <v>311</v>
      </c>
      <c r="D88" s="71" t="s">
        <v>411</v>
      </c>
      <c r="E88" s="72" t="s">
        <v>326</v>
      </c>
      <c r="F88" s="2">
        <v>9</v>
      </c>
      <c r="G88" s="2">
        <v>13</v>
      </c>
      <c r="H88" s="2">
        <v>14</v>
      </c>
      <c r="I88" s="2" t="s">
        <v>439</v>
      </c>
      <c r="J88" s="2">
        <v>1</v>
      </c>
      <c r="L88" s="2" t="s">
        <v>402</v>
      </c>
    </row>
    <row r="89" spans="1:12" ht="13">
      <c r="L89" s="2"/>
    </row>
    <row r="90" spans="1:12" ht="13">
      <c r="A90" s="2" t="s">
        <v>444</v>
      </c>
      <c r="B90" s="63" t="s">
        <v>445</v>
      </c>
      <c r="C90" s="65" t="s">
        <v>2</v>
      </c>
      <c r="D90" s="65" t="s">
        <v>2</v>
      </c>
      <c r="E90" s="66" t="s">
        <v>332</v>
      </c>
      <c r="F90" s="2">
        <v>7</v>
      </c>
      <c r="G90" s="2">
        <v>9</v>
      </c>
      <c r="H90" s="2">
        <v>8</v>
      </c>
      <c r="I90" s="2" t="s">
        <v>446</v>
      </c>
      <c r="J90" s="2">
        <v>1</v>
      </c>
      <c r="L90" s="2" t="s">
        <v>402</v>
      </c>
    </row>
    <row r="91" spans="1:12" ht="13">
      <c r="A91" s="2" t="s">
        <v>447</v>
      </c>
      <c r="B91" s="67" t="s">
        <v>445</v>
      </c>
      <c r="C91" s="2" t="s">
        <v>2</v>
      </c>
      <c r="D91" s="2" t="s">
        <v>404</v>
      </c>
      <c r="E91" s="68" t="s">
        <v>332</v>
      </c>
      <c r="F91" s="2">
        <v>7</v>
      </c>
      <c r="G91" s="2">
        <v>9</v>
      </c>
      <c r="H91" s="2">
        <v>8</v>
      </c>
      <c r="I91" s="2" t="s">
        <v>446</v>
      </c>
      <c r="J91" s="2">
        <v>1</v>
      </c>
      <c r="L91" s="2" t="s">
        <v>402</v>
      </c>
    </row>
    <row r="92" spans="1:12" ht="13">
      <c r="A92" s="2" t="s">
        <v>448</v>
      </c>
      <c r="B92" s="67" t="s">
        <v>445</v>
      </c>
      <c r="C92" s="2" t="s">
        <v>2</v>
      </c>
      <c r="D92" s="2" t="s">
        <v>406</v>
      </c>
      <c r="E92" s="68" t="s">
        <v>332</v>
      </c>
      <c r="F92" s="2">
        <v>7</v>
      </c>
      <c r="G92" s="2">
        <v>9</v>
      </c>
      <c r="H92" s="2">
        <v>8</v>
      </c>
      <c r="I92" s="2" t="s">
        <v>446</v>
      </c>
      <c r="J92" s="2">
        <v>1</v>
      </c>
      <c r="L92" s="2" t="s">
        <v>402</v>
      </c>
    </row>
    <row r="93" spans="1:12" ht="13">
      <c r="A93" s="2" t="s">
        <v>449</v>
      </c>
      <c r="B93" s="67" t="s">
        <v>445</v>
      </c>
      <c r="C93" s="2" t="s">
        <v>2</v>
      </c>
      <c r="D93" s="2" t="s">
        <v>409</v>
      </c>
      <c r="E93" s="68" t="s">
        <v>332</v>
      </c>
      <c r="F93" s="2">
        <v>7</v>
      </c>
      <c r="G93" s="2">
        <v>9</v>
      </c>
      <c r="H93" s="2">
        <v>8</v>
      </c>
      <c r="I93" s="2" t="s">
        <v>446</v>
      </c>
      <c r="J93" s="2">
        <v>1</v>
      </c>
      <c r="L93" s="2" t="s">
        <v>402</v>
      </c>
    </row>
    <row r="94" spans="1:12" ht="13">
      <c r="A94" s="2" t="s">
        <v>450</v>
      </c>
      <c r="B94" s="70" t="s">
        <v>445</v>
      </c>
      <c r="C94" s="71" t="s">
        <v>2</v>
      </c>
      <c r="D94" s="71" t="s">
        <v>411</v>
      </c>
      <c r="E94" s="72" t="s">
        <v>332</v>
      </c>
      <c r="F94" s="2">
        <v>7</v>
      </c>
      <c r="G94" s="2">
        <v>12</v>
      </c>
      <c r="H94" s="2">
        <v>8</v>
      </c>
      <c r="I94" s="2" t="s">
        <v>446</v>
      </c>
      <c r="J94" s="2">
        <v>1</v>
      </c>
      <c r="L94" s="2" t="s">
        <v>402</v>
      </c>
    </row>
    <row r="95" spans="1:12" ht="13">
      <c r="L95" s="2"/>
    </row>
    <row r="96" spans="1:12" ht="13">
      <c r="A96" s="2" t="s">
        <v>451</v>
      </c>
      <c r="B96" s="63" t="s">
        <v>445</v>
      </c>
      <c r="C96" s="65" t="s">
        <v>317</v>
      </c>
      <c r="D96" s="65" t="s">
        <v>2</v>
      </c>
      <c r="E96" s="66" t="s">
        <v>313</v>
      </c>
      <c r="F96" s="2">
        <v>7</v>
      </c>
      <c r="G96" s="2">
        <v>8</v>
      </c>
      <c r="H96" s="2">
        <v>11</v>
      </c>
      <c r="I96" s="2" t="s">
        <v>452</v>
      </c>
      <c r="J96" s="2">
        <v>1</v>
      </c>
      <c r="L96" s="2" t="s">
        <v>402</v>
      </c>
    </row>
    <row r="97" spans="1:12" ht="13">
      <c r="A97" s="2" t="s">
        <v>453</v>
      </c>
      <c r="B97" s="67" t="s">
        <v>445</v>
      </c>
      <c r="C97" s="2" t="s">
        <v>317</v>
      </c>
      <c r="D97" s="2" t="s">
        <v>404</v>
      </c>
      <c r="E97" s="68" t="s">
        <v>326</v>
      </c>
      <c r="F97" s="2">
        <v>7</v>
      </c>
      <c r="G97" s="2">
        <v>8</v>
      </c>
      <c r="H97" s="2">
        <v>15</v>
      </c>
      <c r="I97" s="2" t="s">
        <v>452</v>
      </c>
      <c r="J97" s="2">
        <v>1</v>
      </c>
      <c r="L97" s="2" t="s">
        <v>402</v>
      </c>
    </row>
    <row r="98" spans="1:12" ht="13">
      <c r="A98" s="2" t="s">
        <v>454</v>
      </c>
      <c r="B98" s="67" t="s">
        <v>445</v>
      </c>
      <c r="C98" s="2" t="s">
        <v>317</v>
      </c>
      <c r="D98" s="2" t="s">
        <v>406</v>
      </c>
      <c r="E98" s="68" t="s">
        <v>326</v>
      </c>
      <c r="F98" s="2">
        <v>7</v>
      </c>
      <c r="G98" s="2">
        <v>8</v>
      </c>
      <c r="H98" s="2">
        <v>13</v>
      </c>
      <c r="I98" s="2" t="s">
        <v>452</v>
      </c>
      <c r="J98" s="2">
        <v>1</v>
      </c>
      <c r="L98" s="2" t="s">
        <v>402</v>
      </c>
    </row>
    <row r="99" spans="1:12" ht="13">
      <c r="A99" s="2" t="s">
        <v>455</v>
      </c>
      <c r="B99" s="67" t="s">
        <v>445</v>
      </c>
      <c r="C99" s="2" t="s">
        <v>317</v>
      </c>
      <c r="D99" s="2" t="s">
        <v>409</v>
      </c>
      <c r="E99" s="68" t="s">
        <v>326</v>
      </c>
      <c r="F99" s="2">
        <v>7</v>
      </c>
      <c r="G99" s="2">
        <v>8</v>
      </c>
      <c r="H99" s="2">
        <v>19</v>
      </c>
      <c r="I99" s="2" t="s">
        <v>452</v>
      </c>
      <c r="J99" s="2">
        <v>1</v>
      </c>
      <c r="L99" s="2" t="s">
        <v>402</v>
      </c>
    </row>
    <row r="100" spans="1:12" ht="13">
      <c r="A100" s="2" t="s">
        <v>456</v>
      </c>
      <c r="B100" s="70" t="s">
        <v>445</v>
      </c>
      <c r="C100" s="71" t="s">
        <v>317</v>
      </c>
      <c r="D100" s="71" t="s">
        <v>411</v>
      </c>
      <c r="E100" s="72" t="s">
        <v>326</v>
      </c>
      <c r="F100" s="2">
        <v>7</v>
      </c>
      <c r="G100" s="2">
        <v>11</v>
      </c>
      <c r="H100" s="2">
        <v>14</v>
      </c>
      <c r="I100" s="2" t="s">
        <v>452</v>
      </c>
      <c r="J100" s="2">
        <v>1</v>
      </c>
      <c r="L100" s="2" t="s">
        <v>402</v>
      </c>
    </row>
    <row r="101" spans="1:12" ht="13">
      <c r="L101" s="2"/>
    </row>
    <row r="102" spans="1:12" ht="13">
      <c r="A102" s="2" t="s">
        <v>457</v>
      </c>
      <c r="B102" s="63" t="s">
        <v>445</v>
      </c>
      <c r="C102" s="65" t="s">
        <v>311</v>
      </c>
      <c r="D102" s="65" t="s">
        <v>2</v>
      </c>
      <c r="E102" s="66" t="s">
        <v>313</v>
      </c>
      <c r="F102" s="2">
        <v>7</v>
      </c>
      <c r="G102" s="2">
        <v>8</v>
      </c>
      <c r="H102" s="2">
        <v>11</v>
      </c>
      <c r="I102" s="2" t="s">
        <v>458</v>
      </c>
      <c r="J102" s="2">
        <v>1</v>
      </c>
      <c r="L102" s="2" t="s">
        <v>402</v>
      </c>
    </row>
    <row r="103" spans="1:12" ht="13">
      <c r="A103" s="2" t="s">
        <v>459</v>
      </c>
      <c r="B103" s="67" t="s">
        <v>445</v>
      </c>
      <c r="C103" s="2" t="s">
        <v>311</v>
      </c>
      <c r="D103" s="2" t="s">
        <v>404</v>
      </c>
      <c r="E103" s="68" t="s">
        <v>326</v>
      </c>
      <c r="F103" s="2">
        <v>7</v>
      </c>
      <c r="G103" s="2">
        <v>8</v>
      </c>
      <c r="H103" s="2">
        <v>15</v>
      </c>
      <c r="I103" s="2" t="s">
        <v>458</v>
      </c>
      <c r="J103" s="2">
        <v>1</v>
      </c>
      <c r="L103" s="2" t="s">
        <v>402</v>
      </c>
    </row>
    <row r="104" spans="1:12" ht="13">
      <c r="A104" s="2" t="s">
        <v>460</v>
      </c>
      <c r="B104" s="67" t="s">
        <v>445</v>
      </c>
      <c r="C104" s="2" t="s">
        <v>311</v>
      </c>
      <c r="D104" s="2" t="s">
        <v>406</v>
      </c>
      <c r="E104" s="68" t="s">
        <v>332</v>
      </c>
      <c r="F104" s="2">
        <v>7</v>
      </c>
      <c r="G104" s="2">
        <v>8</v>
      </c>
      <c r="H104" s="2">
        <v>13</v>
      </c>
      <c r="I104" s="2" t="s">
        <v>458</v>
      </c>
      <c r="J104" s="2">
        <v>1</v>
      </c>
      <c r="L104" s="2" t="s">
        <v>402</v>
      </c>
    </row>
    <row r="105" spans="1:12" ht="13">
      <c r="A105" s="2" t="s">
        <v>461</v>
      </c>
      <c r="B105" s="67" t="s">
        <v>445</v>
      </c>
      <c r="C105" s="2" t="s">
        <v>311</v>
      </c>
      <c r="D105" s="2" t="s">
        <v>409</v>
      </c>
      <c r="E105" s="68" t="s">
        <v>326</v>
      </c>
      <c r="F105" s="2">
        <v>7</v>
      </c>
      <c r="G105" s="2">
        <v>8</v>
      </c>
      <c r="H105" s="2">
        <v>19</v>
      </c>
      <c r="I105" s="2" t="s">
        <v>458</v>
      </c>
      <c r="J105" s="2">
        <v>1</v>
      </c>
      <c r="L105" s="2" t="s">
        <v>402</v>
      </c>
    </row>
    <row r="106" spans="1:12" ht="13">
      <c r="A106" s="2" t="s">
        <v>462</v>
      </c>
      <c r="B106" s="70" t="s">
        <v>445</v>
      </c>
      <c r="C106" s="71" t="s">
        <v>311</v>
      </c>
      <c r="D106" s="71" t="s">
        <v>411</v>
      </c>
      <c r="E106" s="72" t="s">
        <v>326</v>
      </c>
      <c r="F106" s="2">
        <v>7</v>
      </c>
      <c r="G106" s="2">
        <v>11</v>
      </c>
      <c r="H106" s="2">
        <v>14</v>
      </c>
      <c r="I106" s="2" t="s">
        <v>458</v>
      </c>
      <c r="J106" s="2">
        <v>1</v>
      </c>
      <c r="L106" s="2" t="s">
        <v>402</v>
      </c>
    </row>
    <row r="108" spans="1:12" ht="13">
      <c r="A108" s="2" t="s">
        <v>463</v>
      </c>
      <c r="B108" s="2" t="s">
        <v>464</v>
      </c>
      <c r="C108" s="2" t="s">
        <v>2</v>
      </c>
      <c r="D108" s="2" t="s">
        <v>409</v>
      </c>
      <c r="F108" s="2">
        <v>8</v>
      </c>
      <c r="G108" s="2">
        <v>10</v>
      </c>
      <c r="H108" s="2">
        <v>18</v>
      </c>
    </row>
    <row r="109" spans="1:12" ht="13">
      <c r="A109" s="2" t="s">
        <v>465</v>
      </c>
      <c r="B109" s="2" t="s">
        <v>464</v>
      </c>
      <c r="C109" s="2" t="s">
        <v>2</v>
      </c>
      <c r="D109" s="2" t="s">
        <v>404</v>
      </c>
      <c r="F109" s="2">
        <v>8</v>
      </c>
      <c r="G109" s="2">
        <v>17</v>
      </c>
      <c r="H109" s="2">
        <v>22</v>
      </c>
    </row>
    <row r="110" spans="1:12" ht="13">
      <c r="A110" s="2" t="s">
        <v>466</v>
      </c>
      <c r="B110" s="2" t="s">
        <v>464</v>
      </c>
      <c r="C110" s="2" t="s">
        <v>2</v>
      </c>
      <c r="D110" s="2" t="s">
        <v>2</v>
      </c>
      <c r="F110" s="2">
        <v>8</v>
      </c>
      <c r="G110" s="2">
        <v>17</v>
      </c>
      <c r="H110" s="2">
        <v>18</v>
      </c>
    </row>
    <row r="111" spans="1:12" ht="13">
      <c r="A111" s="2" t="s">
        <v>467</v>
      </c>
      <c r="B111" s="2" t="s">
        <v>464</v>
      </c>
      <c r="C111" s="2" t="s">
        <v>2</v>
      </c>
      <c r="D111" s="2" t="s">
        <v>406</v>
      </c>
    </row>
    <row r="112" spans="1:12" ht="13">
      <c r="A112" s="2" t="s">
        <v>468</v>
      </c>
      <c r="B112" s="2" t="s">
        <v>464</v>
      </c>
      <c r="C112" s="2" t="s">
        <v>2</v>
      </c>
      <c r="D112" s="2" t="s">
        <v>411</v>
      </c>
    </row>
    <row r="114" spans="1:8" ht="13">
      <c r="A114" s="2" t="s">
        <v>469</v>
      </c>
      <c r="B114" s="2" t="s">
        <v>464</v>
      </c>
      <c r="C114" s="2" t="s">
        <v>317</v>
      </c>
      <c r="D114" s="2" t="s">
        <v>409</v>
      </c>
      <c r="F114" s="2">
        <v>8</v>
      </c>
      <c r="G114" s="2">
        <v>10</v>
      </c>
      <c r="H114" s="2">
        <v>26</v>
      </c>
    </row>
    <row r="115" spans="1:8" ht="13">
      <c r="A115" s="2" t="s">
        <v>470</v>
      </c>
      <c r="B115" s="2" t="s">
        <v>464</v>
      </c>
      <c r="C115" s="2" t="s">
        <v>317</v>
      </c>
      <c r="D115" s="2" t="s">
        <v>404</v>
      </c>
      <c r="F115" s="2">
        <v>8</v>
      </c>
      <c r="G115" s="2">
        <v>17</v>
      </c>
      <c r="H115" s="2">
        <v>22</v>
      </c>
    </row>
    <row r="116" spans="1:8" ht="13">
      <c r="A116" s="2" t="s">
        <v>471</v>
      </c>
      <c r="B116" s="2" t="s">
        <v>464</v>
      </c>
      <c r="C116" s="2" t="s">
        <v>317</v>
      </c>
      <c r="D116" s="2" t="s">
        <v>2</v>
      </c>
      <c r="F116" s="2">
        <v>8</v>
      </c>
      <c r="G116" s="2">
        <v>17</v>
      </c>
      <c r="H116" s="2">
        <v>18</v>
      </c>
    </row>
    <row r="117" spans="1:8" ht="13">
      <c r="A117" s="2" t="s">
        <v>472</v>
      </c>
      <c r="B117" s="2" t="s">
        <v>464</v>
      </c>
      <c r="C117" s="2" t="s">
        <v>317</v>
      </c>
      <c r="D117" s="2" t="s">
        <v>406</v>
      </c>
    </row>
    <row r="118" spans="1:8" ht="13">
      <c r="A118" s="2" t="s">
        <v>473</v>
      </c>
      <c r="B118" s="2" t="s">
        <v>464</v>
      </c>
      <c r="C118" s="2" t="s">
        <v>317</v>
      </c>
      <c r="D118" s="2" t="s">
        <v>411</v>
      </c>
    </row>
    <row r="120" spans="1:8" ht="13">
      <c r="A120" s="2" t="s">
        <v>474</v>
      </c>
      <c r="B120" s="2" t="s">
        <v>464</v>
      </c>
      <c r="C120" s="2" t="s">
        <v>311</v>
      </c>
      <c r="D120" s="2" t="s">
        <v>409</v>
      </c>
      <c r="F120" s="2">
        <v>8</v>
      </c>
      <c r="G120" s="2">
        <v>10</v>
      </c>
      <c r="H120" s="2">
        <v>26</v>
      </c>
    </row>
    <row r="121" spans="1:8" ht="13">
      <c r="A121" s="2" t="s">
        <v>475</v>
      </c>
      <c r="B121" s="2" t="s">
        <v>464</v>
      </c>
      <c r="C121" s="2" t="s">
        <v>311</v>
      </c>
      <c r="D121" s="2" t="s">
        <v>404</v>
      </c>
      <c r="F121" s="2">
        <v>8</v>
      </c>
      <c r="G121" s="2">
        <v>18</v>
      </c>
      <c r="H121" s="2">
        <v>17</v>
      </c>
    </row>
    <row r="122" spans="1:8" ht="13">
      <c r="A122" s="2" t="s">
        <v>476</v>
      </c>
      <c r="B122" s="2" t="s">
        <v>464</v>
      </c>
      <c r="C122" s="2" t="s">
        <v>311</v>
      </c>
      <c r="D122" s="2" t="s">
        <v>2</v>
      </c>
      <c r="F122" s="2">
        <v>8</v>
      </c>
      <c r="G122" s="2">
        <v>17</v>
      </c>
      <c r="H122" s="2">
        <v>18</v>
      </c>
    </row>
    <row r="123" spans="1:8" ht="13">
      <c r="A123" s="2" t="s">
        <v>477</v>
      </c>
      <c r="B123" s="2" t="s">
        <v>464</v>
      </c>
      <c r="C123" s="2" t="s">
        <v>311</v>
      </c>
      <c r="D123" s="2" t="s">
        <v>406</v>
      </c>
    </row>
    <row r="124" spans="1:8" ht="13">
      <c r="A124" s="2" t="s">
        <v>478</v>
      </c>
      <c r="B124" s="2" t="s">
        <v>464</v>
      </c>
      <c r="C124" s="2" t="s">
        <v>311</v>
      </c>
      <c r="D124" s="2" t="s">
        <v>411</v>
      </c>
    </row>
    <row r="126" spans="1:8" ht="13">
      <c r="A126" s="2" t="s">
        <v>479</v>
      </c>
      <c r="B126" s="2" t="s">
        <v>480</v>
      </c>
      <c r="C126" s="2" t="s">
        <v>2</v>
      </c>
      <c r="D126" s="2" t="s">
        <v>409</v>
      </c>
      <c r="F126" s="2"/>
      <c r="G126" s="2"/>
      <c r="H126" s="2"/>
    </row>
    <row r="127" spans="1:8" ht="13">
      <c r="A127" s="2" t="s">
        <v>481</v>
      </c>
      <c r="B127" s="2" t="s">
        <v>480</v>
      </c>
      <c r="C127" s="2" t="s">
        <v>2</v>
      </c>
      <c r="D127" s="2" t="s">
        <v>404</v>
      </c>
      <c r="F127" s="2"/>
      <c r="G127" s="2"/>
      <c r="H127" s="2"/>
    </row>
    <row r="128" spans="1:8" ht="13">
      <c r="A128" s="2" t="s">
        <v>482</v>
      </c>
      <c r="B128" s="2" t="s">
        <v>480</v>
      </c>
      <c r="C128" s="2" t="s">
        <v>2</v>
      </c>
      <c r="D128" s="2" t="s">
        <v>2</v>
      </c>
      <c r="F128" s="2"/>
      <c r="G128" s="2"/>
      <c r="H128" s="2"/>
    </row>
    <row r="129" spans="1:8" ht="13">
      <c r="A129" s="2" t="s">
        <v>483</v>
      </c>
      <c r="B129" s="2" t="s">
        <v>480</v>
      </c>
      <c r="C129" s="2" t="s">
        <v>2</v>
      </c>
      <c r="D129" s="2" t="s">
        <v>406</v>
      </c>
    </row>
    <row r="130" spans="1:8" ht="13">
      <c r="A130" s="2" t="s">
        <v>484</v>
      </c>
      <c r="B130" s="2" t="s">
        <v>480</v>
      </c>
      <c r="C130" s="2" t="s">
        <v>2</v>
      </c>
      <c r="D130" s="2" t="s">
        <v>411</v>
      </c>
    </row>
    <row r="132" spans="1:8" ht="13">
      <c r="A132" s="2" t="s">
        <v>485</v>
      </c>
      <c r="B132" s="2" t="s">
        <v>480</v>
      </c>
      <c r="C132" s="2" t="s">
        <v>317</v>
      </c>
      <c r="D132" s="2" t="s">
        <v>409</v>
      </c>
      <c r="F132" s="2"/>
      <c r="G132" s="2"/>
      <c r="H132" s="2"/>
    </row>
    <row r="133" spans="1:8" ht="13">
      <c r="A133" s="2" t="s">
        <v>486</v>
      </c>
      <c r="B133" s="2" t="s">
        <v>480</v>
      </c>
      <c r="C133" s="2" t="s">
        <v>317</v>
      </c>
      <c r="D133" s="2" t="s">
        <v>404</v>
      </c>
      <c r="F133" s="2"/>
      <c r="G133" s="2"/>
      <c r="H133" s="2"/>
    </row>
    <row r="134" spans="1:8" ht="13">
      <c r="A134" s="2" t="s">
        <v>487</v>
      </c>
      <c r="B134" s="2" t="s">
        <v>480</v>
      </c>
      <c r="C134" s="2" t="s">
        <v>317</v>
      </c>
      <c r="D134" s="2" t="s">
        <v>2</v>
      </c>
      <c r="F134" s="2"/>
      <c r="G134" s="2"/>
      <c r="H134" s="2"/>
    </row>
    <row r="135" spans="1:8" ht="13">
      <c r="A135" s="2" t="s">
        <v>488</v>
      </c>
      <c r="B135" s="2" t="s">
        <v>480</v>
      </c>
      <c r="C135" s="2" t="s">
        <v>317</v>
      </c>
      <c r="D135" s="2" t="s">
        <v>406</v>
      </c>
    </row>
    <row r="136" spans="1:8" ht="13">
      <c r="A136" s="2" t="s">
        <v>489</v>
      </c>
      <c r="B136" s="2" t="s">
        <v>480</v>
      </c>
      <c r="C136" s="2" t="s">
        <v>317</v>
      </c>
      <c r="D136" s="2" t="s">
        <v>411</v>
      </c>
    </row>
    <row r="138" spans="1:8" ht="13">
      <c r="A138" s="2" t="s">
        <v>490</v>
      </c>
      <c r="B138" s="2" t="s">
        <v>480</v>
      </c>
      <c r="C138" s="2" t="s">
        <v>311</v>
      </c>
      <c r="D138" s="2" t="s">
        <v>409</v>
      </c>
      <c r="F138" s="2"/>
      <c r="G138" s="2"/>
      <c r="H138" s="2"/>
    </row>
    <row r="139" spans="1:8" ht="13">
      <c r="A139" s="2" t="s">
        <v>491</v>
      </c>
      <c r="B139" s="2" t="s">
        <v>480</v>
      </c>
      <c r="C139" s="2" t="s">
        <v>311</v>
      </c>
      <c r="D139" s="2" t="s">
        <v>404</v>
      </c>
      <c r="F139" s="2"/>
      <c r="G139" s="2"/>
      <c r="H139" s="2"/>
    </row>
    <row r="140" spans="1:8" ht="13">
      <c r="A140" s="2" t="s">
        <v>492</v>
      </c>
      <c r="B140" s="2" t="s">
        <v>480</v>
      </c>
      <c r="C140" s="2" t="s">
        <v>311</v>
      </c>
      <c r="D140" s="2" t="s">
        <v>2</v>
      </c>
      <c r="F140" s="2"/>
      <c r="G140" s="2"/>
      <c r="H140" s="2"/>
    </row>
    <row r="141" spans="1:8" ht="13">
      <c r="A141" s="2" t="s">
        <v>493</v>
      </c>
      <c r="B141" s="2" t="s">
        <v>480</v>
      </c>
      <c r="C141" s="2" t="s">
        <v>311</v>
      </c>
      <c r="D141" s="2" t="s">
        <v>406</v>
      </c>
    </row>
    <row r="142" spans="1:8" ht="13">
      <c r="A142" s="2" t="s">
        <v>494</v>
      </c>
      <c r="B142" s="2" t="s">
        <v>480</v>
      </c>
      <c r="C142" s="2" t="s">
        <v>311</v>
      </c>
      <c r="D142" s="2" t="s">
        <v>411</v>
      </c>
    </row>
    <row r="144" spans="1:8" ht="13">
      <c r="A144" s="2" t="s">
        <v>495</v>
      </c>
      <c r="B144" s="2" t="s">
        <v>496</v>
      </c>
      <c r="C144" s="2" t="s">
        <v>2</v>
      </c>
      <c r="D144" s="2" t="s">
        <v>409</v>
      </c>
    </row>
    <row r="145" spans="1:4" ht="13">
      <c r="A145" s="2" t="s">
        <v>497</v>
      </c>
      <c r="B145" s="2" t="s">
        <v>496</v>
      </c>
      <c r="C145" s="2" t="s">
        <v>2</v>
      </c>
      <c r="D145" s="2" t="s">
        <v>404</v>
      </c>
    </row>
    <row r="146" spans="1:4" ht="13">
      <c r="A146" s="2" t="s">
        <v>498</v>
      </c>
      <c r="B146" s="2" t="s">
        <v>496</v>
      </c>
      <c r="C146" s="2" t="s">
        <v>2</v>
      </c>
      <c r="D146" s="2" t="s">
        <v>2</v>
      </c>
    </row>
    <row r="147" spans="1:4" ht="13">
      <c r="A147" s="2" t="s">
        <v>499</v>
      </c>
      <c r="B147" s="2" t="s">
        <v>496</v>
      </c>
      <c r="C147" s="2" t="s">
        <v>2</v>
      </c>
      <c r="D147" s="2" t="s">
        <v>406</v>
      </c>
    </row>
    <row r="148" spans="1:4" ht="13">
      <c r="A148" s="2" t="s">
        <v>500</v>
      </c>
      <c r="B148" s="2" t="s">
        <v>496</v>
      </c>
      <c r="C148" s="2" t="s">
        <v>2</v>
      </c>
      <c r="D148" s="2" t="s">
        <v>411</v>
      </c>
    </row>
    <row r="150" spans="1:4" ht="13">
      <c r="A150" s="2" t="s">
        <v>501</v>
      </c>
      <c r="B150" s="2" t="s">
        <v>496</v>
      </c>
      <c r="C150" s="2" t="s">
        <v>317</v>
      </c>
      <c r="D150" s="2" t="s">
        <v>409</v>
      </c>
    </row>
    <row r="151" spans="1:4" ht="13">
      <c r="A151" s="2" t="s">
        <v>502</v>
      </c>
      <c r="B151" s="2" t="s">
        <v>496</v>
      </c>
      <c r="C151" s="2" t="s">
        <v>317</v>
      </c>
      <c r="D151" s="2" t="s">
        <v>404</v>
      </c>
    </row>
    <row r="152" spans="1:4" ht="13">
      <c r="A152" s="2" t="s">
        <v>503</v>
      </c>
      <c r="B152" s="2" t="s">
        <v>496</v>
      </c>
      <c r="C152" s="2" t="s">
        <v>317</v>
      </c>
      <c r="D152" s="2" t="s">
        <v>2</v>
      </c>
    </row>
    <row r="153" spans="1:4" ht="13">
      <c r="A153" s="2" t="s">
        <v>504</v>
      </c>
      <c r="B153" s="2" t="s">
        <v>496</v>
      </c>
      <c r="C153" s="2" t="s">
        <v>317</v>
      </c>
      <c r="D153" s="2" t="s">
        <v>406</v>
      </c>
    </row>
    <row r="154" spans="1:4" ht="13">
      <c r="A154" s="2" t="s">
        <v>505</v>
      </c>
      <c r="B154" s="2" t="s">
        <v>496</v>
      </c>
      <c r="C154" s="2" t="s">
        <v>317</v>
      </c>
      <c r="D154" s="2" t="s">
        <v>411</v>
      </c>
    </row>
    <row r="156" spans="1:4" ht="13">
      <c r="A156" s="2" t="s">
        <v>506</v>
      </c>
      <c r="B156" s="2" t="s">
        <v>496</v>
      </c>
      <c r="C156" s="2" t="s">
        <v>311</v>
      </c>
      <c r="D156" s="2" t="s">
        <v>409</v>
      </c>
    </row>
    <row r="157" spans="1:4" ht="13">
      <c r="A157" s="2" t="s">
        <v>507</v>
      </c>
      <c r="B157" s="2" t="s">
        <v>496</v>
      </c>
      <c r="C157" s="2" t="s">
        <v>311</v>
      </c>
      <c r="D157" s="2" t="s">
        <v>404</v>
      </c>
    </row>
    <row r="158" spans="1:4" ht="13">
      <c r="A158" s="2" t="s">
        <v>508</v>
      </c>
      <c r="B158" s="2" t="s">
        <v>496</v>
      </c>
      <c r="C158" s="2" t="s">
        <v>311</v>
      </c>
      <c r="D158" s="2" t="s">
        <v>2</v>
      </c>
    </row>
    <row r="159" spans="1:4" ht="13">
      <c r="A159" s="2" t="s">
        <v>509</v>
      </c>
      <c r="B159" s="2" t="s">
        <v>496</v>
      </c>
      <c r="C159" s="2" t="s">
        <v>311</v>
      </c>
      <c r="D159" s="2" t="s">
        <v>406</v>
      </c>
    </row>
    <row r="160" spans="1:4" ht="13">
      <c r="A160" s="2" t="s">
        <v>510</v>
      </c>
      <c r="B160" s="2" t="s">
        <v>496</v>
      </c>
      <c r="C160" s="2" t="s">
        <v>311</v>
      </c>
      <c r="D160" s="2" t="s">
        <v>411</v>
      </c>
    </row>
    <row r="162" spans="1:4" ht="13">
      <c r="A162" s="2" t="s">
        <v>511</v>
      </c>
      <c r="B162" s="2" t="s">
        <v>512</v>
      </c>
      <c r="C162" s="2" t="s">
        <v>2</v>
      </c>
      <c r="D162" s="2" t="s">
        <v>409</v>
      </c>
    </row>
    <row r="163" spans="1:4" ht="13">
      <c r="A163" s="2" t="s">
        <v>513</v>
      </c>
      <c r="B163" s="2" t="s">
        <v>512</v>
      </c>
      <c r="C163" s="2" t="s">
        <v>2</v>
      </c>
      <c r="D163" s="2" t="s">
        <v>404</v>
      </c>
    </row>
    <row r="164" spans="1:4" ht="13">
      <c r="A164" s="2" t="s">
        <v>514</v>
      </c>
      <c r="B164" s="2" t="s">
        <v>512</v>
      </c>
      <c r="C164" s="2" t="s">
        <v>2</v>
      </c>
      <c r="D164" s="2" t="s">
        <v>2</v>
      </c>
    </row>
    <row r="165" spans="1:4" ht="13">
      <c r="A165" s="2" t="s">
        <v>515</v>
      </c>
      <c r="B165" s="2" t="s">
        <v>512</v>
      </c>
      <c r="C165" s="2" t="s">
        <v>2</v>
      </c>
      <c r="D165" s="2" t="s">
        <v>406</v>
      </c>
    </row>
    <row r="166" spans="1:4" ht="13">
      <c r="A166" s="2" t="s">
        <v>516</v>
      </c>
      <c r="B166" s="2" t="s">
        <v>512</v>
      </c>
      <c r="C166" s="2" t="s">
        <v>2</v>
      </c>
      <c r="D166" s="2" t="s">
        <v>411</v>
      </c>
    </row>
    <row r="168" spans="1:4" ht="13">
      <c r="A168" s="2" t="s">
        <v>517</v>
      </c>
      <c r="B168" s="2" t="s">
        <v>512</v>
      </c>
      <c r="C168" s="2" t="s">
        <v>317</v>
      </c>
      <c r="D168" s="2" t="s">
        <v>409</v>
      </c>
    </row>
    <row r="169" spans="1:4" ht="13">
      <c r="A169" s="2" t="s">
        <v>518</v>
      </c>
      <c r="B169" s="2" t="s">
        <v>512</v>
      </c>
      <c r="C169" s="2" t="s">
        <v>317</v>
      </c>
      <c r="D169" s="2" t="s">
        <v>404</v>
      </c>
    </row>
    <row r="170" spans="1:4" ht="13">
      <c r="A170" s="2" t="s">
        <v>519</v>
      </c>
      <c r="B170" s="2" t="s">
        <v>512</v>
      </c>
      <c r="C170" s="2" t="s">
        <v>317</v>
      </c>
      <c r="D170" s="2" t="s">
        <v>2</v>
      </c>
    </row>
    <row r="171" spans="1:4" ht="13">
      <c r="A171" s="2" t="s">
        <v>520</v>
      </c>
      <c r="B171" s="2" t="s">
        <v>512</v>
      </c>
      <c r="C171" s="2" t="s">
        <v>317</v>
      </c>
      <c r="D171" s="2" t="s">
        <v>406</v>
      </c>
    </row>
    <row r="172" spans="1:4" ht="13">
      <c r="A172" s="2" t="s">
        <v>521</v>
      </c>
      <c r="B172" s="2" t="s">
        <v>512</v>
      </c>
      <c r="C172" s="2" t="s">
        <v>317</v>
      </c>
      <c r="D172" s="2" t="s">
        <v>411</v>
      </c>
    </row>
    <row r="174" spans="1:4" ht="13">
      <c r="A174" s="2" t="s">
        <v>522</v>
      </c>
      <c r="B174" s="2" t="s">
        <v>512</v>
      </c>
      <c r="C174" s="2" t="s">
        <v>311</v>
      </c>
      <c r="D174" s="2" t="s">
        <v>409</v>
      </c>
    </row>
    <row r="175" spans="1:4" ht="13">
      <c r="A175" s="2" t="s">
        <v>523</v>
      </c>
      <c r="B175" s="2" t="s">
        <v>512</v>
      </c>
      <c r="C175" s="2" t="s">
        <v>311</v>
      </c>
      <c r="D175" s="2" t="s">
        <v>404</v>
      </c>
    </row>
    <row r="176" spans="1:4" ht="13">
      <c r="A176" s="2" t="s">
        <v>524</v>
      </c>
      <c r="B176" s="2" t="s">
        <v>512</v>
      </c>
      <c r="C176" s="2" t="s">
        <v>311</v>
      </c>
      <c r="D176" s="2" t="s">
        <v>2</v>
      </c>
    </row>
    <row r="177" spans="1:4" ht="13">
      <c r="A177" s="2" t="s">
        <v>526</v>
      </c>
      <c r="B177" s="2" t="s">
        <v>512</v>
      </c>
      <c r="C177" s="2" t="s">
        <v>311</v>
      </c>
      <c r="D177" s="2" t="s">
        <v>406</v>
      </c>
    </row>
    <row r="178" spans="1:4" ht="13">
      <c r="A178" s="2" t="s">
        <v>527</v>
      </c>
      <c r="B178" s="2" t="s">
        <v>512</v>
      </c>
      <c r="C178" s="2" t="s">
        <v>311</v>
      </c>
      <c r="D178" s="2" t="s">
        <v>411</v>
      </c>
    </row>
    <row r="1017" spans="1:9" ht="13">
      <c r="A1017" s="2"/>
      <c r="B1017" s="2"/>
      <c r="D1017" s="2"/>
      <c r="I1017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4"/>
  <sheetViews>
    <sheetView workbookViewId="0"/>
  </sheetViews>
  <sheetFormatPr baseColWidth="10" defaultColWidth="14.5" defaultRowHeight="15.75" customHeight="1"/>
  <cols>
    <col min="1" max="1" width="20.33203125" customWidth="1"/>
    <col min="5" max="5" width="4.33203125" customWidth="1"/>
    <col min="9" max="9" width="4" customWidth="1"/>
  </cols>
  <sheetData>
    <row r="1" spans="1:12" ht="15.75" customHeight="1">
      <c r="A1" s="2" t="s">
        <v>293</v>
      </c>
      <c r="B1" s="2" t="s">
        <v>294</v>
      </c>
      <c r="F1" s="2" t="s">
        <v>269</v>
      </c>
      <c r="G1" s="2" t="s">
        <v>295</v>
      </c>
    </row>
    <row r="2" spans="1:12" ht="15.75" customHeight="1">
      <c r="A2" s="2" t="s">
        <v>296</v>
      </c>
      <c r="B2" s="2" t="s">
        <v>297</v>
      </c>
      <c r="F2" s="2" t="s">
        <v>14</v>
      </c>
      <c r="G2" s="2" t="s">
        <v>298</v>
      </c>
    </row>
    <row r="3" spans="1:12" ht="15.75" customHeight="1">
      <c r="A3" s="2"/>
      <c r="F3" s="2" t="s">
        <v>263</v>
      </c>
      <c r="G3" s="2" t="s">
        <v>299</v>
      </c>
    </row>
    <row r="4" spans="1:12" ht="15.75" customHeight="1">
      <c r="A4" s="2"/>
      <c r="F4" s="2" t="s">
        <v>300</v>
      </c>
      <c r="G4" s="2" t="s">
        <v>301</v>
      </c>
    </row>
    <row r="5" spans="1:12" ht="15.75" customHeight="1">
      <c r="A5" s="1" t="s">
        <v>302</v>
      </c>
      <c r="B5" s="1"/>
      <c r="C5" s="13"/>
      <c r="D5" s="13"/>
      <c r="E5" s="13"/>
      <c r="F5" s="1"/>
      <c r="G5" s="13"/>
      <c r="H5" s="13"/>
      <c r="I5" s="13"/>
      <c r="J5" s="13"/>
    </row>
    <row r="6" spans="1:12" ht="15.75" customHeight="1">
      <c r="A6" s="13"/>
      <c r="B6" s="1" t="s">
        <v>303</v>
      </c>
      <c r="C6" s="1" t="s">
        <v>304</v>
      </c>
      <c r="D6" s="1" t="s">
        <v>305</v>
      </c>
      <c r="E6" s="13"/>
      <c r="F6" s="1"/>
      <c r="G6" s="1" t="s">
        <v>306</v>
      </c>
      <c r="H6" s="1" t="s">
        <v>307</v>
      </c>
      <c r="I6" s="13"/>
      <c r="J6" s="1" t="s">
        <v>308</v>
      </c>
    </row>
    <row r="7" spans="1:12" ht="15.75" customHeight="1">
      <c r="A7" s="1" t="s">
        <v>293</v>
      </c>
      <c r="G7" s="2" t="s">
        <v>309</v>
      </c>
      <c r="H7" s="2"/>
    </row>
    <row r="8" spans="1:12" ht="15.75" customHeight="1">
      <c r="A8" s="2" t="s">
        <v>310</v>
      </c>
      <c r="B8" s="64">
        <v>0.1186</v>
      </c>
      <c r="C8" s="64">
        <v>18.825600000000001</v>
      </c>
      <c r="D8" s="64">
        <v>0.1003</v>
      </c>
      <c r="F8" s="2" t="s">
        <v>293</v>
      </c>
      <c r="G8" s="11">
        <f>B11/C8</f>
        <v>0.16623108958014618</v>
      </c>
      <c r="H8" s="11">
        <f>D11/C8</f>
        <v>0.16749001359850413</v>
      </c>
      <c r="J8" s="11">
        <f>(B11+D11)/C8</f>
        <v>0.33372110317865034</v>
      </c>
    </row>
    <row r="9" spans="1:12" ht="15.75" customHeight="1">
      <c r="A9" s="2" t="s">
        <v>184</v>
      </c>
      <c r="B9" s="64">
        <v>1.9E-3</v>
      </c>
      <c r="C9" s="64">
        <v>2.3E-3</v>
      </c>
      <c r="D9" s="64">
        <v>1E-3</v>
      </c>
      <c r="F9" s="2" t="s">
        <v>296</v>
      </c>
      <c r="G9" s="11">
        <f>B18/C15</f>
        <v>0.16656398949450407</v>
      </c>
      <c r="H9" s="11">
        <f>D18/C15</f>
        <v>0.16799066178139491</v>
      </c>
      <c r="J9" s="11">
        <f>(B18+D18)/C15</f>
        <v>0.33455465127589895</v>
      </c>
    </row>
    <row r="10" spans="1:12" ht="15.75" customHeight="1">
      <c r="A10" s="2"/>
      <c r="B10" s="69"/>
      <c r="C10" s="69"/>
      <c r="D10" s="69"/>
      <c r="F10" s="2" t="s">
        <v>31</v>
      </c>
      <c r="G10" s="11">
        <f t="shared" ref="G10:H10" si="0">G8/G9</f>
        <v>0.99800136923131955</v>
      </c>
      <c r="H10" s="11">
        <f t="shared" si="0"/>
        <v>0.9970197856381906</v>
      </c>
      <c r="J10" s="11">
        <f>J8/J9</f>
        <v>0.99750848450598517</v>
      </c>
    </row>
    <row r="11" spans="1:12" ht="15.75" customHeight="1">
      <c r="A11" s="2" t="s">
        <v>320</v>
      </c>
      <c r="B11" s="64">
        <v>3.1294</v>
      </c>
      <c r="C11" s="64" t="s">
        <v>321</v>
      </c>
      <c r="D11" s="64">
        <v>3.1530999999999998</v>
      </c>
      <c r="L11" s="2"/>
    </row>
    <row r="12" spans="1:12" ht="15.75" customHeight="1">
      <c r="A12" s="2" t="s">
        <v>184</v>
      </c>
      <c r="B12" s="64">
        <v>2.9499999999999998E-2</v>
      </c>
      <c r="C12" s="64" t="s">
        <v>321</v>
      </c>
      <c r="D12" s="64">
        <v>1.8100000000000002E-2</v>
      </c>
      <c r="G12" s="1" t="s">
        <v>306</v>
      </c>
      <c r="H12" s="1" t="s">
        <v>307</v>
      </c>
    </row>
    <row r="13" spans="1:12" ht="15.75" customHeight="1">
      <c r="A13" s="1"/>
      <c r="B13" s="69"/>
      <c r="C13" s="69"/>
      <c r="D13" s="69"/>
      <c r="G13" s="2" t="s">
        <v>322</v>
      </c>
      <c r="H13" s="2"/>
    </row>
    <row r="14" spans="1:12" ht="15.75" customHeight="1">
      <c r="A14" s="1" t="s">
        <v>296</v>
      </c>
      <c r="B14" s="69"/>
      <c r="C14" s="69"/>
      <c r="D14" s="69"/>
      <c r="F14" s="2" t="s">
        <v>293</v>
      </c>
      <c r="G14" s="11">
        <f>B8/C8</f>
        <v>6.2999320074791764E-3</v>
      </c>
      <c r="H14" s="11">
        <f>D8/C8</f>
        <v>5.3278514363420022E-3</v>
      </c>
      <c r="J14" s="11">
        <f>(B8+D8)/C8</f>
        <v>1.1627783443821179E-2</v>
      </c>
    </row>
    <row r="15" spans="1:12" ht="15.75" customHeight="1">
      <c r="A15" s="2" t="s">
        <v>310</v>
      </c>
      <c r="B15" s="64">
        <v>0.1134</v>
      </c>
      <c r="C15" s="64">
        <v>18.5046</v>
      </c>
      <c r="D15" s="64">
        <v>0.1007</v>
      </c>
      <c r="F15" s="2" t="s">
        <v>296</v>
      </c>
      <c r="G15" s="11">
        <f>B15/C15</f>
        <v>6.1282059595992346E-3</v>
      </c>
      <c r="H15" s="11">
        <f>D15/C15</f>
        <v>5.4418901246176621E-3</v>
      </c>
      <c r="J15" s="11">
        <f>(B15+D15)/C15</f>
        <v>1.1570096084216898E-2</v>
      </c>
    </row>
    <row r="16" spans="1:12" ht="15.75" customHeight="1">
      <c r="A16" s="2" t="s">
        <v>184</v>
      </c>
      <c r="B16" s="64">
        <v>1.6999999999999999E-3</v>
      </c>
      <c r="C16" s="64">
        <v>2.8E-3</v>
      </c>
      <c r="D16" s="64">
        <v>1.1999999999999999E-3</v>
      </c>
      <c r="F16" s="2" t="s">
        <v>31</v>
      </c>
      <c r="G16" s="11">
        <f t="shared" ref="G16:H16" si="1">G14/G15</f>
        <v>1.0280222383209803</v>
      </c>
      <c r="H16" s="11">
        <f t="shared" si="1"/>
        <v>0.97904428688117406</v>
      </c>
      <c r="J16" s="11">
        <f>J14/J15</f>
        <v>1.0049859015158027</v>
      </c>
    </row>
    <row r="17" spans="1:12" ht="15.75" customHeight="1">
      <c r="A17" s="2"/>
      <c r="B17" s="69"/>
      <c r="C17" s="69"/>
      <c r="D17" s="69"/>
    </row>
    <row r="18" spans="1:12" ht="15.75" customHeight="1">
      <c r="A18" s="2" t="s">
        <v>320</v>
      </c>
      <c r="B18" s="64">
        <v>3.0821999999999998</v>
      </c>
      <c r="C18" s="64" t="s">
        <v>321</v>
      </c>
      <c r="D18" s="64">
        <v>3.1086</v>
      </c>
      <c r="G18" s="1" t="s">
        <v>168</v>
      </c>
      <c r="H18" s="1" t="s">
        <v>155</v>
      </c>
      <c r="I18" s="13"/>
      <c r="J18" s="1" t="s">
        <v>153</v>
      </c>
    </row>
    <row r="19" spans="1:12" ht="15.75" customHeight="1">
      <c r="A19" s="2" t="s">
        <v>184</v>
      </c>
      <c r="B19" s="64">
        <v>3.4200000000000001E-2</v>
      </c>
      <c r="C19" s="64" t="s">
        <v>321</v>
      </c>
      <c r="D19" s="64">
        <v>1.89E-2</v>
      </c>
      <c r="G19" s="2" t="s">
        <v>356</v>
      </c>
    </row>
    <row r="20" spans="1:12" ht="15.75" customHeight="1">
      <c r="F20" s="2" t="s">
        <v>293</v>
      </c>
      <c r="G20" s="11">
        <f>C8/C28</f>
        <v>3.7530352265704434</v>
      </c>
      <c r="H20" s="11">
        <f>C8/G28</f>
        <v>3.7413995269988281</v>
      </c>
      <c r="J20" s="11">
        <f>C8/K28</f>
        <v>3.7352380952380955</v>
      </c>
    </row>
    <row r="21" spans="1:12" ht="15.75" customHeight="1">
      <c r="F21" s="2" t="s">
        <v>296</v>
      </c>
      <c r="G21" s="11">
        <f>C15/C35</f>
        <v>3.7457946195421146</v>
      </c>
      <c r="H21" s="11">
        <f>C15/G35</f>
        <v>3.7393606272481108</v>
      </c>
      <c r="J21" s="11">
        <f>C15/K35</f>
        <v>3.7346061474499987</v>
      </c>
    </row>
    <row r="22" spans="1:12" ht="15.75" customHeight="1">
      <c r="F22" s="2" t="s">
        <v>31</v>
      </c>
      <c r="G22" s="11">
        <f t="shared" ref="G22:H22" si="2">G20/G21</f>
        <v>1.0019329962701515</v>
      </c>
      <c r="H22" s="11">
        <f t="shared" si="2"/>
        <v>1.0005452535751327</v>
      </c>
      <c r="J22" s="11">
        <f>J20/J21</f>
        <v>1.0001692140384142</v>
      </c>
    </row>
    <row r="24" spans="1:12" ht="15.75" customHeight="1">
      <c r="A24" s="1" t="s">
        <v>379</v>
      </c>
      <c r="B24" s="2" t="s">
        <v>380</v>
      </c>
    </row>
    <row r="25" spans="1:12" ht="15.75" customHeight="1">
      <c r="B25" s="2" t="s">
        <v>168</v>
      </c>
      <c r="F25" s="2" t="s">
        <v>155</v>
      </c>
      <c r="J25" s="2" t="s">
        <v>153</v>
      </c>
    </row>
    <row r="26" spans="1:12" ht="15.75" customHeight="1">
      <c r="B26" s="1" t="s">
        <v>303</v>
      </c>
      <c r="C26" s="1" t="s">
        <v>304</v>
      </c>
      <c r="D26" s="1" t="s">
        <v>305</v>
      </c>
      <c r="F26" s="1" t="s">
        <v>303</v>
      </c>
      <c r="G26" s="1" t="s">
        <v>304</v>
      </c>
      <c r="H26" s="1" t="s">
        <v>305</v>
      </c>
      <c r="J26" s="1" t="s">
        <v>303</v>
      </c>
      <c r="K26" s="1" t="s">
        <v>304</v>
      </c>
      <c r="L26" s="1" t="s">
        <v>305</v>
      </c>
    </row>
    <row r="27" spans="1:12" ht="15.75" customHeight="1">
      <c r="A27" s="1" t="s">
        <v>293</v>
      </c>
    </row>
    <row r="28" spans="1:12" ht="15.75" customHeight="1">
      <c r="A28" s="2" t="s">
        <v>383</v>
      </c>
      <c r="B28" s="12">
        <v>2.8799999999999999E-2</v>
      </c>
      <c r="C28" s="12">
        <v>5.0160999999999998</v>
      </c>
      <c r="D28" s="12">
        <v>2.6499999999999999E-2</v>
      </c>
      <c r="F28" s="2">
        <v>2.8799999999999999E-2</v>
      </c>
      <c r="G28" s="12">
        <v>5.0316999999999998</v>
      </c>
      <c r="H28" s="12">
        <v>2.5700000000000001E-2</v>
      </c>
      <c r="J28" s="12">
        <v>2.9000000000000001E-2</v>
      </c>
      <c r="K28" s="12">
        <v>5.04</v>
      </c>
      <c r="L28" s="12">
        <v>2.5600000000000001E-2</v>
      </c>
    </row>
    <row r="29" spans="1:12" ht="15.75" customHeight="1">
      <c r="A29" s="2" t="s">
        <v>184</v>
      </c>
      <c r="B29" s="12">
        <v>5.9999999999999995E-4</v>
      </c>
      <c r="C29" s="12">
        <v>8.0000000000000004E-4</v>
      </c>
      <c r="D29" s="12">
        <v>4.0000000000000002E-4</v>
      </c>
      <c r="F29" s="2">
        <v>5.0000000000000001E-4</v>
      </c>
      <c r="G29" s="12">
        <v>1.1000000000000001E-3</v>
      </c>
      <c r="H29" s="12">
        <v>6.9999999999999999E-4</v>
      </c>
      <c r="J29" s="12">
        <v>6.9999999999999999E-4</v>
      </c>
      <c r="K29" s="2">
        <v>8.9999999999999998E-4</v>
      </c>
      <c r="L29" s="12">
        <v>5.9999999999999995E-4</v>
      </c>
    </row>
    <row r="30" spans="1:12" ht="13">
      <c r="A30" s="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3">
      <c r="A31" s="2" t="s">
        <v>320</v>
      </c>
      <c r="B31" s="12">
        <v>9.6584000000000003</v>
      </c>
      <c r="D31" s="2">
        <v>7.8449999999999998</v>
      </c>
      <c r="F31" s="12">
        <v>7.0675999999999997</v>
      </c>
      <c r="H31" s="2">
        <v>9.4219000000000008</v>
      </c>
      <c r="J31" s="12">
        <v>9.4387000000000008</v>
      </c>
      <c r="L31" s="2">
        <v>9.5907</v>
      </c>
    </row>
    <row r="32" spans="1:12" ht="13">
      <c r="A32" s="2" t="s">
        <v>184</v>
      </c>
      <c r="B32" s="12">
        <v>0.1149</v>
      </c>
      <c r="D32" s="2">
        <v>9.1399999999999995E-2</v>
      </c>
      <c r="F32" s="12">
        <v>0.1736</v>
      </c>
      <c r="H32" s="2">
        <v>0.2369</v>
      </c>
      <c r="J32" s="12">
        <v>0.1827</v>
      </c>
      <c r="K32" s="2"/>
      <c r="L32" s="2">
        <v>0.1653</v>
      </c>
    </row>
    <row r="33" spans="1:12" ht="13">
      <c r="A33" s="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ht="13">
      <c r="A34" s="1" t="s">
        <v>296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3">
      <c r="A35" s="2" t="s">
        <v>383</v>
      </c>
      <c r="B35" s="12">
        <v>2.9899999999999999E-2</v>
      </c>
      <c r="C35" s="12">
        <v>4.9401000000000002</v>
      </c>
      <c r="D35" s="12">
        <v>2.58E-2</v>
      </c>
      <c r="F35" s="2">
        <v>2.93E-2</v>
      </c>
      <c r="G35" s="12">
        <v>4.9485999999999999</v>
      </c>
      <c r="H35" s="12">
        <v>2.2800000000000001E-2</v>
      </c>
      <c r="J35" s="12">
        <v>3.0200000000000001E-2</v>
      </c>
      <c r="K35" s="2">
        <v>4.9549000000000003</v>
      </c>
      <c r="L35" s="12">
        <v>2.2599999999999999E-2</v>
      </c>
    </row>
    <row r="36" spans="1:12" ht="13">
      <c r="A36" s="2" t="s">
        <v>184</v>
      </c>
      <c r="B36" s="12">
        <v>4.0000000000000002E-4</v>
      </c>
      <c r="C36" s="12">
        <v>6.9999999999999999E-4</v>
      </c>
      <c r="D36" s="12">
        <v>4.0000000000000002E-4</v>
      </c>
      <c r="F36" s="2">
        <v>2.9999999999999997E-4</v>
      </c>
      <c r="G36" s="12">
        <v>1.6999999999999999E-3</v>
      </c>
      <c r="H36" s="12">
        <v>4.0000000000000002E-4</v>
      </c>
      <c r="J36" s="12">
        <v>4.0000000000000002E-4</v>
      </c>
      <c r="K36" s="2">
        <v>1.1999999999999999E-3</v>
      </c>
      <c r="L36" s="12">
        <v>4.0000000000000002E-4</v>
      </c>
    </row>
    <row r="37" spans="1:12" ht="13">
      <c r="A37" s="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ht="13">
      <c r="A38" s="2" t="s">
        <v>320</v>
      </c>
      <c r="B38" s="12">
        <v>9.5557999999999996</v>
      </c>
      <c r="D38" s="2">
        <v>7.7118000000000002</v>
      </c>
      <c r="F38" s="12">
        <v>6.9813000000000001</v>
      </c>
      <c r="H38" s="2">
        <v>9.3347999999999995</v>
      </c>
      <c r="J38" s="12">
        <v>9.3473000000000006</v>
      </c>
      <c r="L38" s="2">
        <v>9.3840000000000003</v>
      </c>
    </row>
    <row r="39" spans="1:12" ht="13">
      <c r="A39" s="2" t="s">
        <v>184</v>
      </c>
      <c r="B39" s="12">
        <v>0.14149999999999999</v>
      </c>
      <c r="D39" s="2">
        <v>0.1431</v>
      </c>
      <c r="F39" s="12">
        <v>0.158</v>
      </c>
      <c r="H39" s="2">
        <v>0.2147</v>
      </c>
      <c r="J39" s="12">
        <v>0.2082</v>
      </c>
      <c r="L39" s="2">
        <v>0.19889999999999999</v>
      </c>
    </row>
    <row r="41" spans="1:12" ht="13">
      <c r="B41" s="2" t="s">
        <v>306</v>
      </c>
      <c r="C41" s="2" t="s">
        <v>307</v>
      </c>
      <c r="D41" s="2" t="s">
        <v>308</v>
      </c>
      <c r="F41" s="2" t="s">
        <v>306</v>
      </c>
      <c r="G41" s="2" t="s">
        <v>307</v>
      </c>
      <c r="H41" s="2" t="s">
        <v>308</v>
      </c>
      <c r="J41" s="2" t="s">
        <v>306</v>
      </c>
      <c r="K41" s="2" t="s">
        <v>307</v>
      </c>
      <c r="L41" s="2" t="s">
        <v>308</v>
      </c>
    </row>
    <row r="42" spans="1:12" ht="13">
      <c r="A42" s="2" t="s">
        <v>293</v>
      </c>
      <c r="C42" s="2"/>
      <c r="D42" s="2"/>
      <c r="G42" s="2"/>
      <c r="H42" s="2"/>
      <c r="K42" s="2"/>
      <c r="L42" s="2"/>
    </row>
    <row r="43" spans="1:12" ht="13">
      <c r="A43" s="2" t="s">
        <v>388</v>
      </c>
      <c r="B43" s="12">
        <f>B31/C28</f>
        <v>1.9254799545463608</v>
      </c>
      <c r="C43" s="11">
        <f>D31/C28</f>
        <v>1.5639640358047089</v>
      </c>
      <c r="D43" s="11">
        <f>(B31+D31)/C28</f>
        <v>3.4894439903510697</v>
      </c>
      <c r="F43" s="12">
        <f>F31/G28</f>
        <v>1.404614742532345</v>
      </c>
      <c r="G43" s="11">
        <f>H31/G28</f>
        <v>1.8725082973945191</v>
      </c>
      <c r="H43" s="11">
        <f>(F31+H31)/G28</f>
        <v>3.2771230399268636</v>
      </c>
      <c r="J43" s="12">
        <f>J31/K28</f>
        <v>1.8727579365079365</v>
      </c>
      <c r="K43" s="11">
        <f>L31/K28</f>
        <v>1.9029166666666666</v>
      </c>
      <c r="L43" s="11">
        <f>(J31+L31)/K28</f>
        <v>3.7756746031746036</v>
      </c>
    </row>
    <row r="44" spans="1:12" ht="13">
      <c r="A44" s="2" t="s">
        <v>407</v>
      </c>
      <c r="B44" s="11">
        <f>B28/C28</f>
        <v>5.7415123302964454E-3</v>
      </c>
      <c r="C44" s="11">
        <f>D28/C28</f>
        <v>5.2829887761408267E-3</v>
      </c>
      <c r="D44" s="11">
        <f>(B28+D28)/C28</f>
        <v>1.1024501106437273E-2</v>
      </c>
      <c r="F44" s="11">
        <f>F28/G28</f>
        <v>5.7237116680247235E-3</v>
      </c>
      <c r="G44" s="11">
        <f>H28/G28</f>
        <v>5.1076177037581733E-3</v>
      </c>
      <c r="H44" s="11">
        <f>(F28+H28)/G28</f>
        <v>1.0831329371782897E-2</v>
      </c>
      <c r="J44" s="11">
        <f>J28/K28</f>
        <v>5.7539682539682543E-3</v>
      </c>
      <c r="K44" s="11">
        <f>L28/K28</f>
        <v>5.0793650793650794E-3</v>
      </c>
      <c r="L44" s="11">
        <f>(J28+L28)/K28</f>
        <v>1.0833333333333334E-2</v>
      </c>
    </row>
    <row r="45" spans="1:12" ht="13">
      <c r="A45" s="2" t="s">
        <v>432</v>
      </c>
      <c r="B45" s="11">
        <f>C28/K28</f>
        <v>0.99525793650793648</v>
      </c>
      <c r="C45" s="11"/>
      <c r="D45" s="11"/>
      <c r="F45" s="11">
        <f>G28/K28</f>
        <v>0.99835317460317452</v>
      </c>
      <c r="G45" s="11"/>
      <c r="H45" s="11"/>
      <c r="J45" s="11"/>
      <c r="K45" s="11"/>
      <c r="L45" s="11"/>
    </row>
    <row r="46" spans="1:12" ht="13">
      <c r="B46" s="11"/>
      <c r="C46" s="11"/>
      <c r="D46" s="11"/>
      <c r="F46" s="11"/>
      <c r="G46" s="11"/>
      <c r="H46" s="11"/>
      <c r="J46" s="11"/>
      <c r="K46" s="11"/>
      <c r="L46" s="11"/>
    </row>
    <row r="47" spans="1:12" ht="13">
      <c r="A47" s="2" t="s">
        <v>296</v>
      </c>
      <c r="B47" s="11"/>
      <c r="C47" s="11"/>
      <c r="D47" s="11"/>
      <c r="F47" s="11"/>
      <c r="G47" s="11"/>
      <c r="H47" s="11"/>
      <c r="J47" s="11"/>
      <c r="K47" s="11"/>
      <c r="L47" s="11"/>
    </row>
    <row r="48" spans="1:12" ht="13">
      <c r="A48" s="2" t="s">
        <v>388</v>
      </c>
      <c r="B48" s="12">
        <f>B38/C35</f>
        <v>1.934333313090828</v>
      </c>
      <c r="C48" s="11">
        <f>D38/C35</f>
        <v>1.5610615169733406</v>
      </c>
      <c r="D48" s="11">
        <f>(B38+D38)/C35</f>
        <v>3.4953948300641691</v>
      </c>
      <c r="F48" s="12">
        <f>F38/G35</f>
        <v>1.4107626399385684</v>
      </c>
      <c r="G48" s="11">
        <f>H38/G35</f>
        <v>1.8863516954290103</v>
      </c>
      <c r="H48" s="11">
        <f>(F38+H38)/G35</f>
        <v>3.2971143353675787</v>
      </c>
      <c r="J48" s="12">
        <f>J38/K35</f>
        <v>1.8864760136430605</v>
      </c>
      <c r="K48" s="11">
        <f>L38/K35</f>
        <v>1.8938828230640377</v>
      </c>
      <c r="L48" s="11">
        <f>(J38+L38)/K35</f>
        <v>3.7803588367070979</v>
      </c>
    </row>
    <row r="49" spans="1:12" ht="13">
      <c r="A49" s="2" t="s">
        <v>407</v>
      </c>
      <c r="B49" s="11">
        <f>B35/C35</f>
        <v>6.0525090585210823E-3</v>
      </c>
      <c r="C49" s="11">
        <f>D35/C35</f>
        <v>5.2225663448108332E-3</v>
      </c>
      <c r="D49" s="11">
        <f>(B35+D35)/C35</f>
        <v>1.1275075403331915E-2</v>
      </c>
      <c r="F49" s="11">
        <f>F35/G35</f>
        <v>5.9208665076991469E-3</v>
      </c>
      <c r="G49" s="11">
        <f>H35/G35</f>
        <v>4.6073636988239099E-3</v>
      </c>
      <c r="H49" s="11">
        <f>(F35+H35)/G35</f>
        <v>1.0528230206523057E-2</v>
      </c>
      <c r="J49" s="11">
        <f>J35/K35</f>
        <v>6.0949766897414681E-3</v>
      </c>
      <c r="K49" s="11">
        <f>L35/K35</f>
        <v>4.5611414962965944E-3</v>
      </c>
      <c r="L49" s="11">
        <f>(J35+L35)/K35</f>
        <v>1.0656118186038063E-2</v>
      </c>
    </row>
    <row r="50" spans="1:12" ht="13">
      <c r="A50" s="2" t="s">
        <v>432</v>
      </c>
      <c r="B50" s="11">
        <f>C35/K35</f>
        <v>0.99701305778118632</v>
      </c>
      <c r="F50" s="11">
        <f>G35/K35</f>
        <v>0.99872853135280215</v>
      </c>
    </row>
    <row r="52" spans="1:12" ht="13">
      <c r="A52" s="2" t="s">
        <v>525</v>
      </c>
      <c r="B52" s="11">
        <f t="shared" ref="B52:D52" si="3">B43/B48</f>
        <v>0.99542304395806502</v>
      </c>
      <c r="C52" s="11">
        <f t="shared" si="3"/>
        <v>1.0018593237997411</v>
      </c>
      <c r="D52" s="11">
        <f t="shared" si="3"/>
        <v>0.99829752002208283</v>
      </c>
      <c r="F52" s="11">
        <f t="shared" ref="F52:H52" si="4">F43/F48</f>
        <v>0.99564214614693003</v>
      </c>
      <c r="G52" s="11">
        <f t="shared" si="4"/>
        <v>0.99266128470738713</v>
      </c>
      <c r="H52" s="11">
        <f t="shared" si="4"/>
        <v>0.99393672969533631</v>
      </c>
      <c r="J52" s="11">
        <f t="shared" ref="J52:L52" si="5">J43/J48</f>
        <v>0.99272819954459302</v>
      </c>
      <c r="K52" s="11">
        <f t="shared" si="5"/>
        <v>1.0047700118996874</v>
      </c>
      <c r="L52" s="11">
        <f t="shared" si="5"/>
        <v>0.9987609024077263</v>
      </c>
    </row>
    <row r="53" spans="1:12" ht="13">
      <c r="A53" s="2" t="s">
        <v>528</v>
      </c>
      <c r="B53" s="11">
        <f t="shared" ref="B53:D53" si="6">B44/B49</f>
        <v>0.94861689173570141</v>
      </c>
      <c r="C53" s="11">
        <f t="shared" si="6"/>
        <v>1.0115694904268722</v>
      </c>
      <c r="D53" s="11">
        <f t="shared" si="6"/>
        <v>0.97777626419947539</v>
      </c>
      <c r="F53" s="11">
        <f t="shared" ref="F53:H53" si="7">F44/F49</f>
        <v>0.96670169148078999</v>
      </c>
      <c r="G53" s="11">
        <f t="shared" si="7"/>
        <v>1.1085770600358638</v>
      </c>
      <c r="H53" s="11">
        <f t="shared" si="7"/>
        <v>1.02878918482159</v>
      </c>
      <c r="J53" s="11">
        <f t="shared" ref="J53:L53" si="8">J44/J49</f>
        <v>0.94405090402606961</v>
      </c>
      <c r="K53" s="11">
        <f t="shared" si="8"/>
        <v>1.1136170810507096</v>
      </c>
      <c r="L53" s="11">
        <f t="shared" si="8"/>
        <v>1.0166303661616163</v>
      </c>
    </row>
    <row r="54" spans="1:12" ht="13">
      <c r="B54" s="11">
        <f>B45/B50</f>
        <v>0.99823962057512483</v>
      </c>
      <c r="F54" s="11">
        <f>F45/F50</f>
        <v>0.99962416538844723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1640625" customWidth="1"/>
  </cols>
  <sheetData>
    <row r="1" spans="1:13" ht="15.75" customHeight="1">
      <c r="A1" s="1" t="s">
        <v>3</v>
      </c>
      <c r="B1" s="2"/>
      <c r="C1" s="2"/>
      <c r="D1" s="2"/>
      <c r="G1" s="2"/>
      <c r="H1" s="2"/>
    </row>
    <row r="2" spans="1:13" ht="15.75" customHeight="1">
      <c r="A2" s="2" t="s">
        <v>4</v>
      </c>
      <c r="B2" s="2"/>
      <c r="C2" s="2"/>
      <c r="D2" s="2"/>
      <c r="G2" s="2"/>
      <c r="H2" s="2"/>
    </row>
    <row r="3" spans="1:13" ht="15.75" customHeight="1">
      <c r="A3" s="2"/>
      <c r="B3" s="2"/>
      <c r="C3" s="2"/>
      <c r="D3" s="2"/>
      <c r="G3" s="2"/>
      <c r="H3" s="2"/>
    </row>
    <row r="4" spans="1:13" ht="15.75" customHeight="1">
      <c r="A4" s="2" t="s">
        <v>68</v>
      </c>
      <c r="B4" s="2" t="s">
        <v>69</v>
      </c>
      <c r="C4" s="2" t="s">
        <v>70</v>
      </c>
      <c r="D4" s="2" t="s">
        <v>71</v>
      </c>
      <c r="G4" s="2" t="s">
        <v>72</v>
      </c>
      <c r="H4" s="2" t="s">
        <v>73</v>
      </c>
    </row>
    <row r="5" spans="1:13" ht="15.75" customHeight="1">
      <c r="A5" s="2" t="s">
        <v>21</v>
      </c>
      <c r="B5" s="22">
        <v>18.357299999999999</v>
      </c>
      <c r="C5" s="22">
        <v>8.7650000000000006</v>
      </c>
      <c r="D5" s="22">
        <v>16.8033</v>
      </c>
      <c r="G5" s="11">
        <f t="shared" ref="G5:G8" si="0">C5/B5</f>
        <v>0.47746672985678729</v>
      </c>
      <c r="H5" s="11">
        <f t="shared" ref="H5:H8" si="1">C5/D5</f>
        <v>0.52162372867234419</v>
      </c>
    </row>
    <row r="6" spans="1:13" ht="15.75" customHeight="1">
      <c r="A6" s="2" t="s">
        <v>22</v>
      </c>
      <c r="B6" s="22">
        <v>18.221699999999998</v>
      </c>
      <c r="C6" s="22">
        <v>8.6641999999999992</v>
      </c>
      <c r="D6" s="22">
        <v>16.7133</v>
      </c>
      <c r="G6" s="11">
        <f t="shared" si="0"/>
        <v>0.4754880170346345</v>
      </c>
      <c r="H6" s="11">
        <f t="shared" si="1"/>
        <v>0.51840151256783518</v>
      </c>
      <c r="J6" s="23">
        <f t="shared" ref="J6:K6" si="2">(G6-G5)/G6</f>
        <v>-4.1614357276403341E-3</v>
      </c>
      <c r="K6" s="23">
        <f t="shared" si="2"/>
        <v>-6.215676510178722E-3</v>
      </c>
    </row>
    <row r="7" spans="1:13" ht="15.75" customHeight="1">
      <c r="A7" s="2" t="s">
        <v>25</v>
      </c>
      <c r="B7" s="22">
        <v>18.738</v>
      </c>
      <c r="C7" s="22">
        <v>8.4694000000000003</v>
      </c>
      <c r="D7" s="22">
        <v>17.144600000000001</v>
      </c>
      <c r="G7" s="11">
        <f t="shared" si="0"/>
        <v>0.45199060732201946</v>
      </c>
      <c r="H7" s="11">
        <f t="shared" si="1"/>
        <v>0.49399811019213047</v>
      </c>
    </row>
    <row r="8" spans="1:13" ht="15.75" customHeight="1">
      <c r="A8" s="2" t="s">
        <v>74</v>
      </c>
      <c r="B8" s="22">
        <v>18.465</v>
      </c>
      <c r="C8" s="22">
        <v>8.3574999999999999</v>
      </c>
      <c r="D8" s="22">
        <v>17.036100000000001</v>
      </c>
      <c r="G8" s="11">
        <f t="shared" si="0"/>
        <v>0.45261305171946925</v>
      </c>
      <c r="H8" s="11">
        <f t="shared" si="1"/>
        <v>0.4905758947176877</v>
      </c>
      <c r="J8" s="23">
        <f t="shared" ref="J8:K8" si="3">(G8-G7)/G8</f>
        <v>1.3752241458463016E-3</v>
      </c>
      <c r="K8" s="23">
        <f t="shared" si="3"/>
        <v>-6.9759144533837227E-3</v>
      </c>
      <c r="M8" s="23">
        <f>AVERAGE(J6:K8)</f>
        <v>-3.9944506363391195E-3</v>
      </c>
    </row>
    <row r="10" spans="1:13" ht="15.75" customHeight="1">
      <c r="A10" s="2" t="s">
        <v>95</v>
      </c>
      <c r="F10" s="2" t="s">
        <v>31</v>
      </c>
      <c r="G10" s="11">
        <f t="shared" ref="G10:H10" si="4">AVERAGE(G7:G8)/AVERAGE(G5:G6)</f>
        <v>0.94926192664693021</v>
      </c>
      <c r="H10" s="11">
        <f t="shared" si="4"/>
        <v>0.94668279755956852</v>
      </c>
    </row>
    <row r="11" spans="1:13" ht="15.75" customHeight="1">
      <c r="A11" s="2" t="s">
        <v>103</v>
      </c>
      <c r="B11" s="2">
        <v>12</v>
      </c>
      <c r="C11" s="2">
        <v>31</v>
      </c>
      <c r="F11" s="2" t="s">
        <v>0</v>
      </c>
      <c r="G11" s="11">
        <f t="shared" ref="G11:H11" si="5">LN(1-0.1)/LN(1-0.1*G10)</f>
        <v>1.0563645546620075</v>
      </c>
      <c r="H11" s="11">
        <f t="shared" si="5"/>
        <v>1.0593909062757667</v>
      </c>
    </row>
    <row r="12" spans="1:13" ht="15.75" customHeight="1">
      <c r="A12" s="2" t="s">
        <v>114</v>
      </c>
      <c r="B12" s="2">
        <v>462</v>
      </c>
      <c r="C12" s="2">
        <v>128</v>
      </c>
      <c r="I12" s="11"/>
    </row>
    <row r="13" spans="1:13" ht="15.75" customHeight="1">
      <c r="B13" s="2"/>
      <c r="C13" s="2"/>
      <c r="I13" s="11"/>
    </row>
    <row r="15" spans="1:13" ht="15.75" customHeight="1">
      <c r="A15" s="2" t="s">
        <v>115</v>
      </c>
    </row>
    <row r="16" spans="1:13" ht="15.75" customHeight="1">
      <c r="A16" s="2" t="s">
        <v>103</v>
      </c>
      <c r="B16" s="2">
        <v>13</v>
      </c>
      <c r="C16" s="2">
        <v>31</v>
      </c>
    </row>
    <row r="17" spans="1:6" ht="15.75" customHeight="1">
      <c r="A17" s="2" t="s">
        <v>114</v>
      </c>
      <c r="B17" s="2">
        <v>785</v>
      </c>
      <c r="C17" s="2">
        <v>228</v>
      </c>
    </row>
    <row r="18" spans="1:6" ht="15.75" customHeight="1">
      <c r="D18" s="22"/>
      <c r="E18" s="2"/>
    </row>
    <row r="20" spans="1:6" ht="15.75" customHeight="1">
      <c r="A20" s="2" t="s">
        <v>117</v>
      </c>
    </row>
    <row r="21" spans="1:6" ht="15.75" customHeight="1">
      <c r="A21" s="2" t="s">
        <v>103</v>
      </c>
      <c r="B21" s="2">
        <v>13</v>
      </c>
      <c r="C21" s="2">
        <v>27</v>
      </c>
    </row>
    <row r="22" spans="1:6" ht="15.75" customHeight="1">
      <c r="A22" s="2" t="s">
        <v>114</v>
      </c>
      <c r="B22" s="2">
        <v>1009</v>
      </c>
      <c r="C22" s="2">
        <v>341</v>
      </c>
    </row>
    <row r="24" spans="1:6" ht="15.75" customHeight="1">
      <c r="A24" s="2" t="s">
        <v>120</v>
      </c>
    </row>
    <row r="25" spans="1:6" ht="15.75" customHeight="1">
      <c r="A25" s="2" t="s">
        <v>103</v>
      </c>
      <c r="B25" s="2">
        <v>12</v>
      </c>
      <c r="C25" s="2">
        <v>22</v>
      </c>
    </row>
    <row r="26" spans="1:6" ht="15.75" customHeight="1">
      <c r="A26" s="2" t="s">
        <v>114</v>
      </c>
      <c r="B26" s="2">
        <v>942</v>
      </c>
      <c r="C26" s="2">
        <v>361</v>
      </c>
    </row>
    <row r="28" spans="1:6" ht="15.75" customHeight="1">
      <c r="B28" s="2" t="s">
        <v>123</v>
      </c>
      <c r="C28" s="2" t="s">
        <v>123</v>
      </c>
    </row>
    <row r="29" spans="1:6" ht="15.75" customHeight="1">
      <c r="A29" s="2" t="s">
        <v>103</v>
      </c>
      <c r="B29" s="2">
        <v>13</v>
      </c>
      <c r="C29" s="2">
        <v>31</v>
      </c>
      <c r="E29" s="2" t="s">
        <v>125</v>
      </c>
      <c r="F29" s="2">
        <v>40.052</v>
      </c>
    </row>
    <row r="30" spans="1:6" ht="13">
      <c r="A30" s="2" t="s">
        <v>114</v>
      </c>
      <c r="B30" s="2">
        <v>1009</v>
      </c>
      <c r="C30" s="2">
        <v>341</v>
      </c>
      <c r="E30" s="2" t="s">
        <v>126</v>
      </c>
      <c r="F30" s="2">
        <v>10.705</v>
      </c>
    </row>
    <row r="31" spans="1:6" ht="13">
      <c r="A31" s="2" t="s">
        <v>129</v>
      </c>
      <c r="B31" s="14">
        <f t="shared" ref="B31:C31" si="6">B30/B29</f>
        <v>77.615384615384613</v>
      </c>
      <c r="C31" s="14">
        <f t="shared" si="6"/>
        <v>11</v>
      </c>
      <c r="E31" s="2" t="s">
        <v>138</v>
      </c>
      <c r="F31">
        <f>(F29/F30)^2.5</f>
        <v>27.076581947023637</v>
      </c>
    </row>
    <row r="32" spans="1:6" ht="13">
      <c r="A32" s="2" t="s">
        <v>139</v>
      </c>
      <c r="B32" s="2">
        <f>F31*F32*3/2</f>
        <v>101.53718230133863</v>
      </c>
      <c r="C32" s="2">
        <f>F31*F32/2</f>
        <v>33.845727433779544</v>
      </c>
      <c r="E32" s="2" t="s">
        <v>140</v>
      </c>
      <c r="F32" s="2">
        <v>2.5</v>
      </c>
    </row>
    <row r="35" spans="1:9" ht="13">
      <c r="A35" s="7" t="s">
        <v>115</v>
      </c>
      <c r="B35" s="7" t="s">
        <v>141</v>
      </c>
      <c r="C35" s="7">
        <v>0.1</v>
      </c>
      <c r="D35" s="8"/>
      <c r="E35" s="7" t="s">
        <v>142</v>
      </c>
      <c r="F35" s="7">
        <v>8</v>
      </c>
      <c r="G35" s="8"/>
      <c r="H35" s="8"/>
      <c r="I35" s="8"/>
    </row>
    <row r="36" spans="1:9" ht="13">
      <c r="A36" s="24" t="s">
        <v>15</v>
      </c>
      <c r="B36" s="8"/>
      <c r="C36" s="8"/>
      <c r="D36" s="8"/>
      <c r="E36" s="8"/>
      <c r="F36" s="8"/>
      <c r="G36" s="8"/>
      <c r="H36" s="8"/>
      <c r="I36" s="8"/>
    </row>
    <row r="37" spans="1:9" ht="13">
      <c r="A37" s="7" t="s">
        <v>68</v>
      </c>
      <c r="B37" s="7" t="s">
        <v>69</v>
      </c>
      <c r="C37" s="7" t="s">
        <v>70</v>
      </c>
      <c r="D37" s="7" t="s">
        <v>71</v>
      </c>
      <c r="E37" s="8"/>
      <c r="F37" s="8"/>
      <c r="G37" s="7" t="s">
        <v>72</v>
      </c>
      <c r="H37" s="7" t="s">
        <v>73</v>
      </c>
      <c r="I37" s="8"/>
    </row>
    <row r="38" spans="1:9" ht="14">
      <c r="A38" s="7" t="s">
        <v>21</v>
      </c>
      <c r="B38" s="25">
        <v>18.357299999999999</v>
      </c>
      <c r="C38" s="25">
        <v>8.7547999999999995</v>
      </c>
      <c r="D38" s="25">
        <v>16.8035</v>
      </c>
      <c r="E38" s="8"/>
      <c r="F38" s="8"/>
      <c r="G38" s="16">
        <f t="shared" ref="G38:G41" si="7">C38/B38</f>
        <v>0.47691109258986891</v>
      </c>
      <c r="H38" s="16">
        <f t="shared" ref="H38:H41" si="8">C38/D38</f>
        <v>0.52101050376409674</v>
      </c>
      <c r="I38" s="8"/>
    </row>
    <row r="39" spans="1:9" ht="14">
      <c r="A39" s="7" t="s">
        <v>22</v>
      </c>
      <c r="B39" s="25">
        <v>18.258099999999999</v>
      </c>
      <c r="C39" s="25">
        <v>8.6791</v>
      </c>
      <c r="D39" s="25">
        <v>16.706499999999998</v>
      </c>
      <c r="E39" s="8"/>
      <c r="F39" s="8"/>
      <c r="G39" s="16">
        <f t="shared" si="7"/>
        <v>0.47535614330078158</v>
      </c>
      <c r="H39" s="16">
        <f t="shared" si="8"/>
        <v>0.5195043845209949</v>
      </c>
      <c r="I39" s="8"/>
    </row>
    <row r="40" spans="1:9" ht="14">
      <c r="A40" s="7" t="s">
        <v>25</v>
      </c>
      <c r="B40" s="25">
        <v>18.738</v>
      </c>
      <c r="C40" s="25">
        <v>8.4694000000000003</v>
      </c>
      <c r="D40" s="25">
        <v>17.144600000000001</v>
      </c>
      <c r="E40" s="8"/>
      <c r="F40" s="8"/>
      <c r="G40" s="16">
        <f t="shared" si="7"/>
        <v>0.45199060732201946</v>
      </c>
      <c r="H40" s="16">
        <f t="shared" si="8"/>
        <v>0.49399811019213047</v>
      </c>
      <c r="I40" s="8"/>
    </row>
    <row r="41" spans="1:9" ht="14">
      <c r="A41" s="7" t="s">
        <v>74</v>
      </c>
      <c r="B41" s="25">
        <v>18.5227</v>
      </c>
      <c r="C41" s="25">
        <v>8.3512000000000004</v>
      </c>
      <c r="D41" s="25">
        <v>17.035399999999999</v>
      </c>
      <c r="E41" s="8"/>
      <c r="F41" s="8"/>
      <c r="G41" s="16">
        <f t="shared" si="7"/>
        <v>0.45086299513569839</v>
      </c>
      <c r="H41" s="16">
        <f t="shared" si="8"/>
        <v>0.49022623478168992</v>
      </c>
      <c r="I41" s="8"/>
    </row>
    <row r="42" spans="1:9" ht="13">
      <c r="A42" s="8"/>
      <c r="B42" s="8"/>
      <c r="C42" s="8"/>
      <c r="D42" s="8"/>
      <c r="E42" s="8"/>
      <c r="F42" s="8"/>
      <c r="G42" s="8"/>
      <c r="H42" s="8"/>
      <c r="I42" s="8"/>
    </row>
    <row r="43" spans="1:9" ht="13">
      <c r="A43" s="24" t="s">
        <v>19</v>
      </c>
      <c r="B43" s="8"/>
      <c r="C43" s="8"/>
      <c r="D43" s="8"/>
      <c r="E43" s="8"/>
      <c r="F43" s="6" t="s">
        <v>31</v>
      </c>
      <c r="G43" s="16">
        <f t="shared" ref="G43:H43" si="9">AVERAGE(G40:G41)/AVERAGE(G38:G39)</f>
        <v>0.94810948904829595</v>
      </c>
      <c r="H43" s="16">
        <f t="shared" si="9"/>
        <v>0.94590126105351013</v>
      </c>
      <c r="I43" s="8"/>
    </row>
    <row r="44" spans="1:9" ht="13">
      <c r="A44" s="7" t="s">
        <v>68</v>
      </c>
      <c r="B44" s="7" t="s">
        <v>143</v>
      </c>
      <c r="C44" s="7" t="s">
        <v>144</v>
      </c>
      <c r="D44" s="7" t="s">
        <v>145</v>
      </c>
      <c r="E44" s="8"/>
      <c r="F44" s="6" t="s">
        <v>0</v>
      </c>
      <c r="G44" s="16">
        <f t="shared" ref="G44:H44" si="10">LN(1-0.1)/LN(1-0.1*G43)</f>
        <v>1.0577147925343469</v>
      </c>
      <c r="H44" s="16">
        <f t="shared" si="10"/>
        <v>1.0603112170282436</v>
      </c>
      <c r="I44" s="8"/>
    </row>
    <row r="45" spans="1:9" ht="14">
      <c r="A45" s="7" t="s">
        <v>21</v>
      </c>
      <c r="B45" s="25">
        <v>0.1358</v>
      </c>
      <c r="C45" s="25">
        <v>5.2699999999999997E-2</v>
      </c>
      <c r="D45" s="25">
        <v>2.2000000000000001E-3</v>
      </c>
      <c r="E45" s="8"/>
      <c r="F45" s="1" t="s">
        <v>38</v>
      </c>
      <c r="G45" s="11">
        <f>B68/SQRT(F35)</f>
        <v>2.9368689610252937E-3</v>
      </c>
      <c r="H45" s="11">
        <f>D68/SQRT(F35)</f>
        <v>1.693068888850261E-3</v>
      </c>
    </row>
    <row r="46" spans="1:9" ht="14">
      <c r="A46" s="7" t="s">
        <v>22</v>
      </c>
      <c r="B46" s="25">
        <v>0.1678</v>
      </c>
      <c r="C46" s="25">
        <v>4.6300000000000001E-2</v>
      </c>
      <c r="D46" s="25">
        <v>5.7999999999999996E-3</v>
      </c>
      <c r="E46" s="8"/>
      <c r="F46" s="7"/>
      <c r="G46" s="26"/>
      <c r="H46" s="26"/>
      <c r="I46" s="8"/>
    </row>
    <row r="47" spans="1:9" ht="14">
      <c r="A47" s="7" t="s">
        <v>25</v>
      </c>
      <c r="B47" s="25">
        <v>0.10299999999999999</v>
      </c>
      <c r="C47" s="25">
        <v>2.0799999999999999E-2</v>
      </c>
      <c r="D47" s="25">
        <v>3.3999999999999998E-3</v>
      </c>
      <c r="E47" s="8"/>
      <c r="F47" s="8"/>
      <c r="G47" s="8"/>
      <c r="H47" s="8"/>
      <c r="I47" s="8"/>
    </row>
    <row r="48" spans="1:9" ht="14">
      <c r="A48" s="7" t="s">
        <v>74</v>
      </c>
      <c r="B48" s="25">
        <v>0.14199999999999999</v>
      </c>
      <c r="C48" s="25">
        <v>5.3100000000000001E-2</v>
      </c>
      <c r="D48" s="25">
        <v>2.3999999999999998E-3</v>
      </c>
      <c r="E48" s="8"/>
      <c r="F48" s="8"/>
      <c r="G48" s="8"/>
      <c r="H48" s="8"/>
      <c r="I48" s="8"/>
    </row>
    <row r="49" spans="1:9" ht="14">
      <c r="A49" s="7"/>
      <c r="B49" s="25"/>
      <c r="C49" s="25"/>
      <c r="D49" s="25"/>
      <c r="E49" s="8"/>
      <c r="F49" s="8"/>
      <c r="G49" s="8"/>
      <c r="H49" s="8"/>
      <c r="I49" s="8"/>
    </row>
    <row r="50" spans="1:9" ht="14">
      <c r="A50" s="7" t="s">
        <v>146</v>
      </c>
      <c r="B50" s="25">
        <f t="shared" ref="B50:D50" si="11">SQRT((B45^2+B46^2)/2)</f>
        <v>0.1526408857416649</v>
      </c>
      <c r="C50" s="25">
        <f t="shared" si="11"/>
        <v>4.9603326501354725E-2</v>
      </c>
      <c r="D50" s="25">
        <f t="shared" si="11"/>
        <v>4.386342439892262E-3</v>
      </c>
      <c r="E50" s="8"/>
      <c r="F50" s="8"/>
      <c r="G50" s="8"/>
      <c r="H50" s="8"/>
      <c r="I50" s="8"/>
    </row>
    <row r="51" spans="1:9" ht="14">
      <c r="A51" s="7" t="s">
        <v>147</v>
      </c>
      <c r="B51" s="25">
        <f t="shared" ref="B51:D51" si="12">SQRT((B46^2+B47^2)/2)</f>
        <v>0.13922255564383237</v>
      </c>
      <c r="C51" s="25">
        <f t="shared" si="12"/>
        <v>3.5891015588862901E-2</v>
      </c>
      <c r="D51" s="25">
        <f t="shared" si="12"/>
        <v>4.7539457296018849E-3</v>
      </c>
      <c r="E51" s="8"/>
      <c r="F51" s="8"/>
      <c r="G51" s="8"/>
      <c r="H51" s="8"/>
      <c r="I51" s="8"/>
    </row>
    <row r="52" spans="1:9" ht="13">
      <c r="A52" s="7"/>
      <c r="B52" s="8"/>
      <c r="C52" s="8"/>
      <c r="D52" s="8"/>
      <c r="E52" s="8"/>
      <c r="F52" s="8"/>
    </row>
    <row r="53" spans="1:9" ht="13">
      <c r="A53" s="24" t="s">
        <v>148</v>
      </c>
      <c r="B53" s="8"/>
      <c r="C53" s="8"/>
      <c r="D53" s="8"/>
      <c r="E53" s="8"/>
      <c r="F53" s="8"/>
      <c r="G53" s="8"/>
      <c r="H53" s="8"/>
      <c r="I53" s="8"/>
    </row>
    <row r="54" spans="1:9" ht="13">
      <c r="A54" s="7" t="s">
        <v>149</v>
      </c>
      <c r="B54" s="16">
        <f>$C$35/LN(1-$C$35)</f>
        <v>-0.9491221581029905</v>
      </c>
      <c r="C54" s="16"/>
      <c r="D54" s="16">
        <f>$C$35/LN(1-$C$35)</f>
        <v>-0.9491221581029905</v>
      </c>
      <c r="E54" s="8"/>
      <c r="F54" s="8"/>
      <c r="G54" s="8"/>
      <c r="H54" s="8"/>
      <c r="I54" s="8"/>
    </row>
    <row r="55" spans="1:9" ht="13">
      <c r="A55" s="7" t="s">
        <v>150</v>
      </c>
      <c r="B55" s="16">
        <f>G43*G44</f>
        <v>1.002829431508564</v>
      </c>
      <c r="C55" s="16"/>
      <c r="D55" s="16">
        <f>H43*H44</f>
        <v>1.0029497172961976</v>
      </c>
      <c r="E55" s="8"/>
      <c r="F55" s="8"/>
      <c r="G55" s="8"/>
      <c r="H55" s="8"/>
      <c r="I55" s="8"/>
    </row>
    <row r="56" spans="1:9" ht="13">
      <c r="A56" s="7" t="s">
        <v>151</v>
      </c>
      <c r="B56" s="16">
        <f>1-$C$35*G43</f>
        <v>0.90518905109517034</v>
      </c>
      <c r="C56" s="16"/>
      <c r="D56" s="16">
        <f>1-$C$35*H43</f>
        <v>0.905409873894649</v>
      </c>
      <c r="E56" s="8"/>
      <c r="F56" s="8"/>
      <c r="G56" s="8"/>
      <c r="H56" s="8"/>
      <c r="I56" s="8"/>
    </row>
    <row r="57" spans="1:9" ht="13">
      <c r="A57" s="7" t="s">
        <v>54</v>
      </c>
      <c r="B57" s="16">
        <f>B54*B55*B56</f>
        <v>-0.86156584926520108</v>
      </c>
      <c r="C57" s="16"/>
      <c r="D57" s="16">
        <f>D54*D55*D56</f>
        <v>-0.86187939703042926</v>
      </c>
      <c r="E57" s="8"/>
      <c r="F57" s="8"/>
      <c r="G57" s="8"/>
      <c r="H57" s="8"/>
      <c r="I57" s="8"/>
    </row>
    <row r="58" spans="1:9" ht="13">
      <c r="A58" s="8"/>
      <c r="B58" s="8"/>
      <c r="C58" s="8"/>
      <c r="D58" s="8"/>
      <c r="E58" s="8"/>
      <c r="F58" s="8"/>
      <c r="G58" s="8"/>
      <c r="H58" s="8"/>
      <c r="I58" s="8"/>
    </row>
    <row r="59" spans="1:9" ht="13">
      <c r="A59" s="2" t="s">
        <v>171</v>
      </c>
      <c r="B59" s="2" t="s">
        <v>172</v>
      </c>
      <c r="C59" s="27" t="s">
        <v>173</v>
      </c>
      <c r="D59" s="2" t="s">
        <v>172</v>
      </c>
    </row>
    <row r="60" spans="1:9" ht="13">
      <c r="A60" s="2" t="s">
        <v>21</v>
      </c>
      <c r="B60" s="28">
        <f t="shared" ref="B60:B63" si="13">SQRT((B45/B38)^2+(C45/C38)^2)</f>
        <v>9.5372720544598492E-3</v>
      </c>
      <c r="C60" s="2" t="s">
        <v>21</v>
      </c>
      <c r="D60" s="28">
        <f t="shared" ref="D60:D63" si="14">SQRT((D45/D38)^2+(C45/C38)^2)</f>
        <v>6.020978626797205E-3</v>
      </c>
    </row>
    <row r="61" spans="1:9" ht="13">
      <c r="A61" s="2" t="s">
        <v>22</v>
      </c>
      <c r="B61" s="28">
        <f t="shared" si="13"/>
        <v>1.0626511836304213E-2</v>
      </c>
      <c r="C61" s="2" t="s">
        <v>22</v>
      </c>
      <c r="D61" s="28">
        <f t="shared" si="14"/>
        <v>5.3459392050951848E-3</v>
      </c>
    </row>
    <row r="62" spans="1:9" ht="13">
      <c r="A62" s="30" t="s">
        <v>25</v>
      </c>
      <c r="B62" s="28">
        <f t="shared" si="13"/>
        <v>6.0205331605527298E-3</v>
      </c>
      <c r="C62" s="30" t="s">
        <v>25</v>
      </c>
      <c r="D62" s="28">
        <f t="shared" si="14"/>
        <v>2.4638939175945229E-3</v>
      </c>
    </row>
    <row r="63" spans="1:9" ht="13">
      <c r="A63" s="30" t="s">
        <v>28</v>
      </c>
      <c r="B63" s="28">
        <f t="shared" si="13"/>
        <v>9.9599457332520611E-3</v>
      </c>
      <c r="C63" s="30" t="s">
        <v>28</v>
      </c>
      <c r="D63" s="28">
        <f t="shared" si="14"/>
        <v>6.3599282499800618E-3</v>
      </c>
    </row>
    <row r="65" spans="1:4" ht="13">
      <c r="A65" s="27" t="s">
        <v>175</v>
      </c>
      <c r="B65" s="28">
        <f>SQRT((B60^2+B61^2)/2)</f>
        <v>1.0096591307166353E-2</v>
      </c>
      <c r="D65" s="28">
        <f>SQRT((D60^2+D61^2)/2)</f>
        <v>5.6934721220412814E-3</v>
      </c>
    </row>
    <row r="66" spans="1:4" ht="13">
      <c r="A66" s="2" t="s">
        <v>172</v>
      </c>
      <c r="B66" s="28">
        <f>SQRT((B62^2+B63^2)/2)</f>
        <v>8.2294391834025048E-3</v>
      </c>
      <c r="C66" s="28"/>
      <c r="D66" s="28">
        <f>SQRT((D62^2+D63^2)/2)</f>
        <v>4.8228342591288441E-3</v>
      </c>
    </row>
    <row r="67" spans="1:4" ht="13">
      <c r="A67" s="2" t="s">
        <v>178</v>
      </c>
      <c r="B67" s="11">
        <f>B57^2*(B65*B66)</f>
        <v>6.1676819368428179E-5</v>
      </c>
      <c r="D67" s="11">
        <f>D57^2*D65*D66</f>
        <v>2.0397292982857621E-5</v>
      </c>
    </row>
    <row r="68" spans="1:4" ht="13">
      <c r="A68" s="2" t="s">
        <v>180</v>
      </c>
      <c r="B68" s="12">
        <f>SQRT(B67)*G44</f>
        <v>8.3067198311891025E-3</v>
      </c>
      <c r="D68" s="11">
        <f>SQRT(D67)*H44</f>
        <v>4.7887219692879712E-3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25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269</v>
      </c>
      <c r="G1" s="1" t="s">
        <v>263</v>
      </c>
    </row>
    <row r="2" spans="1:18" ht="15.75" customHeight="1">
      <c r="A2" s="2" t="s">
        <v>250</v>
      </c>
      <c r="B2" s="2"/>
      <c r="C2" s="2"/>
      <c r="D2" s="2"/>
      <c r="E2" s="6" t="s">
        <v>5</v>
      </c>
      <c r="F2" s="77">
        <v>0</v>
      </c>
      <c r="G2" s="78">
        <v>0</v>
      </c>
    </row>
    <row r="3" spans="1:18" ht="15.75" customHeight="1">
      <c r="A3" s="2" t="s">
        <v>529</v>
      </c>
      <c r="E3" s="1" t="s">
        <v>530</v>
      </c>
      <c r="F3" s="67">
        <v>1</v>
      </c>
      <c r="G3" s="68">
        <v>1</v>
      </c>
    </row>
    <row r="4" spans="1:18" ht="15.75" customHeight="1">
      <c r="A4" s="2" t="s">
        <v>531</v>
      </c>
      <c r="B4" s="7"/>
      <c r="D4" s="8"/>
      <c r="E4" s="1" t="s">
        <v>142</v>
      </c>
      <c r="F4" s="79">
        <v>8</v>
      </c>
      <c r="G4" s="80">
        <v>14</v>
      </c>
    </row>
    <row r="5" spans="1:18" ht="15.75" customHeight="1">
      <c r="A5" s="19"/>
      <c r="D5" s="8"/>
      <c r="E5" s="6" t="s">
        <v>532</v>
      </c>
      <c r="F5" s="81">
        <v>4</v>
      </c>
      <c r="G5" s="82">
        <v>32</v>
      </c>
    </row>
    <row r="6" spans="1:18" ht="15.75" customHeight="1">
      <c r="A6" s="7"/>
      <c r="G6" s="7"/>
      <c r="H6" s="8"/>
      <c r="I6" s="8"/>
      <c r="J6" s="7"/>
      <c r="M6" s="2"/>
    </row>
    <row r="7" spans="1:18" ht="15.75" customHeight="1">
      <c r="A7" s="17" t="s">
        <v>533</v>
      </c>
      <c r="H7" s="8"/>
      <c r="I7" s="8"/>
    </row>
    <row r="8" spans="1:18" ht="15.75" customHeight="1">
      <c r="A8" s="6"/>
      <c r="B8" s="6"/>
      <c r="C8" s="7"/>
      <c r="E8" s="7"/>
      <c r="F8" s="8"/>
      <c r="G8" s="7"/>
      <c r="H8" s="2"/>
      <c r="I8" s="2"/>
      <c r="J8" s="7"/>
      <c r="K8" s="2"/>
      <c r="L8" s="2"/>
      <c r="M8" s="2"/>
    </row>
    <row r="9" spans="1:18" ht="15.75" customHeight="1">
      <c r="A9" s="6"/>
      <c r="B9" s="6"/>
      <c r="C9" s="7" t="s">
        <v>534</v>
      </c>
      <c r="E9" s="7" t="s">
        <v>535</v>
      </c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.75" customHeight="1">
      <c r="A10" s="6" t="s">
        <v>68</v>
      </c>
      <c r="B10" s="6" t="s">
        <v>9</v>
      </c>
      <c r="C10" s="6" t="s">
        <v>241</v>
      </c>
      <c r="D10" s="1" t="s">
        <v>538</v>
      </c>
      <c r="E10" s="6" t="s">
        <v>241</v>
      </c>
      <c r="F10" s="1" t="s">
        <v>538</v>
      </c>
      <c r="G10" s="1"/>
      <c r="H10" s="1"/>
      <c r="I10" s="6"/>
      <c r="J10" s="1" t="s">
        <v>23</v>
      </c>
      <c r="K10" s="1" t="s">
        <v>24</v>
      </c>
      <c r="L10" s="6"/>
      <c r="M10" s="1"/>
      <c r="N10" s="1"/>
      <c r="O10" s="6"/>
      <c r="P10" s="1"/>
      <c r="Q10" s="1"/>
      <c r="R10" s="6"/>
    </row>
    <row r="11" spans="1:18" ht="15.75" customHeight="1">
      <c r="A11" s="7" t="s">
        <v>29</v>
      </c>
      <c r="B11" s="84">
        <v>1</v>
      </c>
      <c r="C11" s="85">
        <v>13.192299999999999</v>
      </c>
      <c r="D11" s="86">
        <v>4.4999999999999997E-3</v>
      </c>
      <c r="E11" s="87">
        <v>12.954700000000001</v>
      </c>
      <c r="F11" s="88">
        <v>1.7100000000000001E-2</v>
      </c>
      <c r="G11" s="84"/>
      <c r="H11" s="84"/>
      <c r="I11" s="84" t="s">
        <v>29</v>
      </c>
      <c r="J11" s="22">
        <v>13.188321</v>
      </c>
      <c r="K11" s="22">
        <v>12.978047999999999</v>
      </c>
      <c r="L11" s="12"/>
      <c r="M11" s="12"/>
      <c r="N11" s="12"/>
      <c r="O11" s="12"/>
      <c r="P11" s="12"/>
      <c r="Q11" s="12"/>
      <c r="R11" s="12"/>
    </row>
    <row r="12" spans="1:18" ht="15.75" customHeight="1">
      <c r="A12" s="7" t="s">
        <v>26</v>
      </c>
      <c r="B12" s="12">
        <v>0.108</v>
      </c>
      <c r="C12" s="89">
        <v>13.1807</v>
      </c>
      <c r="D12" s="91">
        <v>4.7999999999999996E-3</v>
      </c>
      <c r="E12" s="92">
        <v>13.6601</v>
      </c>
      <c r="F12" s="93">
        <v>1.04E-2</v>
      </c>
      <c r="G12" s="84"/>
      <c r="H12" s="84"/>
      <c r="I12" s="84" t="s">
        <v>26</v>
      </c>
      <c r="J12" s="22">
        <v>13.184792</v>
      </c>
      <c r="K12" s="22">
        <v>13.675881</v>
      </c>
      <c r="L12" s="12"/>
      <c r="M12" s="12"/>
      <c r="N12" s="12"/>
      <c r="O12" s="12"/>
      <c r="P12" s="12"/>
      <c r="Q12" s="12"/>
      <c r="R12" s="12"/>
    </row>
    <row r="13" spans="1:18" ht="15.75" customHeight="1">
      <c r="A13" s="7"/>
      <c r="B13" s="84"/>
      <c r="C13" s="16"/>
      <c r="D13" s="8"/>
      <c r="E13" s="8"/>
      <c r="F13" s="8"/>
      <c r="G13" s="8"/>
      <c r="H13" s="8"/>
      <c r="I13" s="8"/>
    </row>
    <row r="14" spans="1:18" ht="15.75" customHeight="1">
      <c r="A14" s="17" t="s">
        <v>542</v>
      </c>
      <c r="B14" s="84" t="s">
        <v>30</v>
      </c>
      <c r="C14" s="94">
        <f t="shared" ref="C14:C15" si="0">E11/C11</f>
        <v>0.98198949387142509</v>
      </c>
      <c r="D14" s="8"/>
      <c r="E14" s="8"/>
      <c r="F14" s="8"/>
      <c r="G14" s="8"/>
      <c r="H14" s="8"/>
      <c r="I14" s="8">
        <f t="shared" ref="I14:I15" si="1">K11/J11</f>
        <v>0.98405612056303449</v>
      </c>
    </row>
    <row r="15" spans="1:18" ht="15.75" customHeight="1">
      <c r="A15" s="6"/>
      <c r="B15" s="84" t="s">
        <v>27</v>
      </c>
      <c r="C15" s="95">
        <f t="shared" si="0"/>
        <v>1.036371361156843</v>
      </c>
      <c r="D15" s="1"/>
      <c r="E15" s="1"/>
      <c r="F15" s="1"/>
      <c r="G15" s="8"/>
      <c r="H15" s="8"/>
      <c r="I15" s="8">
        <f t="shared" si="1"/>
        <v>1.0372466247476639</v>
      </c>
    </row>
    <row r="16" spans="1:18" ht="15.75" customHeight="1">
      <c r="A16" s="7"/>
      <c r="B16" s="84" t="s">
        <v>31</v>
      </c>
      <c r="C16" s="96">
        <f>C14/C15</f>
        <v>0.947526659531855</v>
      </c>
      <c r="D16" s="49"/>
      <c r="E16" s="49"/>
      <c r="F16" s="49"/>
      <c r="G16" s="8"/>
      <c r="H16" s="8"/>
      <c r="I16" s="8">
        <f>I14/I15</f>
        <v>0.94871952058887699</v>
      </c>
    </row>
    <row r="17" spans="1:9" ht="14">
      <c r="A17" s="7"/>
      <c r="B17" s="12"/>
      <c r="C17" s="11"/>
      <c r="D17" s="61"/>
      <c r="E17" s="61"/>
      <c r="F17" s="8"/>
      <c r="I17">
        <f>LN(1-B12)/LN(1-B12*I16)</f>
        <v>1.0572588412855155</v>
      </c>
    </row>
    <row r="18" spans="1:9" ht="15.75" customHeight="1">
      <c r="A18" s="9" t="s">
        <v>551</v>
      </c>
      <c r="B18" s="2" t="s">
        <v>42</v>
      </c>
      <c r="C18" s="18">
        <f t="shared" ref="C18:C19" si="2">(D11/C11)^2/$F$4+(F11/E11)^2/$G$4</f>
        <v>1.3899851288652344E-7</v>
      </c>
      <c r="D18" s="7" t="s">
        <v>43</v>
      </c>
      <c r="I18" s="2" t="s">
        <v>557</v>
      </c>
    </row>
    <row r="19" spans="1:9" ht="15.75" customHeight="1">
      <c r="B19" s="2" t="s">
        <v>44</v>
      </c>
      <c r="C19" s="18">
        <f t="shared" si="2"/>
        <v>5.7980278237565448E-8</v>
      </c>
    </row>
    <row r="20" spans="1:9" ht="15.75" customHeight="1">
      <c r="A20" s="7"/>
      <c r="B20" s="2" t="s">
        <v>560</v>
      </c>
      <c r="C20" s="16">
        <f>SQRT(C18+C19)</f>
        <v>4.4382292766833133E-4</v>
      </c>
      <c r="D20" s="6"/>
      <c r="E20" s="8"/>
      <c r="F20" s="8"/>
      <c r="G20" s="8"/>
    </row>
    <row r="21" spans="1:9" ht="15.75" customHeight="1">
      <c r="A21" s="7"/>
    </row>
    <row r="22" spans="1:9" ht="15.75" customHeight="1">
      <c r="A22" s="7"/>
      <c r="B22" s="7" t="s">
        <v>47</v>
      </c>
      <c r="C22" s="16">
        <f>C16*LN(1-B12)</f>
        <v>-0.10829201311115515</v>
      </c>
      <c r="D22" s="7" t="s">
        <v>49</v>
      </c>
      <c r="F22" s="7" t="s">
        <v>564</v>
      </c>
      <c r="G22" s="8"/>
    </row>
    <row r="23" spans="1:9" ht="15.75" customHeight="1">
      <c r="A23" s="7"/>
      <c r="B23" s="7" t="s">
        <v>50</v>
      </c>
      <c r="C23" s="16">
        <f>1-B12*C16</f>
        <v>0.89766712077055966</v>
      </c>
      <c r="D23" s="7" t="s">
        <v>51</v>
      </c>
      <c r="F23" s="8"/>
      <c r="G23" s="8"/>
    </row>
    <row r="24" spans="1:9" ht="15.75" customHeight="1">
      <c r="A24" s="7"/>
      <c r="B24" s="7" t="s">
        <v>52</v>
      </c>
      <c r="C24" s="16">
        <f>LN(C23)</f>
        <v>-0.10795596896737625</v>
      </c>
      <c r="D24" s="7" t="s">
        <v>53</v>
      </c>
      <c r="F24" s="8"/>
      <c r="G24" s="8"/>
    </row>
    <row r="25" spans="1:9" ht="15.75" customHeight="1">
      <c r="A25" s="7"/>
      <c r="B25" s="7" t="s">
        <v>54</v>
      </c>
      <c r="C25" s="16">
        <f>C23*C24^2</f>
        <v>1.0461853591583168E-2</v>
      </c>
      <c r="D25" s="7" t="s">
        <v>55</v>
      </c>
      <c r="F25" s="8"/>
      <c r="G25" s="8"/>
    </row>
    <row r="26" spans="1:9" ht="15.75" customHeight="1">
      <c r="A26" s="7"/>
      <c r="B26" s="7" t="s">
        <v>56</v>
      </c>
      <c r="C26" s="16">
        <f>(1-B12)*C24</f>
        <v>-9.6296724318899615E-2</v>
      </c>
      <c r="D26" s="7" t="s">
        <v>57</v>
      </c>
      <c r="F26" s="8"/>
      <c r="G26" s="8"/>
    </row>
    <row r="27" spans="1:9" ht="15.75" customHeight="1">
      <c r="A27" s="7"/>
      <c r="B27" s="7" t="s">
        <v>58</v>
      </c>
      <c r="C27" s="34">
        <f>B12^2*LN(1-B12)^2*C20^2</f>
        <v>3.0010757458480861E-11</v>
      </c>
      <c r="D27" s="7" t="s">
        <v>59</v>
      </c>
      <c r="F27" s="8"/>
      <c r="G27" s="8"/>
    </row>
    <row r="28" spans="1:9" ht="15.75" customHeight="1">
      <c r="B28" s="7" t="s">
        <v>60</v>
      </c>
      <c r="C28" s="50">
        <f>C23^2*C24^4</f>
        <v>1.0945038057172163E-4</v>
      </c>
      <c r="D28" s="7" t="s">
        <v>61</v>
      </c>
    </row>
    <row r="29" spans="1:9" ht="15.75" customHeight="1">
      <c r="B29" s="2" t="s">
        <v>62</v>
      </c>
      <c r="C29" s="18">
        <f>(C22/C25-1/C26)^2*C35^2</f>
        <v>2.795350138700983E-6</v>
      </c>
      <c r="D29" s="7" t="s">
        <v>63</v>
      </c>
    </row>
    <row r="30" spans="1:9" ht="13">
      <c r="A30" s="2"/>
      <c r="B30" s="2" t="s">
        <v>64</v>
      </c>
      <c r="C30" s="18">
        <f>C27/C28</f>
        <v>2.7419509463299804E-7</v>
      </c>
      <c r="D30" s="2" t="s">
        <v>65</v>
      </c>
      <c r="E30" s="2"/>
    </row>
    <row r="31" spans="1:9" ht="13">
      <c r="A31" s="2"/>
      <c r="D31" s="2"/>
      <c r="E31" s="2"/>
    </row>
    <row r="32" spans="1:9" ht="13">
      <c r="A32" s="17" t="s">
        <v>572</v>
      </c>
      <c r="B32" s="7" t="s">
        <v>0</v>
      </c>
      <c r="C32" s="4">
        <f>LN(1-B12)/LN(1-B12*C16)</f>
        <v>1.0586644489909147</v>
      </c>
      <c r="D32" s="2" t="s">
        <v>39</v>
      </c>
      <c r="E32" s="2"/>
    </row>
    <row r="33" spans="1:12" ht="13">
      <c r="A33" s="7"/>
      <c r="B33" s="2" t="s">
        <v>577</v>
      </c>
      <c r="C33" s="5">
        <f>SQRT(C29+C30)</f>
        <v>1.7520117674644715E-3</v>
      </c>
      <c r="D33" s="2" t="s">
        <v>40</v>
      </c>
      <c r="E33" s="2"/>
    </row>
    <row r="34" spans="1:12" ht="13">
      <c r="A34" s="2"/>
      <c r="B34" s="11"/>
      <c r="C34" s="11"/>
      <c r="D34" s="11"/>
      <c r="E34" s="2"/>
      <c r="F34" s="5"/>
      <c r="G34" s="2"/>
      <c r="H34" s="8"/>
    </row>
    <row r="35" spans="1:12" ht="13">
      <c r="B35" s="2" t="s">
        <v>578</v>
      </c>
      <c r="C35" s="2">
        <v>0.05</v>
      </c>
      <c r="G35" s="2"/>
      <c r="H35" s="8"/>
    </row>
    <row r="36" spans="1:12" ht="13">
      <c r="A36" s="2"/>
      <c r="G36" s="8"/>
      <c r="H36" s="8"/>
      <c r="I36" s="8"/>
    </row>
    <row r="37" spans="1:12" ht="13">
      <c r="I37" s="8"/>
    </row>
    <row r="38" spans="1:12" ht="13">
      <c r="I38" s="7"/>
    </row>
    <row r="42" spans="1:12" ht="13">
      <c r="J42" s="2"/>
    </row>
    <row r="43" spans="1:12" ht="13">
      <c r="A43" s="6"/>
      <c r="B43" s="7"/>
      <c r="C43" s="6"/>
      <c r="D43" s="6"/>
      <c r="G43" s="8"/>
      <c r="H43" s="6"/>
      <c r="I43" s="6"/>
      <c r="J43" s="6"/>
    </row>
    <row r="44" spans="1:12" ht="14">
      <c r="A44" s="6"/>
      <c r="B44" s="16"/>
      <c r="C44" s="16"/>
      <c r="D44" s="16"/>
      <c r="E44" s="32"/>
      <c r="G44" s="6"/>
      <c r="H44" s="16"/>
      <c r="I44" s="16"/>
      <c r="J44" s="16"/>
      <c r="K44" s="32"/>
      <c r="L44" s="32"/>
    </row>
    <row r="45" spans="1:12" ht="14">
      <c r="A45" s="6"/>
      <c r="B45" s="16"/>
      <c r="C45" s="16"/>
      <c r="D45" s="16"/>
      <c r="E45" s="32"/>
      <c r="G45" s="6"/>
      <c r="H45" s="16"/>
      <c r="I45" s="16"/>
      <c r="J45" s="16"/>
      <c r="K45" s="32"/>
      <c r="L45" s="32"/>
    </row>
    <row r="46" spans="1:12" ht="13">
      <c r="A46" s="6"/>
      <c r="B46" s="16"/>
      <c r="C46" s="16"/>
      <c r="D46" s="16"/>
      <c r="G46" s="6"/>
      <c r="H46" s="16"/>
      <c r="I46" s="16"/>
      <c r="J46" s="16"/>
    </row>
    <row r="47" spans="1:12" ht="14">
      <c r="A47" s="6"/>
      <c r="B47" s="16"/>
      <c r="D47" s="16"/>
      <c r="E47" s="32"/>
      <c r="G47" s="6"/>
      <c r="H47" s="16"/>
      <c r="I47" s="16"/>
      <c r="J47" s="16"/>
      <c r="K47" s="32"/>
      <c r="L47" s="2"/>
    </row>
    <row r="48" spans="1:12" ht="14">
      <c r="A48" s="1"/>
      <c r="B48" s="11"/>
      <c r="D48" s="11"/>
      <c r="E48" s="32"/>
      <c r="G48" s="1"/>
      <c r="H48" s="11"/>
      <c r="I48" s="11"/>
      <c r="J48" s="11"/>
      <c r="K48" s="32"/>
      <c r="L48" s="27"/>
    </row>
    <row r="49" spans="1:12" ht="14">
      <c r="E49" s="32"/>
      <c r="K49" s="32"/>
      <c r="L49" s="2"/>
    </row>
    <row r="50" spans="1:12" ht="14">
      <c r="D50" s="8"/>
      <c r="E50" s="32"/>
      <c r="J50" s="8"/>
      <c r="K50" s="32"/>
      <c r="L50" s="2"/>
    </row>
    <row r="51" spans="1:12" ht="13">
      <c r="B51" s="6"/>
      <c r="C51" s="6"/>
      <c r="D51" s="6"/>
      <c r="H51" s="6"/>
      <c r="I51" s="6"/>
      <c r="J51" s="6"/>
    </row>
    <row r="52" spans="1:12" ht="13">
      <c r="A52" s="6"/>
      <c r="B52" s="34"/>
      <c r="C52" s="34"/>
      <c r="D52" s="34"/>
      <c r="G52" s="6"/>
      <c r="H52" s="34"/>
      <c r="I52" s="34"/>
      <c r="J52" s="34"/>
    </row>
    <row r="53" spans="1:12" ht="13">
      <c r="A53" s="6"/>
      <c r="B53" s="34"/>
      <c r="C53" s="34"/>
      <c r="D53" s="34"/>
      <c r="G53" s="6"/>
      <c r="H53" s="34"/>
      <c r="I53" s="34"/>
      <c r="J53" s="34"/>
    </row>
    <row r="54" spans="1:12" ht="13">
      <c r="G54" s="7"/>
    </row>
    <row r="55" spans="1:12" ht="13">
      <c r="A55" s="7"/>
      <c r="B55" s="8"/>
      <c r="C55" s="8"/>
      <c r="D55" s="8"/>
      <c r="E55" s="8"/>
      <c r="F55" s="8"/>
    </row>
    <row r="56" spans="1:12" ht="13">
      <c r="A56" s="7"/>
      <c r="B56" s="8"/>
      <c r="C56" s="8"/>
      <c r="D56" s="8"/>
      <c r="E56" s="8"/>
      <c r="F56" s="8"/>
      <c r="G56" s="8"/>
      <c r="H56" s="8"/>
      <c r="I56" s="8"/>
    </row>
    <row r="57" spans="1:12" ht="13">
      <c r="B57" s="1"/>
      <c r="D57" s="7"/>
      <c r="E57" s="7"/>
      <c r="F57" s="8"/>
      <c r="G57" s="8"/>
      <c r="H57" s="8"/>
      <c r="I57" s="8"/>
    </row>
    <row r="58" spans="1:12" ht="13">
      <c r="A58" s="7"/>
      <c r="B58" s="16"/>
      <c r="D58" s="1"/>
      <c r="E58" s="1"/>
      <c r="F58" s="6"/>
      <c r="G58" s="8"/>
      <c r="H58" s="8"/>
      <c r="I58" s="8"/>
    </row>
    <row r="59" spans="1:12" ht="13">
      <c r="A59" s="7"/>
      <c r="B59" s="16"/>
      <c r="D59" s="16"/>
      <c r="E59" s="16"/>
      <c r="F59" s="7"/>
      <c r="G59" s="8"/>
    </row>
    <row r="60" spans="1:12" ht="13">
      <c r="A60" s="7"/>
      <c r="B60" s="16"/>
      <c r="D60" s="16"/>
      <c r="E60" s="16"/>
      <c r="F60" s="7"/>
      <c r="G60" s="8"/>
    </row>
    <row r="61" spans="1:12" ht="13">
      <c r="A61" s="7"/>
      <c r="B61" s="16"/>
      <c r="D61" s="16"/>
      <c r="E61" s="16"/>
      <c r="F61" s="7"/>
      <c r="G61" s="8"/>
    </row>
    <row r="62" spans="1:12" ht="13">
      <c r="A62" s="7"/>
      <c r="B62" s="16"/>
      <c r="C62" s="16"/>
      <c r="D62" s="16"/>
      <c r="E62" s="16"/>
      <c r="F62" s="2"/>
      <c r="G62" s="8"/>
      <c r="H62" s="8"/>
      <c r="I62" s="8"/>
      <c r="J62" s="8"/>
    </row>
    <row r="63" spans="1:12" ht="13">
      <c r="A63" s="8"/>
      <c r="B63" s="8"/>
      <c r="C63" s="8"/>
      <c r="D63" s="8"/>
      <c r="E63" s="27"/>
      <c r="F63" s="2"/>
      <c r="I63" s="8"/>
      <c r="J63" s="8"/>
    </row>
    <row r="64" spans="1:12" ht="13">
      <c r="A64" s="7"/>
      <c r="B64" s="16"/>
      <c r="C64" s="16"/>
      <c r="D64" s="16"/>
      <c r="E64" s="16"/>
      <c r="F64" s="7"/>
      <c r="G64" s="8"/>
    </row>
    <row r="65" spans="1:10" ht="13">
      <c r="A65" s="7"/>
      <c r="B65" s="16"/>
      <c r="C65" s="16"/>
      <c r="D65" s="16"/>
      <c r="E65" s="16"/>
      <c r="F65" s="2"/>
      <c r="G65" s="8"/>
      <c r="H65" s="8"/>
      <c r="I65" s="8"/>
      <c r="J65" s="8"/>
    </row>
    <row r="67" spans="1:10" ht="13">
      <c r="A67" s="1"/>
    </row>
    <row r="69" spans="1:10" ht="13">
      <c r="A69" s="1"/>
      <c r="B69" s="2"/>
      <c r="C69" s="2"/>
      <c r="D69" s="2"/>
      <c r="G69" s="2"/>
      <c r="H69" s="2"/>
    </row>
    <row r="70" spans="1:10" ht="13">
      <c r="A70" s="2"/>
      <c r="B70" s="2"/>
      <c r="C70" s="2"/>
      <c r="D70" s="2"/>
      <c r="E70" s="6"/>
      <c r="F70" s="2"/>
      <c r="G70" s="2"/>
      <c r="H70" s="2"/>
    </row>
    <row r="71" spans="1:10" ht="13">
      <c r="E71" s="1"/>
      <c r="F71" s="2"/>
    </row>
    <row r="72" spans="1:10" ht="13">
      <c r="A72" s="6"/>
      <c r="B72" s="7"/>
      <c r="D72" s="8"/>
      <c r="E72" s="6"/>
      <c r="F72" s="7"/>
      <c r="G72" s="8"/>
      <c r="H72" s="8"/>
      <c r="I72" s="8"/>
    </row>
    <row r="73" spans="1:10" ht="13">
      <c r="A73" s="7"/>
      <c r="B73" s="8"/>
      <c r="C73" s="8"/>
      <c r="D73" s="8"/>
      <c r="E73" s="8"/>
      <c r="F73" s="8"/>
      <c r="G73" s="8"/>
      <c r="H73" s="8"/>
      <c r="I73" s="8"/>
    </row>
    <row r="74" spans="1:10" ht="13">
      <c r="A74" s="7"/>
      <c r="B74" s="8"/>
      <c r="C74" s="8"/>
      <c r="D74" s="7"/>
      <c r="E74" s="7"/>
      <c r="F74" s="8"/>
      <c r="G74" s="8"/>
      <c r="H74" s="8"/>
      <c r="I74" s="7"/>
      <c r="J74" s="2"/>
    </row>
    <row r="75" spans="1:10" ht="13">
      <c r="A75" s="6"/>
      <c r="B75" s="6"/>
      <c r="C75" s="6"/>
      <c r="D75" s="6"/>
      <c r="E75" s="6"/>
      <c r="G75" s="8"/>
      <c r="H75" s="6"/>
      <c r="I75" s="6"/>
      <c r="J75" s="6"/>
    </row>
    <row r="76" spans="1:10" ht="14">
      <c r="A76" s="7"/>
      <c r="B76" s="15"/>
      <c r="C76" s="15"/>
      <c r="D76" s="15"/>
      <c r="E76" s="15"/>
      <c r="G76" s="6"/>
      <c r="H76" s="16"/>
      <c r="I76" s="16"/>
      <c r="J76" s="16"/>
    </row>
    <row r="77" spans="1:10" ht="14">
      <c r="A77" s="7"/>
      <c r="B77" s="15"/>
      <c r="C77" s="15"/>
      <c r="D77" s="15"/>
      <c r="E77" s="15"/>
      <c r="G77" s="6"/>
      <c r="H77" s="16"/>
      <c r="I77" s="16"/>
      <c r="J77" s="16"/>
    </row>
    <row r="78" spans="1:10" ht="13">
      <c r="A78" s="8"/>
      <c r="B78" s="8"/>
      <c r="C78" s="8"/>
      <c r="D78" s="8"/>
      <c r="E78" s="8"/>
      <c r="G78" s="6"/>
      <c r="H78" s="16"/>
      <c r="I78" s="16"/>
      <c r="J78" s="16"/>
    </row>
    <row r="79" spans="1:10" ht="13">
      <c r="A79" s="7"/>
      <c r="B79" s="8"/>
      <c r="C79" s="8"/>
      <c r="D79" s="8"/>
      <c r="E79" s="8"/>
      <c r="G79" s="6"/>
      <c r="H79" s="16"/>
      <c r="I79" s="16"/>
      <c r="J79" s="16"/>
    </row>
    <row r="80" spans="1:10" ht="13">
      <c r="A80" s="6"/>
      <c r="B80" s="6"/>
      <c r="C80" s="6"/>
      <c r="D80" s="6"/>
      <c r="E80" s="6"/>
      <c r="G80" s="1"/>
      <c r="H80" s="11"/>
      <c r="I80" s="11"/>
      <c r="J80" s="11"/>
    </row>
    <row r="81" spans="1:10" ht="14">
      <c r="A81" s="7"/>
      <c r="B81" s="15"/>
      <c r="C81" s="15"/>
      <c r="D81" s="15"/>
      <c r="E81" s="15"/>
    </row>
    <row r="82" spans="1:10" ht="14">
      <c r="A82" s="7"/>
      <c r="B82" s="15"/>
      <c r="C82" s="15"/>
      <c r="D82" s="15"/>
      <c r="E82" s="15"/>
      <c r="J82" s="8"/>
    </row>
    <row r="83" spans="1:10" ht="13">
      <c r="A83" s="7"/>
      <c r="B83" s="11"/>
      <c r="C83" s="11"/>
      <c r="D83" s="11"/>
      <c r="E83" s="8"/>
      <c r="H83" s="6"/>
      <c r="I83" s="6"/>
      <c r="J83" s="6"/>
    </row>
    <row r="84" spans="1:10" ht="13">
      <c r="A84" s="7"/>
      <c r="B84" s="11"/>
      <c r="C84" s="11"/>
      <c r="D84" s="11"/>
      <c r="E84" s="11"/>
      <c r="G84" s="6"/>
      <c r="H84" s="34"/>
      <c r="I84" s="34"/>
      <c r="J84" s="34"/>
    </row>
    <row r="85" spans="1:10" ht="13">
      <c r="A85" s="7"/>
      <c r="B85" s="11"/>
      <c r="C85" s="11"/>
      <c r="D85" s="11"/>
      <c r="E85" s="11"/>
      <c r="G85" s="6"/>
      <c r="H85" s="34"/>
      <c r="I85" s="34"/>
      <c r="J85" s="34"/>
    </row>
    <row r="86" spans="1:10" ht="13">
      <c r="A86" s="7"/>
      <c r="B86" s="8"/>
      <c r="C86" s="8"/>
      <c r="D86" s="8"/>
      <c r="E86" s="8"/>
      <c r="G86" s="7"/>
    </row>
    <row r="87" spans="1:10" ht="13">
      <c r="A87" s="7"/>
      <c r="B87" s="8"/>
      <c r="C87" s="8"/>
      <c r="D87" s="8"/>
      <c r="E87" s="8"/>
      <c r="F87" s="8"/>
    </row>
    <row r="88" spans="1:10" ht="13">
      <c r="A88" s="7"/>
      <c r="B88" s="8"/>
      <c r="C88" s="8"/>
      <c r="D88" s="8"/>
      <c r="E88" s="8"/>
      <c r="F88" s="8"/>
      <c r="G88" s="8"/>
      <c r="H88" s="8"/>
      <c r="I88" s="8"/>
    </row>
    <row r="89" spans="1:10" ht="13">
      <c r="A89" s="7"/>
      <c r="B89" s="8"/>
      <c r="C89" s="8"/>
      <c r="D89" s="7"/>
      <c r="E89" s="7"/>
      <c r="F89" s="8"/>
      <c r="G89" s="8"/>
      <c r="H89" s="8"/>
      <c r="I89" s="8"/>
    </row>
    <row r="90" spans="1:10" ht="13">
      <c r="B90" s="1"/>
      <c r="C90" s="13"/>
      <c r="D90" s="1"/>
      <c r="E90" s="1"/>
      <c r="F90" s="6"/>
      <c r="G90" s="8"/>
      <c r="H90" s="8"/>
      <c r="I90" s="8"/>
    </row>
    <row r="91" spans="1:10" ht="13">
      <c r="A91" s="7"/>
      <c r="B91" s="16"/>
      <c r="C91" s="16"/>
      <c r="D91" s="16"/>
      <c r="E91" s="16"/>
      <c r="F91" s="7"/>
      <c r="G91" s="8"/>
    </row>
    <row r="92" spans="1:10" ht="13">
      <c r="A92" s="7"/>
      <c r="B92" s="16"/>
      <c r="C92" s="16"/>
      <c r="D92" s="16"/>
      <c r="E92" s="16"/>
      <c r="F92" s="7"/>
      <c r="G92" s="8"/>
    </row>
    <row r="93" spans="1:10" ht="13">
      <c r="A93" s="7"/>
      <c r="B93" s="16"/>
      <c r="C93" s="16"/>
      <c r="D93" s="16"/>
      <c r="E93" s="16"/>
      <c r="F93" s="7"/>
      <c r="G93" s="8"/>
    </row>
    <row r="94" spans="1:10" ht="13">
      <c r="A94" s="7"/>
      <c r="B94" s="16"/>
      <c r="C94" s="16"/>
      <c r="D94" s="16"/>
      <c r="E94" s="16"/>
      <c r="F94" s="2"/>
      <c r="G94" s="8"/>
      <c r="H94" s="8"/>
      <c r="I94" s="8"/>
      <c r="J94" s="8"/>
    </row>
    <row r="98" spans="1:10" ht="13">
      <c r="A98" s="1"/>
    </row>
    <row r="100" spans="1:10" ht="13">
      <c r="A100" s="1"/>
      <c r="B100" s="2"/>
      <c r="C100" s="2"/>
      <c r="D100" s="2"/>
      <c r="G100" s="2"/>
      <c r="H100" s="2"/>
    </row>
    <row r="101" spans="1:10" ht="13">
      <c r="A101" s="2"/>
      <c r="B101" s="2"/>
      <c r="C101" s="2"/>
      <c r="D101" s="2"/>
      <c r="E101" s="6"/>
      <c r="F101" s="2"/>
      <c r="G101" s="2"/>
      <c r="H101" s="2"/>
    </row>
    <row r="102" spans="1:10" ht="13">
      <c r="E102" s="1"/>
      <c r="F102" s="2"/>
    </row>
    <row r="103" spans="1:10" ht="13">
      <c r="A103" s="6"/>
      <c r="B103" s="7"/>
      <c r="D103" s="8"/>
      <c r="E103" s="6"/>
      <c r="F103" s="7"/>
      <c r="G103" s="8"/>
      <c r="H103" s="8"/>
      <c r="I103" s="8"/>
    </row>
    <row r="104" spans="1:10" ht="13">
      <c r="A104" s="7"/>
      <c r="B104" s="8"/>
      <c r="C104" s="8"/>
      <c r="D104" s="8"/>
      <c r="E104" s="8"/>
      <c r="F104" s="8"/>
      <c r="G104" s="8"/>
      <c r="H104" s="8"/>
      <c r="I104" s="8"/>
    </row>
    <row r="105" spans="1:10" ht="13">
      <c r="A105" s="7"/>
      <c r="B105" s="8"/>
      <c r="C105" s="8"/>
      <c r="D105" s="7"/>
      <c r="E105" s="7"/>
      <c r="F105" s="8"/>
      <c r="G105" s="8"/>
      <c r="H105" s="8"/>
      <c r="I105" s="7"/>
      <c r="J105" s="2"/>
    </row>
    <row r="106" spans="1:10" ht="13">
      <c r="A106" s="6"/>
      <c r="B106" s="6"/>
      <c r="C106" s="6"/>
      <c r="D106" s="6"/>
      <c r="E106" s="6"/>
      <c r="G106" s="8"/>
      <c r="H106" s="6"/>
      <c r="I106" s="6"/>
      <c r="J106" s="6"/>
    </row>
    <row r="107" spans="1:10" ht="14">
      <c r="A107" s="7"/>
      <c r="B107" s="15"/>
      <c r="C107" s="15"/>
      <c r="D107" s="15"/>
      <c r="E107" s="15"/>
      <c r="G107" s="6"/>
      <c r="H107" s="16"/>
      <c r="I107" s="16"/>
      <c r="J107" s="16"/>
    </row>
    <row r="108" spans="1:10" ht="14">
      <c r="A108" s="7"/>
      <c r="B108" s="15"/>
      <c r="C108" s="15"/>
      <c r="D108" s="15"/>
      <c r="E108" s="15"/>
      <c r="G108" s="6"/>
      <c r="H108" s="16"/>
      <c r="I108" s="16"/>
      <c r="J108" s="16"/>
    </row>
    <row r="109" spans="1:10" ht="13">
      <c r="A109" s="8"/>
      <c r="B109" s="8"/>
      <c r="C109" s="8"/>
      <c r="D109" s="8"/>
      <c r="E109" s="8"/>
      <c r="G109" s="6"/>
      <c r="H109" s="16"/>
      <c r="I109" s="16"/>
      <c r="J109" s="16"/>
    </row>
    <row r="110" spans="1:10" ht="13">
      <c r="A110" s="7"/>
      <c r="B110" s="8"/>
      <c r="C110" s="8"/>
      <c r="D110" s="8"/>
      <c r="E110" s="8"/>
      <c r="G110" s="6"/>
      <c r="H110" s="16"/>
      <c r="I110" s="16"/>
      <c r="J110" s="16"/>
    </row>
    <row r="111" spans="1:10" ht="13">
      <c r="A111" s="6"/>
      <c r="B111" s="6"/>
      <c r="C111" s="6"/>
      <c r="D111" s="6"/>
      <c r="E111" s="6"/>
      <c r="G111" s="1"/>
      <c r="H111" s="11"/>
      <c r="I111" s="11"/>
      <c r="J111" s="11"/>
    </row>
    <row r="112" spans="1:10" ht="14">
      <c r="A112" s="7"/>
      <c r="B112" s="15"/>
      <c r="C112" s="15"/>
      <c r="D112" s="15"/>
      <c r="E112" s="15"/>
    </row>
    <row r="113" spans="1:10" ht="14">
      <c r="A113" s="7"/>
      <c r="B113" s="15"/>
      <c r="C113" s="15"/>
      <c r="D113" s="15"/>
      <c r="E113" s="15"/>
      <c r="J113" s="8"/>
    </row>
    <row r="114" spans="1:10" ht="13">
      <c r="A114" s="7"/>
      <c r="B114" s="11"/>
      <c r="C114" s="11"/>
      <c r="D114" s="11"/>
      <c r="E114" s="8"/>
      <c r="H114" s="6"/>
      <c r="I114" s="6"/>
      <c r="J114" s="6"/>
    </row>
    <row r="115" spans="1:10" ht="13">
      <c r="A115" s="7"/>
      <c r="B115" s="11"/>
      <c r="C115" s="11"/>
      <c r="D115" s="11"/>
      <c r="E115" s="11"/>
      <c r="G115" s="6"/>
      <c r="H115" s="34"/>
      <c r="I115" s="34"/>
      <c r="J115" s="34"/>
    </row>
    <row r="116" spans="1:10" ht="13">
      <c r="A116" s="7"/>
      <c r="B116" s="11"/>
      <c r="C116" s="11"/>
      <c r="D116" s="11"/>
      <c r="E116" s="11"/>
      <c r="G116" s="6"/>
      <c r="H116" s="34"/>
      <c r="I116" s="34"/>
      <c r="J116" s="34"/>
    </row>
    <row r="117" spans="1:10" ht="13">
      <c r="A117" s="7"/>
      <c r="B117" s="8"/>
      <c r="C117" s="8"/>
      <c r="D117" s="8"/>
      <c r="E117" s="8"/>
      <c r="G117" s="7"/>
    </row>
    <row r="118" spans="1:10" ht="13">
      <c r="A118" s="7"/>
      <c r="B118" s="8"/>
      <c r="C118" s="8"/>
      <c r="D118" s="8"/>
      <c r="E118" s="8"/>
      <c r="F118" s="8"/>
    </row>
    <row r="119" spans="1:10" ht="13">
      <c r="A119" s="7"/>
      <c r="B119" s="8"/>
      <c r="C119" s="8"/>
      <c r="D119" s="8"/>
      <c r="E119" s="8"/>
      <c r="F119" s="8"/>
      <c r="G119" s="8"/>
      <c r="H119" s="8"/>
      <c r="I119" s="8"/>
    </row>
    <row r="120" spans="1:10" ht="13">
      <c r="A120" s="7"/>
      <c r="B120" s="8"/>
      <c r="C120" s="8"/>
      <c r="D120" s="7"/>
      <c r="E120" s="7"/>
      <c r="F120" s="8"/>
      <c r="G120" s="8"/>
      <c r="H120" s="8"/>
      <c r="I120" s="8"/>
    </row>
    <row r="121" spans="1:10" ht="13">
      <c r="B121" s="1"/>
      <c r="C121" s="13"/>
      <c r="D121" s="1"/>
      <c r="E121" s="1"/>
      <c r="F121" s="6"/>
      <c r="G121" s="8"/>
      <c r="H121" s="8"/>
      <c r="I121" s="8"/>
    </row>
    <row r="122" spans="1:10" ht="13">
      <c r="A122" s="7"/>
      <c r="B122" s="16"/>
      <c r="C122" s="16"/>
      <c r="D122" s="16"/>
      <c r="E122" s="16"/>
      <c r="F122" s="7"/>
      <c r="G122" s="8"/>
    </row>
    <row r="123" spans="1:10" ht="13">
      <c r="A123" s="7"/>
      <c r="B123" s="16"/>
      <c r="C123" s="16"/>
      <c r="D123" s="16"/>
      <c r="E123" s="16"/>
      <c r="F123" s="7"/>
      <c r="G123" s="8"/>
    </row>
    <row r="124" spans="1:10" ht="13">
      <c r="A124" s="7"/>
      <c r="B124" s="16"/>
      <c r="C124" s="16"/>
      <c r="D124" s="16"/>
      <c r="E124" s="16"/>
      <c r="F124" s="7"/>
      <c r="G124" s="8"/>
    </row>
    <row r="125" spans="1:10" ht="13">
      <c r="A125" s="7"/>
      <c r="B125" s="16"/>
      <c r="C125" s="16"/>
      <c r="D125" s="16"/>
      <c r="E125" s="16"/>
      <c r="F125" s="2"/>
      <c r="G125" s="8"/>
      <c r="H125" s="8"/>
      <c r="I125" s="8"/>
      <c r="J125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44"/>
  <sheetViews>
    <sheetView workbookViewId="0"/>
  </sheetViews>
  <sheetFormatPr baseColWidth="10" defaultColWidth="14.5" defaultRowHeight="15.75" customHeight="1"/>
  <cols>
    <col min="2" max="2" width="9.5" customWidth="1"/>
    <col min="3" max="3" width="7" customWidth="1"/>
    <col min="4" max="4" width="8.5" customWidth="1"/>
    <col min="5" max="5" width="7" customWidth="1"/>
    <col min="6" max="6" width="3" customWidth="1"/>
    <col min="7" max="7" width="9" customWidth="1"/>
    <col min="8" max="8" width="7.1640625" customWidth="1"/>
    <col min="9" max="9" width="8.83203125" customWidth="1"/>
    <col min="10" max="10" width="7.5" customWidth="1"/>
    <col min="11" max="11" width="3" customWidth="1"/>
    <col min="12" max="12" width="9.33203125" customWidth="1"/>
    <col min="13" max="13" width="7.33203125" customWidth="1"/>
    <col min="14" max="14" width="8.83203125" customWidth="1"/>
    <col min="15" max="15" width="6.6640625" customWidth="1"/>
    <col min="16" max="16" width="4.5" customWidth="1"/>
    <col min="17" max="17" width="8.6640625" customWidth="1"/>
    <col min="18" max="18" width="7.1640625" customWidth="1"/>
    <col min="19" max="19" width="9.33203125" customWidth="1"/>
    <col min="20" max="20" width="6.6640625" customWidth="1"/>
    <col min="21" max="21" width="9" customWidth="1"/>
    <col min="22" max="22" width="8.1640625" customWidth="1"/>
    <col min="23" max="23" width="18.5" customWidth="1"/>
  </cols>
  <sheetData>
    <row r="1" spans="1:23" ht="15.75" customHeight="1">
      <c r="A1" s="1" t="s">
        <v>543</v>
      </c>
      <c r="B1" s="2"/>
    </row>
    <row r="2" spans="1:23" ht="15.75" customHeight="1">
      <c r="B2" s="2"/>
    </row>
    <row r="3" spans="1:23" ht="15.75" customHeight="1">
      <c r="B3" s="1" t="s">
        <v>544</v>
      </c>
    </row>
    <row r="4" spans="1:23" ht="15.75" customHeight="1">
      <c r="B4" s="97" t="s">
        <v>545</v>
      </c>
      <c r="F4" s="97"/>
      <c r="G4" s="97" t="s">
        <v>546</v>
      </c>
      <c r="K4" s="97"/>
      <c r="L4" s="97" t="s">
        <v>547</v>
      </c>
      <c r="P4" s="97"/>
      <c r="Q4" s="97" t="s">
        <v>548</v>
      </c>
      <c r="U4" s="291" t="s">
        <v>549</v>
      </c>
      <c r="V4" s="292"/>
    </row>
    <row r="5" spans="1:23" ht="15.75" customHeight="1">
      <c r="B5" s="2" t="s">
        <v>0</v>
      </c>
      <c r="C5" s="2" t="s">
        <v>550</v>
      </c>
      <c r="D5" s="2"/>
      <c r="E5" s="2"/>
      <c r="F5" s="2"/>
      <c r="G5" s="2" t="s">
        <v>0</v>
      </c>
      <c r="H5" s="2" t="s">
        <v>550</v>
      </c>
      <c r="I5" s="2"/>
      <c r="J5" s="2"/>
      <c r="K5" s="2"/>
      <c r="L5" s="2" t="s">
        <v>0</v>
      </c>
      <c r="M5" s="2" t="s">
        <v>550</v>
      </c>
      <c r="N5" s="2"/>
      <c r="O5" s="2"/>
      <c r="P5" s="2"/>
      <c r="Q5" s="2" t="s">
        <v>0</v>
      </c>
      <c r="R5" s="2" t="s">
        <v>550</v>
      </c>
      <c r="S5" s="2"/>
      <c r="T5" s="2"/>
      <c r="U5" s="2" t="s">
        <v>0</v>
      </c>
      <c r="V5" s="2" t="s">
        <v>550</v>
      </c>
    </row>
    <row r="6" spans="1:23" ht="15.75" customHeight="1">
      <c r="A6" s="2" t="s">
        <v>539</v>
      </c>
      <c r="B6" s="2">
        <v>1.0609999999999999</v>
      </c>
      <c r="C6" s="2">
        <v>6.0000000000000001E-3</v>
      </c>
      <c r="W6" s="2" t="s">
        <v>552</v>
      </c>
    </row>
    <row r="7" spans="1:23" ht="15.75" customHeight="1">
      <c r="A7" s="2" t="s">
        <v>536</v>
      </c>
      <c r="G7" s="2">
        <v>1.0589999999999999</v>
      </c>
      <c r="H7" s="2">
        <v>5.0000000000000001E-3</v>
      </c>
      <c r="L7" s="98">
        <v>1.06</v>
      </c>
      <c r="M7" s="2">
        <v>3.0000000000000001E-3</v>
      </c>
      <c r="W7" s="2" t="s">
        <v>553</v>
      </c>
    </row>
    <row r="8" spans="1:23" ht="15.75" customHeight="1">
      <c r="A8" s="2" t="s">
        <v>554</v>
      </c>
      <c r="G8" s="2">
        <v>1.0549999999999999</v>
      </c>
      <c r="H8" s="2">
        <v>6.0000000000000001E-3</v>
      </c>
      <c r="L8" s="2">
        <v>1.0620000000000001</v>
      </c>
      <c r="M8" s="2">
        <v>5.0000000000000001E-3</v>
      </c>
      <c r="Q8" s="98">
        <v>1.056</v>
      </c>
      <c r="R8" s="2">
        <v>4.0000000000000001E-3</v>
      </c>
      <c r="W8" s="2" t="s">
        <v>555</v>
      </c>
    </row>
    <row r="9" spans="1:23" ht="15.75" customHeight="1">
      <c r="A9" s="2" t="s">
        <v>556</v>
      </c>
      <c r="G9" s="99">
        <v>1.0429999999999999</v>
      </c>
      <c r="H9" s="2">
        <v>4.0000000000000001E-3</v>
      </c>
      <c r="L9" s="2">
        <v>1.0589999999999999</v>
      </c>
      <c r="M9" s="2">
        <v>2E-3</v>
      </c>
      <c r="Q9" s="2">
        <v>1.0640000000000001</v>
      </c>
      <c r="R9" s="2">
        <v>2E-3</v>
      </c>
      <c r="W9" s="2" t="s">
        <v>558</v>
      </c>
    </row>
    <row r="10" spans="1:23" ht="15.75" customHeight="1">
      <c r="A10" s="2" t="s">
        <v>559</v>
      </c>
      <c r="G10" s="100">
        <v>1.06</v>
      </c>
      <c r="H10" s="2">
        <v>4.0000000000000001E-3</v>
      </c>
      <c r="L10" s="2">
        <v>1.0589999999999999</v>
      </c>
      <c r="M10" s="2">
        <v>2E-3</v>
      </c>
      <c r="Q10" s="2">
        <v>1.0589999999999999</v>
      </c>
      <c r="R10" s="2">
        <v>2E-3</v>
      </c>
      <c r="W10" s="2" t="s">
        <v>561</v>
      </c>
    </row>
    <row r="11" spans="1:23" ht="15.75" customHeight="1">
      <c r="A11" s="2" t="s">
        <v>562</v>
      </c>
      <c r="U11" s="2">
        <v>1.0589999999999999</v>
      </c>
      <c r="V11" s="2">
        <v>2E-3</v>
      </c>
      <c r="W11" s="2" t="s">
        <v>563</v>
      </c>
    </row>
    <row r="12" spans="1:23" ht="15.75" customHeight="1">
      <c r="A12" s="2"/>
      <c r="B12" s="5"/>
      <c r="C12" s="5"/>
      <c r="G12" s="2"/>
    </row>
    <row r="13" spans="1:23" ht="15.75" customHeight="1">
      <c r="A13" s="2"/>
      <c r="B13" s="5"/>
      <c r="C13" s="5"/>
      <c r="G13" s="2"/>
    </row>
    <row r="14" spans="1:23" ht="15.75" customHeight="1">
      <c r="A14" s="2" t="s">
        <v>541</v>
      </c>
      <c r="B14" s="5">
        <f>AVERAGE(B6,G7,G8,L7,L8,L10,Q8,Q10,L9,Q9,U11)</f>
        <v>1.0593636363636363</v>
      </c>
      <c r="C14" s="5">
        <f>STDEV(B6,G7,G8,L7,L8,L10,Q8,Q10,L9,Q9,U11)</f>
        <v>2.5009089256799351E-3</v>
      </c>
      <c r="G14" s="2" t="s">
        <v>565</v>
      </c>
    </row>
    <row r="20" spans="2:2" ht="15.75" customHeight="1">
      <c r="B20" s="2"/>
    </row>
    <row r="35" spans="1:21" ht="13">
      <c r="A35" s="1" t="s">
        <v>566</v>
      </c>
    </row>
    <row r="36" spans="1:21" ht="13">
      <c r="A36" s="2" t="s">
        <v>539</v>
      </c>
      <c r="B36" s="5">
        <f ca="1">'KIE_3_2 old3'!G29</f>
        <v>1.0591594242355173</v>
      </c>
      <c r="C36" s="5">
        <f ca="1">'KIE_3_2 old3'!G30</f>
        <v>5.2671320786629424E-3</v>
      </c>
      <c r="D36" s="5">
        <f ca="1">'KIE_3_2 old3'!G69</f>
        <v>1.0608937186794143</v>
      </c>
      <c r="E36" s="5">
        <f ca="1">'KIE_3_2 old3'!G70</f>
        <v>5.5518174358983692E-3</v>
      </c>
      <c r="F36" s="5"/>
      <c r="G36" s="5"/>
      <c r="H36" s="5"/>
      <c r="I36" s="101">
        <f>'KIE_3_2 old3'!C106</f>
        <v>1.0498578081700869</v>
      </c>
      <c r="J36" s="101">
        <f>'KIE_3_2 old3'!C107</f>
        <v>4.2547345249189083E-3</v>
      </c>
      <c r="K36" s="5"/>
      <c r="L36" s="5"/>
      <c r="M36" s="5"/>
      <c r="N36" s="101">
        <f>'KIE_3_2 old3'!D106</f>
        <v>1.0479318431713949</v>
      </c>
      <c r="O36" s="101">
        <f>'KIE_3_2 old3'!D107</f>
        <v>1.7447002589744251E-3</v>
      </c>
      <c r="P36" s="5"/>
      <c r="Q36" s="5"/>
      <c r="R36" s="5"/>
      <c r="S36" s="5"/>
      <c r="T36" s="5"/>
      <c r="U36" s="2" t="s">
        <v>552</v>
      </c>
    </row>
    <row r="37" spans="1:21" ht="13">
      <c r="A37" s="2" t="s">
        <v>536</v>
      </c>
      <c r="B37" s="5"/>
      <c r="C37" s="5"/>
      <c r="D37" s="5"/>
      <c r="E37" s="5"/>
      <c r="F37" s="5"/>
      <c r="G37" s="5">
        <f>'KIE_2_26 old3'!C30</f>
        <v>1.0580550712930137</v>
      </c>
      <c r="H37" s="5">
        <f>'KIE_2_26 old3'!C31</f>
        <v>4.5252153686434734E-3</v>
      </c>
      <c r="I37" s="5">
        <f>'KIE_2_26 old3'!C72</f>
        <v>1.0587400367393816</v>
      </c>
      <c r="J37" s="5">
        <f>'KIE_2_26 old3'!C73</f>
        <v>4.9598342431894605E-3</v>
      </c>
      <c r="K37" s="5"/>
      <c r="L37" s="5">
        <f>'KIE_2_26 old3'!D30</f>
        <v>1.0591280227579623</v>
      </c>
      <c r="M37" s="5">
        <f>'KIE_2_26 old3'!D31</f>
        <v>2.9088508036187065E-3</v>
      </c>
      <c r="N37" s="5">
        <f>'KIE_2_26 old3'!D72</f>
        <v>1.0600495605844604</v>
      </c>
      <c r="O37" s="5">
        <f>'KIE_2_26 old3'!D73</f>
        <v>2.9869128869275297E-3</v>
      </c>
      <c r="P37" s="5"/>
      <c r="S37" s="5"/>
      <c r="T37" s="5"/>
      <c r="U37" s="2" t="s">
        <v>553</v>
      </c>
    </row>
    <row r="38" spans="1:21" ht="13">
      <c r="A38" s="2" t="s">
        <v>554</v>
      </c>
      <c r="B38" s="5"/>
      <c r="C38" s="5"/>
      <c r="D38" s="5"/>
      <c r="E38" s="5"/>
      <c r="F38" s="5"/>
      <c r="G38" s="4">
        <f>'KIE_3_7 old'!H11</f>
        <v>1.0548580457361647</v>
      </c>
      <c r="H38" s="4">
        <f>'KIE_3_7 old'!H12</f>
        <v>6.2899915916022012E-3</v>
      </c>
      <c r="I38" s="4">
        <f>'KIE_3_7 old'!H42</f>
        <v>1.0545224065345533</v>
      </c>
      <c r="J38" s="4">
        <f>'KIE_3_7 old'!H43</f>
        <v>6.2326181266414036E-3</v>
      </c>
      <c r="K38" s="5"/>
      <c r="L38" s="4">
        <f>'KIE_3_7 old'!I11</f>
        <v>1.0659877581048292</v>
      </c>
      <c r="M38" s="4">
        <f>'KIE_3_7 old'!I12</f>
        <v>4.380165985734632E-3</v>
      </c>
      <c r="N38" s="4">
        <f>'KIE_3_7 old'!I42</f>
        <v>1.0621855599133132</v>
      </c>
      <c r="O38" s="4">
        <f>'KIE_3_7 old'!I43</f>
        <v>4.2019353822421507E-3</v>
      </c>
      <c r="P38" s="5"/>
      <c r="Q38" s="5">
        <f>'KIE_3_7 old'!J11</f>
        <v>1.0623361101790274</v>
      </c>
      <c r="R38" s="5">
        <f>'KIE_3_7 old'!J12</f>
        <v>4.4279383178925111E-3</v>
      </c>
      <c r="S38" s="4">
        <f>'KIE_3_7 old'!J42</f>
        <v>1.0559730803517358</v>
      </c>
      <c r="T38" s="4">
        <f>'KIE_3_7 old'!J43</f>
        <v>4.2391972726175476E-3</v>
      </c>
      <c r="U38" s="2" t="s">
        <v>555</v>
      </c>
    </row>
    <row r="39" spans="1:21" ht="13">
      <c r="A39" s="2" t="s">
        <v>540</v>
      </c>
      <c r="I39" s="4">
        <f>'KIE_4_2 old'!H11</f>
        <v>1.0602645720618447</v>
      </c>
      <c r="J39" s="4">
        <f>'KIE_4_2 old'!H12</f>
        <v>3.8201708882001262E-3</v>
      </c>
      <c r="N39" s="4">
        <f>'KIE_4_2 old'!I11</f>
        <v>1.0591972247727304</v>
      </c>
      <c r="O39" s="4">
        <f>'KIE_4_2 old'!I12</f>
        <v>2.0481540835676042E-3</v>
      </c>
      <c r="R39" s="2"/>
      <c r="S39" s="4">
        <f>'KIE_4_2 old'!J11</f>
        <v>1.0593813306340181</v>
      </c>
      <c r="T39" s="4">
        <f>'KIE_4_2 old'!J12</f>
        <v>2.1690663347435904E-3</v>
      </c>
      <c r="U39" s="2" t="s">
        <v>561</v>
      </c>
    </row>
    <row r="40" spans="1:21" ht="13">
      <c r="B40" s="2"/>
    </row>
    <row r="41" spans="1:21" ht="13">
      <c r="A41" s="2" t="s">
        <v>619</v>
      </c>
      <c r="B41" s="2"/>
      <c r="C41" s="5">
        <f ca="1">AVERAGE(B36,G37,G38,L37,L38,Q38)</f>
        <v>1.0599207387177525</v>
      </c>
      <c r="G41" s="5">
        <f t="shared" ref="G41:G42" si="0">AVERAGE(G37,I37)</f>
        <v>1.0583975540161976</v>
      </c>
      <c r="L41" s="5">
        <f t="shared" ref="L41:L42" si="1">AVERAGE(L37,N37)</f>
        <v>1.0595887916712114</v>
      </c>
    </row>
    <row r="42" spans="1:21" ht="13">
      <c r="A42" s="2" t="s">
        <v>626</v>
      </c>
      <c r="C42" s="5">
        <f ca="1">AVERAGE(D36,I37,I38,N37,N38,S38)</f>
        <v>1.0587273938004766</v>
      </c>
      <c r="G42" s="5">
        <f t="shared" si="0"/>
        <v>1.054690226135359</v>
      </c>
      <c r="L42" s="5">
        <f t="shared" si="1"/>
        <v>1.0640866590090712</v>
      </c>
      <c r="Q42" s="5">
        <f>AVERAGE(Q38,S38)</f>
        <v>1.0591545952653816</v>
      </c>
    </row>
    <row r="43" spans="1:21" ht="13">
      <c r="A43" s="2" t="s">
        <v>633</v>
      </c>
      <c r="C43" s="5">
        <f ca="1">AVERAGE(B36,D36,G37,G38,I37,I38,L37,L38,Q38,S38)</f>
        <v>1.0589653674611599</v>
      </c>
    </row>
    <row r="44" spans="1:21" ht="13">
      <c r="A44" s="2" t="s">
        <v>637</v>
      </c>
      <c r="C44" s="5">
        <f ca="1">STDEV(B36,D36,G37,G38,I37,I38,L37,L38,N37,N38,Q38,S38)</f>
        <v>3.3152931446874746E-3</v>
      </c>
    </row>
  </sheetData>
  <mergeCells count="1">
    <mergeCell ref="U4:V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47"/>
  <sheetViews>
    <sheetView workbookViewId="0"/>
  </sheetViews>
  <sheetFormatPr baseColWidth="10" defaultColWidth="14.5" defaultRowHeight="15.75" customHeight="1"/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602</v>
      </c>
      <c r="B2" s="2"/>
      <c r="C2" s="2"/>
      <c r="D2" s="2"/>
      <c r="E2" s="6" t="s">
        <v>5</v>
      </c>
      <c r="F2" s="2">
        <v>0.25</v>
      </c>
      <c r="G2" s="2" t="s">
        <v>242</v>
      </c>
      <c r="H2" s="2"/>
    </row>
    <row r="3" spans="1:12" ht="15.75" customHeight="1">
      <c r="A3" s="2" t="s">
        <v>603</v>
      </c>
      <c r="E3" s="1" t="s">
        <v>7</v>
      </c>
      <c r="F3" s="2">
        <v>16</v>
      </c>
      <c r="G3" s="2" t="s">
        <v>244</v>
      </c>
    </row>
    <row r="4" spans="1:12" ht="15.75" customHeight="1">
      <c r="A4" s="6" t="s">
        <v>141</v>
      </c>
      <c r="B4" s="7">
        <v>1</v>
      </c>
      <c r="D4" s="8"/>
      <c r="E4" s="6" t="s">
        <v>272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7" t="s">
        <v>13</v>
      </c>
      <c r="C6" s="7" t="s">
        <v>13</v>
      </c>
      <c r="D6" s="7" t="s">
        <v>14</v>
      </c>
      <c r="E6" s="7" t="s">
        <v>269</v>
      </c>
      <c r="F6" s="8"/>
      <c r="G6" s="8"/>
      <c r="H6" s="8"/>
      <c r="I6" s="7"/>
      <c r="J6" s="2"/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6" t="s">
        <v>71</v>
      </c>
      <c r="G7" s="8"/>
      <c r="H7" s="6"/>
      <c r="I7" s="6"/>
      <c r="J7" s="6"/>
    </row>
    <row r="8" spans="1:12" ht="15.75" customHeight="1">
      <c r="A8" s="7" t="s">
        <v>607</v>
      </c>
      <c r="B8" s="32">
        <v>2.2481</v>
      </c>
      <c r="C8" s="32">
        <v>1.0669999999999999</v>
      </c>
      <c r="D8" s="32">
        <v>8.1770999999999994</v>
      </c>
      <c r="E8" s="32"/>
      <c r="G8" s="6"/>
      <c r="H8" s="16"/>
      <c r="I8" s="16"/>
      <c r="J8" s="16"/>
      <c r="K8" s="32"/>
      <c r="L8" s="32"/>
    </row>
    <row r="9" spans="1:12" ht="15.75" customHeight="1">
      <c r="A9" s="7" t="s">
        <v>608</v>
      </c>
      <c r="B9" s="32">
        <v>2.3174999999999999</v>
      </c>
      <c r="C9" s="32">
        <v>1.0902000000000001</v>
      </c>
      <c r="D9" s="32">
        <v>8.3474000000000004</v>
      </c>
      <c r="E9" s="32"/>
      <c r="G9" s="6"/>
      <c r="H9" s="16"/>
      <c r="I9" s="16"/>
      <c r="J9" s="16"/>
      <c r="K9" s="32"/>
      <c r="L9" s="32"/>
    </row>
    <row r="10" spans="1:12" ht="15.75" customHeight="1">
      <c r="A10" s="8"/>
      <c r="C10" s="8"/>
      <c r="D10" s="8"/>
      <c r="E10" s="8"/>
      <c r="G10" s="6"/>
      <c r="H10" s="16"/>
      <c r="I10" s="16"/>
      <c r="J10" s="16"/>
    </row>
    <row r="11" spans="1:12" ht="15.75" customHeight="1">
      <c r="A11" s="17" t="s">
        <v>19</v>
      </c>
      <c r="B11" s="8"/>
      <c r="C11" s="8"/>
      <c r="D11" s="8"/>
      <c r="E11" s="8"/>
      <c r="G11" s="6"/>
      <c r="H11" s="16"/>
      <c r="I11" s="16"/>
      <c r="J11" s="16"/>
      <c r="K11" s="32"/>
      <c r="L11" s="2"/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6" t="s">
        <v>145</v>
      </c>
      <c r="G12" s="1"/>
      <c r="H12" s="11"/>
      <c r="I12" s="11"/>
      <c r="J12" s="11"/>
      <c r="K12" s="32"/>
      <c r="L12" s="27"/>
    </row>
    <row r="13" spans="1:12" ht="15.75" customHeight="1">
      <c r="A13" s="7" t="s">
        <v>607</v>
      </c>
      <c r="B13" s="32">
        <v>2.12E-2</v>
      </c>
      <c r="C13" s="32">
        <v>1.01E-2</v>
      </c>
      <c r="D13" s="32">
        <v>7.4999999999999997E-3</v>
      </c>
      <c r="E13" s="32"/>
      <c r="K13" s="32"/>
      <c r="L13" s="2"/>
    </row>
    <row r="14" spans="1:12" ht="15.75" customHeight="1">
      <c r="A14" s="7" t="s">
        <v>608</v>
      </c>
      <c r="B14" s="22">
        <v>1.4800000000000001E-2</v>
      </c>
      <c r="C14" s="22">
        <v>7.1999999999999998E-3</v>
      </c>
      <c r="D14" s="32">
        <v>5.4999999999999997E-3</v>
      </c>
      <c r="E14" s="32"/>
      <c r="J14" s="8"/>
      <c r="K14" s="32"/>
      <c r="L14" s="2"/>
    </row>
    <row r="15" spans="1:12" ht="15.75" customHeight="1">
      <c r="A15" s="7"/>
      <c r="B15" s="11"/>
      <c r="C15" s="11"/>
      <c r="D15" s="11"/>
      <c r="E15" s="8"/>
      <c r="H15" s="6"/>
      <c r="I15" s="6"/>
      <c r="J15" s="6"/>
    </row>
    <row r="16" spans="1:12" ht="15.75" customHeight="1">
      <c r="A16" s="7" t="s">
        <v>210</v>
      </c>
      <c r="B16" s="8"/>
      <c r="C16" s="8"/>
      <c r="D16" s="8"/>
      <c r="E16" s="8"/>
      <c r="F16" s="8"/>
    </row>
    <row r="17" spans="1:10" ht="15.75" customHeight="1">
      <c r="A17" s="7"/>
      <c r="B17" s="8"/>
      <c r="C17" s="8"/>
      <c r="D17" s="8"/>
      <c r="E17" s="8"/>
      <c r="F17" s="8"/>
      <c r="G17" s="8"/>
      <c r="H17" s="8"/>
      <c r="I17" s="8"/>
    </row>
    <row r="18" spans="1:10" ht="15.75" customHeight="1">
      <c r="A18" s="2"/>
      <c r="B18" s="35" t="s">
        <v>612</v>
      </c>
      <c r="C18" s="2"/>
      <c r="D18" s="2"/>
      <c r="E18" s="6" t="s">
        <v>5</v>
      </c>
      <c r="F18" s="2">
        <v>0.25</v>
      </c>
      <c r="G18" s="2" t="s">
        <v>242</v>
      </c>
      <c r="H18" s="2"/>
    </row>
    <row r="19" spans="1:10" ht="15.75" customHeight="1">
      <c r="A19" s="1" t="s">
        <v>133</v>
      </c>
      <c r="B19" s="2">
        <v>-78</v>
      </c>
      <c r="E19" s="1" t="s">
        <v>7</v>
      </c>
      <c r="F19" s="2">
        <v>16</v>
      </c>
      <c r="G19" s="2" t="s">
        <v>244</v>
      </c>
    </row>
    <row r="20" spans="1:10" ht="15.75" customHeight="1">
      <c r="A20" s="6" t="s">
        <v>141</v>
      </c>
      <c r="B20" s="7">
        <v>9.1999999999999998E-2</v>
      </c>
      <c r="D20" s="8"/>
      <c r="E20" s="6" t="s">
        <v>272</v>
      </c>
      <c r="F20" s="7">
        <v>8</v>
      </c>
      <c r="G20" s="8"/>
      <c r="H20" s="8"/>
      <c r="I20" s="8"/>
    </row>
    <row r="21" spans="1:10" ht="15.75" customHeight="1">
      <c r="A21" s="7"/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A22" s="17" t="s">
        <v>15</v>
      </c>
      <c r="B22" s="7" t="s">
        <v>13</v>
      </c>
      <c r="C22" s="7" t="s">
        <v>13</v>
      </c>
      <c r="D22" s="7" t="s">
        <v>14</v>
      </c>
      <c r="E22" s="7" t="s">
        <v>269</v>
      </c>
      <c r="F22" s="8"/>
      <c r="G22" s="8"/>
      <c r="H22" s="8"/>
      <c r="I22" s="7" t="s">
        <v>14</v>
      </c>
      <c r="J22" s="2" t="s">
        <v>269</v>
      </c>
    </row>
    <row r="23" spans="1:10" ht="15.75" customHeight="1">
      <c r="A23" s="6" t="s">
        <v>68</v>
      </c>
      <c r="B23" s="6" t="s">
        <v>69</v>
      </c>
      <c r="C23" s="6" t="s">
        <v>70</v>
      </c>
      <c r="D23" s="6" t="s">
        <v>71</v>
      </c>
      <c r="E23" s="6" t="s">
        <v>71</v>
      </c>
      <c r="G23" s="8"/>
      <c r="H23" s="6" t="s">
        <v>193</v>
      </c>
      <c r="I23" s="6" t="s">
        <v>194</v>
      </c>
      <c r="J23" s="6" t="s">
        <v>194</v>
      </c>
    </row>
    <row r="24" spans="1:10" ht="15.75" customHeight="1">
      <c r="A24" s="7" t="s">
        <v>616</v>
      </c>
      <c r="B24" s="32">
        <f>AVERAGE($B$8:$B$9)</f>
        <v>2.2827999999999999</v>
      </c>
      <c r="C24" s="32">
        <f>AVERAGE($C$8:$C$9)</f>
        <v>1.0786</v>
      </c>
      <c r="D24" s="32">
        <f>AVERAGE($D$8:$D$9)</f>
        <v>8.2622499999999999</v>
      </c>
      <c r="E24" s="32" t="e">
        <f>AVERAGE($E$8:$E$9)</f>
        <v>#DIV/0!</v>
      </c>
      <c r="G24" s="6" t="s">
        <v>27</v>
      </c>
      <c r="H24" s="16">
        <f t="shared" ref="H24:H25" si="0">C24/B24</f>
        <v>0.4724899246539338</v>
      </c>
      <c r="I24" s="16">
        <f t="shared" ref="I24:I25" si="1">C24/D24</f>
        <v>0.1305455535719689</v>
      </c>
      <c r="J24" s="16" t="e">
        <f t="shared" ref="J24:J25" si="2">C24/E24</f>
        <v>#DIV/0!</v>
      </c>
    </row>
    <row r="25" spans="1:10" ht="15.75" customHeight="1">
      <c r="A25" s="7" t="s">
        <v>632</v>
      </c>
      <c r="B25" s="32">
        <v>1.117</v>
      </c>
      <c r="C25" s="32">
        <v>0.52180000000000004</v>
      </c>
      <c r="D25" s="32">
        <v>5.0983000000000001</v>
      </c>
      <c r="E25" s="32"/>
      <c r="G25" s="6" t="s">
        <v>30</v>
      </c>
      <c r="H25" s="16">
        <f t="shared" si="0"/>
        <v>0.46714413607878247</v>
      </c>
      <c r="I25" s="16">
        <f t="shared" si="1"/>
        <v>0.10234784143734187</v>
      </c>
      <c r="J25" s="16" t="e">
        <f t="shared" si="2"/>
        <v>#DIV/0!</v>
      </c>
    </row>
    <row r="26" spans="1:10" ht="15.75" customHeight="1">
      <c r="A26" s="8"/>
      <c r="C26" s="8"/>
      <c r="D26" s="8"/>
      <c r="E26" s="8"/>
      <c r="G26" s="6" t="s">
        <v>31</v>
      </c>
      <c r="H26" s="16">
        <f t="shared" ref="H26:J26" si="3">H25/H24</f>
        <v>0.98868592049012105</v>
      </c>
      <c r="I26" s="16">
        <f t="shared" si="3"/>
        <v>0.78400097618735198</v>
      </c>
      <c r="J26" s="16" t="e">
        <f t="shared" si="3"/>
        <v>#DIV/0!</v>
      </c>
    </row>
    <row r="27" spans="1:10" ht="15.75" customHeight="1">
      <c r="A27" s="17" t="s">
        <v>19</v>
      </c>
      <c r="B27" s="8"/>
      <c r="C27" s="8"/>
      <c r="D27" s="8"/>
      <c r="E27" s="8"/>
      <c r="G27" s="37" t="s">
        <v>0</v>
      </c>
      <c r="H27" s="16">
        <f>LN(1-B20)/LN(1-B20*H26)</f>
        <v>1.0120138578005671</v>
      </c>
      <c r="I27" s="16">
        <f>LN(1-B20)/LN(1-B20*I26)</f>
        <v>1.289191275744088</v>
      </c>
      <c r="J27" s="16" t="e">
        <f>LN(1-B20)/LN(1-B20*J26)</f>
        <v>#DIV/0!</v>
      </c>
    </row>
    <row r="28" spans="1:10" ht="15.75" customHeight="1">
      <c r="A28" s="6" t="s">
        <v>68</v>
      </c>
      <c r="B28" s="6" t="s">
        <v>143</v>
      </c>
      <c r="C28" s="6" t="s">
        <v>144</v>
      </c>
      <c r="D28" s="6" t="s">
        <v>145</v>
      </c>
      <c r="E28" s="6" t="s">
        <v>145</v>
      </c>
      <c r="G28" s="39" t="s">
        <v>38</v>
      </c>
      <c r="H28" s="11">
        <f>H27*SQRT(B42^2*(H32+H33))</f>
        <v>5.2672568039255602E-2</v>
      </c>
      <c r="I28" s="11">
        <f t="shared" ref="I28:J28" si="4">I27*SQRT(D42^2*(I32+I33))</f>
        <v>3.0140378400871148E-2</v>
      </c>
      <c r="J28" s="11" t="e">
        <f t="shared" si="4"/>
        <v>#DIV/0!</v>
      </c>
    </row>
    <row r="29" spans="1:10" ht="15.75" customHeight="1">
      <c r="A29" s="7" t="s">
        <v>607</v>
      </c>
      <c r="B29" s="107">
        <f>SQRT(($B$13^2+$B$14^2)/2)</f>
        <v>1.8282231811242302E-2</v>
      </c>
      <c r="C29" s="108">
        <f>SQRT(($C$13^2+$C$14^2)/2)</f>
        <v>8.7706898246375127E-3</v>
      </c>
      <c r="D29" s="108">
        <f>SQRT(($D$13^2+$D$14^2)/2)</f>
        <v>6.5764732189829526E-3</v>
      </c>
      <c r="E29" s="32">
        <f>SQRT(($E$14^2+$E$13^2)/2)</f>
        <v>0</v>
      </c>
    </row>
    <row r="30" spans="1:10" ht="14">
      <c r="A30" s="7" t="s">
        <v>608</v>
      </c>
      <c r="B30" s="22">
        <v>0.18429999999999999</v>
      </c>
      <c r="C30" s="22">
        <v>5.7200000000000001E-2</v>
      </c>
      <c r="D30" s="32">
        <v>1.04E-2</v>
      </c>
      <c r="E30" s="32"/>
      <c r="J30" s="8"/>
    </row>
    <row r="31" spans="1:10" ht="13">
      <c r="A31" s="7"/>
      <c r="B31" s="11"/>
      <c r="C31" s="11"/>
      <c r="D31" s="11"/>
      <c r="E31" s="8"/>
      <c r="H31" s="6" t="s">
        <v>193</v>
      </c>
      <c r="I31" s="6" t="s">
        <v>194</v>
      </c>
      <c r="J31" s="6" t="s">
        <v>194</v>
      </c>
    </row>
    <row r="32" spans="1:10" ht="13">
      <c r="A32" s="7" t="s">
        <v>197</v>
      </c>
      <c r="B32" s="11">
        <f t="shared" ref="B32:C32" si="5">B29/SQRT($F$3)</f>
        <v>4.5705579528105755E-3</v>
      </c>
      <c r="C32" s="11">
        <f t="shared" si="5"/>
        <v>2.1926724561593782E-3</v>
      </c>
      <c r="D32" s="11">
        <f t="shared" ref="D32:E32" si="6">D29/SQRT($F$4)</f>
        <v>2.325134404717284E-3</v>
      </c>
      <c r="E32" s="11">
        <f t="shared" si="6"/>
        <v>0</v>
      </c>
      <c r="G32" s="6" t="s">
        <v>44</v>
      </c>
      <c r="H32" s="34">
        <f t="shared" ref="H32:H33" si="7">(B32/B24)^2+(C32/C24)^2</f>
        <v>8.1413237936105783E-6</v>
      </c>
      <c r="I32" s="34">
        <f>(D32/D24)^2+(C32/C24)^2</f>
        <v>4.2118268922635922E-6</v>
      </c>
      <c r="J32" s="34" t="e">
        <f>(E32/E24)^2+(C32/C24)^2</f>
        <v>#DIV/0!</v>
      </c>
    </row>
    <row r="33" spans="1:10" ht="13">
      <c r="A33" s="7" t="s">
        <v>198</v>
      </c>
      <c r="B33" s="11">
        <f t="shared" ref="B33:C33" si="8">B30/SQRT($F$3)</f>
        <v>4.6074999999999998E-2</v>
      </c>
      <c r="C33" s="11">
        <f t="shared" si="8"/>
        <v>1.43E-2</v>
      </c>
      <c r="D33" s="11">
        <f t="shared" ref="D33:E33" si="9">D30/SQRT($F$4)</f>
        <v>3.6769552621700465E-3</v>
      </c>
      <c r="E33" s="11">
        <f t="shared" si="9"/>
        <v>0</v>
      </c>
      <c r="G33" s="6" t="s">
        <v>42</v>
      </c>
      <c r="H33" s="34">
        <f t="shared" si="7"/>
        <v>2.4525116609411379E-3</v>
      </c>
      <c r="I33" s="34">
        <f>(C33/C25)^2+(D33/D25)^2</f>
        <v>7.5156162965955278E-4</v>
      </c>
      <c r="J33" s="34" t="e">
        <f>(C33/C25)^2+(E33/E25)^2</f>
        <v>#DIV/0!</v>
      </c>
    </row>
    <row r="34" spans="1:10" ht="13">
      <c r="A34" s="7" t="s">
        <v>208</v>
      </c>
      <c r="B34" s="8"/>
      <c r="C34" s="8"/>
      <c r="D34" s="8"/>
      <c r="E34" s="8"/>
      <c r="G34" s="7" t="s">
        <v>209</v>
      </c>
    </row>
    <row r="35" spans="1:10" ht="13">
      <c r="A35" s="7" t="s">
        <v>210</v>
      </c>
      <c r="B35" s="8"/>
      <c r="C35" s="8"/>
      <c r="D35" s="8"/>
      <c r="E35" s="8"/>
      <c r="F35" s="8"/>
    </row>
    <row r="36" spans="1:10" ht="13">
      <c r="A36" s="7"/>
      <c r="B36" s="8"/>
      <c r="C36" s="8"/>
      <c r="D36" s="8"/>
      <c r="E36" s="8"/>
      <c r="F36" s="8"/>
      <c r="G36" s="8"/>
      <c r="H36" s="8"/>
      <c r="I36" s="8"/>
    </row>
    <row r="37" spans="1:10" ht="13">
      <c r="A37" s="17" t="s">
        <v>148</v>
      </c>
      <c r="B37" s="8"/>
      <c r="C37" s="8"/>
      <c r="D37" s="7" t="s">
        <v>14</v>
      </c>
      <c r="E37" s="7" t="s">
        <v>269</v>
      </c>
      <c r="F37" s="8"/>
      <c r="G37" s="8"/>
      <c r="H37" s="8"/>
      <c r="I37" s="8"/>
    </row>
    <row r="38" spans="1:10" ht="13">
      <c r="B38" s="1" t="s">
        <v>193</v>
      </c>
      <c r="C38" s="13"/>
      <c r="D38" s="1" t="s">
        <v>194</v>
      </c>
      <c r="E38" s="1" t="s">
        <v>194</v>
      </c>
      <c r="F38" s="6" t="s">
        <v>215</v>
      </c>
      <c r="G38" s="8"/>
      <c r="H38" s="8"/>
      <c r="I38" s="8"/>
    </row>
    <row r="39" spans="1:10" ht="13">
      <c r="A39" s="7" t="s">
        <v>149</v>
      </c>
      <c r="B39" s="16">
        <f>B20/LN(1-B20)</f>
        <v>-0.95326019793574435</v>
      </c>
      <c r="C39" s="16"/>
      <c r="D39" s="16">
        <f>B20/LN(1-B20)</f>
        <v>-0.95326019793574435</v>
      </c>
      <c r="E39" s="16" t="e">
        <f>B20/LN(1-$B$4)</f>
        <v>#NUM!</v>
      </c>
      <c r="F39" s="7" t="s">
        <v>217</v>
      </c>
      <c r="G39" s="8"/>
    </row>
    <row r="40" spans="1:10" ht="13">
      <c r="A40" s="7" t="s">
        <v>150</v>
      </c>
      <c r="B40" s="16">
        <f>H26*H27</f>
        <v>1.000563852548312</v>
      </c>
      <c r="C40" s="16"/>
      <c r="D40" s="16">
        <f t="shared" ref="D40:E40" si="10">I26*I27</f>
        <v>1.0107272186755827</v>
      </c>
      <c r="E40" s="16" t="e">
        <f t="shared" si="10"/>
        <v>#DIV/0!</v>
      </c>
      <c r="F40" s="7" t="s">
        <v>220</v>
      </c>
      <c r="G40" s="8"/>
    </row>
    <row r="41" spans="1:10" ht="13">
      <c r="A41" s="7" t="s">
        <v>151</v>
      </c>
      <c r="B41" s="16">
        <f>1-B20*H26</f>
        <v>0.90904089531490884</v>
      </c>
      <c r="C41" s="16"/>
      <c r="D41" s="16">
        <f>1-B20/I26</f>
        <v>0.88265320733731478</v>
      </c>
      <c r="E41" s="16" t="e">
        <f>1-B20*J26</f>
        <v>#DIV/0!</v>
      </c>
      <c r="F41" s="7" t="s">
        <v>221</v>
      </c>
      <c r="G41" s="8"/>
    </row>
    <row r="42" spans="1:10" ht="13">
      <c r="A42" s="7" t="s">
        <v>54</v>
      </c>
      <c r="B42" s="16">
        <f>B39*B40/B41</f>
        <v>-1.0492351895754277</v>
      </c>
      <c r="C42" s="16"/>
      <c r="D42" s="16">
        <f t="shared" ref="D42:E42" si="11">D39*D40*D41</f>
        <v>-0.85042403330998861</v>
      </c>
      <c r="E42" s="16" t="e">
        <f t="shared" si="11"/>
        <v>#NUM!</v>
      </c>
      <c r="F42" s="2" t="s">
        <v>245</v>
      </c>
      <c r="G42" s="8"/>
      <c r="H42" s="8"/>
      <c r="I42" s="8"/>
      <c r="J42" s="8"/>
    </row>
    <row r="44" spans="1:10" ht="13">
      <c r="A44" s="1"/>
      <c r="B44" s="35" t="s">
        <v>662</v>
      </c>
      <c r="C44" s="2"/>
      <c r="D44" s="2"/>
      <c r="E44" s="6" t="s">
        <v>5</v>
      </c>
      <c r="F44" s="2">
        <v>0.25</v>
      </c>
      <c r="G44" s="2" t="s">
        <v>242</v>
      </c>
      <c r="H44" s="2"/>
    </row>
    <row r="45" spans="1:10" ht="13">
      <c r="A45" s="1" t="s">
        <v>133</v>
      </c>
      <c r="B45" s="2">
        <v>0</v>
      </c>
      <c r="E45" s="1" t="s">
        <v>7</v>
      </c>
      <c r="F45" s="2">
        <v>16</v>
      </c>
      <c r="G45" s="2" t="s">
        <v>244</v>
      </c>
    </row>
    <row r="46" spans="1:10" ht="13">
      <c r="A46" s="6" t="s">
        <v>141</v>
      </c>
      <c r="B46" s="7">
        <v>0.1</v>
      </c>
      <c r="D46" s="8"/>
      <c r="E46" s="6" t="s">
        <v>272</v>
      </c>
      <c r="F46" s="7">
        <v>8</v>
      </c>
      <c r="G46" s="8"/>
      <c r="H46" s="8"/>
      <c r="I46" s="8"/>
    </row>
    <row r="47" spans="1:10" ht="13">
      <c r="A47" s="7"/>
      <c r="B47" s="8"/>
      <c r="C47" s="8"/>
      <c r="D47" s="8"/>
      <c r="E47" s="8"/>
      <c r="F47" s="8"/>
      <c r="G47" s="8"/>
      <c r="H47" s="8"/>
      <c r="I47" s="8"/>
    </row>
    <row r="48" spans="1:10" ht="13">
      <c r="A48" s="17" t="s">
        <v>15</v>
      </c>
      <c r="B48" s="7" t="s">
        <v>13</v>
      </c>
      <c r="C48" s="7" t="s">
        <v>13</v>
      </c>
      <c r="D48" s="7" t="s">
        <v>14</v>
      </c>
      <c r="E48" s="7" t="s">
        <v>269</v>
      </c>
      <c r="F48" s="8"/>
      <c r="G48" s="8"/>
      <c r="H48" s="8"/>
      <c r="I48" s="7" t="s">
        <v>14</v>
      </c>
      <c r="J48" s="2" t="s">
        <v>269</v>
      </c>
    </row>
    <row r="49" spans="1:10" ht="13">
      <c r="A49" s="6" t="s">
        <v>68</v>
      </c>
      <c r="B49" s="6" t="s">
        <v>69</v>
      </c>
      <c r="C49" s="6" t="s">
        <v>70</v>
      </c>
      <c r="D49" s="6" t="s">
        <v>71</v>
      </c>
      <c r="E49" s="6" t="s">
        <v>71</v>
      </c>
      <c r="G49" s="8"/>
      <c r="H49" s="6" t="s">
        <v>193</v>
      </c>
      <c r="I49" s="6" t="s">
        <v>194</v>
      </c>
      <c r="J49" s="6" t="s">
        <v>194</v>
      </c>
    </row>
    <row r="50" spans="1:10" ht="14">
      <c r="A50" s="7" t="s">
        <v>616</v>
      </c>
      <c r="B50" s="32">
        <f>AVERAGE($B$8:$B$9)</f>
        <v>2.2827999999999999</v>
      </c>
      <c r="C50" s="32">
        <f>AVERAGE($C$8:$C$9)</f>
        <v>1.0786</v>
      </c>
      <c r="D50" s="32">
        <f>AVERAGE($D$8:$D$9)</f>
        <v>8.2622499999999999</v>
      </c>
      <c r="E50" s="32" t="e">
        <f>AVERAGE($E$8:$E$9)</f>
        <v>#DIV/0!</v>
      </c>
      <c r="G50" s="6" t="s">
        <v>27</v>
      </c>
      <c r="H50" s="16">
        <f t="shared" ref="H50:H51" si="12">C50/B50</f>
        <v>0.4724899246539338</v>
      </c>
      <c r="I50" s="16">
        <f t="shared" ref="I50:I51" si="13">C50/D50</f>
        <v>0.1305455535719689</v>
      </c>
      <c r="J50" s="16" t="e">
        <f t="shared" ref="J50:J51" si="14">C50/E50</f>
        <v>#DIV/0!</v>
      </c>
    </row>
    <row r="51" spans="1:10" ht="14">
      <c r="A51" s="7" t="s">
        <v>665</v>
      </c>
      <c r="B51" s="32">
        <v>5.6330999999999998</v>
      </c>
      <c r="C51" s="32">
        <v>1.1214</v>
      </c>
      <c r="D51" s="32">
        <v>8.8849</v>
      </c>
      <c r="E51" s="32"/>
      <c r="G51" s="6" t="s">
        <v>30</v>
      </c>
      <c r="H51" s="16">
        <f t="shared" si="12"/>
        <v>0.1990733343984662</v>
      </c>
      <c r="I51" s="16">
        <f t="shared" si="13"/>
        <v>0.12621413859469435</v>
      </c>
      <c r="J51" s="16" t="e">
        <f t="shared" si="14"/>
        <v>#DIV/0!</v>
      </c>
    </row>
    <row r="52" spans="1:10" ht="13">
      <c r="A52" s="8"/>
      <c r="C52" s="8"/>
      <c r="D52" s="8"/>
      <c r="E52" s="8"/>
      <c r="G52" s="6" t="s">
        <v>31</v>
      </c>
      <c r="H52" s="16">
        <f t="shared" ref="H52:J52" si="15">H51/H50</f>
        <v>0.42132821042538343</v>
      </c>
      <c r="I52" s="16">
        <f t="shared" si="15"/>
        <v>0.96682066252921695</v>
      </c>
      <c r="J52" s="16" t="e">
        <f t="shared" si="15"/>
        <v>#DIV/0!</v>
      </c>
    </row>
    <row r="53" spans="1:10" ht="13">
      <c r="A53" s="17" t="s">
        <v>19</v>
      </c>
      <c r="B53" s="8"/>
      <c r="C53" s="8"/>
      <c r="D53" s="8"/>
      <c r="E53" s="8"/>
      <c r="G53" s="37" t="s">
        <v>0</v>
      </c>
      <c r="H53" s="16">
        <f>LN(1-B46)/LN(1-B46*H52)</f>
        <v>2.4476173620763424</v>
      </c>
      <c r="I53" s="16">
        <f>LN(1-B46)/LN(1-B46*I52)</f>
        <v>1.036189898099148</v>
      </c>
      <c r="J53" s="16" t="e">
        <f>LN(1-B46)/LN(1-B46*J52)</f>
        <v>#DIV/0!</v>
      </c>
    </row>
    <row r="54" spans="1:10" ht="13">
      <c r="A54" s="6" t="s">
        <v>68</v>
      </c>
      <c r="B54" s="6" t="s">
        <v>143</v>
      </c>
      <c r="C54" s="6" t="s">
        <v>144</v>
      </c>
      <c r="D54" s="6" t="s">
        <v>145</v>
      </c>
      <c r="E54" s="6" t="s">
        <v>145</v>
      </c>
      <c r="G54" s="39" t="s">
        <v>38</v>
      </c>
      <c r="H54" s="11">
        <f>H53*SQRT(B68^2*(H58+H59))</f>
        <v>1.2589772480204646E-2</v>
      </c>
      <c r="I54" s="11">
        <f t="shared" ref="I54:J54" si="16">I53*SQRT(D68^2*(I58+I59))</f>
        <v>3.0727335802842922E-3</v>
      </c>
      <c r="J54" s="11" t="e">
        <f t="shared" si="16"/>
        <v>#DIV/0!</v>
      </c>
    </row>
    <row r="55" spans="1:10" ht="14">
      <c r="A55" s="7" t="s">
        <v>607</v>
      </c>
      <c r="B55" s="107">
        <f>SQRT(($B$13^2+$B$14^2)/2)</f>
        <v>1.8282231811242302E-2</v>
      </c>
      <c r="C55" s="108">
        <f>SQRT(($C$13^2+$C$14^2)/2)</f>
        <v>8.7706898246375127E-3</v>
      </c>
      <c r="D55" s="107">
        <f>SQRT(($D$13^2+$D$14^2)/2)</f>
        <v>6.5764732189829526E-3</v>
      </c>
      <c r="E55" s="32">
        <f>SQRT(($E$14^2+$E$13^2)/2)</f>
        <v>0</v>
      </c>
    </row>
    <row r="56" spans="1:10" ht="14">
      <c r="A56" s="7" t="s">
        <v>608</v>
      </c>
      <c r="B56" s="22">
        <v>6.9199999999999998E-2</v>
      </c>
      <c r="C56" s="22">
        <v>1.2500000000000001E-2</v>
      </c>
      <c r="D56" s="32">
        <v>8.8000000000000005E-3</v>
      </c>
      <c r="E56" s="32"/>
      <c r="J56" s="8"/>
    </row>
    <row r="57" spans="1:10" ht="13">
      <c r="A57" s="7"/>
      <c r="B57" s="11"/>
      <c r="C57" s="11"/>
      <c r="D57" s="11"/>
      <c r="E57" s="8"/>
      <c r="H57" s="6" t="s">
        <v>193</v>
      </c>
      <c r="I57" s="6" t="s">
        <v>194</v>
      </c>
      <c r="J57" s="6" t="s">
        <v>194</v>
      </c>
    </row>
    <row r="58" spans="1:10" ht="13">
      <c r="A58" s="7" t="s">
        <v>197</v>
      </c>
      <c r="B58" s="11">
        <f t="shared" ref="B58:C58" si="17">B55/SQRT($F$3)</f>
        <v>4.5705579528105755E-3</v>
      </c>
      <c r="C58" s="11">
        <f t="shared" si="17"/>
        <v>2.1926724561593782E-3</v>
      </c>
      <c r="D58" s="11">
        <f t="shared" ref="D58:E58" si="18">D55/SQRT($F$4)</f>
        <v>2.325134404717284E-3</v>
      </c>
      <c r="E58" s="11">
        <f t="shared" si="18"/>
        <v>0</v>
      </c>
      <c r="G58" s="6" t="s">
        <v>44</v>
      </c>
      <c r="H58" s="34">
        <f t="shared" ref="H58:H59" si="19">(B58/B50)^2+(C58/C50)^2</f>
        <v>8.1413237936105783E-6</v>
      </c>
      <c r="I58" s="34">
        <f>(D58/D50)^2+(C58/C50)^2</f>
        <v>4.2118268922635922E-6</v>
      </c>
      <c r="J58" s="34" t="e">
        <f>(E58/E50)^2+(C58/C50)^2</f>
        <v>#DIV/0!</v>
      </c>
    </row>
    <row r="59" spans="1:10" ht="13">
      <c r="A59" s="7" t="s">
        <v>198</v>
      </c>
      <c r="B59" s="11">
        <f t="shared" ref="B59:C59" si="20">B56/SQRT($F$3)</f>
        <v>1.7299999999999999E-2</v>
      </c>
      <c r="C59" s="11">
        <f t="shared" si="20"/>
        <v>3.1250000000000002E-3</v>
      </c>
      <c r="D59" s="11">
        <f t="shared" ref="D59:E59" si="21">D56/SQRT($F$4)</f>
        <v>3.111269837220809E-3</v>
      </c>
      <c r="E59" s="11">
        <f t="shared" si="21"/>
        <v>0</v>
      </c>
      <c r="G59" s="6" t="s">
        <v>42</v>
      </c>
      <c r="H59" s="34">
        <f t="shared" si="19"/>
        <v>1.7197528815674411E-5</v>
      </c>
      <c r="I59" s="34">
        <f>(C59/C51)^2+(D59/D51)^2</f>
        <v>7.8882926802480181E-6</v>
      </c>
      <c r="J59" s="34" t="e">
        <f>(C59/C51)^2+(E59/E51)^2</f>
        <v>#DIV/0!</v>
      </c>
    </row>
    <row r="60" spans="1:10" ht="13">
      <c r="A60" s="7" t="s">
        <v>208</v>
      </c>
      <c r="B60" s="8"/>
      <c r="C60" s="8"/>
      <c r="D60" s="8"/>
      <c r="E60" s="8"/>
      <c r="G60" s="7" t="s">
        <v>209</v>
      </c>
    </row>
    <row r="61" spans="1:10" ht="13">
      <c r="A61" s="7" t="s">
        <v>210</v>
      </c>
      <c r="B61" s="8"/>
      <c r="C61" s="8"/>
      <c r="D61" s="8"/>
      <c r="E61" s="8"/>
      <c r="F61" s="8"/>
    </row>
    <row r="62" spans="1:10" ht="13">
      <c r="A62" s="7"/>
      <c r="B62" s="8"/>
      <c r="C62" s="8"/>
      <c r="D62" s="8"/>
      <c r="E62" s="8"/>
      <c r="F62" s="8"/>
      <c r="G62" s="8"/>
      <c r="H62" s="8"/>
      <c r="I62" s="8"/>
    </row>
    <row r="63" spans="1:10" ht="13">
      <c r="A63" s="17" t="s">
        <v>148</v>
      </c>
      <c r="B63" s="8"/>
      <c r="C63" s="8"/>
      <c r="D63" s="7" t="s">
        <v>14</v>
      </c>
      <c r="E63" s="7" t="s">
        <v>269</v>
      </c>
      <c r="F63" s="8"/>
      <c r="G63" s="8"/>
      <c r="H63" s="8"/>
      <c r="I63" s="8"/>
    </row>
    <row r="64" spans="1:10" ht="13">
      <c r="B64" s="1" t="s">
        <v>193</v>
      </c>
      <c r="C64" s="13"/>
      <c r="D64" s="1" t="s">
        <v>194</v>
      </c>
      <c r="E64" s="1" t="s">
        <v>194</v>
      </c>
      <c r="F64" s="6" t="s">
        <v>215</v>
      </c>
      <c r="G64" s="8"/>
      <c r="H64" s="8"/>
      <c r="I64" s="8"/>
    </row>
    <row r="65" spans="1:10" ht="13">
      <c r="A65" s="7" t="s">
        <v>149</v>
      </c>
      <c r="B65" s="16">
        <f>B46/LN(1-B46)</f>
        <v>-0.9491221581029905</v>
      </c>
      <c r="C65" s="16"/>
      <c r="D65" s="16">
        <f>B46/LN(1-B46)</f>
        <v>-0.9491221581029905</v>
      </c>
      <c r="E65" s="16" t="e">
        <f>B46/LN(1-$B$4)</f>
        <v>#NUM!</v>
      </c>
      <c r="F65" s="7" t="s">
        <v>217</v>
      </c>
      <c r="G65" s="8"/>
    </row>
    <row r="66" spans="1:10" ht="13">
      <c r="A66" s="7" t="s">
        <v>150</v>
      </c>
      <c r="B66" s="16">
        <f>H52*H53</f>
        <v>1.031250242969723</v>
      </c>
      <c r="C66" s="16"/>
      <c r="D66" s="16">
        <f t="shared" ref="D66:E66" si="22">I52*I53</f>
        <v>1.0018098037863001</v>
      </c>
      <c r="E66" s="16" t="e">
        <f t="shared" si="22"/>
        <v>#DIV/0!</v>
      </c>
      <c r="F66" s="7" t="s">
        <v>220</v>
      </c>
      <c r="G66" s="8"/>
    </row>
    <row r="67" spans="1:10" ht="13">
      <c r="A67" s="7" t="s">
        <v>151</v>
      </c>
      <c r="B67" s="16">
        <f>1-B46*H52</f>
        <v>0.95786717895746165</v>
      </c>
      <c r="C67" s="16"/>
      <c r="D67" s="16">
        <f>1-B46/I52</f>
        <v>0.89656820145072347</v>
      </c>
      <c r="E67" s="16" t="e">
        <f>1-B46*J52</f>
        <v>#DIV/0!</v>
      </c>
      <c r="F67" s="7" t="s">
        <v>221</v>
      </c>
      <c r="G67" s="8"/>
    </row>
    <row r="68" spans="1:10" ht="13">
      <c r="A68" s="7" t="s">
        <v>54</v>
      </c>
      <c r="B68" s="16">
        <f>B65*B66/B67</f>
        <v>-1.0218352582212487</v>
      </c>
      <c r="C68" s="16"/>
      <c r="D68" s="16">
        <f t="shared" ref="D68:E68" si="23">D65*D66*D67</f>
        <v>-0.8524928037495485</v>
      </c>
      <c r="E68" s="16" t="e">
        <f t="shared" si="23"/>
        <v>#NUM!</v>
      </c>
      <c r="F68" s="2" t="s">
        <v>245</v>
      </c>
      <c r="G68" s="8"/>
      <c r="H68" s="8"/>
      <c r="I68" s="8"/>
      <c r="J68" s="8"/>
    </row>
    <row r="71" spans="1:10" ht="13">
      <c r="A71" s="1"/>
      <c r="B71" s="2"/>
      <c r="C71" s="35" t="s">
        <v>677</v>
      </c>
      <c r="D71" s="2"/>
      <c r="E71" s="6" t="s">
        <v>5</v>
      </c>
      <c r="F71" s="2">
        <v>0.25</v>
      </c>
      <c r="G71" s="2" t="s">
        <v>242</v>
      </c>
      <c r="H71" s="2"/>
    </row>
    <row r="72" spans="1:10" ht="13">
      <c r="A72" s="1" t="s">
        <v>133</v>
      </c>
      <c r="B72" s="2">
        <v>23</v>
      </c>
      <c r="E72" s="1" t="s">
        <v>7</v>
      </c>
      <c r="F72" s="2">
        <v>16</v>
      </c>
      <c r="G72" s="2" t="s">
        <v>244</v>
      </c>
    </row>
    <row r="73" spans="1:10" ht="13">
      <c r="A73" s="6" t="s">
        <v>141</v>
      </c>
      <c r="B73" s="7">
        <v>0.108</v>
      </c>
      <c r="D73" s="8"/>
      <c r="E73" s="6" t="s">
        <v>272</v>
      </c>
      <c r="F73" s="7">
        <v>8</v>
      </c>
      <c r="G73" s="8"/>
      <c r="H73" s="8"/>
      <c r="I73" s="8"/>
    </row>
    <row r="74" spans="1:10" ht="13">
      <c r="A74" s="7"/>
      <c r="B74" s="8"/>
      <c r="C74" s="8"/>
      <c r="D74" s="8"/>
      <c r="E74" s="8"/>
      <c r="F74" s="8"/>
      <c r="G74" s="8"/>
      <c r="H74" s="8"/>
      <c r="I74" s="8"/>
    </row>
    <row r="75" spans="1:10" ht="13">
      <c r="A75" s="17" t="s">
        <v>15</v>
      </c>
      <c r="B75" s="7" t="s">
        <v>13</v>
      </c>
      <c r="C75" s="7" t="s">
        <v>13</v>
      </c>
      <c r="D75" s="7" t="s">
        <v>14</v>
      </c>
      <c r="E75" s="7" t="s">
        <v>269</v>
      </c>
      <c r="F75" s="8"/>
      <c r="G75" s="8"/>
      <c r="H75" s="8"/>
      <c r="I75" s="7" t="s">
        <v>14</v>
      </c>
      <c r="J75" s="2" t="s">
        <v>269</v>
      </c>
    </row>
    <row r="76" spans="1:10" ht="13">
      <c r="A76" s="6" t="s">
        <v>68</v>
      </c>
      <c r="B76" s="6" t="s">
        <v>69</v>
      </c>
      <c r="C76" s="6" t="s">
        <v>70</v>
      </c>
      <c r="D76" s="6" t="s">
        <v>71</v>
      </c>
      <c r="E76" s="6" t="s">
        <v>71</v>
      </c>
      <c r="G76" s="8"/>
      <c r="H76" s="6" t="s">
        <v>193</v>
      </c>
      <c r="I76" s="6" t="s">
        <v>194</v>
      </c>
      <c r="J76" s="6" t="s">
        <v>194</v>
      </c>
    </row>
    <row r="77" spans="1:10" ht="14">
      <c r="A77" s="7" t="s">
        <v>616</v>
      </c>
      <c r="B77" s="32">
        <f>AVERAGE($B$8:$B$9)</f>
        <v>2.2827999999999999</v>
      </c>
      <c r="C77" s="32">
        <f>AVERAGE($C$8:$C$9)</f>
        <v>1.0786</v>
      </c>
      <c r="D77" s="32">
        <f>AVERAGE($D$8:$D$9)</f>
        <v>8.2622499999999999</v>
      </c>
      <c r="E77" s="32" t="e">
        <f>AVERAGE($E$8:E$9)</f>
        <v>#DIV/0!</v>
      </c>
      <c r="G77" s="6" t="s">
        <v>27</v>
      </c>
      <c r="H77" s="16">
        <f t="shared" ref="H77:H78" si="24">C77/B77</f>
        <v>0.4724899246539338</v>
      </c>
      <c r="I77" s="16">
        <f t="shared" ref="I77:I78" si="25">C77/D77</f>
        <v>0.1305455535719689</v>
      </c>
      <c r="J77" s="16" t="e">
        <f t="shared" ref="J77:J78" si="26">C77/E77</f>
        <v>#DIV/0!</v>
      </c>
    </row>
    <row r="78" spans="1:10" ht="14">
      <c r="A78" s="7" t="s">
        <v>681</v>
      </c>
      <c r="B78" s="32">
        <v>1.5864</v>
      </c>
      <c r="C78" s="32">
        <v>0.7238</v>
      </c>
      <c r="D78" s="32">
        <v>6.1237000000000004</v>
      </c>
      <c r="E78" s="32"/>
      <c r="G78" s="6" t="s">
        <v>30</v>
      </c>
      <c r="H78" s="16">
        <f t="shared" si="24"/>
        <v>0.45625315179021686</v>
      </c>
      <c r="I78" s="16">
        <f t="shared" si="25"/>
        <v>0.11819651517873181</v>
      </c>
      <c r="J78" s="16" t="e">
        <f t="shared" si="26"/>
        <v>#DIV/0!</v>
      </c>
    </row>
    <row r="79" spans="1:10" ht="13">
      <c r="A79" s="8"/>
      <c r="C79" s="8"/>
      <c r="D79" s="8"/>
      <c r="E79" s="8"/>
      <c r="G79" s="6" t="s">
        <v>31</v>
      </c>
      <c r="H79" s="16">
        <f t="shared" ref="H79:J79" si="27">H78/H77</f>
        <v>0.96563572678166787</v>
      </c>
      <c r="I79" s="16">
        <f t="shared" si="27"/>
        <v>0.90540437375809091</v>
      </c>
      <c r="J79" s="16" t="e">
        <f t="shared" si="27"/>
        <v>#DIV/0!</v>
      </c>
    </row>
    <row r="80" spans="1:10" ht="13">
      <c r="A80" s="17" t="s">
        <v>19</v>
      </c>
      <c r="B80" s="8"/>
      <c r="C80" s="8"/>
      <c r="D80" s="8"/>
      <c r="E80" s="8"/>
      <c r="G80" s="37" t="s">
        <v>0</v>
      </c>
      <c r="H80" s="16">
        <f>LN(1-B73)/LN(1-B73*H79)</f>
        <v>1.0376990650196134</v>
      </c>
      <c r="I80" s="16">
        <f>LN(1-B73)/LN(1-B73*I79)</f>
        <v>1.1106713696801294</v>
      </c>
      <c r="J80" s="16" t="e">
        <f>LN(1-B73)/LN(1-B73*J79)</f>
        <v>#DIV/0!</v>
      </c>
    </row>
    <row r="81" spans="1:10" ht="13">
      <c r="A81" s="6" t="s">
        <v>68</v>
      </c>
      <c r="B81" s="6" t="s">
        <v>143</v>
      </c>
      <c r="C81" s="6" t="s">
        <v>144</v>
      </c>
      <c r="D81" s="6" t="s">
        <v>145</v>
      </c>
      <c r="E81" s="6" t="s">
        <v>145</v>
      </c>
      <c r="G81" s="39" t="s">
        <v>38</v>
      </c>
      <c r="H81" s="11">
        <f>H80*SQRT(B95^2*(H85+H86))</f>
        <v>5.3423468341575343E-3</v>
      </c>
      <c r="I81" s="11">
        <f t="shared" ref="I81:J81" si="28">I80*SQRT(D95^2*(I85+I86))</f>
        <v>3.138968995653925E-3</v>
      </c>
      <c r="J81" s="11" t="e">
        <f t="shared" si="28"/>
        <v>#DIV/0!</v>
      </c>
    </row>
    <row r="82" spans="1:10" ht="14">
      <c r="A82" s="7" t="s">
        <v>607</v>
      </c>
      <c r="B82" s="107">
        <f>SQRT(($B$13^2+$B$14^2)/2)</f>
        <v>1.8282231811242302E-2</v>
      </c>
      <c r="C82" s="108">
        <f>SQRT(($C$13^2+$C$14^2)/2)</f>
        <v>8.7706898246375127E-3</v>
      </c>
      <c r="D82" s="32">
        <f>SQRT(($D$13^2+$D$14^2)/2)</f>
        <v>6.5764732189829526E-3</v>
      </c>
      <c r="E82" s="32">
        <f>SQRT(($E$14^2+$E$13^2)/2)</f>
        <v>0</v>
      </c>
    </row>
    <row r="83" spans="1:10" ht="14">
      <c r="A83" s="7" t="s">
        <v>608</v>
      </c>
      <c r="B83" s="22">
        <v>1.8700000000000001E-2</v>
      </c>
      <c r="C83" s="22">
        <v>7.6E-3</v>
      </c>
      <c r="D83" s="32">
        <v>9.4999999999999998E-3</v>
      </c>
      <c r="E83" s="32"/>
      <c r="J83" s="8"/>
    </row>
    <row r="84" spans="1:10" ht="13">
      <c r="A84" s="7"/>
      <c r="B84" s="11"/>
      <c r="C84" s="11"/>
      <c r="D84" s="11"/>
      <c r="E84" s="8"/>
      <c r="H84" s="6" t="s">
        <v>193</v>
      </c>
      <c r="I84" s="6" t="s">
        <v>194</v>
      </c>
      <c r="J84" s="6" t="s">
        <v>194</v>
      </c>
    </row>
    <row r="85" spans="1:10" ht="13">
      <c r="A85" s="7" t="s">
        <v>197</v>
      </c>
      <c r="B85" s="11">
        <f t="shared" ref="B85:C85" si="29">B82/SQRT($F$3)</f>
        <v>4.5705579528105755E-3</v>
      </c>
      <c r="C85" s="11">
        <f t="shared" si="29"/>
        <v>2.1926724561593782E-3</v>
      </c>
      <c r="D85" s="11">
        <f t="shared" ref="D85:E85" si="30">D82/SQRT($F$4)</f>
        <v>2.325134404717284E-3</v>
      </c>
      <c r="E85" s="11">
        <f t="shared" si="30"/>
        <v>0</v>
      </c>
      <c r="G85" s="6" t="s">
        <v>44</v>
      </c>
      <c r="H85" s="34">
        <f t="shared" ref="H85:H86" si="31">(B85/B77)^2+(C85/C77)^2</f>
        <v>8.1413237936105783E-6</v>
      </c>
      <c r="I85" s="34">
        <f>(D85/D77)^2+(C85/C77)^2</f>
        <v>4.2118268922635922E-6</v>
      </c>
      <c r="J85" s="34" t="e">
        <f>(E85/E77)^2+(C85/C77)^2</f>
        <v>#DIV/0!</v>
      </c>
    </row>
    <row r="86" spans="1:10" ht="13">
      <c r="A86" s="7" t="s">
        <v>198</v>
      </c>
      <c r="B86" s="11">
        <f t="shared" ref="B86:C86" si="32">B83/SQRT($F$3)</f>
        <v>4.6750000000000003E-3</v>
      </c>
      <c r="C86" s="11">
        <f t="shared" si="32"/>
        <v>1.9E-3</v>
      </c>
      <c r="D86" s="11">
        <f t="shared" ref="D86:E86" si="33">D83/SQRT($F$4)</f>
        <v>3.3587572106361006E-3</v>
      </c>
      <c r="E86" s="11">
        <f t="shared" si="33"/>
        <v>0</v>
      </c>
      <c r="G86" s="6" t="s">
        <v>42</v>
      </c>
      <c r="H86" s="34">
        <f t="shared" si="31"/>
        <v>1.5575166529713073E-5</v>
      </c>
      <c r="I86" s="34">
        <f>(C86/C78)^2+(D86/D78)^2</f>
        <v>7.191642062277312E-6</v>
      </c>
      <c r="J86" s="34" t="e">
        <f>(C86/C78)^2+(E86/E78)^2</f>
        <v>#DIV/0!</v>
      </c>
    </row>
    <row r="87" spans="1:10" ht="13">
      <c r="A87" s="7" t="s">
        <v>208</v>
      </c>
      <c r="B87" s="8"/>
      <c r="C87" s="8"/>
      <c r="D87" s="8"/>
      <c r="E87" s="8"/>
      <c r="G87" s="7" t="s">
        <v>209</v>
      </c>
    </row>
    <row r="88" spans="1:10" ht="13">
      <c r="A88" s="7" t="s">
        <v>210</v>
      </c>
      <c r="B88" s="8"/>
      <c r="C88" s="8"/>
      <c r="D88" s="8"/>
      <c r="E88" s="8"/>
      <c r="F88" s="8"/>
    </row>
    <row r="89" spans="1:10" ht="13">
      <c r="A89" s="7"/>
      <c r="B89" s="8"/>
      <c r="C89" s="8"/>
      <c r="D89" s="8"/>
      <c r="E89" s="8"/>
      <c r="F89" s="8"/>
      <c r="G89" s="8"/>
      <c r="H89" s="8"/>
      <c r="I89" s="8"/>
    </row>
    <row r="90" spans="1:10" ht="13">
      <c r="A90" s="17" t="s">
        <v>148</v>
      </c>
      <c r="B90" s="8"/>
      <c r="C90" s="8"/>
      <c r="D90" s="7" t="s">
        <v>14</v>
      </c>
      <c r="E90" s="7" t="s">
        <v>269</v>
      </c>
      <c r="F90" s="8"/>
      <c r="G90" s="8"/>
      <c r="H90" s="8"/>
      <c r="I90" s="8"/>
    </row>
    <row r="91" spans="1:10" ht="13">
      <c r="B91" s="1" t="s">
        <v>193</v>
      </c>
      <c r="C91" s="13"/>
      <c r="D91" s="1" t="s">
        <v>194</v>
      </c>
      <c r="E91" s="1" t="s">
        <v>194</v>
      </c>
      <c r="F91" s="6" t="s">
        <v>215</v>
      </c>
      <c r="G91" s="8"/>
      <c r="H91" s="8"/>
      <c r="I91" s="8"/>
    </row>
    <row r="92" spans="1:10" ht="13">
      <c r="A92" s="7" t="s">
        <v>149</v>
      </c>
      <c r="B92" s="16">
        <f>B73/LN(1-B73)</f>
        <v>-0.94497162153964098</v>
      </c>
      <c r="C92" s="16"/>
      <c r="D92" s="16">
        <f>B73/LN(1-B73)</f>
        <v>-0.94497162153964098</v>
      </c>
      <c r="E92" s="16" t="e">
        <f>B73/LN(1-$B$4)</f>
        <v>#NUM!</v>
      </c>
      <c r="F92" s="7" t="s">
        <v>217</v>
      </c>
      <c r="G92" s="8"/>
    </row>
    <row r="93" spans="1:10" ht="13">
      <c r="A93" s="7" t="s">
        <v>150</v>
      </c>
      <c r="B93" s="16">
        <f>H79*H80</f>
        <v>1.0020392908308715</v>
      </c>
      <c r="C93" s="16"/>
      <c r="D93" s="16">
        <f t="shared" ref="D93:E93" si="34">I79*I80</f>
        <v>1.0056067159162787</v>
      </c>
      <c r="E93" s="16" t="e">
        <f t="shared" si="34"/>
        <v>#DIV/0!</v>
      </c>
      <c r="F93" s="7" t="s">
        <v>220</v>
      </c>
      <c r="G93" s="8"/>
    </row>
    <row r="94" spans="1:10" ht="13">
      <c r="A94" s="7" t="s">
        <v>151</v>
      </c>
      <c r="B94" s="16">
        <f>1-B73*H79</f>
        <v>0.89571134150757992</v>
      </c>
      <c r="C94" s="16"/>
      <c r="D94" s="16">
        <f>1-B73/I79</f>
        <v>0.88071628199483842</v>
      </c>
      <c r="E94" s="16" t="e">
        <f>1-B73*J79</f>
        <v>#DIV/0!</v>
      </c>
      <c r="F94" s="7" t="s">
        <v>221</v>
      </c>
      <c r="G94" s="8"/>
    </row>
    <row r="95" spans="1:10" ht="13">
      <c r="A95" s="7" t="s">
        <v>54</v>
      </c>
      <c r="B95" s="16">
        <f>B92*B93/B94</f>
        <v>-1.0571471517923918</v>
      </c>
      <c r="C95" s="16"/>
      <c r="D95" s="16">
        <f t="shared" ref="D95:E95" si="35">D92*D93*D94</f>
        <v>-0.83691809304849607</v>
      </c>
      <c r="E95" s="16" t="e">
        <f t="shared" si="35"/>
        <v>#NUM!</v>
      </c>
      <c r="F95" s="2" t="s">
        <v>245</v>
      </c>
      <c r="G95" s="8"/>
      <c r="H95" s="8"/>
      <c r="I95" s="8"/>
      <c r="J95" s="8"/>
    </row>
    <row r="97" spans="1:10" ht="13">
      <c r="A97" s="1"/>
      <c r="B97" s="2"/>
      <c r="C97" s="35" t="s">
        <v>690</v>
      </c>
      <c r="D97" s="2"/>
      <c r="E97" s="6" t="s">
        <v>5</v>
      </c>
      <c r="F97" s="2">
        <v>0.25</v>
      </c>
      <c r="G97" s="2" t="s">
        <v>242</v>
      </c>
      <c r="H97" s="2"/>
    </row>
    <row r="98" spans="1:10" ht="13">
      <c r="A98" s="1" t="s">
        <v>133</v>
      </c>
      <c r="B98" s="2">
        <v>80</v>
      </c>
      <c r="E98" s="1" t="s">
        <v>7</v>
      </c>
      <c r="F98" s="2">
        <v>16</v>
      </c>
      <c r="G98" s="2" t="s">
        <v>244</v>
      </c>
    </row>
    <row r="99" spans="1:10" ht="13">
      <c r="A99" s="6" t="s">
        <v>141</v>
      </c>
      <c r="B99" s="7">
        <v>0.127</v>
      </c>
      <c r="D99" s="8"/>
      <c r="E99" s="6" t="s">
        <v>272</v>
      </c>
      <c r="F99" s="7">
        <v>8</v>
      </c>
      <c r="G99" s="8"/>
      <c r="H99" s="8"/>
      <c r="I99" s="8"/>
    </row>
    <row r="100" spans="1:10" ht="13">
      <c r="A100" s="7"/>
      <c r="B100" s="8"/>
      <c r="C100" s="8"/>
      <c r="D100" s="8"/>
      <c r="E100" s="8"/>
      <c r="F100" s="8"/>
      <c r="G100" s="8"/>
      <c r="H100" s="8"/>
      <c r="I100" s="8"/>
    </row>
    <row r="101" spans="1:10" ht="13">
      <c r="A101" s="17" t="s">
        <v>15</v>
      </c>
      <c r="B101" s="7" t="s">
        <v>13</v>
      </c>
      <c r="C101" s="7" t="s">
        <v>13</v>
      </c>
      <c r="D101" s="7" t="s">
        <v>14</v>
      </c>
      <c r="E101" s="7" t="s">
        <v>269</v>
      </c>
      <c r="F101" s="8"/>
      <c r="G101" s="8"/>
      <c r="H101" s="8"/>
      <c r="I101" s="7" t="s">
        <v>14</v>
      </c>
      <c r="J101" s="2" t="s">
        <v>269</v>
      </c>
    </row>
    <row r="102" spans="1:10" ht="13">
      <c r="A102" s="6" t="s">
        <v>68</v>
      </c>
      <c r="B102" s="6" t="s">
        <v>69</v>
      </c>
      <c r="C102" s="6" t="s">
        <v>70</v>
      </c>
      <c r="D102" s="6" t="s">
        <v>71</v>
      </c>
      <c r="E102" s="6" t="s">
        <v>71</v>
      </c>
      <c r="G102" s="8"/>
      <c r="H102" s="6" t="s">
        <v>193</v>
      </c>
      <c r="I102" s="6" t="s">
        <v>194</v>
      </c>
      <c r="J102" s="6" t="s">
        <v>194</v>
      </c>
    </row>
    <row r="103" spans="1:10" ht="14">
      <c r="A103" s="7" t="s">
        <v>616</v>
      </c>
      <c r="B103" s="32">
        <f>AVERAGE($B$8:$B$9)</f>
        <v>2.2827999999999999</v>
      </c>
      <c r="C103" s="32">
        <f>AVERAGE($C$8:$C$9)</f>
        <v>1.0786</v>
      </c>
      <c r="D103" s="32">
        <f>AVERAGE($D$8:$D$9)</f>
        <v>8.2622499999999999</v>
      </c>
      <c r="E103" s="32" t="e">
        <f>AVERAGE($E$8:$E$9)</f>
        <v>#DIV/0!</v>
      </c>
      <c r="G103" s="6" t="s">
        <v>27</v>
      </c>
      <c r="H103" s="16">
        <f t="shared" ref="H103:H104" si="36">C103/B103</f>
        <v>0.4724899246539338</v>
      </c>
      <c r="I103" s="16">
        <f t="shared" ref="I103:I104" si="37">C103/D103</f>
        <v>0.1305455535719689</v>
      </c>
      <c r="J103" s="16" t="e">
        <f t="shared" ref="J103:J104" si="38">C103/E103</f>
        <v>#DIV/0!</v>
      </c>
    </row>
    <row r="104" spans="1:10" ht="14">
      <c r="A104" s="7" t="s">
        <v>695</v>
      </c>
      <c r="B104" s="32">
        <v>2.3374000000000001</v>
      </c>
      <c r="C104" s="32">
        <v>1.1850000000000001</v>
      </c>
      <c r="D104" s="32">
        <v>9.4077000000000002</v>
      </c>
      <c r="E104" s="32"/>
      <c r="G104" s="6" t="s">
        <v>30</v>
      </c>
      <c r="H104" s="16">
        <f t="shared" si="36"/>
        <v>0.50697356036621888</v>
      </c>
      <c r="I104" s="16">
        <f t="shared" si="37"/>
        <v>0.12596064925539718</v>
      </c>
      <c r="J104" s="16" t="e">
        <f t="shared" si="38"/>
        <v>#DIV/0!</v>
      </c>
    </row>
    <row r="105" spans="1:10" ht="13">
      <c r="A105" s="8"/>
      <c r="C105" s="8"/>
      <c r="D105" s="8"/>
      <c r="E105" s="8"/>
      <c r="G105" s="6" t="s">
        <v>31</v>
      </c>
      <c r="H105" s="16">
        <f t="shared" ref="H105:J105" si="39">H104/H103</f>
        <v>1.0729827958501803</v>
      </c>
      <c r="I105" s="16">
        <f t="shared" si="39"/>
        <v>0.96487889329724208</v>
      </c>
      <c r="J105" s="16" t="e">
        <f t="shared" si="39"/>
        <v>#DIV/0!</v>
      </c>
    </row>
    <row r="106" spans="1:10" ht="13">
      <c r="A106" s="17" t="s">
        <v>19</v>
      </c>
      <c r="B106" s="8"/>
      <c r="C106" s="8"/>
      <c r="D106" s="8"/>
      <c r="E106" s="8"/>
      <c r="G106" s="37" t="s">
        <v>0</v>
      </c>
      <c r="H106" s="16">
        <f>LN(1-B99)/LN(1-B99*H105)</f>
        <v>0.92713703770611899</v>
      </c>
      <c r="I106" s="16">
        <f>LN(1-B99)/LN(1-B99*I105)</f>
        <v>1.0389849498032426</v>
      </c>
      <c r="J106" s="16" t="e">
        <f>LN(1-B99)/LN(1-B99*J105)</f>
        <v>#DIV/0!</v>
      </c>
    </row>
    <row r="107" spans="1:10" ht="13">
      <c r="A107" s="6" t="s">
        <v>68</v>
      </c>
      <c r="B107" s="6" t="s">
        <v>143</v>
      </c>
      <c r="C107" s="6" t="s">
        <v>144</v>
      </c>
      <c r="D107" s="6" t="s">
        <v>145</v>
      </c>
      <c r="E107" s="6" t="s">
        <v>145</v>
      </c>
      <c r="G107" s="39" t="s">
        <v>38</v>
      </c>
      <c r="H107" s="11">
        <f>H106*SQRT(B121^2*(H111+H112))</f>
        <v>5.243818174623523E-3</v>
      </c>
      <c r="I107" s="11">
        <f t="shared" ref="I107:J107" si="40">I106*SQRT(D121^2*(I111+I112))</f>
        <v>2.991527792903776E-3</v>
      </c>
      <c r="J107" s="11" t="e">
        <f t="shared" si="40"/>
        <v>#DIV/0!</v>
      </c>
    </row>
    <row r="108" spans="1:10" ht="14">
      <c r="A108" s="7" t="s">
        <v>607</v>
      </c>
      <c r="B108" s="107">
        <f>SQRT(($B$13^2+$B$14^2)/2)</f>
        <v>1.8282231811242302E-2</v>
      </c>
      <c r="C108" s="108">
        <f>SQRT(($C$13^2+$C$14^2)/2)</f>
        <v>8.7706898246375127E-3</v>
      </c>
      <c r="D108" s="107">
        <f>SQRT(($D$13^2+$D$14^2)/2)</f>
        <v>6.5764732189829526E-3</v>
      </c>
      <c r="E108" s="32">
        <f>SQRT(($E$14^2+$E$13^2)/2)</f>
        <v>0</v>
      </c>
    </row>
    <row r="109" spans="1:10" ht="14">
      <c r="A109" s="7" t="s">
        <v>608</v>
      </c>
      <c r="B109" s="22">
        <v>3.1300000000000001E-2</v>
      </c>
      <c r="C109" s="22">
        <v>1.3599999999999999E-2</v>
      </c>
      <c r="D109" s="32">
        <v>6.8999999999999999E-3</v>
      </c>
      <c r="E109" s="32"/>
      <c r="J109" s="8"/>
    </row>
    <row r="110" spans="1:10" ht="13">
      <c r="A110" s="7"/>
      <c r="B110" s="11"/>
      <c r="C110" s="11"/>
      <c r="D110" s="11"/>
      <c r="E110" s="8"/>
      <c r="H110" s="6" t="s">
        <v>193</v>
      </c>
      <c r="I110" s="6" t="s">
        <v>194</v>
      </c>
      <c r="J110" s="6" t="s">
        <v>194</v>
      </c>
    </row>
    <row r="111" spans="1:10" ht="13">
      <c r="A111" s="7" t="s">
        <v>197</v>
      </c>
      <c r="B111" s="11">
        <f t="shared" ref="B111:C111" si="41">B108/SQRT($F$3)</f>
        <v>4.5705579528105755E-3</v>
      </c>
      <c r="C111" s="11">
        <f t="shared" si="41"/>
        <v>2.1926724561593782E-3</v>
      </c>
      <c r="D111" s="11">
        <f t="shared" ref="D111:E111" si="42">D108/SQRT($F$4)</f>
        <v>2.325134404717284E-3</v>
      </c>
      <c r="E111" s="11">
        <f t="shared" si="42"/>
        <v>0</v>
      </c>
      <c r="G111" s="6" t="s">
        <v>44</v>
      </c>
      <c r="H111" s="34">
        <f t="shared" ref="H111:H112" si="43">(B111/B103)^2+(C111/C103)^2</f>
        <v>8.1413237936105783E-6</v>
      </c>
      <c r="I111" s="34">
        <f>(D111/D103)^2+(C111/C103)^2</f>
        <v>4.2118268922635922E-6</v>
      </c>
      <c r="J111" s="34" t="e">
        <f>(E111/E103)^2+(C111/C103)^2</f>
        <v>#DIV/0!</v>
      </c>
    </row>
    <row r="112" spans="1:10" ht="13">
      <c r="A112" s="7" t="s">
        <v>198</v>
      </c>
      <c r="B112" s="11">
        <f t="shared" ref="B112:C112" si="44">B109/SQRT($F$3)</f>
        <v>7.8250000000000004E-3</v>
      </c>
      <c r="C112" s="11">
        <f t="shared" si="44"/>
        <v>3.3999999999999998E-3</v>
      </c>
      <c r="D112" s="11">
        <f t="shared" ref="D112:E112" si="45">D109/SQRT($F$4)</f>
        <v>2.4395183950935888E-3</v>
      </c>
      <c r="E112" s="11">
        <f t="shared" si="45"/>
        <v>0</v>
      </c>
      <c r="G112" s="6" t="s">
        <v>42</v>
      </c>
      <c r="H112" s="34">
        <f t="shared" si="43"/>
        <v>1.9439640647555142E-5</v>
      </c>
      <c r="I112" s="34">
        <f>(C112/C104)^2+(D112/D104)^2</f>
        <v>8.2995410559657144E-6</v>
      </c>
      <c r="J112" s="34" t="e">
        <f>(C112/C104)^2+(E112/E104)^2</f>
        <v>#DIV/0!</v>
      </c>
    </row>
    <row r="113" spans="1:10" ht="13">
      <c r="A113" s="7" t="s">
        <v>208</v>
      </c>
      <c r="B113" s="8"/>
      <c r="C113" s="8"/>
      <c r="D113" s="8"/>
      <c r="E113" s="8"/>
      <c r="G113" s="7" t="s">
        <v>209</v>
      </c>
    </row>
    <row r="114" spans="1:10" ht="13">
      <c r="A114" s="7" t="s">
        <v>210</v>
      </c>
      <c r="B114" s="8"/>
      <c r="C114" s="8"/>
      <c r="D114" s="8"/>
      <c r="E114" s="8"/>
      <c r="F114" s="8"/>
    </row>
    <row r="115" spans="1:10" ht="13">
      <c r="A115" s="7"/>
      <c r="B115" s="8"/>
      <c r="C115" s="8"/>
      <c r="D115" s="8"/>
      <c r="E115" s="8"/>
      <c r="F115" s="8"/>
      <c r="G115" s="8"/>
      <c r="H115" s="8"/>
      <c r="I115" s="8"/>
    </row>
    <row r="116" spans="1:10" ht="13">
      <c r="A116" s="17" t="s">
        <v>148</v>
      </c>
      <c r="B116" s="8"/>
      <c r="C116" s="8"/>
      <c r="D116" s="7" t="s">
        <v>14</v>
      </c>
      <c r="E116" s="7" t="s">
        <v>269</v>
      </c>
      <c r="F116" s="8"/>
      <c r="G116" s="8"/>
      <c r="H116" s="8"/>
      <c r="I116" s="8"/>
    </row>
    <row r="117" spans="1:10" ht="13">
      <c r="B117" s="1" t="s">
        <v>193</v>
      </c>
      <c r="C117" s="13"/>
      <c r="D117" s="1" t="s">
        <v>194</v>
      </c>
      <c r="E117" s="1" t="s">
        <v>194</v>
      </c>
      <c r="F117" s="6" t="s">
        <v>215</v>
      </c>
      <c r="G117" s="8"/>
      <c r="H117" s="8"/>
      <c r="I117" s="8"/>
    </row>
    <row r="118" spans="1:10" ht="13">
      <c r="A118" s="7" t="s">
        <v>149</v>
      </c>
      <c r="B118" s="16">
        <f>B99/LN(1-B99)</f>
        <v>-0.93506301633909927</v>
      </c>
      <c r="C118" s="16"/>
      <c r="D118" s="16">
        <f>B99/LN(1-B99)</f>
        <v>-0.93506301633909927</v>
      </c>
      <c r="E118" s="16" t="e">
        <f>B99/LN(1-$B$4)</f>
        <v>#NUM!</v>
      </c>
      <c r="F118" s="7" t="s">
        <v>217</v>
      </c>
      <c r="G118" s="8"/>
    </row>
    <row r="119" spans="1:10" ht="13">
      <c r="A119" s="7" t="s">
        <v>150</v>
      </c>
      <c r="B119" s="16">
        <f>H105*H106</f>
        <v>0.9948020908541656</v>
      </c>
      <c r="C119" s="16"/>
      <c r="D119" s="16">
        <f t="shared" ref="D119:E119" si="46">I105*I106</f>
        <v>1.0024946485186434</v>
      </c>
      <c r="E119" s="16" t="e">
        <f t="shared" si="46"/>
        <v>#DIV/0!</v>
      </c>
      <c r="F119" s="7" t="s">
        <v>220</v>
      </c>
      <c r="G119" s="8"/>
    </row>
    <row r="120" spans="1:10" ht="13">
      <c r="A120" s="7" t="s">
        <v>151</v>
      </c>
      <c r="B120" s="16">
        <f>1-B99*H105</f>
        <v>0.86373118492702705</v>
      </c>
      <c r="C120" s="16"/>
      <c r="D120" s="16">
        <f>1-B99/I105</f>
        <v>0.86837726383877256</v>
      </c>
      <c r="E120" s="16" t="e">
        <f>1-B99*J105</f>
        <v>#DIV/0!</v>
      </c>
      <c r="F120" s="7" t="s">
        <v>221</v>
      </c>
      <c r="G120" s="8"/>
    </row>
    <row r="121" spans="1:10" ht="13">
      <c r="A121" s="7" t="s">
        <v>54</v>
      </c>
      <c r="B121" s="16">
        <f>B118*B119/B120</f>
        <v>-1.0769585027928887</v>
      </c>
      <c r="C121" s="16"/>
      <c r="D121" s="16">
        <f t="shared" ref="D121:E121" si="47">D118*D119*D120</f>
        <v>-0.81401308696871655</v>
      </c>
      <c r="E121" s="16" t="e">
        <f t="shared" si="47"/>
        <v>#NUM!</v>
      </c>
      <c r="F121" s="2" t="s">
        <v>245</v>
      </c>
      <c r="G121" s="8"/>
      <c r="H121" s="8"/>
      <c r="I121" s="8"/>
      <c r="J121" s="8"/>
    </row>
    <row r="123" spans="1:10" ht="13">
      <c r="A123" s="1"/>
      <c r="B123" s="2"/>
      <c r="C123" s="35" t="s">
        <v>690</v>
      </c>
      <c r="D123" s="2"/>
      <c r="E123" s="6" t="s">
        <v>5</v>
      </c>
      <c r="F123" s="2">
        <v>0.25</v>
      </c>
      <c r="G123" s="2" t="s">
        <v>242</v>
      </c>
      <c r="H123" s="2"/>
    </row>
    <row r="124" spans="1:10" ht="13">
      <c r="A124" s="1" t="s">
        <v>133</v>
      </c>
      <c r="B124" s="2">
        <v>140</v>
      </c>
      <c r="E124" s="1" t="s">
        <v>7</v>
      </c>
      <c r="F124" s="2">
        <v>16</v>
      </c>
      <c r="G124" s="2" t="s">
        <v>244</v>
      </c>
    </row>
    <row r="125" spans="1:10" ht="13">
      <c r="A125" s="6" t="s">
        <v>141</v>
      </c>
      <c r="B125" s="7">
        <v>0.123</v>
      </c>
      <c r="D125" s="8"/>
      <c r="E125" s="6" t="s">
        <v>272</v>
      </c>
      <c r="F125" s="7">
        <v>8</v>
      </c>
      <c r="G125" s="8"/>
      <c r="H125" s="8"/>
      <c r="I125" s="8"/>
    </row>
    <row r="126" spans="1:10" ht="13">
      <c r="A126" s="7"/>
      <c r="B126" s="8"/>
      <c r="C126" s="8"/>
      <c r="D126" s="8"/>
      <c r="E126" s="8"/>
      <c r="F126" s="8"/>
      <c r="G126" s="8"/>
      <c r="H126" s="8"/>
      <c r="I126" s="8"/>
    </row>
    <row r="127" spans="1:10" ht="13">
      <c r="A127" s="17" t="s">
        <v>15</v>
      </c>
      <c r="B127" s="7" t="s">
        <v>13</v>
      </c>
      <c r="C127" s="7" t="s">
        <v>13</v>
      </c>
      <c r="D127" s="7" t="s">
        <v>14</v>
      </c>
      <c r="E127" s="7" t="s">
        <v>269</v>
      </c>
      <c r="F127" s="8"/>
      <c r="G127" s="8"/>
      <c r="H127" s="8"/>
      <c r="I127" s="7" t="s">
        <v>14</v>
      </c>
      <c r="J127" s="2" t="s">
        <v>269</v>
      </c>
    </row>
    <row r="128" spans="1:10" ht="13">
      <c r="A128" s="6" t="s">
        <v>68</v>
      </c>
      <c r="B128" s="6" t="s">
        <v>69</v>
      </c>
      <c r="C128" s="6" t="s">
        <v>70</v>
      </c>
      <c r="D128" s="6" t="s">
        <v>71</v>
      </c>
      <c r="E128" s="6" t="s">
        <v>71</v>
      </c>
      <c r="G128" s="8"/>
      <c r="H128" s="6" t="s">
        <v>193</v>
      </c>
      <c r="I128" s="6" t="s">
        <v>194</v>
      </c>
      <c r="J128" s="6" t="s">
        <v>194</v>
      </c>
    </row>
    <row r="129" spans="1:10" ht="14">
      <c r="A129" s="7" t="s">
        <v>616</v>
      </c>
      <c r="B129" s="32">
        <f>AVERAGE($B$8:$B$9)</f>
        <v>2.2827999999999999</v>
      </c>
      <c r="C129" s="32">
        <f>AVERAGE($C$8:$C$9)</f>
        <v>1.0786</v>
      </c>
      <c r="D129" s="32">
        <f>AVERAGE($D$8:$D$9)</f>
        <v>8.2622499999999999</v>
      </c>
      <c r="E129" s="32" t="e">
        <f>AVERAGE($E$8:$E$9)</f>
        <v>#DIV/0!</v>
      </c>
      <c r="G129" s="6" t="s">
        <v>27</v>
      </c>
      <c r="H129" s="16">
        <f t="shared" ref="H129:H130" si="48">C129/B129</f>
        <v>0.4724899246539338</v>
      </c>
      <c r="I129" s="16">
        <f t="shared" ref="I129:I130" si="49">C129/D129</f>
        <v>0.1305455535719689</v>
      </c>
      <c r="J129" s="16" t="e">
        <f t="shared" ref="J129:J130" si="50">C129/E129</f>
        <v>#DIV/0!</v>
      </c>
    </row>
    <row r="130" spans="1:10" ht="14">
      <c r="A130" s="7" t="s">
        <v>711</v>
      </c>
      <c r="B130" s="32">
        <v>1.8680000000000001</v>
      </c>
      <c r="C130" s="32">
        <v>1.1063000000000001</v>
      </c>
      <c r="D130" s="32">
        <v>8.7658000000000005</v>
      </c>
      <c r="E130" s="32"/>
      <c r="G130" s="6" t="s">
        <v>30</v>
      </c>
      <c r="H130" s="16">
        <f t="shared" si="48"/>
        <v>0.592237687366167</v>
      </c>
      <c r="I130" s="16">
        <f t="shared" si="49"/>
        <v>0.12620639302744757</v>
      </c>
      <c r="J130" s="16" t="e">
        <f t="shared" si="50"/>
        <v>#DIV/0!</v>
      </c>
    </row>
    <row r="131" spans="1:10" ht="13">
      <c r="A131" s="8"/>
      <c r="C131" s="8"/>
      <c r="D131" s="8"/>
      <c r="E131" s="8"/>
      <c r="G131" s="6" t="s">
        <v>31</v>
      </c>
      <c r="H131" s="16">
        <f t="shared" ref="H131:J131" si="51">H130/H129</f>
        <v>1.2534398226585257</v>
      </c>
      <c r="I131" s="16">
        <f t="shared" si="51"/>
        <v>0.96676133023458988</v>
      </c>
      <c r="J131" s="16" t="e">
        <f t="shared" si="51"/>
        <v>#DIV/0!</v>
      </c>
    </row>
    <row r="132" spans="1:10" ht="13">
      <c r="A132" s="17" t="s">
        <v>19</v>
      </c>
      <c r="B132" s="8"/>
      <c r="C132" s="8"/>
      <c r="D132" s="8"/>
      <c r="E132" s="8"/>
      <c r="G132" s="37" t="s">
        <v>0</v>
      </c>
      <c r="H132" s="16">
        <f>LN(1-B125)/LN(1-B125*H131)</f>
        <v>0.78385007754469427</v>
      </c>
      <c r="I132" s="16">
        <f>LN(1-B125)/LN(1-B125*I131)</f>
        <v>1.0367378852704057</v>
      </c>
      <c r="J132" s="16" t="e">
        <f>LN(1-B125)/LN(1-B125*J131)</f>
        <v>#DIV/0!</v>
      </c>
    </row>
    <row r="133" spans="1:10" ht="13">
      <c r="A133" s="6" t="s">
        <v>68</v>
      </c>
      <c r="B133" s="6" t="s">
        <v>143</v>
      </c>
      <c r="C133" s="6" t="s">
        <v>144</v>
      </c>
      <c r="D133" s="6" t="s">
        <v>145</v>
      </c>
      <c r="E133" s="6" t="s">
        <v>145</v>
      </c>
      <c r="G133" s="39" t="s">
        <v>38</v>
      </c>
      <c r="H133" s="11">
        <f>H132*SQRT(B147^2*(H137+H138))</f>
        <v>4.6125340676622653E-3</v>
      </c>
      <c r="I133" s="11">
        <f t="shared" ref="I133:J133" si="52">I132*SQRT(D147^2*(I137+I138))</f>
        <v>2.5026501883129463E-3</v>
      </c>
      <c r="J133" s="11" t="e">
        <f t="shared" si="52"/>
        <v>#DIV/0!</v>
      </c>
    </row>
    <row r="134" spans="1:10" ht="14">
      <c r="A134" s="7" t="s">
        <v>607</v>
      </c>
      <c r="B134" s="107">
        <f>SQRT(($B$13^2+$B$14^2)/2)</f>
        <v>1.8282231811242302E-2</v>
      </c>
      <c r="C134" s="108">
        <f>SQRT(($C$13^2+$C$14^2)/2)</f>
        <v>8.7706898246375127E-3</v>
      </c>
      <c r="D134" s="32">
        <f>SQRT(($D$13^2+$D$14^2)/2)</f>
        <v>6.5764732189829526E-3</v>
      </c>
      <c r="E134" s="32">
        <f>SQRT(($E$14^2+$E$13^2)/2)</f>
        <v>0</v>
      </c>
    </row>
    <row r="135" spans="1:10" ht="14">
      <c r="A135" s="7" t="s">
        <v>608</v>
      </c>
      <c r="B135" s="22">
        <v>3.0499999999999999E-2</v>
      </c>
      <c r="C135" s="22">
        <v>9.2999999999999992E-3</v>
      </c>
      <c r="D135" s="32">
        <v>5.1000000000000004E-3</v>
      </c>
      <c r="E135" s="32"/>
      <c r="J135" s="8"/>
    </row>
    <row r="136" spans="1:10" ht="13">
      <c r="A136" s="7"/>
      <c r="B136" s="11"/>
      <c r="C136" s="11"/>
      <c r="D136" s="11"/>
      <c r="E136" s="8"/>
      <c r="H136" s="6" t="s">
        <v>193</v>
      </c>
      <c r="I136" s="6" t="s">
        <v>194</v>
      </c>
      <c r="J136" s="6" t="s">
        <v>194</v>
      </c>
    </row>
    <row r="137" spans="1:10" ht="13">
      <c r="A137" s="7" t="s">
        <v>197</v>
      </c>
      <c r="B137" s="11">
        <f t="shared" ref="B137:C137" si="53">B134/SQRT($F$3)</f>
        <v>4.5705579528105755E-3</v>
      </c>
      <c r="C137" s="11">
        <f t="shared" si="53"/>
        <v>2.1926724561593782E-3</v>
      </c>
      <c r="D137" s="11">
        <f t="shared" ref="D137:E137" si="54">D134/SQRT($F$4)</f>
        <v>2.325134404717284E-3</v>
      </c>
      <c r="E137" s="11">
        <f t="shared" si="54"/>
        <v>0</v>
      </c>
      <c r="G137" s="6" t="s">
        <v>44</v>
      </c>
      <c r="H137" s="34">
        <f t="shared" ref="H137:H138" si="55">(B137/B129)^2+(C137/C129)^2</f>
        <v>8.1413237936105783E-6</v>
      </c>
      <c r="I137" s="34">
        <f>(D137/D129)^2+(C137/C129)^2</f>
        <v>4.2118268922635922E-6</v>
      </c>
      <c r="J137" s="34" t="e">
        <f>(E137/E129)^2+(C137/C129)^2</f>
        <v>#DIV/0!</v>
      </c>
    </row>
    <row r="138" spans="1:10" ht="13">
      <c r="A138" s="7" t="s">
        <v>198</v>
      </c>
      <c r="B138" s="11">
        <f t="shared" ref="B138:C138" si="56">B135/SQRT($F$3)</f>
        <v>7.6249999999999998E-3</v>
      </c>
      <c r="C138" s="11">
        <f t="shared" si="56"/>
        <v>2.3249999999999998E-3</v>
      </c>
      <c r="D138" s="11">
        <f t="shared" ref="D138:E138" si="57">D135/SQRT($F$4)</f>
        <v>1.8031222920256963E-3</v>
      </c>
      <c r="E138" s="11">
        <f t="shared" si="57"/>
        <v>0</v>
      </c>
      <c r="G138" s="6" t="s">
        <v>42</v>
      </c>
      <c r="H138" s="34">
        <f t="shared" si="55"/>
        <v>2.1078677065787151E-5</v>
      </c>
      <c r="I138" s="34">
        <f>(C138/C130)^2+(D138/D130)^2</f>
        <v>4.4590346161459482E-6</v>
      </c>
      <c r="J138" s="34" t="e">
        <f>(C138/C130)^2+(E138/E130)^2</f>
        <v>#DIV/0!</v>
      </c>
    </row>
    <row r="139" spans="1:10" ht="13">
      <c r="A139" s="7" t="s">
        <v>208</v>
      </c>
      <c r="B139" s="8"/>
      <c r="C139" s="8"/>
      <c r="D139" s="8"/>
      <c r="E139" s="8"/>
      <c r="G139" s="7" t="s">
        <v>209</v>
      </c>
    </row>
    <row r="140" spans="1:10" ht="13">
      <c r="A140" s="7" t="s">
        <v>210</v>
      </c>
      <c r="B140" s="8"/>
      <c r="C140" s="8"/>
      <c r="D140" s="8"/>
      <c r="E140" s="8"/>
      <c r="F140" s="8"/>
    </row>
    <row r="141" spans="1:10" ht="13">
      <c r="A141" s="7"/>
      <c r="B141" s="8"/>
      <c r="C141" s="8"/>
      <c r="D141" s="8"/>
      <c r="E141" s="8"/>
      <c r="F141" s="8"/>
      <c r="G141" s="8"/>
      <c r="H141" s="8"/>
      <c r="I141" s="8"/>
    </row>
    <row r="142" spans="1:10" ht="13">
      <c r="A142" s="17" t="s">
        <v>148</v>
      </c>
      <c r="B142" s="8"/>
      <c r="C142" s="8"/>
      <c r="D142" s="7" t="s">
        <v>14</v>
      </c>
      <c r="E142" s="7" t="s">
        <v>269</v>
      </c>
      <c r="F142" s="8"/>
      <c r="G142" s="8"/>
      <c r="H142" s="8"/>
      <c r="I142" s="8"/>
    </row>
    <row r="143" spans="1:10" ht="13">
      <c r="B143" s="1" t="s">
        <v>193</v>
      </c>
      <c r="C143" s="13"/>
      <c r="D143" s="1" t="s">
        <v>194</v>
      </c>
      <c r="E143" s="1" t="s">
        <v>194</v>
      </c>
      <c r="F143" s="6" t="s">
        <v>215</v>
      </c>
      <c r="G143" s="8"/>
      <c r="H143" s="8"/>
      <c r="I143" s="8"/>
    </row>
    <row r="144" spans="1:10" ht="13">
      <c r="A144" s="7" t="s">
        <v>149</v>
      </c>
      <c r="B144" s="16">
        <f>B125/LN(1-B125)</f>
        <v>-0.93715509114060724</v>
      </c>
      <c r="C144" s="16"/>
      <c r="D144" s="16">
        <f>B125/LN(1-B125)</f>
        <v>-0.93715509114060724</v>
      </c>
      <c r="E144" s="16" t="e">
        <f>B125/LN(1-$B$4)</f>
        <v>#NUM!</v>
      </c>
      <c r="F144" s="7" t="s">
        <v>217</v>
      </c>
      <c r="G144" s="8"/>
    </row>
    <row r="145" spans="1:10" ht="13">
      <c r="A145" s="7" t="s">
        <v>150</v>
      </c>
      <c r="B145" s="16">
        <f>H131*H132</f>
        <v>0.98250890218849318</v>
      </c>
      <c r="C145" s="16"/>
      <c r="D145" s="16">
        <f t="shared" ref="D145:E145" si="58">I131*I132</f>
        <v>1.0022780970686129</v>
      </c>
      <c r="E145" s="16" t="e">
        <f t="shared" si="58"/>
        <v>#DIV/0!</v>
      </c>
      <c r="F145" s="7" t="s">
        <v>220</v>
      </c>
      <c r="G145" s="8"/>
    </row>
    <row r="146" spans="1:10" ht="13">
      <c r="A146" s="7" t="s">
        <v>151</v>
      </c>
      <c r="B146" s="16">
        <f>1-B125*H131</f>
        <v>0.84582690181300135</v>
      </c>
      <c r="C146" s="16"/>
      <c r="D146" s="16">
        <f>1-B125/I131</f>
        <v>0.872771079941568</v>
      </c>
      <c r="E146" s="16" t="e">
        <f>1-B125*J131</f>
        <v>#DIV/0!</v>
      </c>
      <c r="F146" s="7" t="s">
        <v>221</v>
      </c>
      <c r="G146" s="8"/>
    </row>
    <row r="147" spans="1:10" ht="13">
      <c r="A147" s="7" t="s">
        <v>54</v>
      </c>
      <c r="B147" s="16">
        <f>B144*B145/B146</f>
        <v>-1.0885953352905784</v>
      </c>
      <c r="C147" s="16"/>
      <c r="D147" s="16">
        <f t="shared" ref="D147:E147" si="59">D144*D145*D146</f>
        <v>-0.8197851663613509</v>
      </c>
      <c r="E147" s="16" t="e">
        <f t="shared" si="59"/>
        <v>#NUM!</v>
      </c>
      <c r="F147" s="2" t="s">
        <v>245</v>
      </c>
      <c r="G147" s="8"/>
      <c r="H147" s="8"/>
      <c r="I147" s="8"/>
      <c r="J14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18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83203125" customWidth="1"/>
    <col min="4" max="5" width="14.6640625" customWidth="1"/>
    <col min="6" max="6" width="15" customWidth="1"/>
  </cols>
  <sheetData>
    <row r="1" spans="1:15" ht="15.75" customHeight="1">
      <c r="A1" s="1" t="s">
        <v>3</v>
      </c>
      <c r="B1" s="99"/>
      <c r="C1" s="99"/>
      <c r="D1" s="2"/>
      <c r="E1" s="2"/>
      <c r="F1" s="6" t="s">
        <v>5</v>
      </c>
      <c r="G1" s="2">
        <v>0.25</v>
      </c>
      <c r="H1" s="2" t="s">
        <v>242</v>
      </c>
      <c r="I1" s="2"/>
    </row>
    <row r="2" spans="1:15" ht="15.75" customHeight="1">
      <c r="A2" s="2" t="s">
        <v>644</v>
      </c>
      <c r="B2" s="2"/>
      <c r="C2" s="2"/>
      <c r="D2" s="2"/>
      <c r="E2" s="2"/>
      <c r="F2" s="1" t="s">
        <v>645</v>
      </c>
      <c r="G2" s="2">
        <v>16</v>
      </c>
      <c r="H2" s="2" t="s">
        <v>244</v>
      </c>
      <c r="I2" s="2"/>
    </row>
    <row r="3" spans="1:15" ht="15.75" customHeight="1">
      <c r="A3" s="2" t="s">
        <v>646</v>
      </c>
      <c r="B3" s="2">
        <v>0.05</v>
      </c>
      <c r="F3" s="1" t="s">
        <v>647</v>
      </c>
      <c r="G3" s="2">
        <v>12</v>
      </c>
    </row>
    <row r="4" spans="1:15" ht="15.75" customHeight="1">
      <c r="A4" s="6" t="s">
        <v>141</v>
      </c>
      <c r="B4" s="7">
        <v>0.89459999999999995</v>
      </c>
      <c r="C4" s="7"/>
      <c r="E4" s="8"/>
      <c r="F4" s="6" t="s">
        <v>272</v>
      </c>
      <c r="G4" s="7">
        <v>8</v>
      </c>
      <c r="H4" s="8"/>
      <c r="I4" s="8"/>
      <c r="J4" s="8"/>
    </row>
    <row r="5" spans="1:15" ht="15.75" customHeight="1">
      <c r="A5" s="7"/>
      <c r="B5" s="8"/>
      <c r="C5" s="8"/>
      <c r="D5" s="8"/>
      <c r="E5" s="8"/>
      <c r="F5" s="8"/>
      <c r="G5" s="8"/>
      <c r="M5" s="8"/>
      <c r="N5" s="8"/>
      <c r="O5" s="8"/>
    </row>
    <row r="6" spans="1:15" ht="15.75" customHeight="1">
      <c r="A6" s="17" t="s">
        <v>15</v>
      </c>
      <c r="B6" s="7" t="s">
        <v>300</v>
      </c>
      <c r="C6" s="7" t="s">
        <v>300</v>
      </c>
      <c r="D6" s="7" t="s">
        <v>14</v>
      </c>
      <c r="E6" s="7" t="s">
        <v>269</v>
      </c>
      <c r="F6" s="7" t="s">
        <v>269</v>
      </c>
      <c r="G6" s="7" t="s">
        <v>269</v>
      </c>
      <c r="J6" s="7" t="s">
        <v>648</v>
      </c>
      <c r="K6" s="7" t="s">
        <v>14</v>
      </c>
      <c r="L6" s="2" t="s">
        <v>269</v>
      </c>
      <c r="M6" s="2" t="s">
        <v>269</v>
      </c>
      <c r="N6" s="2" t="s">
        <v>269</v>
      </c>
    </row>
    <row r="7" spans="1:15" ht="15.75" customHeight="1">
      <c r="A7" s="6" t="s">
        <v>68</v>
      </c>
      <c r="B7" s="6" t="s">
        <v>649</v>
      </c>
      <c r="C7" s="6" t="s">
        <v>650</v>
      </c>
      <c r="D7" s="6" t="s">
        <v>71</v>
      </c>
      <c r="E7" s="6" t="s">
        <v>651</v>
      </c>
      <c r="F7" s="1" t="s">
        <v>652</v>
      </c>
      <c r="G7" s="1" t="s">
        <v>653</v>
      </c>
      <c r="J7" s="8"/>
      <c r="K7" s="6" t="s">
        <v>194</v>
      </c>
      <c r="L7" s="6" t="s">
        <v>654</v>
      </c>
      <c r="M7" s="6" t="s">
        <v>655</v>
      </c>
      <c r="N7" s="6" t="s">
        <v>656</v>
      </c>
    </row>
    <row r="8" spans="1:15" ht="15.75" customHeight="1">
      <c r="A8" s="7" t="s">
        <v>657</v>
      </c>
      <c r="B8" s="32">
        <v>3.0562</v>
      </c>
      <c r="C8" s="32">
        <v>3.0007000000000001</v>
      </c>
      <c r="D8" s="32">
        <v>89.275700000000001</v>
      </c>
      <c r="E8" s="32">
        <v>4.6981000000000002</v>
      </c>
      <c r="F8" s="32">
        <v>4.7114000000000003</v>
      </c>
      <c r="G8" s="32">
        <v>4.7412999999999998</v>
      </c>
      <c r="J8" s="6" t="s">
        <v>27</v>
      </c>
      <c r="K8" s="16">
        <f t="shared" ref="K8:K9" si="0">B8/D8</f>
        <v>3.4233279604640454E-2</v>
      </c>
      <c r="L8" s="16">
        <f t="shared" ref="L8:L9" si="1">B8/E8</f>
        <v>0.65051829462974398</v>
      </c>
      <c r="M8" s="109">
        <f t="shared" ref="M8:M9" si="2">B8/F8</f>
        <v>0.64868192044827433</v>
      </c>
      <c r="N8" s="109">
        <f t="shared" ref="N8:N9" si="3">B8/G8</f>
        <v>0.6445911458882585</v>
      </c>
    </row>
    <row r="9" spans="1:15" ht="15.75" customHeight="1">
      <c r="A9" s="7" t="s">
        <v>658</v>
      </c>
      <c r="B9" s="32">
        <v>3.2456999999999998</v>
      </c>
      <c r="C9" s="32">
        <v>3.2323</v>
      </c>
      <c r="D9" s="32">
        <v>87.143000000000001</v>
      </c>
      <c r="E9" s="32">
        <v>4.6185</v>
      </c>
      <c r="F9" s="32">
        <v>4.6311</v>
      </c>
      <c r="G9" s="32">
        <v>4.6848000000000001</v>
      </c>
      <c r="J9" s="6" t="s">
        <v>30</v>
      </c>
      <c r="K9" s="16">
        <f t="shared" si="0"/>
        <v>3.7245676646431726E-2</v>
      </c>
      <c r="L9" s="16">
        <f t="shared" si="1"/>
        <v>0.70276063657031496</v>
      </c>
      <c r="M9" s="109">
        <f t="shared" si="2"/>
        <v>0.70084861048131109</v>
      </c>
      <c r="N9" s="109">
        <f t="shared" si="3"/>
        <v>0.69281506147540983</v>
      </c>
    </row>
    <row r="10" spans="1:15" ht="15.75" customHeight="1">
      <c r="A10" s="8"/>
      <c r="B10" s="8"/>
      <c r="C10" s="8"/>
      <c r="D10" s="8"/>
      <c r="E10" s="8"/>
      <c r="J10" s="6" t="s">
        <v>31</v>
      </c>
      <c r="K10" s="16">
        <f t="shared" ref="K10:N10" si="4">K9/K8</f>
        <v>1.087996156856176</v>
      </c>
      <c r="L10" s="16">
        <f t="shared" si="4"/>
        <v>1.0803087974186887</v>
      </c>
      <c r="M10" s="16">
        <f t="shared" si="4"/>
        <v>1.0804195220933346</v>
      </c>
      <c r="N10" s="16">
        <f t="shared" si="4"/>
        <v>1.0748131833562464</v>
      </c>
    </row>
    <row r="11" spans="1:15" ht="15.75" customHeight="1">
      <c r="A11" s="17" t="s">
        <v>19</v>
      </c>
      <c r="B11" s="8"/>
      <c r="C11" s="8"/>
      <c r="D11" s="8"/>
      <c r="E11" s="8"/>
      <c r="J11" s="37" t="s">
        <v>0</v>
      </c>
      <c r="K11" s="110">
        <f t="shared" ref="K11:N11" si="5">LN(1-$B$4)/LN((1-$B$4)*K10)</f>
        <v>1.0389432366117979</v>
      </c>
      <c r="L11" s="110">
        <f t="shared" si="5"/>
        <v>1.0355526756424243</v>
      </c>
      <c r="M11" s="110">
        <f t="shared" si="5"/>
        <v>1.0356015249062536</v>
      </c>
      <c r="N11" s="110">
        <f t="shared" si="5"/>
        <v>1.0331276274189045</v>
      </c>
    </row>
    <row r="12" spans="1:15" ht="15.75" customHeight="1">
      <c r="A12" s="6" t="s">
        <v>68</v>
      </c>
      <c r="B12" s="6" t="s">
        <v>144</v>
      </c>
      <c r="C12" s="6" t="s">
        <v>144</v>
      </c>
      <c r="D12" s="6" t="s">
        <v>145</v>
      </c>
      <c r="E12" s="6" t="s">
        <v>659</v>
      </c>
      <c r="F12" s="6" t="s">
        <v>660</v>
      </c>
      <c r="G12" s="6" t="s">
        <v>661</v>
      </c>
      <c r="J12" s="39" t="s">
        <v>38</v>
      </c>
      <c r="K12" s="11">
        <f t="shared" ref="K12:N12" si="6">K11*SQRT(D23^2*(K16+K17)+D25^2*($B$3/$B$4)^2)</f>
        <v>1.6665402626894095E-3</v>
      </c>
      <c r="L12" s="11">
        <f t="shared" si="6"/>
        <v>1.6348275314254767E-3</v>
      </c>
      <c r="M12" s="11">
        <f t="shared" si="6"/>
        <v>1.6297261522109658E-3</v>
      </c>
      <c r="N12" s="11">
        <f t="shared" si="6"/>
        <v>1.604588466206735E-3</v>
      </c>
    </row>
    <row r="13" spans="1:15" ht="15.75" customHeight="1">
      <c r="A13" s="7" t="s">
        <v>657</v>
      </c>
      <c r="B13" s="32">
        <v>2.86E-2</v>
      </c>
      <c r="C13" s="32">
        <v>2.5100000000000001E-2</v>
      </c>
      <c r="D13" s="32">
        <v>1.0800000000000001E-2</v>
      </c>
      <c r="E13" s="32">
        <v>2.0999999999999999E-3</v>
      </c>
      <c r="F13" s="32">
        <v>5.0000000000000001E-4</v>
      </c>
      <c r="G13" s="32">
        <v>8.0000000000000004E-4</v>
      </c>
      <c r="M13" s="32"/>
    </row>
    <row r="14" spans="1:15" ht="15.75" customHeight="1">
      <c r="A14" s="7" t="s">
        <v>658</v>
      </c>
      <c r="B14" s="22">
        <v>2.5600000000000001E-2</v>
      </c>
      <c r="C14" s="22">
        <v>3.2000000000000001E-2</v>
      </c>
      <c r="D14" s="32">
        <v>1.0699999999999999E-2</v>
      </c>
      <c r="E14" s="32">
        <v>3.0000000000000001E-3</v>
      </c>
      <c r="F14" s="32">
        <v>4.0000000000000002E-4</v>
      </c>
      <c r="G14" s="32">
        <v>1.4E-3</v>
      </c>
      <c r="L14" s="8"/>
      <c r="M14" s="32"/>
    </row>
    <row r="15" spans="1:15" ht="15.75" customHeight="1">
      <c r="A15" s="7"/>
      <c r="B15" s="11"/>
      <c r="C15" s="11"/>
      <c r="D15" s="11"/>
      <c r="E15" s="8"/>
      <c r="K15" s="6" t="s">
        <v>194</v>
      </c>
      <c r="L15" s="6" t="s">
        <v>654</v>
      </c>
      <c r="M15" s="6" t="s">
        <v>655</v>
      </c>
      <c r="N15" s="6" t="s">
        <v>656</v>
      </c>
    </row>
    <row r="16" spans="1:15" ht="15.75" customHeight="1">
      <c r="A16" s="7" t="s">
        <v>197</v>
      </c>
      <c r="B16" s="11">
        <f t="shared" ref="B16:C16" si="7">B13/SQRT($G$2)</f>
        <v>7.1500000000000001E-3</v>
      </c>
      <c r="C16" s="11">
        <f t="shared" si="7"/>
        <v>6.2750000000000002E-3</v>
      </c>
      <c r="D16" s="11">
        <f t="shared" ref="D16:G16" si="8">D13/SQRT($G$4)</f>
        <v>3.8183766184073566E-3</v>
      </c>
      <c r="E16" s="11">
        <f t="shared" si="8"/>
        <v>7.4246212024587483E-4</v>
      </c>
      <c r="F16" s="11">
        <f t="shared" si="8"/>
        <v>1.7677669529663688E-4</v>
      </c>
      <c r="G16" s="11">
        <f t="shared" si="8"/>
        <v>2.8284271247461902E-4</v>
      </c>
      <c r="J16" s="6" t="s">
        <v>44</v>
      </c>
      <c r="K16" s="34">
        <f>(D16/D8)^2+(B16/B8)^2</f>
        <v>5.4751203483970052E-6</v>
      </c>
      <c r="L16" s="34">
        <f t="shared" ref="L16:L17" si="9">(E16/E8)^2+(B16/B8)^2</f>
        <v>5.4982659419193513E-6</v>
      </c>
      <c r="M16" s="34">
        <f t="shared" ref="M16:M17" si="10">(F16/F8)^2+(B16/B8)^2</f>
        <v>5.4746988523825751E-6</v>
      </c>
      <c r="N16" s="34">
        <f t="shared" ref="N16:N17" si="11">(G16/G8)^2+(B16/B8)^2</f>
        <v>5.4768497534906821E-6</v>
      </c>
    </row>
    <row r="17" spans="1:18" ht="15.75" customHeight="1">
      <c r="A17" s="7" t="s">
        <v>198</v>
      </c>
      <c r="B17" s="11">
        <f t="shared" ref="B17:C17" si="12">B14/SQRT($G$2)</f>
        <v>6.4000000000000003E-3</v>
      </c>
      <c r="C17" s="11">
        <f t="shared" si="12"/>
        <v>8.0000000000000002E-3</v>
      </c>
      <c r="D17" s="11">
        <f t="shared" ref="D17:G17" si="13">D14/SQRT($G$4)</f>
        <v>3.7830212793480288E-3</v>
      </c>
      <c r="E17" s="11">
        <f t="shared" si="13"/>
        <v>1.0606601717798212E-3</v>
      </c>
      <c r="F17" s="11">
        <f t="shared" si="13"/>
        <v>1.4142135623730951E-4</v>
      </c>
      <c r="G17" s="11">
        <f t="shared" si="13"/>
        <v>4.9497474683058318E-4</v>
      </c>
      <c r="J17" s="6" t="s">
        <v>42</v>
      </c>
      <c r="K17" s="34">
        <f>(B17/B9)^2+(D17/D9)^2</f>
        <v>3.8900362348479452E-6</v>
      </c>
      <c r="L17" s="34">
        <f t="shared" si="9"/>
        <v>3.9408929388764947E-6</v>
      </c>
      <c r="M17" s="34">
        <f t="shared" si="10"/>
        <v>3.8890841911927505E-6</v>
      </c>
      <c r="N17" s="34">
        <f t="shared" si="11"/>
        <v>3.8993147420132031E-6</v>
      </c>
    </row>
    <row r="18" spans="1:18" ht="15.75" customHeight="1">
      <c r="A18" s="7" t="s">
        <v>208</v>
      </c>
      <c r="B18" s="8"/>
      <c r="C18" s="8"/>
      <c r="D18" s="8"/>
      <c r="E18" s="8"/>
      <c r="J18" s="7" t="s">
        <v>209</v>
      </c>
    </row>
    <row r="19" spans="1:18" ht="15.75" customHeight="1">
      <c r="A19" s="7" t="s">
        <v>210</v>
      </c>
      <c r="B19" s="8"/>
      <c r="C19" s="8"/>
      <c r="D19" s="8"/>
      <c r="E19" s="8"/>
      <c r="F19" s="8"/>
    </row>
    <row r="20" spans="1:18" ht="15.75" customHeight="1">
      <c r="A20" s="7"/>
      <c r="B20" s="8"/>
      <c r="C20" s="8"/>
      <c r="D20" s="8"/>
      <c r="E20" s="8"/>
      <c r="F20" s="8"/>
      <c r="J20" s="7" t="s">
        <v>663</v>
      </c>
      <c r="K20" s="7" t="s">
        <v>14</v>
      </c>
      <c r="L20" s="2" t="s">
        <v>269</v>
      </c>
      <c r="M20" s="2" t="s">
        <v>269</v>
      </c>
      <c r="N20" s="2" t="s">
        <v>269</v>
      </c>
    </row>
    <row r="21" spans="1:18" ht="15.75" customHeight="1">
      <c r="A21" s="17" t="s">
        <v>148</v>
      </c>
      <c r="B21" s="8"/>
      <c r="C21" s="8"/>
      <c r="D21" s="7" t="s">
        <v>14</v>
      </c>
      <c r="E21" s="7" t="s">
        <v>269</v>
      </c>
      <c r="F21" s="7" t="s">
        <v>269</v>
      </c>
      <c r="G21" s="2" t="s">
        <v>269</v>
      </c>
      <c r="J21" s="8"/>
      <c r="K21" s="6" t="s">
        <v>194</v>
      </c>
      <c r="L21" s="6" t="s">
        <v>654</v>
      </c>
      <c r="M21" s="6" t="s">
        <v>654</v>
      </c>
      <c r="N21" s="6" t="s">
        <v>654</v>
      </c>
    </row>
    <row r="22" spans="1:18" ht="15.75" customHeight="1">
      <c r="B22" s="13"/>
      <c r="C22" s="13"/>
      <c r="D22" s="1" t="s">
        <v>194</v>
      </c>
      <c r="E22" s="6" t="s">
        <v>654</v>
      </c>
      <c r="F22" s="6" t="s">
        <v>655</v>
      </c>
      <c r="G22" s="6" t="s">
        <v>656</v>
      </c>
      <c r="H22" s="6" t="s">
        <v>215</v>
      </c>
      <c r="J22" s="6" t="s">
        <v>27</v>
      </c>
      <c r="K22" s="16">
        <f t="shared" ref="K22:K23" si="14">C8/D8</f>
        <v>3.3611609878163938E-2</v>
      </c>
      <c r="L22" s="16">
        <f t="shared" ref="L22:L23" si="15">C8/E8</f>
        <v>0.63870500840765421</v>
      </c>
      <c r="M22" s="109">
        <f t="shared" ref="M22:M23" si="16">C8/F8</f>
        <v>0.63690198242560603</v>
      </c>
      <c r="N22" s="109">
        <f t="shared" ref="N22:N23" si="17">C8/G8</f>
        <v>0.63288549553919815</v>
      </c>
    </row>
    <row r="23" spans="1:18" ht="15.75" customHeight="1">
      <c r="A23" s="7" t="s">
        <v>664</v>
      </c>
      <c r="B23" s="16"/>
      <c r="C23" s="16"/>
      <c r="D23" s="16">
        <f t="shared" ref="D23:G23" si="18">K11*K11/LN(1-$B$4)</f>
        <v>-0.47973625705825274</v>
      </c>
      <c r="E23" s="16">
        <f t="shared" si="18"/>
        <v>-0.47661015578254945</v>
      </c>
      <c r="F23" s="16">
        <f t="shared" si="18"/>
        <v>-0.47665512231090418</v>
      </c>
      <c r="G23" s="16">
        <f t="shared" si="18"/>
        <v>-0.47438052649471352</v>
      </c>
      <c r="H23" s="7" t="s">
        <v>666</v>
      </c>
      <c r="J23" s="6" t="s">
        <v>30</v>
      </c>
      <c r="K23" s="16">
        <f t="shared" si="14"/>
        <v>3.7091906406710805E-2</v>
      </c>
      <c r="L23" s="16">
        <f t="shared" si="15"/>
        <v>0.69985926166504275</v>
      </c>
      <c r="M23" s="109">
        <f t="shared" si="16"/>
        <v>0.69795512945088634</v>
      </c>
      <c r="N23" s="109">
        <f t="shared" si="17"/>
        <v>0.68995474726775952</v>
      </c>
    </row>
    <row r="24" spans="1:18" ht="15.75" customHeight="1">
      <c r="A24" s="7" t="s">
        <v>667</v>
      </c>
      <c r="B24" s="16"/>
      <c r="C24" s="16"/>
      <c r="D24" s="16">
        <f t="shared" ref="D24:G24" si="19">K25/LN(1-$B$4)</f>
        <v>-0.46479948199237164</v>
      </c>
      <c r="E24" s="16">
        <f t="shared" si="19"/>
        <v>-0.46327265109761423</v>
      </c>
      <c r="F24" s="16">
        <f t="shared" si="19"/>
        <v>-0.46329464833751111</v>
      </c>
      <c r="G24" s="16">
        <f t="shared" si="19"/>
        <v>-0.46218064836037448</v>
      </c>
      <c r="H24" s="7" t="s">
        <v>666</v>
      </c>
      <c r="J24" s="6" t="s">
        <v>31</v>
      </c>
      <c r="K24" s="16">
        <f t="shared" ref="K24:N24" si="20">K23/K22</f>
        <v>1.1035444758868236</v>
      </c>
      <c r="L24" s="16">
        <f t="shared" si="20"/>
        <v>1.0957472580493008</v>
      </c>
      <c r="M24" s="16">
        <f t="shared" si="20"/>
        <v>1.0958595650664531</v>
      </c>
      <c r="N24" s="16">
        <f t="shared" si="20"/>
        <v>1.0901731073484946</v>
      </c>
    </row>
    <row r="25" spans="1:18" ht="15.75" customHeight="1">
      <c r="A25" s="7" t="s">
        <v>47</v>
      </c>
      <c r="B25" s="16"/>
      <c r="C25" s="16"/>
      <c r="D25" s="16">
        <f t="shared" ref="D25:G25" si="21">((K11-1)*$B$4)/(1-$B$4*(LN(1-$B$4)))</f>
        <v>1.1563368763581045E-2</v>
      </c>
      <c r="E25" s="16">
        <f t="shared" si="21"/>
        <v>1.0556613541997986E-2</v>
      </c>
      <c r="F25" s="16">
        <f t="shared" si="21"/>
        <v>1.0571118295599197E-2</v>
      </c>
      <c r="G25" s="16">
        <f t="shared" si="21"/>
        <v>9.8365468675826757E-3</v>
      </c>
      <c r="H25" s="7"/>
      <c r="J25" s="37" t="s">
        <v>0</v>
      </c>
      <c r="K25" s="110">
        <f t="shared" ref="K25:N25" si="22">LN(1-$B$4)/LN((1-$B$4)*K24)</f>
        <v>1.0457954148948889</v>
      </c>
      <c r="L25" s="110">
        <f t="shared" si="22"/>
        <v>1.0423600566147706</v>
      </c>
      <c r="M25" s="110">
        <f t="shared" si="22"/>
        <v>1.0424095502427022</v>
      </c>
      <c r="N25" s="110">
        <f t="shared" si="22"/>
        <v>1.039903058489982</v>
      </c>
      <c r="P25" s="2" t="s">
        <v>668</v>
      </c>
    </row>
    <row r="26" spans="1:18" ht="15.75" customHeight="1">
      <c r="A26" s="7"/>
      <c r="B26" s="16"/>
      <c r="C26" s="16"/>
      <c r="D26" s="16"/>
      <c r="E26" s="16"/>
      <c r="G26" s="8"/>
      <c r="H26" s="2"/>
      <c r="I26" s="8"/>
      <c r="J26" s="39" t="s">
        <v>38</v>
      </c>
      <c r="K26" s="11">
        <f t="shared" ref="K26:N26" si="23">K25*SQRT(D24^2*(K30+K31))</f>
        <v>1.5752801191537646E-3</v>
      </c>
      <c r="L26" s="11">
        <f t="shared" si="23"/>
        <v>1.5704515487537409E-3</v>
      </c>
      <c r="M26" s="11">
        <f t="shared" si="23"/>
        <v>1.5649940381273033E-3</v>
      </c>
      <c r="N26" s="11">
        <f t="shared" si="23"/>
        <v>1.5583948884620169E-3</v>
      </c>
      <c r="P26" s="27" t="s">
        <v>226</v>
      </c>
    </row>
    <row r="27" spans="1:18" ht="15.75" customHeight="1">
      <c r="A27" s="8"/>
      <c r="B27" s="8"/>
      <c r="C27" s="8"/>
      <c r="D27" s="8"/>
      <c r="E27" s="27"/>
      <c r="F27" s="2"/>
      <c r="I27" s="8"/>
      <c r="M27" s="32"/>
      <c r="P27" s="2" t="s">
        <v>227</v>
      </c>
    </row>
    <row r="28" spans="1:18" ht="15.75" customHeight="1">
      <c r="C28" s="111"/>
      <c r="P28" s="2" t="s">
        <v>228</v>
      </c>
    </row>
    <row r="29" spans="1:18" ht="15.75" customHeight="1">
      <c r="K29" s="6" t="s">
        <v>194</v>
      </c>
      <c r="L29" s="6" t="s">
        <v>654</v>
      </c>
      <c r="M29" s="6" t="s">
        <v>655</v>
      </c>
      <c r="N29" s="6" t="s">
        <v>656</v>
      </c>
    </row>
    <row r="30" spans="1:18" ht="13">
      <c r="J30" s="6" t="s">
        <v>44</v>
      </c>
      <c r="K30" s="34">
        <f t="shared" ref="K30:N30" si="24">(D16/D8)^2+($C$16/$C$8)^2</f>
        <v>4.3748577852740837E-6</v>
      </c>
      <c r="L30" s="34">
        <f t="shared" si="24"/>
        <v>4.3980033787964298E-6</v>
      </c>
      <c r="M30" s="34">
        <f t="shared" si="24"/>
        <v>4.3744362892596535E-6</v>
      </c>
      <c r="N30" s="34">
        <f t="shared" si="24"/>
        <v>4.3765871903677606E-6</v>
      </c>
      <c r="Q30" s="7"/>
      <c r="R30" s="2"/>
    </row>
    <row r="31" spans="1:18" ht="13">
      <c r="J31" s="6" t="s">
        <v>42</v>
      </c>
      <c r="K31" s="34">
        <f t="shared" ref="K31:N31" si="25">(D17/D9)^2+($C$17/$C$9)^2</f>
        <v>6.1275976280283577E-6</v>
      </c>
      <c r="L31" s="34">
        <f t="shared" si="25"/>
        <v>6.1784543320569072E-6</v>
      </c>
      <c r="M31" s="34">
        <f t="shared" si="25"/>
        <v>6.126645584373163E-6</v>
      </c>
      <c r="N31" s="34">
        <f t="shared" si="25"/>
        <v>6.1368761351936156E-6</v>
      </c>
      <c r="Q31" s="6"/>
      <c r="R31" s="6"/>
    </row>
    <row r="32" spans="1:18" ht="13">
      <c r="J32" s="7" t="s">
        <v>209</v>
      </c>
      <c r="Q32" s="16"/>
      <c r="R32" s="16"/>
    </row>
    <row r="33" spans="1:18" ht="13">
      <c r="A33" s="2"/>
      <c r="B33" s="293" t="s">
        <v>669</v>
      </c>
      <c r="C33" s="292"/>
      <c r="D33" s="294" t="s">
        <v>670</v>
      </c>
      <c r="E33" s="292"/>
      <c r="F33" s="294" t="s">
        <v>671</v>
      </c>
      <c r="G33" s="292"/>
      <c r="Q33" s="16"/>
      <c r="R33" s="16"/>
    </row>
    <row r="34" spans="1:18" ht="13">
      <c r="A34" s="17" t="s">
        <v>15</v>
      </c>
      <c r="B34" s="7" t="s">
        <v>263</v>
      </c>
      <c r="C34" s="7" t="s">
        <v>263</v>
      </c>
      <c r="D34" s="2" t="s">
        <v>263</v>
      </c>
      <c r="E34" s="2" t="s">
        <v>263</v>
      </c>
      <c r="F34" s="2" t="s">
        <v>263</v>
      </c>
      <c r="G34" s="2" t="s">
        <v>263</v>
      </c>
      <c r="H34" s="7" t="s">
        <v>14</v>
      </c>
      <c r="I34" s="7" t="s">
        <v>269</v>
      </c>
      <c r="K34" s="7" t="s">
        <v>651</v>
      </c>
      <c r="L34" s="7" t="s">
        <v>14</v>
      </c>
      <c r="M34" s="2" t="s">
        <v>269</v>
      </c>
      <c r="N34" s="7" t="s">
        <v>14</v>
      </c>
      <c r="O34" s="2" t="s">
        <v>269</v>
      </c>
      <c r="Q34" s="16"/>
      <c r="R34" s="16"/>
    </row>
    <row r="35" spans="1:18" ht="13">
      <c r="A35" s="6" t="s">
        <v>68</v>
      </c>
      <c r="B35" s="6" t="s">
        <v>650</v>
      </c>
      <c r="C35" s="6" t="s">
        <v>649</v>
      </c>
      <c r="D35" s="1" t="s">
        <v>672</v>
      </c>
      <c r="E35" s="1" t="s">
        <v>673</v>
      </c>
      <c r="F35" s="1" t="s">
        <v>674</v>
      </c>
      <c r="G35" s="1" t="s">
        <v>675</v>
      </c>
      <c r="H35" s="6" t="s">
        <v>71</v>
      </c>
      <c r="I35" s="6" t="s">
        <v>651</v>
      </c>
      <c r="K35" s="8"/>
      <c r="L35" s="6" t="s">
        <v>650</v>
      </c>
      <c r="M35" s="6" t="s">
        <v>650</v>
      </c>
      <c r="N35" s="6" t="s">
        <v>649</v>
      </c>
      <c r="O35" s="6" t="s">
        <v>649</v>
      </c>
      <c r="Q35" s="16"/>
      <c r="R35" s="16"/>
    </row>
    <row r="36" spans="1:18" ht="14">
      <c r="A36" s="7" t="s">
        <v>657</v>
      </c>
      <c r="B36" s="32">
        <v>9.3126999999999995</v>
      </c>
      <c r="C36" s="32">
        <v>7.4976000000000003</v>
      </c>
      <c r="D36" s="32">
        <v>6.5937000000000001</v>
      </c>
      <c r="E36" s="32">
        <v>9.1349</v>
      </c>
      <c r="F36" s="32">
        <v>8.9771000000000001</v>
      </c>
      <c r="G36" s="32">
        <v>9.0444999999999993</v>
      </c>
      <c r="H36" s="32">
        <v>89.275700000000001</v>
      </c>
      <c r="I36" s="32">
        <v>4.6981000000000002</v>
      </c>
      <c r="K36" s="6" t="s">
        <v>27</v>
      </c>
      <c r="L36" s="16">
        <f t="shared" ref="L36:L37" si="26">B36/H36</f>
        <v>0.10431393985149373</v>
      </c>
      <c r="M36" s="16">
        <f t="shared" ref="M36:M37" si="27">B36/I36</f>
        <v>1.9822268576658648</v>
      </c>
      <c r="N36" s="16">
        <f t="shared" ref="N36:N37" si="28">C36/H36</f>
        <v>8.398253948162826E-2</v>
      </c>
      <c r="O36" s="16">
        <f t="shared" ref="O36:O37" si="29">C36/I36</f>
        <v>1.5958791852025287</v>
      </c>
      <c r="Q36" s="11"/>
      <c r="R36" s="11"/>
    </row>
    <row r="37" spans="1:18" ht="14">
      <c r="A37" s="7" t="s">
        <v>658</v>
      </c>
      <c r="B37" s="32">
        <v>9.1732999999999993</v>
      </c>
      <c r="C37" s="32">
        <v>7.3686999999999996</v>
      </c>
      <c r="D37" s="32">
        <v>6.5073999999999996</v>
      </c>
      <c r="E37" s="32">
        <v>6.5073999999999996</v>
      </c>
      <c r="F37" s="32">
        <v>8.8642000000000003</v>
      </c>
      <c r="G37" s="32">
        <v>8.8384999999999998</v>
      </c>
      <c r="H37" s="32">
        <v>87.143000000000001</v>
      </c>
      <c r="I37" s="32">
        <v>4.6185</v>
      </c>
      <c r="K37" s="6" t="s">
        <v>30</v>
      </c>
      <c r="L37" s="16">
        <f t="shared" si="26"/>
        <v>0.10526720447999265</v>
      </c>
      <c r="M37" s="16">
        <f t="shared" si="27"/>
        <v>1.9862076431741906</v>
      </c>
      <c r="N37" s="16">
        <f t="shared" si="28"/>
        <v>8.4558713838174024E-2</v>
      </c>
      <c r="O37" s="16">
        <f t="shared" si="29"/>
        <v>1.5954747212298364</v>
      </c>
    </row>
    <row r="38" spans="1:18" ht="13">
      <c r="A38" s="8"/>
      <c r="B38" s="8"/>
      <c r="C38" s="8"/>
      <c r="H38" s="8"/>
      <c r="I38" s="8"/>
      <c r="K38" s="6" t="s">
        <v>31</v>
      </c>
      <c r="L38" s="16">
        <f t="shared" ref="L38:O38" si="30">L37/L36</f>
        <v>1.0091384203286351</v>
      </c>
      <c r="M38" s="16">
        <f t="shared" si="30"/>
        <v>1.0020082391139697</v>
      </c>
      <c r="N38" s="16">
        <f t="shared" si="30"/>
        <v>1.0068606446066304</v>
      </c>
      <c r="O38" s="16">
        <f t="shared" si="30"/>
        <v>0.9997465572729799</v>
      </c>
    </row>
    <row r="39" spans="1:18" ht="13">
      <c r="A39" s="17" t="s">
        <v>19</v>
      </c>
      <c r="B39" s="8"/>
      <c r="C39" s="8"/>
      <c r="H39" s="8"/>
      <c r="I39" s="8"/>
      <c r="K39" s="37" t="s">
        <v>0</v>
      </c>
      <c r="L39" s="110">
        <f t="shared" ref="L39:O39" si="31">LN(1-$B$4)/LN((1-$B$4)*L38)</f>
        <v>1.0040595006352031</v>
      </c>
      <c r="M39" s="110">
        <f t="shared" si="31"/>
        <v>1.000892454367968</v>
      </c>
      <c r="N39" s="110">
        <f t="shared" si="31"/>
        <v>1.0030480355467644</v>
      </c>
      <c r="O39" s="110">
        <f t="shared" si="31"/>
        <v>0.99988735683307728</v>
      </c>
    </row>
    <row r="40" spans="1:18" ht="13">
      <c r="A40" s="6" t="s">
        <v>68</v>
      </c>
      <c r="B40" s="6" t="s">
        <v>144</v>
      </c>
      <c r="C40" s="6" t="s">
        <v>144</v>
      </c>
      <c r="D40" s="6" t="s">
        <v>144</v>
      </c>
      <c r="E40" s="6" t="s">
        <v>144</v>
      </c>
      <c r="F40" s="6" t="s">
        <v>144</v>
      </c>
      <c r="G40" s="6" t="s">
        <v>144</v>
      </c>
      <c r="H40" s="6" t="s">
        <v>145</v>
      </c>
      <c r="I40" s="6" t="s">
        <v>659</v>
      </c>
      <c r="K40" s="39" t="s">
        <v>38</v>
      </c>
      <c r="L40" s="11">
        <f t="shared" ref="L40:O40" si="32">L39*SQRT(B52^2*(B48+B49))</f>
        <v>2.3749735810771801E-3</v>
      </c>
      <c r="M40" s="11">
        <f t="shared" si="32"/>
        <v>2.3631207350496425E-3</v>
      </c>
      <c r="N40" s="11">
        <f t="shared" si="32"/>
        <v>2.2437570724946347E-3</v>
      </c>
      <c r="O40" s="11">
        <f t="shared" si="32"/>
        <v>2.2329130528160072E-3</v>
      </c>
    </row>
    <row r="41" spans="1:18" ht="14">
      <c r="A41" s="7" t="s">
        <v>657</v>
      </c>
      <c r="B41" s="32">
        <v>0.1227</v>
      </c>
      <c r="C41" s="32">
        <v>8.4500000000000006E-2</v>
      </c>
      <c r="D41" s="32">
        <v>0.1739</v>
      </c>
      <c r="E41" s="32">
        <v>0.19980000000000001</v>
      </c>
      <c r="F41" s="32">
        <v>0.28170000000000001</v>
      </c>
      <c r="G41" s="32">
        <v>0.28870000000000001</v>
      </c>
      <c r="H41" s="32">
        <v>1.0800000000000001E-2</v>
      </c>
      <c r="I41" s="32">
        <v>2.0999999999999999E-3</v>
      </c>
      <c r="N41" s="32"/>
    </row>
    <row r="42" spans="1:18" ht="14">
      <c r="A42" s="7" t="s">
        <v>658</v>
      </c>
      <c r="B42" s="22">
        <v>0.1173</v>
      </c>
      <c r="C42" s="22">
        <v>9.7500000000000003E-2</v>
      </c>
      <c r="D42" s="32">
        <v>0.14630000000000001</v>
      </c>
      <c r="E42" s="32">
        <v>0.14949999999999999</v>
      </c>
      <c r="F42" s="32">
        <v>0.2271</v>
      </c>
      <c r="G42" s="32">
        <v>0.1968</v>
      </c>
      <c r="H42" s="32">
        <v>1.0699999999999999E-2</v>
      </c>
      <c r="I42" s="32">
        <v>3.0000000000000001E-3</v>
      </c>
      <c r="K42" s="7" t="s">
        <v>652</v>
      </c>
      <c r="L42" s="7" t="s">
        <v>14</v>
      </c>
      <c r="M42" s="2" t="s">
        <v>269</v>
      </c>
      <c r="N42" s="7" t="s">
        <v>14</v>
      </c>
      <c r="O42" s="2" t="s">
        <v>269</v>
      </c>
    </row>
    <row r="43" spans="1:18" ht="13">
      <c r="A43" s="8"/>
      <c r="D43" s="8"/>
      <c r="F43" s="8"/>
      <c r="G43" s="8"/>
      <c r="H43" s="6"/>
      <c r="I43" s="16"/>
      <c r="J43" s="16"/>
      <c r="K43" s="8"/>
      <c r="L43" s="6" t="s">
        <v>672</v>
      </c>
      <c r="M43" s="6" t="s">
        <v>672</v>
      </c>
      <c r="N43" s="6" t="s">
        <v>673</v>
      </c>
      <c r="O43" s="6" t="s">
        <v>673</v>
      </c>
    </row>
    <row r="44" spans="1:18" ht="13">
      <c r="A44" s="7" t="s">
        <v>197</v>
      </c>
      <c r="B44" s="11">
        <f t="shared" ref="B44:G44" si="33">B41/SQRT($G$3)</f>
        <v>3.542043901478354E-2</v>
      </c>
      <c r="C44" s="11">
        <f t="shared" si="33"/>
        <v>2.4393048873261693E-2</v>
      </c>
      <c r="D44" s="11">
        <f t="shared" si="33"/>
        <v>5.0200605906037962E-2</v>
      </c>
      <c r="E44" s="11">
        <f t="shared" si="33"/>
        <v>5.7677291892043618E-2</v>
      </c>
      <c r="F44" s="11">
        <f t="shared" si="33"/>
        <v>8.1319785415358795E-2</v>
      </c>
      <c r="G44" s="11">
        <f t="shared" si="33"/>
        <v>8.334051135752249E-2</v>
      </c>
      <c r="H44" s="11">
        <f t="shared" ref="H44:I44" si="34">H41/SQRT($G$4)</f>
        <v>3.8183766184073566E-3</v>
      </c>
      <c r="I44" s="11">
        <f t="shared" si="34"/>
        <v>7.4246212024587483E-4</v>
      </c>
      <c r="J44" s="16"/>
      <c r="K44" s="6" t="s">
        <v>27</v>
      </c>
      <c r="L44" s="16">
        <f t="shared" ref="L44:L45" si="35">D36/H36</f>
        <v>7.3857723882310641E-2</v>
      </c>
      <c r="M44" s="16">
        <f t="shared" ref="M44:M45" si="36">D36/I36</f>
        <v>1.4034822587854665</v>
      </c>
      <c r="N44" s="16">
        <f t="shared" ref="N44:N45" si="37">E36/H36</f>
        <v>0.10232235647550229</v>
      </c>
      <c r="O44" s="16">
        <f t="shared" ref="O44:O45" si="38">E36/I36</f>
        <v>1.9443817713543772</v>
      </c>
    </row>
    <row r="45" spans="1:18" ht="13">
      <c r="A45" s="7" t="s">
        <v>198</v>
      </c>
      <c r="B45" s="11">
        <f t="shared" ref="B45:G45" si="39">B42/SQRT($G$3)</f>
        <v>3.3861593287971552E-2</v>
      </c>
      <c r="C45" s="11">
        <f t="shared" si="39"/>
        <v>2.814582562299426E-2</v>
      </c>
      <c r="D45" s="11">
        <f t="shared" si="39"/>
        <v>4.2233172191221129E-2</v>
      </c>
      <c r="E45" s="11">
        <f t="shared" si="39"/>
        <v>4.3156932621924528E-2</v>
      </c>
      <c r="F45" s="11">
        <f t="shared" si="39"/>
        <v>6.555812306648201E-2</v>
      </c>
      <c r="G45" s="11">
        <f t="shared" si="39"/>
        <v>5.6811266488259182E-2</v>
      </c>
      <c r="H45" s="11">
        <f t="shared" ref="H45:I45" si="40">H42/SQRT($G$4)</f>
        <v>3.7830212793480288E-3</v>
      </c>
      <c r="I45" s="11">
        <f t="shared" si="40"/>
        <v>1.0606601717798212E-3</v>
      </c>
      <c r="J45" s="11"/>
      <c r="K45" s="6" t="s">
        <v>30</v>
      </c>
      <c r="L45" s="16">
        <f t="shared" si="35"/>
        <v>7.4674959549246633E-2</v>
      </c>
      <c r="M45" s="16">
        <f t="shared" si="36"/>
        <v>1.4089856013857311</v>
      </c>
      <c r="N45" s="16">
        <f t="shared" si="37"/>
        <v>7.4674959549246633E-2</v>
      </c>
      <c r="O45" s="16">
        <f t="shared" si="38"/>
        <v>1.4089856013857311</v>
      </c>
    </row>
    <row r="46" spans="1:18" ht="14">
      <c r="A46" s="7"/>
      <c r="B46" s="15"/>
      <c r="C46" s="15"/>
      <c r="D46" s="15"/>
      <c r="E46" s="15"/>
      <c r="F46" s="15"/>
      <c r="K46" s="6" t="s">
        <v>31</v>
      </c>
      <c r="L46" s="16">
        <f t="shared" ref="L46:O46" si="41">L45/L44</f>
        <v>1.0110649993525149</v>
      </c>
      <c r="M46" s="16">
        <f t="shared" si="41"/>
        <v>1.0039212056766766</v>
      </c>
      <c r="N46" s="16">
        <f t="shared" si="41"/>
        <v>0.72980101437680522</v>
      </c>
      <c r="O46" s="16">
        <f t="shared" si="41"/>
        <v>0.72464452307855631</v>
      </c>
    </row>
    <row r="47" spans="1:18" ht="14">
      <c r="B47" s="6" t="s">
        <v>682</v>
      </c>
      <c r="C47" s="6" t="s">
        <v>683</v>
      </c>
      <c r="D47" s="6" t="s">
        <v>684</v>
      </c>
      <c r="E47" s="6" t="s">
        <v>685</v>
      </c>
      <c r="F47" s="15"/>
      <c r="K47" s="37" t="s">
        <v>0</v>
      </c>
      <c r="L47" s="110">
        <f t="shared" ref="L47:O47" si="42">LN(1-$B$4)/LN((1-$B$4)*L46)</f>
        <v>1.0049148222688138</v>
      </c>
      <c r="M47" s="110">
        <f t="shared" si="42"/>
        <v>1.0017423864454327</v>
      </c>
      <c r="N47" s="110">
        <f t="shared" si="42"/>
        <v>0.87719831917710189</v>
      </c>
      <c r="O47" s="110">
        <f t="shared" si="42"/>
        <v>0.87478005242429846</v>
      </c>
    </row>
    <row r="48" spans="1:18" ht="13">
      <c r="A48" s="6" t="s">
        <v>44</v>
      </c>
      <c r="B48" s="34">
        <f t="shared" ref="B48:B49" si="43">(B44/B36)^2+(H44/H36)^2</f>
        <v>1.4468102232788669E-5</v>
      </c>
      <c r="C48" s="34">
        <f t="shared" ref="C48:C49" si="44">(B44/B36)^2+(I44/I36)^2</f>
        <v>1.4491247826311016E-5</v>
      </c>
      <c r="D48" s="34">
        <f t="shared" ref="D48:D49" si="45">(C44/C36)^2+(H44/H36)^2</f>
        <v>1.0586750739488421E-5</v>
      </c>
      <c r="E48" s="116">
        <f t="shared" ref="E48:E49" si="46">(C44/C36)^2+(I44/I36)^2</f>
        <v>1.0609896333010768E-5</v>
      </c>
      <c r="F48" s="8"/>
      <c r="I48" s="6"/>
      <c r="J48" s="6"/>
      <c r="K48" s="39" t="s">
        <v>38</v>
      </c>
      <c r="L48" s="11">
        <f t="shared" ref="L48:O48" si="47">L47*SQRT(B60^2*(B56+B57))</f>
        <v>4.4902341516049995E-3</v>
      </c>
      <c r="M48" s="11">
        <f t="shared" si="47"/>
        <v>4.4635774848150412E-3</v>
      </c>
      <c r="N48" s="11">
        <f t="shared" si="47"/>
        <v>3.131650262809425E-3</v>
      </c>
      <c r="O48" s="11">
        <f t="shared" si="47"/>
        <v>3.1157813206723773E-3</v>
      </c>
    </row>
    <row r="49" spans="1:15" ht="13">
      <c r="A49" s="6" t="s">
        <v>42</v>
      </c>
      <c r="B49" s="34">
        <f t="shared" si="43"/>
        <v>1.3627733975324861E-5</v>
      </c>
      <c r="C49" s="34">
        <f t="shared" si="44"/>
        <v>1.3678590679353411E-5</v>
      </c>
      <c r="D49" s="34">
        <f t="shared" si="45"/>
        <v>1.4591580284573546E-5</v>
      </c>
      <c r="E49" s="116">
        <f t="shared" si="46"/>
        <v>1.4642436988602096E-5</v>
      </c>
      <c r="F49" s="11"/>
      <c r="H49" s="6"/>
      <c r="I49" s="34"/>
      <c r="J49" s="34"/>
    </row>
    <row r="50" spans="1:15" ht="13">
      <c r="A50" s="7" t="s">
        <v>209</v>
      </c>
      <c r="F50" s="11"/>
      <c r="H50" s="6"/>
      <c r="I50" s="34"/>
      <c r="J50" s="34"/>
      <c r="K50" s="117" t="s">
        <v>653</v>
      </c>
      <c r="L50" s="118" t="s">
        <v>14</v>
      </c>
      <c r="M50" s="76" t="s">
        <v>269</v>
      </c>
      <c r="N50" s="118" t="s">
        <v>14</v>
      </c>
      <c r="O50" s="76" t="s">
        <v>269</v>
      </c>
    </row>
    <row r="51" spans="1:15" ht="13">
      <c r="A51" s="7"/>
      <c r="B51" s="8"/>
      <c r="C51" s="8"/>
      <c r="D51" s="8"/>
      <c r="E51" s="8"/>
      <c r="F51" s="8"/>
      <c r="H51" s="7"/>
      <c r="K51" s="76"/>
      <c r="L51" s="119" t="s">
        <v>674</v>
      </c>
      <c r="M51" s="119" t="s">
        <v>674</v>
      </c>
      <c r="N51" s="119" t="s">
        <v>675</v>
      </c>
      <c r="O51" s="119" t="s">
        <v>675</v>
      </c>
    </row>
    <row r="52" spans="1:15" ht="13">
      <c r="A52" s="7" t="s">
        <v>54</v>
      </c>
      <c r="B52" s="49">
        <f t="shared" ref="B52:E52" si="48">L39/LN(1-$B$4)</f>
        <v>-0.44625012611254145</v>
      </c>
      <c r="C52" s="49">
        <f t="shared" si="48"/>
        <v>-0.44484254539121587</v>
      </c>
      <c r="D52" s="49">
        <f t="shared" si="48"/>
        <v>-0.44580058460330946</v>
      </c>
      <c r="E52" s="49">
        <f t="shared" si="48"/>
        <v>-0.44439583391503673</v>
      </c>
      <c r="F52" s="8"/>
      <c r="G52" s="8"/>
      <c r="K52" s="120" t="s">
        <v>27</v>
      </c>
      <c r="L52" s="121">
        <f t="shared" ref="L52:L53" si="49">F36/H36</f>
        <v>0.10055479822616904</v>
      </c>
      <c r="M52" s="121">
        <f t="shared" ref="M52:M53" si="50">F36/I36</f>
        <v>1.9107937251229219</v>
      </c>
      <c r="N52" s="121">
        <f t="shared" ref="N52:N53" si="51">G36/H36</f>
        <v>0.10130976290300719</v>
      </c>
      <c r="O52" s="121">
        <f t="shared" ref="O52:O53" si="52">G36/I36</f>
        <v>1.925139950192631</v>
      </c>
    </row>
    <row r="53" spans="1:15" ht="13">
      <c r="A53" s="7"/>
      <c r="B53" s="8"/>
      <c r="C53" s="8"/>
      <c r="D53" s="8"/>
      <c r="E53" s="8"/>
      <c r="F53" s="8"/>
      <c r="G53" s="8"/>
      <c r="H53" s="8"/>
      <c r="I53" s="8"/>
      <c r="J53" s="8"/>
      <c r="K53" s="120" t="s">
        <v>30</v>
      </c>
      <c r="L53" s="121">
        <f t="shared" si="49"/>
        <v>0.10172016111448998</v>
      </c>
      <c r="M53" s="121">
        <f t="shared" si="50"/>
        <v>1.9192811518891415</v>
      </c>
      <c r="N53" s="121">
        <f t="shared" si="51"/>
        <v>0.10142524356517447</v>
      </c>
      <c r="O53" s="121">
        <f t="shared" si="52"/>
        <v>1.9137165746454476</v>
      </c>
    </row>
    <row r="54" spans="1:15" ht="13">
      <c r="A54" s="7"/>
      <c r="B54" s="8"/>
      <c r="C54" s="8"/>
      <c r="D54" s="8"/>
      <c r="E54" s="7"/>
      <c r="F54" s="7"/>
      <c r="G54" s="8"/>
      <c r="H54" s="8"/>
      <c r="I54" s="8"/>
      <c r="J54" s="8"/>
      <c r="K54" s="120" t="s">
        <v>31</v>
      </c>
      <c r="L54" s="121">
        <f t="shared" ref="L54:O54" si="53">L53/L52</f>
        <v>1.011589331477746</v>
      </c>
      <c r="M54" s="121">
        <f t="shared" si="53"/>
        <v>1.0044418330741973</v>
      </c>
      <c r="N54" s="121">
        <f t="shared" si="53"/>
        <v>1.0011398769364197</v>
      </c>
      <c r="O54" s="121">
        <f t="shared" si="53"/>
        <v>0.99406621033133702</v>
      </c>
    </row>
    <row r="55" spans="1:15" ht="13">
      <c r="B55" s="6" t="s">
        <v>686</v>
      </c>
      <c r="C55" s="6" t="s">
        <v>687</v>
      </c>
      <c r="D55" s="6" t="s">
        <v>688</v>
      </c>
      <c r="E55" s="6" t="s">
        <v>689</v>
      </c>
      <c r="F55" s="1"/>
      <c r="G55" s="6"/>
      <c r="H55" s="8"/>
      <c r="I55" s="8"/>
      <c r="J55" s="8"/>
      <c r="K55" s="122" t="s">
        <v>0</v>
      </c>
      <c r="L55" s="123">
        <f t="shared" ref="L55:O55" si="54">LN(1-$B$4)/LN((1-$B$4)*L54)</f>
        <v>1.0051475739285964</v>
      </c>
      <c r="M55" s="123">
        <f t="shared" si="54"/>
        <v>1.0019736706989444</v>
      </c>
      <c r="N55" s="123">
        <f t="shared" si="54"/>
        <v>1.0005065816039049</v>
      </c>
      <c r="O55" s="123">
        <f t="shared" si="54"/>
        <v>0.99736187411158339</v>
      </c>
    </row>
    <row r="56" spans="1:15" ht="13">
      <c r="A56" s="6" t="s">
        <v>44</v>
      </c>
      <c r="B56" s="34">
        <f t="shared" ref="B56:B57" si="55">(D44/D36)^2+(H44/H36)^2</f>
        <v>5.7965989847220599E-5</v>
      </c>
      <c r="C56" s="34">
        <f t="shared" ref="C56:C57" si="56">(D44/D36)^2+(I44/I36)^2</f>
        <v>5.7989135440742941E-5</v>
      </c>
      <c r="D56" s="34">
        <f t="shared" ref="D56:D57" si="57">(E44/E36)^2+(H44/H36)^2</f>
        <v>3.9867780155444176E-5</v>
      </c>
      <c r="E56" s="116">
        <f t="shared" ref="E56:E57" si="58">(E44/E36)^2+(I44/I36)^2</f>
        <v>3.9890925748966518E-5</v>
      </c>
      <c r="F56" s="16"/>
      <c r="G56" s="7"/>
      <c r="H56" s="8"/>
      <c r="K56" s="124" t="s">
        <v>38</v>
      </c>
      <c r="L56" s="11">
        <f t="shared" ref="L56:O56" si="59">L55*SQRT(B68^2*(B64+B65))</f>
        <v>5.2511928257319776E-3</v>
      </c>
      <c r="M56" s="11">
        <f t="shared" si="59"/>
        <v>5.219493926554233E-3</v>
      </c>
      <c r="N56" s="11">
        <f t="shared" si="59"/>
        <v>4.9984261690823144E-3</v>
      </c>
      <c r="O56" s="11">
        <f t="shared" si="59"/>
        <v>4.9685100897177443E-3</v>
      </c>
    </row>
    <row r="57" spans="1:15" ht="13">
      <c r="A57" s="6" t="s">
        <v>42</v>
      </c>
      <c r="B57" s="34">
        <f t="shared" si="55"/>
        <v>4.2122276172371316E-5</v>
      </c>
      <c r="C57" s="34">
        <f t="shared" si="56"/>
        <v>4.217313287639987E-5</v>
      </c>
      <c r="D57" s="34">
        <f t="shared" si="57"/>
        <v>4.3985014694279735E-5</v>
      </c>
      <c r="E57" s="116">
        <f t="shared" si="58"/>
        <v>4.4035871398308289E-5</v>
      </c>
      <c r="F57" s="16"/>
      <c r="G57" s="7"/>
      <c r="H57" s="8"/>
    </row>
    <row r="58" spans="1:15" ht="13">
      <c r="A58" s="7" t="s">
        <v>209</v>
      </c>
      <c r="F58" s="16"/>
      <c r="G58" s="2"/>
      <c r="H58" s="8"/>
      <c r="I58" s="8"/>
      <c r="J58" s="8"/>
    </row>
    <row r="59" spans="1:15" ht="13">
      <c r="A59" s="7"/>
      <c r="B59" s="8"/>
      <c r="C59" s="8"/>
      <c r="D59" s="8"/>
      <c r="E59" s="8"/>
    </row>
    <row r="60" spans="1:15" ht="13">
      <c r="A60" s="7" t="s">
        <v>54</v>
      </c>
      <c r="B60" s="49">
        <f t="shared" ref="B60:E60" si="60">L47/LN(1-$B$4)</f>
        <v>-0.44663027030382102</v>
      </c>
      <c r="C60" s="49">
        <f t="shared" si="60"/>
        <v>-0.44522029421637588</v>
      </c>
      <c r="D60" s="49">
        <f t="shared" si="60"/>
        <v>-0.3898671944350372</v>
      </c>
      <c r="E60" s="49">
        <f t="shared" si="60"/>
        <v>-0.38879240569718893</v>
      </c>
    </row>
    <row r="62" spans="1:15" ht="13">
      <c r="A62" s="1"/>
      <c r="B62" s="2"/>
      <c r="C62" s="2"/>
      <c r="D62" s="2"/>
      <c r="E62" s="2"/>
      <c r="H62" s="2"/>
      <c r="I62" s="2"/>
    </row>
    <row r="63" spans="1:15" ht="13">
      <c r="B63" s="6" t="s">
        <v>691</v>
      </c>
      <c r="C63" s="6" t="s">
        <v>692</v>
      </c>
      <c r="D63" s="6" t="s">
        <v>693</v>
      </c>
      <c r="E63" s="6" t="s">
        <v>694</v>
      </c>
      <c r="F63" s="6"/>
      <c r="G63" s="2"/>
      <c r="H63" s="2"/>
      <c r="I63" s="2"/>
    </row>
    <row r="64" spans="1:15" ht="13">
      <c r="A64" s="6" t="s">
        <v>44</v>
      </c>
      <c r="B64" s="34">
        <f t="shared" ref="B64:B65" si="61">(F44/F36)^2+(H44/H36)^2</f>
        <v>8.2059714861856215E-5</v>
      </c>
      <c r="C64" s="34">
        <f t="shared" ref="C64:C65" si="62">(F44/F36)^2+(I44/I36)^2</f>
        <v>8.2082860455378557E-5</v>
      </c>
      <c r="D64" s="34">
        <f t="shared" ref="D64:D65" si="63">(G44/G36)^2+(H44/H36)^2</f>
        <v>8.4908770516507485E-5</v>
      </c>
      <c r="E64" s="116">
        <f t="shared" ref="E64:E65" si="64">(G44/G36)^2+(I44/I36)^2</f>
        <v>8.4931916110029827E-5</v>
      </c>
      <c r="F64" s="1"/>
      <c r="G64" s="2"/>
    </row>
    <row r="65" spans="1:10" ht="13">
      <c r="A65" s="6" t="s">
        <v>42</v>
      </c>
      <c r="B65" s="34">
        <f t="shared" si="61"/>
        <v>5.4700197274687168E-5</v>
      </c>
      <c r="C65" s="34">
        <f t="shared" si="62"/>
        <v>5.4751053978715721E-5</v>
      </c>
      <c r="D65" s="34">
        <f t="shared" si="63"/>
        <v>4.1317270095990046E-5</v>
      </c>
      <c r="E65" s="116">
        <f t="shared" si="64"/>
        <v>4.1368126800018599E-5</v>
      </c>
      <c r="F65" s="6"/>
      <c r="G65" s="7"/>
      <c r="H65" s="8"/>
      <c r="I65" s="8"/>
      <c r="J65" s="8"/>
    </row>
    <row r="66" spans="1:10" ht="13">
      <c r="A66" s="7" t="s">
        <v>209</v>
      </c>
      <c r="F66" s="8"/>
      <c r="G66" s="8"/>
      <c r="H66" s="8"/>
      <c r="I66" s="8"/>
      <c r="J66" s="8"/>
    </row>
    <row r="67" spans="1:10" ht="13">
      <c r="A67" s="7"/>
      <c r="B67" s="8"/>
      <c r="C67" s="8"/>
      <c r="D67" s="8"/>
      <c r="E67" s="8"/>
      <c r="F67" s="7"/>
      <c r="G67" s="8"/>
      <c r="H67" s="8"/>
      <c r="I67" s="8"/>
      <c r="J67" s="7"/>
    </row>
    <row r="68" spans="1:10" ht="13">
      <c r="A68" s="7" t="s">
        <v>54</v>
      </c>
      <c r="B68" s="49">
        <f t="shared" ref="B68:E68" si="65">L55/LN(1-$B$4)</f>
        <v>-0.44673371582419624</v>
      </c>
      <c r="C68" s="49">
        <f t="shared" si="65"/>
        <v>-0.4453230875540537</v>
      </c>
      <c r="D68" s="49">
        <f t="shared" si="65"/>
        <v>-0.44467104582419059</v>
      </c>
      <c r="E68" s="49">
        <f t="shared" si="65"/>
        <v>-0.44327339347973516</v>
      </c>
      <c r="F68" s="6"/>
      <c r="H68" s="8"/>
      <c r="I68" s="6"/>
      <c r="J68" s="6"/>
    </row>
    <row r="69" spans="1:10" ht="14">
      <c r="A69" s="7"/>
      <c r="B69" s="15"/>
      <c r="C69" s="15"/>
      <c r="D69" s="15"/>
      <c r="E69" s="15"/>
      <c r="F69" s="15"/>
      <c r="H69" s="6"/>
      <c r="I69" s="16"/>
      <c r="J69" s="16"/>
    </row>
    <row r="70" spans="1:10" ht="14">
      <c r="A70" s="7"/>
      <c r="B70" s="15"/>
      <c r="C70" s="15"/>
      <c r="D70" s="15"/>
      <c r="E70" s="15"/>
      <c r="F70" s="15"/>
      <c r="H70" s="6"/>
      <c r="I70" s="16"/>
      <c r="J70" s="16"/>
    </row>
    <row r="71" spans="1:10" ht="13">
      <c r="A71" s="8"/>
      <c r="B71" s="8"/>
      <c r="C71" s="8"/>
      <c r="D71" s="8"/>
      <c r="E71" s="8"/>
      <c r="F71" s="8"/>
      <c r="H71" s="6"/>
      <c r="I71" s="16"/>
      <c r="J71" s="16"/>
    </row>
    <row r="72" spans="1:10" ht="13">
      <c r="A72" s="7"/>
      <c r="B72" s="8"/>
      <c r="C72" s="8"/>
      <c r="D72" s="8"/>
      <c r="E72" s="8"/>
      <c r="F72" s="8"/>
      <c r="H72" s="6"/>
      <c r="I72" s="16"/>
      <c r="J72" s="16"/>
    </row>
    <row r="73" spans="1:10" ht="13">
      <c r="A73" s="6"/>
      <c r="B73" s="6"/>
      <c r="C73" s="6"/>
      <c r="D73" s="6"/>
      <c r="E73" s="6"/>
      <c r="F73" s="6"/>
      <c r="H73" s="1"/>
      <c r="I73" s="11"/>
      <c r="J73" s="11"/>
    </row>
    <row r="74" spans="1:10" ht="14">
      <c r="A74" s="7"/>
      <c r="B74" s="15"/>
      <c r="C74" s="15"/>
      <c r="D74" s="15"/>
      <c r="E74" s="15"/>
      <c r="F74" s="15"/>
    </row>
    <row r="75" spans="1:10" ht="14">
      <c r="A75" s="7"/>
      <c r="B75" s="15"/>
      <c r="C75" s="15"/>
      <c r="D75" s="15"/>
      <c r="E75" s="15"/>
      <c r="F75" s="15"/>
    </row>
    <row r="76" spans="1:10" ht="13">
      <c r="A76" s="7"/>
      <c r="B76" s="11"/>
      <c r="C76" s="11"/>
      <c r="D76" s="11"/>
      <c r="E76" s="11"/>
      <c r="F76" s="8"/>
      <c r="I76" s="6"/>
      <c r="J76" s="6"/>
    </row>
    <row r="77" spans="1:10" ht="13">
      <c r="A77" s="7"/>
      <c r="B77" s="11"/>
      <c r="C77" s="11"/>
      <c r="D77" s="11"/>
      <c r="E77" s="11"/>
      <c r="F77" s="11"/>
      <c r="H77" s="6"/>
      <c r="I77" s="34"/>
      <c r="J77" s="34"/>
    </row>
    <row r="78" spans="1:10" ht="13">
      <c r="A78" s="7"/>
      <c r="B78" s="11"/>
      <c r="C78" s="11"/>
      <c r="D78" s="11"/>
      <c r="E78" s="11"/>
      <c r="F78" s="11"/>
      <c r="H78" s="6"/>
      <c r="I78" s="34"/>
      <c r="J78" s="34"/>
    </row>
    <row r="79" spans="1:10" ht="13">
      <c r="A79" s="7"/>
      <c r="B79" s="8"/>
      <c r="C79" s="8"/>
      <c r="D79" s="8"/>
      <c r="E79" s="8"/>
      <c r="F79" s="8"/>
      <c r="H79" s="7"/>
    </row>
    <row r="80" spans="1:10" ht="13">
      <c r="A80" s="7"/>
      <c r="B80" s="8"/>
      <c r="C80" s="8"/>
      <c r="D80" s="8"/>
      <c r="E80" s="8"/>
      <c r="F80" s="8"/>
      <c r="G80" s="8"/>
    </row>
    <row r="81" spans="1:10" ht="13">
      <c r="A81" s="7"/>
      <c r="B81" s="8"/>
      <c r="C81" s="8"/>
      <c r="D81" s="8"/>
      <c r="E81" s="8"/>
      <c r="F81" s="8"/>
      <c r="G81" s="8"/>
      <c r="H81" s="8"/>
      <c r="I81" s="8"/>
      <c r="J81" s="8"/>
    </row>
    <row r="82" spans="1:10" ht="13">
      <c r="A82" s="7"/>
      <c r="B82" s="8"/>
      <c r="C82" s="8"/>
      <c r="D82" s="8"/>
      <c r="E82" s="7"/>
      <c r="F82" s="7"/>
      <c r="G82" s="8"/>
      <c r="H82" s="8"/>
      <c r="I82" s="8"/>
      <c r="J82" s="8"/>
    </row>
    <row r="83" spans="1:10" ht="13">
      <c r="B83" s="1"/>
      <c r="C83" s="1"/>
      <c r="D83" s="13"/>
      <c r="E83" s="1"/>
      <c r="F83" s="1"/>
      <c r="G83" s="6"/>
      <c r="H83" s="8"/>
      <c r="I83" s="8"/>
      <c r="J83" s="8"/>
    </row>
    <row r="84" spans="1:10" ht="13">
      <c r="A84" s="7"/>
      <c r="B84" s="16"/>
      <c r="C84" s="16"/>
      <c r="D84" s="16"/>
      <c r="E84" s="16"/>
      <c r="F84" s="16"/>
      <c r="G84" s="7"/>
      <c r="H84" s="8"/>
    </row>
    <row r="85" spans="1:10" ht="13">
      <c r="A85" s="7"/>
      <c r="B85" s="16"/>
      <c r="C85" s="16"/>
      <c r="D85" s="16"/>
      <c r="E85" s="16"/>
      <c r="F85" s="16"/>
      <c r="G85" s="7"/>
      <c r="H85" s="8"/>
    </row>
    <row r="86" spans="1:10" ht="13">
      <c r="A86" s="7"/>
      <c r="B86" s="16"/>
      <c r="C86" s="16"/>
      <c r="D86" s="16"/>
      <c r="E86" s="16"/>
      <c r="F86" s="16"/>
      <c r="G86" s="7"/>
      <c r="H86" s="8"/>
    </row>
    <row r="87" spans="1:10" ht="13">
      <c r="A87" s="7"/>
      <c r="B87" s="16"/>
      <c r="C87" s="16"/>
      <c r="D87" s="16"/>
      <c r="E87" s="16"/>
      <c r="F87" s="16"/>
      <c r="G87" s="2"/>
      <c r="H87" s="8"/>
      <c r="I87" s="8"/>
      <c r="J87" s="8"/>
    </row>
    <row r="91" spans="1:10" ht="13">
      <c r="A91" s="1"/>
    </row>
    <row r="93" spans="1:10" ht="13">
      <c r="A93" s="1"/>
      <c r="B93" s="2"/>
      <c r="C93" s="2"/>
      <c r="D93" s="2"/>
      <c r="E93" s="2"/>
      <c r="H93" s="2"/>
      <c r="I93" s="2"/>
    </row>
    <row r="94" spans="1:10" ht="13">
      <c r="A94" s="2"/>
      <c r="B94" s="2"/>
      <c r="C94" s="2"/>
      <c r="D94" s="2"/>
      <c r="E94" s="2"/>
      <c r="F94" s="6"/>
      <c r="G94" s="2"/>
      <c r="H94" s="2"/>
      <c r="I94" s="2"/>
    </row>
    <row r="95" spans="1:10" ht="13">
      <c r="F95" s="1"/>
      <c r="G95" s="2"/>
    </row>
    <row r="96" spans="1:10" ht="13">
      <c r="A96" s="6"/>
      <c r="B96" s="7"/>
      <c r="C96" s="7"/>
      <c r="E96" s="8"/>
      <c r="F96" s="6"/>
      <c r="G96" s="7"/>
      <c r="H96" s="8"/>
      <c r="I96" s="8"/>
      <c r="J96" s="8"/>
    </row>
    <row r="97" spans="1:10" ht="13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ht="13">
      <c r="A98" s="7"/>
      <c r="B98" s="8"/>
      <c r="C98" s="8"/>
      <c r="D98" s="8"/>
      <c r="E98" s="7"/>
      <c r="F98" s="7"/>
      <c r="G98" s="8"/>
      <c r="H98" s="8"/>
      <c r="I98" s="8"/>
      <c r="J98" s="7"/>
    </row>
    <row r="99" spans="1:10" ht="13">
      <c r="A99" s="6"/>
      <c r="B99" s="6"/>
      <c r="C99" s="6"/>
      <c r="D99" s="6"/>
      <c r="E99" s="6"/>
      <c r="F99" s="6"/>
      <c r="H99" s="8"/>
      <c r="I99" s="6"/>
      <c r="J99" s="6"/>
    </row>
    <row r="100" spans="1:10" ht="14">
      <c r="A100" s="7"/>
      <c r="B100" s="15"/>
      <c r="C100" s="15"/>
      <c r="D100" s="15"/>
      <c r="E100" s="15"/>
      <c r="F100" s="15"/>
      <c r="H100" s="6"/>
      <c r="I100" s="16"/>
      <c r="J100" s="16"/>
    </row>
    <row r="101" spans="1:10" ht="14">
      <c r="A101" s="7"/>
      <c r="B101" s="15"/>
      <c r="C101" s="15"/>
      <c r="D101" s="15"/>
      <c r="E101" s="15"/>
      <c r="F101" s="15"/>
      <c r="H101" s="6"/>
      <c r="I101" s="16"/>
      <c r="J101" s="16"/>
    </row>
    <row r="102" spans="1:10" ht="13">
      <c r="A102" s="8"/>
      <c r="B102" s="8"/>
      <c r="C102" s="8"/>
      <c r="D102" s="8"/>
      <c r="E102" s="8"/>
      <c r="F102" s="8"/>
      <c r="H102" s="6"/>
      <c r="I102" s="16"/>
      <c r="J102" s="16"/>
    </row>
    <row r="103" spans="1:10" ht="13">
      <c r="A103" s="7"/>
      <c r="B103" s="8"/>
      <c r="C103" s="8"/>
      <c r="D103" s="8"/>
      <c r="E103" s="8"/>
      <c r="F103" s="8"/>
      <c r="H103" s="6"/>
      <c r="I103" s="16"/>
      <c r="J103" s="16"/>
    </row>
    <row r="104" spans="1:10" ht="13">
      <c r="A104" s="6"/>
      <c r="B104" s="6"/>
      <c r="C104" s="6"/>
      <c r="D104" s="6"/>
      <c r="E104" s="6"/>
      <c r="F104" s="6"/>
      <c r="H104" s="1"/>
      <c r="I104" s="11"/>
      <c r="J104" s="11"/>
    </row>
    <row r="105" spans="1:10" ht="14">
      <c r="A105" s="7"/>
      <c r="B105" s="15"/>
      <c r="C105" s="15"/>
      <c r="D105" s="15"/>
      <c r="E105" s="15"/>
      <c r="F105" s="15"/>
    </row>
    <row r="106" spans="1:10" ht="14">
      <c r="A106" s="7"/>
      <c r="B106" s="15"/>
      <c r="C106" s="15"/>
      <c r="D106" s="15"/>
      <c r="E106" s="15"/>
      <c r="F106" s="15"/>
    </row>
    <row r="107" spans="1:10" ht="13">
      <c r="A107" s="7"/>
      <c r="B107" s="11"/>
      <c r="C107" s="11"/>
      <c r="D107" s="11"/>
      <c r="E107" s="11"/>
      <c r="F107" s="8"/>
      <c r="I107" s="6"/>
      <c r="J107" s="6"/>
    </row>
    <row r="108" spans="1:10" ht="13">
      <c r="A108" s="7"/>
      <c r="B108" s="11"/>
      <c r="C108" s="11"/>
      <c r="D108" s="11"/>
      <c r="E108" s="11"/>
      <c r="F108" s="11"/>
      <c r="H108" s="6"/>
      <c r="I108" s="34"/>
      <c r="J108" s="34"/>
    </row>
    <row r="109" spans="1:10" ht="13">
      <c r="A109" s="7"/>
      <c r="B109" s="11"/>
      <c r="C109" s="11"/>
      <c r="D109" s="11"/>
      <c r="E109" s="11"/>
      <c r="F109" s="11"/>
      <c r="H109" s="6"/>
      <c r="I109" s="34"/>
      <c r="J109" s="34"/>
    </row>
    <row r="110" spans="1:10" ht="13">
      <c r="A110" s="7"/>
      <c r="B110" s="8"/>
      <c r="C110" s="8"/>
      <c r="D110" s="8"/>
      <c r="E110" s="8"/>
      <c r="F110" s="8"/>
      <c r="H110" s="7"/>
    </row>
    <row r="111" spans="1:10" ht="13">
      <c r="A111" s="7"/>
      <c r="B111" s="8"/>
      <c r="C111" s="8"/>
      <c r="D111" s="8"/>
      <c r="E111" s="8"/>
      <c r="F111" s="8"/>
      <c r="G111" s="8"/>
    </row>
    <row r="112" spans="1:10" ht="13">
      <c r="A112" s="7"/>
      <c r="B112" s="8"/>
      <c r="C112" s="8"/>
      <c r="D112" s="8"/>
      <c r="E112" s="8"/>
      <c r="F112" s="8"/>
      <c r="G112" s="8"/>
      <c r="H112" s="8"/>
      <c r="I112" s="8"/>
      <c r="J112" s="8"/>
    </row>
    <row r="113" spans="1:10" ht="13">
      <c r="A113" s="7"/>
      <c r="B113" s="8"/>
      <c r="C113" s="8"/>
      <c r="D113" s="8"/>
      <c r="E113" s="7"/>
      <c r="F113" s="7"/>
      <c r="G113" s="8"/>
      <c r="H113" s="8"/>
      <c r="I113" s="8"/>
      <c r="J113" s="8"/>
    </row>
    <row r="114" spans="1:10" ht="13">
      <c r="B114" s="1"/>
      <c r="C114" s="1"/>
      <c r="D114" s="13"/>
      <c r="E114" s="1"/>
      <c r="F114" s="1"/>
      <c r="G114" s="6"/>
      <c r="H114" s="8"/>
      <c r="I114" s="8"/>
      <c r="J114" s="8"/>
    </row>
    <row r="115" spans="1:10" ht="13">
      <c r="A115" s="7"/>
      <c r="B115" s="16"/>
      <c r="C115" s="16"/>
      <c r="D115" s="16"/>
      <c r="E115" s="16"/>
      <c r="F115" s="16"/>
      <c r="G115" s="7"/>
      <c r="H115" s="8"/>
    </row>
    <row r="116" spans="1:10" ht="13">
      <c r="A116" s="7"/>
      <c r="B116" s="16"/>
      <c r="C116" s="16"/>
      <c r="D116" s="16"/>
      <c r="E116" s="16"/>
      <c r="F116" s="16"/>
      <c r="G116" s="7"/>
      <c r="H116" s="8"/>
    </row>
    <row r="117" spans="1:10" ht="13">
      <c r="A117" s="7"/>
      <c r="B117" s="16"/>
      <c r="C117" s="16"/>
      <c r="D117" s="16"/>
      <c r="E117" s="16"/>
      <c r="F117" s="16"/>
      <c r="G117" s="7"/>
      <c r="H117" s="8"/>
    </row>
    <row r="118" spans="1:10" ht="13">
      <c r="A118" s="7"/>
      <c r="B118" s="16"/>
      <c r="C118" s="16"/>
      <c r="D118" s="16"/>
      <c r="E118" s="16"/>
      <c r="F118" s="16"/>
      <c r="G118" s="2"/>
      <c r="H118" s="8"/>
      <c r="I118" s="8"/>
      <c r="J118" s="8"/>
    </row>
  </sheetData>
  <mergeCells count="3">
    <mergeCell ref="B33:C33"/>
    <mergeCell ref="D33:E33"/>
    <mergeCell ref="F33:G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120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83203125" customWidth="1"/>
    <col min="4" max="5" width="14.6640625" customWidth="1"/>
    <col min="6" max="6" width="15" customWidth="1"/>
  </cols>
  <sheetData>
    <row r="1" spans="1:15" ht="15.75" customHeight="1">
      <c r="A1" s="1" t="s">
        <v>3</v>
      </c>
      <c r="B1" s="99"/>
      <c r="C1" s="99"/>
      <c r="D1" s="2"/>
      <c r="E1" s="2"/>
      <c r="F1" s="6" t="s">
        <v>5</v>
      </c>
      <c r="G1" s="2">
        <v>0.25</v>
      </c>
      <c r="H1" s="2" t="s">
        <v>242</v>
      </c>
      <c r="I1" s="2"/>
    </row>
    <row r="2" spans="1:15" ht="15.75" customHeight="1">
      <c r="A2" s="2" t="s">
        <v>644</v>
      </c>
      <c r="B2" s="2"/>
      <c r="C2" s="2"/>
      <c r="D2" s="2"/>
      <c r="E2" s="2"/>
      <c r="F2" s="1" t="s">
        <v>645</v>
      </c>
      <c r="G2" s="2">
        <v>16</v>
      </c>
      <c r="H2" s="2" t="s">
        <v>244</v>
      </c>
      <c r="I2" s="2"/>
    </row>
    <row r="3" spans="1:15" ht="15.75" customHeight="1">
      <c r="A3" s="2" t="s">
        <v>646</v>
      </c>
      <c r="B3" s="2">
        <v>0.05</v>
      </c>
      <c r="F3" s="1" t="s">
        <v>647</v>
      </c>
      <c r="G3" s="2">
        <v>12</v>
      </c>
    </row>
    <row r="4" spans="1:15" ht="15.75" customHeight="1">
      <c r="A4" s="6" t="s">
        <v>141</v>
      </c>
      <c r="B4" s="7">
        <v>0.93200000000000005</v>
      </c>
      <c r="C4" s="7"/>
      <c r="E4" s="8"/>
      <c r="F4" s="6" t="s">
        <v>272</v>
      </c>
      <c r="G4" s="7">
        <v>8</v>
      </c>
      <c r="H4" s="8"/>
      <c r="I4" s="8"/>
      <c r="J4" s="8"/>
    </row>
    <row r="5" spans="1:15" ht="15.75" customHeight="1">
      <c r="A5" s="7"/>
      <c r="B5" s="8"/>
      <c r="C5" s="8"/>
      <c r="D5" s="8"/>
      <c r="E5" s="8"/>
      <c r="F5" s="8"/>
      <c r="G5" s="8"/>
      <c r="M5" s="8"/>
      <c r="N5" s="8"/>
      <c r="O5" s="8"/>
    </row>
    <row r="6" spans="1:15" ht="15.75" customHeight="1">
      <c r="A6" s="17" t="s">
        <v>15</v>
      </c>
      <c r="B6" s="7" t="s">
        <v>300</v>
      </c>
      <c r="C6" s="7" t="s">
        <v>300</v>
      </c>
      <c r="D6" s="7" t="s">
        <v>14</v>
      </c>
      <c r="E6" s="7" t="s">
        <v>269</v>
      </c>
      <c r="F6" s="7" t="s">
        <v>269</v>
      </c>
      <c r="G6" s="7" t="s">
        <v>269</v>
      </c>
      <c r="J6" s="7" t="s">
        <v>648</v>
      </c>
      <c r="K6" s="7" t="s">
        <v>14</v>
      </c>
      <c r="L6" s="2" t="s">
        <v>269</v>
      </c>
      <c r="M6" s="2" t="s">
        <v>269</v>
      </c>
      <c r="N6" s="2" t="s">
        <v>269</v>
      </c>
    </row>
    <row r="7" spans="1:15" ht="15.75" customHeight="1">
      <c r="A7" s="6" t="s">
        <v>68</v>
      </c>
      <c r="B7" s="6" t="s">
        <v>649</v>
      </c>
      <c r="C7" s="6" t="s">
        <v>650</v>
      </c>
      <c r="D7" s="6" t="s">
        <v>71</v>
      </c>
      <c r="E7" s="6" t="s">
        <v>651</v>
      </c>
      <c r="F7" s="1" t="s">
        <v>652</v>
      </c>
      <c r="G7" s="1" t="s">
        <v>653</v>
      </c>
      <c r="J7" s="8"/>
      <c r="K7" s="6" t="s">
        <v>194</v>
      </c>
      <c r="L7" s="6" t="s">
        <v>654</v>
      </c>
      <c r="M7" s="6" t="s">
        <v>655</v>
      </c>
      <c r="N7" s="6" t="s">
        <v>656</v>
      </c>
    </row>
    <row r="8" spans="1:15" ht="15.75" customHeight="1">
      <c r="A8" s="7" t="s">
        <v>676</v>
      </c>
      <c r="B8" s="32">
        <v>3.0703999999999998</v>
      </c>
      <c r="C8" s="32">
        <v>3.0434000000000001</v>
      </c>
      <c r="D8" s="32">
        <v>89.801599999999993</v>
      </c>
      <c r="E8" s="32">
        <v>4.7305000000000001</v>
      </c>
      <c r="F8" s="32">
        <v>4.7484999999999999</v>
      </c>
      <c r="G8" s="32">
        <v>4.7782</v>
      </c>
      <c r="J8" s="6" t="s">
        <v>27</v>
      </c>
      <c r="K8" s="114">
        <f>B8/D8</f>
        <v>3.4190927555856468E-2</v>
      </c>
      <c r="L8" s="114">
        <f>B8/E8</f>
        <v>0.64906458091110875</v>
      </c>
      <c r="M8" s="109">
        <f>B8/F8</f>
        <v>0.64660419079709375</v>
      </c>
      <c r="N8" s="109">
        <f>B8/G8</f>
        <v>0.64258507387719221</v>
      </c>
    </row>
    <row r="9" spans="1:15" ht="15.75" customHeight="1">
      <c r="A9" s="7" t="s">
        <v>678</v>
      </c>
      <c r="B9" s="32">
        <v>3.1709000000000001</v>
      </c>
      <c r="C9" s="32">
        <v>3.1475</v>
      </c>
      <c r="D9" s="32">
        <v>85.949200000000005</v>
      </c>
      <c r="E9" s="32">
        <v>4.5529000000000002</v>
      </c>
      <c r="F9" s="32">
        <v>4.5688000000000004</v>
      </c>
      <c r="G9" s="32">
        <v>4.6725000000000003</v>
      </c>
      <c r="J9" s="6" t="s">
        <v>30</v>
      </c>
      <c r="K9" s="114">
        <f>AVERAGE(B9:B10)/AVERAGE(D9:D10)</f>
        <v>3.6854660375058766E-2</v>
      </c>
      <c r="L9" s="114">
        <f>AVERAGE(B9:C10)/E9</f>
        <v>0.6949691405477828</v>
      </c>
      <c r="M9" s="115">
        <f>AVERAGE(B9:C10)/F9</f>
        <v>0.6925505603221852</v>
      </c>
      <c r="N9" s="115">
        <f>AVERAGE(B9:C10)/G9</f>
        <v>0.67718031032637771</v>
      </c>
    </row>
    <row r="10" spans="1:15" ht="15.75" customHeight="1">
      <c r="A10" s="7" t="s">
        <v>679</v>
      </c>
      <c r="B10" s="32">
        <v>3.1789000000000001</v>
      </c>
      <c r="C10" s="32">
        <v>3.1591999999999998</v>
      </c>
      <c r="D10" s="32">
        <v>86.343800000000002</v>
      </c>
      <c r="E10" s="32" t="s">
        <v>680</v>
      </c>
      <c r="F10" s="32" t="s">
        <v>680</v>
      </c>
      <c r="G10" s="32" t="s">
        <v>680</v>
      </c>
      <c r="J10" s="6" t="s">
        <v>31</v>
      </c>
      <c r="K10" s="114">
        <f t="shared" ref="K10:N10" si="0">K9/K8</f>
        <v>1.0779075915635998</v>
      </c>
      <c r="L10" s="114">
        <f t="shared" si="0"/>
        <v>1.0707241790520083</v>
      </c>
      <c r="M10" s="114">
        <f t="shared" si="0"/>
        <v>1.071057951957366</v>
      </c>
      <c r="N10" s="114">
        <f t="shared" si="0"/>
        <v>1.0538375973167986</v>
      </c>
    </row>
    <row r="11" spans="1:15" ht="15.75" customHeight="1">
      <c r="A11" s="8"/>
      <c r="B11" s="8"/>
      <c r="C11" s="8"/>
      <c r="D11" s="8"/>
      <c r="E11" s="8"/>
      <c r="J11" s="37" t="s">
        <v>0</v>
      </c>
      <c r="K11" s="110">
        <f t="shared" ref="K11:N11" si="1">LN(1-$B$4)/LN((1-$B$4)*K10)</f>
        <v>1.0287084820311418</v>
      </c>
      <c r="L11" s="110">
        <f t="shared" si="1"/>
        <v>1.0260830185260512</v>
      </c>
      <c r="M11" s="110">
        <f t="shared" si="1"/>
        <v>1.0262051009641942</v>
      </c>
      <c r="N11" s="110">
        <f t="shared" si="1"/>
        <v>1.0198945946660383</v>
      </c>
    </row>
    <row r="12" spans="1:15" ht="15.75" customHeight="1">
      <c r="A12" s="17" t="s">
        <v>19</v>
      </c>
      <c r="B12" s="8"/>
      <c r="C12" s="8"/>
      <c r="D12" s="8"/>
      <c r="E12" s="8"/>
      <c r="J12" s="39" t="s">
        <v>38</v>
      </c>
      <c r="K12" s="11">
        <f t="shared" ref="K12:N12" si="2">K11*SQRT(D25^2*(K16+K17)+D27^2*($B$3/$B$4)^2)</f>
        <v>1.522666708822425E-3</v>
      </c>
      <c r="L12" s="11">
        <f t="shared" si="2"/>
        <v>1.5032041231763948E-3</v>
      </c>
      <c r="M12" s="11">
        <f t="shared" si="2"/>
        <v>1.5019956797470264E-3</v>
      </c>
      <c r="N12" s="11">
        <f t="shared" si="2"/>
        <v>1.4570945216872927E-3</v>
      </c>
    </row>
    <row r="13" spans="1:15" ht="15.75" customHeight="1">
      <c r="A13" s="6" t="s">
        <v>68</v>
      </c>
      <c r="B13" s="6" t="s">
        <v>144</v>
      </c>
      <c r="C13" s="6" t="s">
        <v>144</v>
      </c>
      <c r="D13" s="6" t="s">
        <v>145</v>
      </c>
      <c r="E13" s="6" t="s">
        <v>659</v>
      </c>
      <c r="F13" s="6" t="s">
        <v>660</v>
      </c>
      <c r="G13" s="6" t="s">
        <v>661</v>
      </c>
      <c r="M13" s="32"/>
    </row>
    <row r="14" spans="1:15" ht="15.75" customHeight="1">
      <c r="A14" s="7" t="s">
        <v>676</v>
      </c>
      <c r="B14" s="32">
        <v>3.4500000000000003E-2</v>
      </c>
      <c r="C14" s="32">
        <v>3.5799999999999998E-2</v>
      </c>
      <c r="D14" s="32">
        <v>3.1899999999999998E-2</v>
      </c>
      <c r="E14" s="32">
        <v>8.0000000000000004E-4</v>
      </c>
      <c r="F14" s="32">
        <v>1.4E-3</v>
      </c>
      <c r="G14" s="32">
        <v>3.0999999999999999E-3</v>
      </c>
      <c r="L14" s="8"/>
      <c r="M14" s="32"/>
    </row>
    <row r="15" spans="1:15" ht="15.75" customHeight="1">
      <c r="A15" s="7" t="s">
        <v>678</v>
      </c>
      <c r="B15" s="22">
        <v>2.8299999999999999E-2</v>
      </c>
      <c r="C15" s="32">
        <v>2.8400000000000002E-2</v>
      </c>
      <c r="D15" s="32">
        <v>1.7999999999999999E-2</v>
      </c>
      <c r="E15" s="32">
        <v>2.8999999999999998E-3</v>
      </c>
      <c r="F15" s="32">
        <v>6.9999999999999999E-4</v>
      </c>
      <c r="G15" s="32">
        <v>1.1000000000000001E-3</v>
      </c>
      <c r="K15" s="6" t="s">
        <v>194</v>
      </c>
      <c r="L15" s="6" t="s">
        <v>654</v>
      </c>
      <c r="M15" s="6" t="s">
        <v>655</v>
      </c>
      <c r="N15" s="6" t="s">
        <v>656</v>
      </c>
    </row>
    <row r="16" spans="1:15" ht="15.75" customHeight="1">
      <c r="A16" s="7" t="s">
        <v>679</v>
      </c>
      <c r="B16" s="22">
        <v>2.93E-2</v>
      </c>
      <c r="C16" s="22">
        <v>3.8800000000000001E-2</v>
      </c>
      <c r="D16" s="32">
        <v>1.66E-2</v>
      </c>
      <c r="E16" s="32" t="s">
        <v>680</v>
      </c>
      <c r="F16" s="32" t="s">
        <v>680</v>
      </c>
      <c r="G16" s="32" t="s">
        <v>680</v>
      </c>
      <c r="J16" s="6" t="s">
        <v>44</v>
      </c>
      <c r="K16" s="34">
        <f>(D18/D8)^2+(B18/B8)^2</f>
        <v>7.9067051758788482E-6</v>
      </c>
      <c r="L16" s="34">
        <f>(E18/E8)^2+(B18/B8)^2</f>
        <v>7.8945068504143029E-6</v>
      </c>
      <c r="M16" s="34">
        <f>(F18/F8)^2+(B18/B8)^2</f>
        <v>7.9017974388262973E-6</v>
      </c>
      <c r="N16" s="34">
        <f>(G18/G8)^2+(B18/B8)^2</f>
        <v>7.9435462674908823E-6</v>
      </c>
    </row>
    <row r="17" spans="1:18" ht="15.75" customHeight="1">
      <c r="A17" s="7"/>
      <c r="B17" s="11"/>
      <c r="C17" s="11"/>
      <c r="D17" s="11"/>
      <c r="E17" s="8"/>
      <c r="J17" s="6" t="s">
        <v>42</v>
      </c>
      <c r="K17" s="34">
        <f>(B19/AVERAGE(B9:B10))^2+(D19/AVERAGE(D9:D10))^2</f>
        <v>5.1494617128456112E-6</v>
      </c>
      <c r="L17" s="34">
        <f>(E19/E9)^2+(B19/AVERAGE(B9:B10))^2</f>
        <v>5.1951265646768215E-6</v>
      </c>
      <c r="M17" s="34">
        <f>(F19/F9)^2+(B19/AVERAGE(B9:B10))^2</f>
        <v>5.1473466222004611E-6</v>
      </c>
      <c r="N17" s="34">
        <f>(G19/G9)^2+(B19/AVERAGE(B9:B10))^2</f>
        <v>5.1513401632233789E-6</v>
      </c>
    </row>
    <row r="18" spans="1:18" ht="15.75" customHeight="1">
      <c r="A18" s="7" t="s">
        <v>197</v>
      </c>
      <c r="B18" s="11">
        <f t="shared" ref="B18:C18" si="3">B14/SQRT($G$2)</f>
        <v>8.6250000000000007E-3</v>
      </c>
      <c r="C18" s="11">
        <f t="shared" si="3"/>
        <v>8.9499999999999996E-3</v>
      </c>
      <c r="D18" s="11">
        <f t="shared" ref="D18:G18" si="4">D14/SQRT($G$4)</f>
        <v>1.1278353159925432E-2</v>
      </c>
      <c r="E18" s="11">
        <f t="shared" si="4"/>
        <v>2.8284271247461902E-4</v>
      </c>
      <c r="F18" s="11">
        <f t="shared" si="4"/>
        <v>4.9497474683058318E-4</v>
      </c>
      <c r="G18" s="11">
        <f t="shared" si="4"/>
        <v>1.0960155108391486E-3</v>
      </c>
      <c r="J18" s="7" t="s">
        <v>209</v>
      </c>
    </row>
    <row r="19" spans="1:18" ht="15.75" customHeight="1">
      <c r="A19" s="7" t="s">
        <v>198</v>
      </c>
      <c r="B19" s="11">
        <f t="shared" ref="B19:C19" si="5">SQRT(AVERAGE(B15^2+B16^2))/SQRT(2*$G$2)</f>
        <v>7.2010849876945615E-3</v>
      </c>
      <c r="C19" s="11">
        <f t="shared" si="5"/>
        <v>8.5000000000000006E-3</v>
      </c>
      <c r="D19" s="11">
        <f>SQRT(AVERAGE(D15^2+D16^2))/SQRT(2*$G$4)</f>
        <v>6.1214785795590263E-3</v>
      </c>
      <c r="E19" s="11">
        <f t="shared" ref="E19:G19" si="6">E15/SQRT($G$4)</f>
        <v>1.0253048327204938E-3</v>
      </c>
      <c r="F19" s="11">
        <f t="shared" si="6"/>
        <v>2.4748737341529159E-4</v>
      </c>
      <c r="G19" s="11">
        <f t="shared" si="6"/>
        <v>3.8890872965260113E-4</v>
      </c>
    </row>
    <row r="20" spans="1:18" ht="15.75" customHeight="1">
      <c r="A20" s="7" t="s">
        <v>208</v>
      </c>
      <c r="B20" s="8"/>
      <c r="C20" s="8"/>
      <c r="D20" s="8"/>
      <c r="E20" s="8"/>
      <c r="J20" s="7" t="s">
        <v>663</v>
      </c>
      <c r="K20" s="7" t="s">
        <v>14</v>
      </c>
      <c r="L20" s="2" t="s">
        <v>269</v>
      </c>
      <c r="M20" s="2" t="s">
        <v>269</v>
      </c>
      <c r="N20" s="2" t="s">
        <v>269</v>
      </c>
    </row>
    <row r="21" spans="1:18" ht="15.75" customHeight="1">
      <c r="A21" s="7" t="s">
        <v>210</v>
      </c>
      <c r="B21" s="8"/>
      <c r="C21" s="8"/>
      <c r="D21" s="8"/>
      <c r="E21" s="8"/>
      <c r="F21" s="8"/>
      <c r="J21" s="8"/>
      <c r="K21" s="6" t="s">
        <v>194</v>
      </c>
      <c r="L21" s="6" t="s">
        <v>654</v>
      </c>
      <c r="M21" s="6" t="s">
        <v>654</v>
      </c>
      <c r="N21" s="6" t="s">
        <v>654</v>
      </c>
    </row>
    <row r="22" spans="1:18" ht="15.75" customHeight="1">
      <c r="A22" s="7"/>
      <c r="B22" s="8"/>
      <c r="C22" s="8"/>
      <c r="D22" s="8"/>
      <c r="E22" s="8"/>
      <c r="F22" s="8"/>
      <c r="H22" s="6" t="s">
        <v>215</v>
      </c>
      <c r="J22" s="6" t="s">
        <v>27</v>
      </c>
      <c r="K22" s="114">
        <f>C8/D8</f>
        <v>3.3890264761429645E-2</v>
      </c>
      <c r="L22" s="114">
        <f>C8/E8</f>
        <v>0.64335693901278934</v>
      </c>
      <c r="M22" s="109">
        <f>C8/F8</f>
        <v>0.64091818468990214</v>
      </c>
      <c r="N22" s="109">
        <f>C8/G8</f>
        <v>0.63693441044744881</v>
      </c>
    </row>
    <row r="23" spans="1:18" ht="15.75" customHeight="1">
      <c r="A23" s="17" t="s">
        <v>148</v>
      </c>
      <c r="B23" s="8"/>
      <c r="C23" s="8"/>
      <c r="D23" s="7" t="s">
        <v>14</v>
      </c>
      <c r="E23" s="7" t="s">
        <v>269</v>
      </c>
      <c r="F23" s="7" t="s">
        <v>269</v>
      </c>
      <c r="G23" s="2" t="s">
        <v>269</v>
      </c>
      <c r="H23" s="7" t="s">
        <v>666</v>
      </c>
      <c r="J23" s="6" t="s">
        <v>30</v>
      </c>
      <c r="K23" s="114">
        <f>AVERAGE(C9:C10)/AVERAGE(D9:D10)</f>
        <v>3.6604505116284464E-2</v>
      </c>
      <c r="L23" s="114">
        <f>AVERAGE(C9:C10)/E9</f>
        <v>0.69260251707702769</v>
      </c>
      <c r="M23" s="115">
        <f>AVERAGE(C9:C10)/F9</f>
        <v>0.69019217299947455</v>
      </c>
      <c r="N23" s="115">
        <f>AVERAGE(C9:C10)/G9</f>
        <v>0.67487426431246644</v>
      </c>
    </row>
    <row r="24" spans="1:18" ht="15.75" customHeight="1">
      <c r="B24" s="13"/>
      <c r="C24" s="13"/>
      <c r="D24" s="1" t="s">
        <v>194</v>
      </c>
      <c r="E24" s="6" t="s">
        <v>654</v>
      </c>
      <c r="F24" s="6" t="s">
        <v>655</v>
      </c>
      <c r="G24" s="6" t="s">
        <v>656</v>
      </c>
      <c r="H24" s="7" t="s">
        <v>666</v>
      </c>
      <c r="J24" s="6" t="s">
        <v>31</v>
      </c>
      <c r="K24" s="114">
        <f t="shared" ref="K24:N24" si="7">K23/K22</f>
        <v>1.080089086761691</v>
      </c>
      <c r="L24" s="114">
        <f t="shared" si="7"/>
        <v>1.0765447220322271</v>
      </c>
      <c r="M24" s="114">
        <f t="shared" si="7"/>
        <v>1.0768803093540136</v>
      </c>
      <c r="N24" s="114">
        <f t="shared" si="7"/>
        <v>1.0595663434769755</v>
      </c>
    </row>
    <row r="25" spans="1:18" ht="15.75" customHeight="1">
      <c r="A25" s="7" t="s">
        <v>664</v>
      </c>
      <c r="B25" s="16"/>
      <c r="C25" s="16"/>
      <c r="D25" s="16">
        <f t="shared" ref="D25:G25" si="8">K11*K11/LN(1-$B$4)</f>
        <v>-0.39365464375907694</v>
      </c>
      <c r="E25" s="16">
        <f t="shared" si="8"/>
        <v>-0.39164784194965674</v>
      </c>
      <c r="F25" s="16">
        <f t="shared" si="8"/>
        <v>-0.39174104331244802</v>
      </c>
      <c r="G25" s="16">
        <f t="shared" si="8"/>
        <v>-0.38693794216144484</v>
      </c>
      <c r="H25" s="7"/>
      <c r="J25" s="37" t="s">
        <v>0</v>
      </c>
      <c r="K25" s="125">
        <f t="shared" ref="K25:N25" si="9">LN(1-$B$4)/LN((1-$B$4)*K24)</f>
        <v>1.0295049808634433</v>
      </c>
      <c r="L25" s="125">
        <f t="shared" si="9"/>
        <v>1.0282106846346539</v>
      </c>
      <c r="M25" s="125">
        <f t="shared" si="9"/>
        <v>1.0283332739235782</v>
      </c>
      <c r="N25" s="125">
        <f t="shared" si="9"/>
        <v>1.0219966474842628</v>
      </c>
      <c r="P25" s="2" t="s">
        <v>668</v>
      </c>
    </row>
    <row r="26" spans="1:18" ht="15.75" customHeight="1">
      <c r="A26" s="7" t="s">
        <v>667</v>
      </c>
      <c r="B26" s="16"/>
      <c r="C26" s="16"/>
      <c r="D26" s="16">
        <f t="shared" ref="D26:G26" si="10">K25/LN(1-$B$4)</f>
        <v>-0.38296509253642375</v>
      </c>
      <c r="E26" s="16">
        <f t="shared" si="10"/>
        <v>-0.38248362786724638</v>
      </c>
      <c r="F26" s="16">
        <f t="shared" si="10"/>
        <v>-0.38252922980142784</v>
      </c>
      <c r="G26" s="16">
        <f t="shared" si="10"/>
        <v>-0.38017207099616795</v>
      </c>
      <c r="H26" s="2"/>
      <c r="I26" s="8"/>
      <c r="J26" s="39" t="s">
        <v>38</v>
      </c>
      <c r="K26" s="11">
        <f t="shared" ref="K26:N26" si="11">K25*SQRT(D26^2*(K30+K31))</f>
        <v>1.5738530118960781E-3</v>
      </c>
      <c r="L26" s="11">
        <f t="shared" si="11"/>
        <v>1.5715458693828705E-3</v>
      </c>
      <c r="M26" s="11">
        <f t="shared" si="11"/>
        <v>1.5699265024325317E-3</v>
      </c>
      <c r="N26" s="11">
        <f t="shared" si="11"/>
        <v>1.5528632068027945E-3</v>
      </c>
      <c r="P26" s="27" t="s">
        <v>226</v>
      </c>
    </row>
    <row r="27" spans="1:18" ht="15.75" customHeight="1">
      <c r="A27" s="7" t="s">
        <v>47</v>
      </c>
      <c r="B27" s="16"/>
      <c r="C27" s="16"/>
      <c r="D27" s="16">
        <f t="shared" ref="D27:G27" si="12">((K11-1)*$B$4)/(1-$B$4*(LN(1-$B$4)))</f>
        <v>7.6327804262349393E-3</v>
      </c>
      <c r="E27" s="16">
        <f t="shared" si="12"/>
        <v>6.9347432945707924E-3</v>
      </c>
      <c r="F27" s="16">
        <f t="shared" si="12"/>
        <v>6.9672015918514916E-3</v>
      </c>
      <c r="G27" s="16">
        <f t="shared" si="12"/>
        <v>5.289414904978005E-3</v>
      </c>
      <c r="I27" s="8"/>
      <c r="M27" s="32"/>
      <c r="P27" s="2" t="s">
        <v>227</v>
      </c>
    </row>
    <row r="28" spans="1:18" ht="15.75" customHeight="1">
      <c r="A28" s="7"/>
      <c r="B28" s="16"/>
      <c r="C28" s="16"/>
      <c r="D28" s="16"/>
      <c r="E28" s="16"/>
      <c r="G28" s="8"/>
      <c r="P28" s="2" t="s">
        <v>228</v>
      </c>
    </row>
    <row r="29" spans="1:18" ht="15.75" customHeight="1">
      <c r="A29" s="8"/>
      <c r="B29" s="8"/>
      <c r="C29" s="8"/>
      <c r="D29" s="8"/>
      <c r="E29" s="27"/>
      <c r="F29" s="2"/>
      <c r="K29" s="6" t="s">
        <v>194</v>
      </c>
      <c r="L29" s="6" t="s">
        <v>654</v>
      </c>
      <c r="M29" s="6" t="s">
        <v>655</v>
      </c>
      <c r="N29" s="6" t="s">
        <v>656</v>
      </c>
    </row>
    <row r="30" spans="1:18" ht="13">
      <c r="C30" s="111"/>
      <c r="J30" s="6" t="s">
        <v>44</v>
      </c>
      <c r="K30" s="34">
        <f t="shared" ref="K30:N30" si="13">($C18/$C8)^2+(D18/D8)^2</f>
        <v>8.6640185955921923E-6</v>
      </c>
      <c r="L30" s="34">
        <f t="shared" si="13"/>
        <v>8.651820270127647E-6</v>
      </c>
      <c r="M30" s="34">
        <f t="shared" si="13"/>
        <v>8.6591108585396413E-6</v>
      </c>
      <c r="N30" s="34">
        <f t="shared" si="13"/>
        <v>8.7008596872042264E-6</v>
      </c>
      <c r="Q30" s="7"/>
      <c r="R30" s="2"/>
    </row>
    <row r="31" spans="1:18" ht="13">
      <c r="J31" s="6" t="s">
        <v>42</v>
      </c>
      <c r="K31" s="34">
        <f>(C19/AVERAGE(C9:C10))^2+(D19/AVERAGE(D9:D10))^2</f>
        <v>7.2710176461495041E-6</v>
      </c>
      <c r="L31" s="34">
        <f>(C19/AVERAGE(C9:C10))^2+(E19/E9)^2</f>
        <v>7.3166824979807143E-6</v>
      </c>
      <c r="M31" s="34">
        <f>(C19/AVERAGE(C9:C10))^2+(F19/F9)^2</f>
        <v>7.2689025555043539E-6</v>
      </c>
      <c r="N31" s="34">
        <f>(C19/AVERAGE(C9:C10))^2+(G19/G9)^2</f>
        <v>7.2728960965272718E-6</v>
      </c>
      <c r="Q31" s="6"/>
      <c r="R31" s="6"/>
    </row>
    <row r="32" spans="1:18" ht="13">
      <c r="J32" s="7" t="s">
        <v>209</v>
      </c>
      <c r="Q32" s="16"/>
      <c r="R32" s="16"/>
    </row>
    <row r="33" spans="1:18" ht="13">
      <c r="Q33" s="16"/>
      <c r="R33" s="16"/>
    </row>
    <row r="34" spans="1:18" ht="13">
      <c r="K34" s="7" t="s">
        <v>651</v>
      </c>
      <c r="L34" s="7" t="s">
        <v>14</v>
      </c>
      <c r="M34" s="2" t="s">
        <v>269</v>
      </c>
      <c r="N34" s="7" t="s">
        <v>14</v>
      </c>
      <c r="O34" s="2" t="s">
        <v>269</v>
      </c>
      <c r="Q34" s="16"/>
      <c r="R34" s="16"/>
    </row>
    <row r="35" spans="1:18" ht="13">
      <c r="A35" s="2"/>
      <c r="B35" s="293" t="s">
        <v>669</v>
      </c>
      <c r="C35" s="292"/>
      <c r="D35" s="294" t="s">
        <v>670</v>
      </c>
      <c r="E35" s="292"/>
      <c r="F35" s="294" t="s">
        <v>671</v>
      </c>
      <c r="G35" s="292"/>
      <c r="K35" s="8"/>
      <c r="L35" s="6" t="s">
        <v>650</v>
      </c>
      <c r="M35" s="6" t="s">
        <v>650</v>
      </c>
      <c r="N35" s="6" t="s">
        <v>649</v>
      </c>
      <c r="O35" s="6" t="s">
        <v>649</v>
      </c>
      <c r="Q35" s="16"/>
      <c r="R35" s="16"/>
    </row>
    <row r="36" spans="1:18" ht="13">
      <c r="A36" s="17" t="s">
        <v>15</v>
      </c>
      <c r="B36" s="7" t="s">
        <v>263</v>
      </c>
      <c r="C36" s="7" t="s">
        <v>263</v>
      </c>
      <c r="D36" s="2" t="s">
        <v>263</v>
      </c>
      <c r="E36" s="2" t="s">
        <v>263</v>
      </c>
      <c r="F36" s="2" t="s">
        <v>263</v>
      </c>
      <c r="G36" s="2" t="s">
        <v>263</v>
      </c>
      <c r="H36" s="7" t="s">
        <v>14</v>
      </c>
      <c r="I36" s="7" t="s">
        <v>269</v>
      </c>
      <c r="K36" s="6" t="s">
        <v>27</v>
      </c>
      <c r="L36" s="16">
        <f t="shared" ref="L36:L37" si="14">B38/H38</f>
        <v>0.10478655168727508</v>
      </c>
      <c r="M36" s="16">
        <f t="shared" ref="M36:M37" si="15">B38/I38</f>
        <v>1.9816784247657155</v>
      </c>
      <c r="N36" s="16">
        <f t="shared" ref="N36:N37" si="16">C38/H38</f>
        <v>8.4423885543241997E-2</v>
      </c>
      <c r="O36" s="16">
        <f t="shared" ref="O36:O37" si="17">C38/I38</f>
        <v>1.5965883963356851</v>
      </c>
      <c r="Q36" s="11"/>
      <c r="R36" s="11"/>
    </row>
    <row r="37" spans="1:18" ht="13">
      <c r="A37" s="6" t="s">
        <v>68</v>
      </c>
      <c r="B37" s="6" t="s">
        <v>650</v>
      </c>
      <c r="C37" s="6" t="s">
        <v>649</v>
      </c>
      <c r="D37" s="1" t="s">
        <v>672</v>
      </c>
      <c r="E37" s="1" t="s">
        <v>673</v>
      </c>
      <c r="F37" s="1" t="s">
        <v>674</v>
      </c>
      <c r="G37" s="1" t="s">
        <v>675</v>
      </c>
      <c r="H37" s="6" t="s">
        <v>71</v>
      </c>
      <c r="I37" s="6" t="s">
        <v>652</v>
      </c>
      <c r="K37" s="6" t="s">
        <v>30</v>
      </c>
      <c r="L37" s="16">
        <f t="shared" si="14"/>
        <v>0.10489572994840185</v>
      </c>
      <c r="M37" s="16">
        <f t="shared" si="15"/>
        <v>1.9778497636140779</v>
      </c>
      <c r="N37" s="16">
        <f t="shared" si="16"/>
        <v>8.4565246411635986E-2</v>
      </c>
      <c r="O37" s="16">
        <f t="shared" si="17"/>
        <v>1.5945105935913149</v>
      </c>
    </row>
    <row r="38" spans="1:18" ht="14">
      <c r="A38" s="7" t="s">
        <v>676</v>
      </c>
      <c r="B38" s="32">
        <v>9.41</v>
      </c>
      <c r="C38" s="32">
        <v>7.5814000000000004</v>
      </c>
      <c r="D38" s="32">
        <v>6.6547999999999998</v>
      </c>
      <c r="E38" s="32">
        <v>9.2073</v>
      </c>
      <c r="F38" s="32">
        <v>9.0193999999999992</v>
      </c>
      <c r="G38" s="32">
        <v>9.1837</v>
      </c>
      <c r="H38" s="32">
        <v>89.801599999999993</v>
      </c>
      <c r="I38" s="32">
        <v>4.7484999999999999</v>
      </c>
      <c r="K38" s="6" t="s">
        <v>31</v>
      </c>
      <c r="L38" s="16">
        <f t="shared" ref="L38:O38" si="18">L37/L36</f>
        <v>1.0010419110025932</v>
      </c>
      <c r="M38" s="16">
        <f t="shared" si="18"/>
        <v>0.99806797051237506</v>
      </c>
      <c r="N38" s="16">
        <f t="shared" si="18"/>
        <v>1.0016744179385297</v>
      </c>
      <c r="O38" s="16">
        <f t="shared" si="18"/>
        <v>0.99869859836815866</v>
      </c>
    </row>
    <row r="39" spans="1:18" ht="14">
      <c r="A39" s="7" t="s">
        <v>696</v>
      </c>
      <c r="B39" s="32">
        <v>9.0364000000000004</v>
      </c>
      <c r="C39" s="32">
        <v>7.2850000000000001</v>
      </c>
      <c r="D39" s="32">
        <v>6.3606999999999996</v>
      </c>
      <c r="E39" s="32">
        <v>8.8836999999999993</v>
      </c>
      <c r="F39" s="32">
        <v>8.7973999999999997</v>
      </c>
      <c r="G39" s="32">
        <v>8.5907999999999998</v>
      </c>
      <c r="H39" s="32">
        <f>AVERAGE(D9:D10)</f>
        <v>86.146500000000003</v>
      </c>
      <c r="I39" s="32">
        <v>4.5688000000000004</v>
      </c>
      <c r="K39" s="37" t="s">
        <v>0</v>
      </c>
      <c r="L39" s="110">
        <f t="shared" ref="L39:O39" si="19">LN(1-$B$4)/LN((1-$B$4)*L38)</f>
        <v>1.0003875283512051</v>
      </c>
      <c r="M39" s="110">
        <f t="shared" si="19"/>
        <v>0.99928112720867257</v>
      </c>
      <c r="N39" s="110">
        <f t="shared" si="19"/>
        <v>1.000622732639177</v>
      </c>
      <c r="O39" s="110">
        <f t="shared" si="19"/>
        <v>0.99951581146434521</v>
      </c>
    </row>
    <row r="40" spans="1:18" ht="13">
      <c r="A40" s="8"/>
      <c r="B40" s="8"/>
      <c r="C40" s="8"/>
      <c r="H40" s="8"/>
      <c r="I40" s="8"/>
      <c r="K40" s="39" t="s">
        <v>38</v>
      </c>
      <c r="L40" s="11">
        <f t="shared" ref="L40:O40" si="20">L39*SQRT(B54^2*(B50+B51))</f>
        <v>1.9810766659427944E-3</v>
      </c>
      <c r="M40" s="11">
        <f t="shared" si="20"/>
        <v>1.9762756754618423E-3</v>
      </c>
      <c r="N40" s="11">
        <f t="shared" si="20"/>
        <v>1.7829337616583113E-3</v>
      </c>
      <c r="O40" s="11">
        <f t="shared" si="20"/>
        <v>1.7785226034886595E-3</v>
      </c>
    </row>
    <row r="41" spans="1:18" ht="14">
      <c r="A41" s="17" t="s">
        <v>19</v>
      </c>
      <c r="B41" s="8"/>
      <c r="C41" s="8"/>
      <c r="H41" s="8"/>
      <c r="I41" s="8"/>
      <c r="N41" s="32"/>
    </row>
    <row r="42" spans="1:18" ht="13">
      <c r="A42" s="6" t="s">
        <v>68</v>
      </c>
      <c r="B42" s="6" t="s">
        <v>144</v>
      </c>
      <c r="C42" s="6" t="s">
        <v>144</v>
      </c>
      <c r="D42" s="6" t="s">
        <v>144</v>
      </c>
      <c r="E42" s="6" t="s">
        <v>144</v>
      </c>
      <c r="F42" s="6" t="s">
        <v>144</v>
      </c>
      <c r="G42" s="6" t="s">
        <v>144</v>
      </c>
      <c r="H42" s="6" t="s">
        <v>145</v>
      </c>
      <c r="I42" s="6" t="s">
        <v>660</v>
      </c>
      <c r="K42" s="7" t="s">
        <v>652</v>
      </c>
      <c r="L42" s="7" t="s">
        <v>14</v>
      </c>
      <c r="M42" s="2" t="s">
        <v>269</v>
      </c>
      <c r="N42" s="7" t="s">
        <v>14</v>
      </c>
      <c r="O42" s="2" t="s">
        <v>269</v>
      </c>
    </row>
    <row r="43" spans="1:18" ht="14">
      <c r="A43" s="7" t="s">
        <v>676</v>
      </c>
      <c r="B43" s="32">
        <v>0.105</v>
      </c>
      <c r="C43" s="32">
        <v>8.1000000000000003E-2</v>
      </c>
      <c r="D43" s="32">
        <v>0.13669999999999999</v>
      </c>
      <c r="E43" s="32">
        <v>0.19089999999999999</v>
      </c>
      <c r="F43" s="32">
        <v>0.23519999999999999</v>
      </c>
      <c r="G43" s="32">
        <v>0.2495</v>
      </c>
      <c r="H43" s="32">
        <f>D14</f>
        <v>3.1899999999999998E-2</v>
      </c>
      <c r="I43" s="32">
        <v>1.4E-3</v>
      </c>
      <c r="J43" s="16"/>
      <c r="K43" s="8"/>
      <c r="L43" s="6" t="s">
        <v>672</v>
      </c>
      <c r="M43" s="6" t="s">
        <v>672</v>
      </c>
      <c r="N43" s="6" t="s">
        <v>673</v>
      </c>
      <c r="O43" s="6" t="s">
        <v>673</v>
      </c>
    </row>
    <row r="44" spans="1:18" ht="14">
      <c r="A44" s="7" t="s">
        <v>696</v>
      </c>
      <c r="B44" s="22">
        <v>0.13250000000000001</v>
      </c>
      <c r="C44" s="22">
        <v>9.2299999999999993E-2</v>
      </c>
      <c r="D44" s="32">
        <v>0.1353</v>
      </c>
      <c r="E44" s="32">
        <v>0.1802</v>
      </c>
      <c r="F44" s="32">
        <v>0.28610000000000002</v>
      </c>
      <c r="G44" s="32">
        <v>0.2631</v>
      </c>
      <c r="H44" s="107">
        <f>SQRT(AVERAGE(D15^2+D16^2))</f>
        <v>2.4485914318236105E-2</v>
      </c>
      <c r="I44" s="32">
        <v>6.9999999999999999E-4</v>
      </c>
      <c r="J44" s="16"/>
      <c r="K44" s="6" t="s">
        <v>27</v>
      </c>
      <c r="L44" s="16">
        <f t="shared" ref="L44:L45" si="21">D38/H38</f>
        <v>7.4105583864875466E-2</v>
      </c>
      <c r="M44" s="16">
        <f t="shared" ref="M44:M45" si="22">D38/I38</f>
        <v>1.4014530904496156</v>
      </c>
      <c r="N44" s="16">
        <f t="shared" ref="N44:N45" si="23">E38/H38</f>
        <v>0.10252935359726331</v>
      </c>
      <c r="O44" s="16">
        <f t="shared" ref="O44:O45" si="24">E38/I38</f>
        <v>1.9389912603980204</v>
      </c>
    </row>
    <row r="45" spans="1:18" ht="13">
      <c r="A45" s="8"/>
      <c r="D45" s="8"/>
      <c r="F45" s="8"/>
      <c r="G45" s="8"/>
      <c r="H45" s="6"/>
      <c r="I45" s="16"/>
      <c r="J45" s="11"/>
      <c r="K45" s="6" t="s">
        <v>30</v>
      </c>
      <c r="L45" s="16">
        <f t="shared" si="21"/>
        <v>7.3835849396086894E-2</v>
      </c>
      <c r="M45" s="16">
        <f t="shared" si="22"/>
        <v>1.3922036420942039</v>
      </c>
      <c r="N45" s="16">
        <f t="shared" si="23"/>
        <v>0.10312316809156494</v>
      </c>
      <c r="O45" s="16">
        <f t="shared" si="24"/>
        <v>1.9444274207669408</v>
      </c>
    </row>
    <row r="46" spans="1:18" ht="13">
      <c r="A46" s="7" t="s">
        <v>197</v>
      </c>
      <c r="B46" s="11">
        <f t="shared" ref="B46:G46" si="25">B43/SQRT($G$3)</f>
        <v>3.0310889132455353E-2</v>
      </c>
      <c r="C46" s="11">
        <f t="shared" si="25"/>
        <v>2.3382685902179845E-2</v>
      </c>
      <c r="D46" s="11">
        <f t="shared" si="25"/>
        <v>3.9461890899110917E-2</v>
      </c>
      <c r="E46" s="11">
        <f t="shared" si="25"/>
        <v>5.5108083194149782E-2</v>
      </c>
      <c r="F46" s="11">
        <f t="shared" si="25"/>
        <v>6.7896391656699986E-2</v>
      </c>
      <c r="G46" s="11">
        <f t="shared" si="25"/>
        <v>7.2024446081405818E-2</v>
      </c>
      <c r="H46" s="11">
        <f t="shared" ref="H46:I46" si="26">H43/SQRT($G$4)</f>
        <v>1.1278353159925432E-2</v>
      </c>
      <c r="I46" s="11">
        <f t="shared" si="26"/>
        <v>4.9497474683058318E-4</v>
      </c>
      <c r="K46" s="6" t="s">
        <v>31</v>
      </c>
      <c r="L46" s="16">
        <f t="shared" ref="L46:O46" si="27">L45/L44</f>
        <v>0.99636013300589599</v>
      </c>
      <c r="M46" s="16">
        <f t="shared" si="27"/>
        <v>0.99340010135305756</v>
      </c>
      <c r="N46" s="16">
        <f t="shared" si="27"/>
        <v>1.0057916535457165</v>
      </c>
      <c r="O46" s="16">
        <f t="shared" si="27"/>
        <v>1.0028036023059765</v>
      </c>
    </row>
    <row r="47" spans="1:18" ht="13">
      <c r="A47" s="7" t="s">
        <v>198</v>
      </c>
      <c r="B47" s="11">
        <f t="shared" ref="B47:G47" si="28">B44/SQRT($G$3)</f>
        <v>3.8249455333812708E-2</v>
      </c>
      <c r="C47" s="11">
        <f t="shared" si="28"/>
        <v>2.6644714923101227E-2</v>
      </c>
      <c r="D47" s="11">
        <f t="shared" si="28"/>
        <v>3.9057745710678188E-2</v>
      </c>
      <c r="E47" s="11">
        <f t="shared" si="28"/>
        <v>5.2019259253985282E-2</v>
      </c>
      <c r="F47" s="11">
        <f t="shared" si="28"/>
        <v>8.2589956007575974E-2</v>
      </c>
      <c r="G47" s="11">
        <f t="shared" si="28"/>
        <v>7.5950427911895269E-2</v>
      </c>
      <c r="H47" s="11">
        <f t="shared" ref="H47:I47" si="29">H44/SQRT($G$4)</f>
        <v>8.6570780289887631E-3</v>
      </c>
      <c r="I47" s="11">
        <f t="shared" si="29"/>
        <v>2.4748737341529159E-4</v>
      </c>
      <c r="K47" s="37" t="s">
        <v>0</v>
      </c>
      <c r="L47" s="110">
        <f t="shared" ref="L47:O47" si="30">LN(1-$B$4)/LN((1-$B$4)*L46)</f>
        <v>0.99864537484820792</v>
      </c>
      <c r="M47" s="110">
        <f t="shared" si="30"/>
        <v>0.99754282177458553</v>
      </c>
      <c r="N47" s="110">
        <f t="shared" si="30"/>
        <v>1.0021528444832148</v>
      </c>
      <c r="O47" s="110">
        <f t="shared" si="30"/>
        <v>1.0010425372799874</v>
      </c>
    </row>
    <row r="48" spans="1:18" ht="14">
      <c r="A48" s="7"/>
      <c r="B48" s="15"/>
      <c r="C48" s="15"/>
      <c r="D48" s="15"/>
      <c r="E48" s="15"/>
      <c r="F48" s="15"/>
      <c r="J48" s="6"/>
      <c r="K48" s="39" t="s">
        <v>38</v>
      </c>
      <c r="L48" s="11">
        <f t="shared" ref="L48:O48" si="31">L47*SQRT(B62^2*(B58+B59))</f>
        <v>3.1673805298729407E-3</v>
      </c>
      <c r="M48" s="11">
        <f t="shared" si="31"/>
        <v>3.1601287956906348E-3</v>
      </c>
      <c r="N48" s="11">
        <f t="shared" si="31"/>
        <v>3.1287618738160311E-3</v>
      </c>
      <c r="O48" s="11">
        <f t="shared" si="31"/>
        <v>3.121564184925416E-3</v>
      </c>
    </row>
    <row r="49" spans="1:15" ht="14">
      <c r="B49" s="6" t="s">
        <v>682</v>
      </c>
      <c r="C49" s="6" t="s">
        <v>683</v>
      </c>
      <c r="D49" s="6" t="s">
        <v>684</v>
      </c>
      <c r="E49" s="6" t="s">
        <v>685</v>
      </c>
      <c r="F49" s="15"/>
      <c r="J49" s="34"/>
    </row>
    <row r="50" spans="1:15" ht="13">
      <c r="A50" s="6" t="s">
        <v>44</v>
      </c>
      <c r="B50" s="34">
        <f t="shared" ref="B50:B51" si="32">(B46/B38)^2+(H46/H38)^2</f>
        <v>1.0391490025073406E-5</v>
      </c>
      <c r="C50" s="34">
        <f t="shared" ref="C50:C51" si="33">(B46/B38)^2+(I46/I38)^2</f>
        <v>1.0386582288020856E-5</v>
      </c>
      <c r="D50" s="34">
        <f t="shared" ref="D50:D51" si="34">(C46/C38)^2+(H46/H38)^2</f>
        <v>9.5281703807675569E-6</v>
      </c>
      <c r="E50" s="116">
        <f t="shared" ref="E50:E51" si="35">(C46/C38)^2+(I46/I38)^2</f>
        <v>9.523262643715006E-6</v>
      </c>
      <c r="F50" s="8"/>
      <c r="I50" s="6"/>
      <c r="J50" s="34"/>
      <c r="K50" s="117" t="s">
        <v>653</v>
      </c>
      <c r="L50" s="118" t="s">
        <v>14</v>
      </c>
      <c r="M50" s="76" t="s">
        <v>269</v>
      </c>
      <c r="N50" s="118" t="s">
        <v>14</v>
      </c>
      <c r="O50" s="76" t="s">
        <v>269</v>
      </c>
    </row>
    <row r="51" spans="1:15" ht="13">
      <c r="A51" s="6" t="s">
        <v>42</v>
      </c>
      <c r="B51" s="34">
        <f t="shared" si="32"/>
        <v>1.7926864539499256E-5</v>
      </c>
      <c r="C51" s="34">
        <f t="shared" si="33"/>
        <v>1.791970007655207E-5</v>
      </c>
      <c r="D51" s="34">
        <f t="shared" si="34"/>
        <v>1.3387231707586045E-5</v>
      </c>
      <c r="E51" s="116">
        <f t="shared" si="35"/>
        <v>1.338006724463886E-5</v>
      </c>
      <c r="F51" s="11"/>
      <c r="H51" s="6"/>
      <c r="I51" s="34"/>
      <c r="K51" s="76"/>
      <c r="L51" s="119" t="s">
        <v>674</v>
      </c>
      <c r="M51" s="119" t="s">
        <v>674</v>
      </c>
      <c r="N51" s="119" t="s">
        <v>675</v>
      </c>
      <c r="O51" s="119" t="s">
        <v>675</v>
      </c>
    </row>
    <row r="52" spans="1:15" ht="13">
      <c r="A52" s="7" t="s">
        <v>209</v>
      </c>
      <c r="F52" s="11"/>
      <c r="H52" s="6"/>
      <c r="I52" s="34"/>
      <c r="K52" s="120" t="s">
        <v>27</v>
      </c>
      <c r="L52" s="121">
        <f t="shared" ref="L52:L53" si="36">F38/H38</f>
        <v>0.10043696326123365</v>
      </c>
      <c r="M52" s="121">
        <f t="shared" ref="M52:M53" si="37">F38/I38</f>
        <v>1.8994208697483415</v>
      </c>
      <c r="N52" s="121">
        <f t="shared" ref="N52:N53" si="38">G38/H38</f>
        <v>0.10226655204361616</v>
      </c>
      <c r="O52" s="121">
        <f t="shared" ref="O52:O53" si="39">G38/I38</f>
        <v>1.9340212698746972</v>
      </c>
    </row>
    <row r="53" spans="1:15" ht="13">
      <c r="A53" s="7"/>
      <c r="B53" s="8"/>
      <c r="C53" s="8"/>
      <c r="D53" s="8"/>
      <c r="E53" s="8"/>
      <c r="F53" s="8"/>
      <c r="H53" s="7"/>
      <c r="J53" s="8"/>
      <c r="K53" s="120" t="s">
        <v>30</v>
      </c>
      <c r="L53" s="121">
        <f t="shared" si="36"/>
        <v>0.10212138624320198</v>
      </c>
      <c r="M53" s="121">
        <f t="shared" si="37"/>
        <v>1.9255384345998947</v>
      </c>
      <c r="N53" s="121">
        <f t="shared" si="38"/>
        <v>9.9723146036112889E-2</v>
      </c>
      <c r="O53" s="121">
        <f t="shared" si="39"/>
        <v>1.8803186832428644</v>
      </c>
    </row>
    <row r="54" spans="1:15" ht="13">
      <c r="A54" s="7" t="s">
        <v>54</v>
      </c>
      <c r="B54" s="49">
        <f t="shared" ref="B54:E54" si="40">L39/LN(1-$B$4)</f>
        <v>-0.37213370453631717</v>
      </c>
      <c r="C54" s="49">
        <f t="shared" si="40"/>
        <v>-0.37172213487535544</v>
      </c>
      <c r="D54" s="49">
        <f t="shared" si="40"/>
        <v>-0.37222119807309695</v>
      </c>
      <c r="E54" s="49">
        <f t="shared" si="40"/>
        <v>-0.37180943496555524</v>
      </c>
      <c r="F54" s="8"/>
      <c r="G54" s="8"/>
      <c r="J54" s="8"/>
      <c r="K54" s="120" t="s">
        <v>31</v>
      </c>
      <c r="L54" s="121">
        <f t="shared" ref="L54:O54" si="41">L53/L52</f>
        <v>1.0167709469429815</v>
      </c>
      <c r="M54" s="121">
        <f t="shared" si="41"/>
        <v>1.0137502779228775</v>
      </c>
      <c r="N54" s="121">
        <f t="shared" si="41"/>
        <v>0.97512963958715926</v>
      </c>
      <c r="O54" s="121">
        <f t="shared" si="41"/>
        <v>0.9722326804423862</v>
      </c>
    </row>
    <row r="55" spans="1:15" ht="13">
      <c r="A55" s="7"/>
      <c r="B55" s="8"/>
      <c r="C55" s="8"/>
      <c r="D55" s="8"/>
      <c r="E55" s="8"/>
      <c r="F55" s="8"/>
      <c r="G55" s="8"/>
      <c r="H55" s="8"/>
      <c r="I55" s="8"/>
      <c r="J55" s="8"/>
      <c r="K55" s="122" t="s">
        <v>0</v>
      </c>
      <c r="L55" s="123">
        <f t="shared" ref="L55:O55" si="42">LN(1-$B$4)/LN((1-$B$4)*L54)</f>
        <v>1.0062253966448989</v>
      </c>
      <c r="M55" s="123">
        <f t="shared" si="42"/>
        <v>1.0051060520047863</v>
      </c>
      <c r="N55" s="123">
        <f t="shared" si="42"/>
        <v>0.99071845206318754</v>
      </c>
      <c r="O55" s="123">
        <f t="shared" si="42"/>
        <v>0.98963332342846444</v>
      </c>
    </row>
    <row r="56" spans="1:15" ht="13">
      <c r="A56" s="7"/>
      <c r="B56" s="8"/>
      <c r="C56" s="8"/>
      <c r="D56" s="8"/>
      <c r="E56" s="7"/>
      <c r="F56" s="7"/>
      <c r="G56" s="8"/>
      <c r="H56" s="8"/>
      <c r="I56" s="8"/>
      <c r="K56" s="124" t="s">
        <v>38</v>
      </c>
      <c r="L56" s="11">
        <f t="shared" ref="L56:O56" si="43">L55*SQRT(B70^2*(B66+B67))</f>
        <v>4.532607416490142E-3</v>
      </c>
      <c r="M56" s="11">
        <f t="shared" si="43"/>
        <v>4.5223402126407788E-3</v>
      </c>
      <c r="N56" s="11">
        <f t="shared" si="43"/>
        <v>4.3153972288834741E-3</v>
      </c>
      <c r="O56" s="11">
        <f t="shared" si="43"/>
        <v>4.3057630816965495E-3</v>
      </c>
    </row>
    <row r="57" spans="1:15" ht="13">
      <c r="B57" s="6" t="s">
        <v>686</v>
      </c>
      <c r="C57" s="6" t="s">
        <v>687</v>
      </c>
      <c r="D57" s="6" t="s">
        <v>688</v>
      </c>
      <c r="E57" s="6" t="s">
        <v>689</v>
      </c>
      <c r="F57" s="1"/>
      <c r="G57" s="6"/>
      <c r="H57" s="8"/>
      <c r="I57" s="8"/>
    </row>
    <row r="58" spans="1:15" ht="13">
      <c r="A58" s="6" t="s">
        <v>44</v>
      </c>
      <c r="B58" s="34">
        <f t="shared" ref="B58:B59" si="44">(D46/D38)^2+(H46/H38)^2</f>
        <v>3.5178760899565307E-5</v>
      </c>
      <c r="C58" s="34">
        <f t="shared" ref="C58:C59" si="45">(D46/D38)^2+(I46/I38)^2</f>
        <v>3.5173853162512761E-5</v>
      </c>
      <c r="D58" s="34">
        <f t="shared" ref="D58:D59" si="46">(E46/E38)^2+(H46/H38)^2</f>
        <v>3.5839109026666927E-5</v>
      </c>
      <c r="E58" s="116">
        <f t="shared" ref="E58:E59" si="47">(E46/E38)^2+(I46/I38)^2</f>
        <v>3.5834201289614381E-5</v>
      </c>
      <c r="F58" s="16"/>
      <c r="G58" s="7"/>
      <c r="H58" s="8"/>
      <c r="J58" s="8"/>
    </row>
    <row r="59" spans="1:15" ht="13">
      <c r="A59" s="6" t="s">
        <v>42</v>
      </c>
      <c r="B59" s="34">
        <f t="shared" si="44"/>
        <v>3.7715582900031893E-5</v>
      </c>
      <c r="C59" s="34">
        <f t="shared" si="45"/>
        <v>3.770841843708471E-5</v>
      </c>
      <c r="D59" s="34">
        <f t="shared" si="46"/>
        <v>3.4297972841036387E-5</v>
      </c>
      <c r="E59" s="116">
        <f t="shared" si="47"/>
        <v>3.4290808378089205E-5</v>
      </c>
      <c r="F59" s="16"/>
      <c r="G59" s="7"/>
      <c r="H59" s="8"/>
    </row>
    <row r="60" spans="1:15" ht="13">
      <c r="A60" s="7" t="s">
        <v>209</v>
      </c>
      <c r="F60" s="16"/>
      <c r="G60" s="2"/>
      <c r="H60" s="8"/>
      <c r="I60" s="8"/>
    </row>
    <row r="61" spans="1:15" ht="13">
      <c r="A61" s="7"/>
      <c r="B61" s="8"/>
      <c r="C61" s="8"/>
      <c r="D61" s="8"/>
      <c r="E61" s="8"/>
    </row>
    <row r="62" spans="1:15" ht="13">
      <c r="A62" s="7" t="s">
        <v>54</v>
      </c>
      <c r="B62" s="49">
        <f t="shared" ref="B62:E62" si="48">L47/LN(1-$B$4)</f>
        <v>-0.37148564164212078</v>
      </c>
      <c r="C62" s="49">
        <f t="shared" si="48"/>
        <v>-0.37107550342257378</v>
      </c>
      <c r="D62" s="49">
        <f t="shared" si="48"/>
        <v>-0.37279038368641138</v>
      </c>
      <c r="E62" s="49">
        <f t="shared" si="48"/>
        <v>-0.37237736101169711</v>
      </c>
    </row>
    <row r="64" spans="1:15" ht="13">
      <c r="A64" s="1"/>
      <c r="B64" s="2"/>
      <c r="C64" s="2"/>
      <c r="D64" s="2"/>
      <c r="E64" s="2"/>
      <c r="H64" s="2"/>
      <c r="I64" s="2"/>
    </row>
    <row r="65" spans="1:10" ht="13">
      <c r="B65" s="6" t="s">
        <v>691</v>
      </c>
      <c r="C65" s="6" t="s">
        <v>692</v>
      </c>
      <c r="D65" s="6" t="s">
        <v>693</v>
      </c>
      <c r="E65" s="6" t="s">
        <v>694</v>
      </c>
      <c r="F65" s="6"/>
      <c r="G65" s="2"/>
      <c r="H65" s="2"/>
      <c r="I65" s="2"/>
      <c r="J65" s="8"/>
    </row>
    <row r="66" spans="1:10" ht="13">
      <c r="A66" s="6" t="s">
        <v>44</v>
      </c>
      <c r="B66" s="34">
        <f t="shared" ref="B66:B67" si="49">(F46/F38)^2+(H46/H38)^2</f>
        <v>5.6683800451963636E-5</v>
      </c>
      <c r="C66" s="34">
        <f t="shared" ref="C66:C67" si="50">(F46/F38)^2+(I46/I38)^2</f>
        <v>5.667889271491109E-5</v>
      </c>
      <c r="D66" s="34">
        <f t="shared" ref="D66:D67" si="51">(G46/G38)^2+(H46/H38)^2</f>
        <v>6.1522763731864207E-5</v>
      </c>
      <c r="E66" s="116">
        <f t="shared" ref="E66:E67" si="52">(G46/G38)^2+(I46/I38)^2</f>
        <v>6.1517855994811654E-5</v>
      </c>
      <c r="F66" s="1"/>
      <c r="G66" s="2"/>
      <c r="J66" s="8"/>
    </row>
    <row r="67" spans="1:10" ht="13">
      <c r="A67" s="6" t="s">
        <v>42</v>
      </c>
      <c r="B67" s="34">
        <f t="shared" si="49"/>
        <v>8.8144567634592855E-5</v>
      </c>
      <c r="C67" s="34">
        <f t="shared" si="50"/>
        <v>8.8137403171645673E-5</v>
      </c>
      <c r="D67" s="34">
        <f t="shared" si="51"/>
        <v>7.8171661346977515E-5</v>
      </c>
      <c r="E67" s="116">
        <f t="shared" si="52"/>
        <v>7.8164496884030333E-5</v>
      </c>
      <c r="F67" s="6"/>
      <c r="G67" s="7"/>
      <c r="H67" s="8"/>
      <c r="I67" s="8"/>
      <c r="J67" s="7"/>
    </row>
    <row r="68" spans="1:10" ht="13">
      <c r="A68" s="7" t="s">
        <v>209</v>
      </c>
      <c r="F68" s="8"/>
      <c r="G68" s="8"/>
      <c r="H68" s="8"/>
      <c r="I68" s="8"/>
      <c r="J68" s="6"/>
    </row>
    <row r="69" spans="1:10" ht="13">
      <c r="A69" s="7"/>
      <c r="B69" s="8"/>
      <c r="C69" s="8"/>
      <c r="D69" s="8"/>
      <c r="E69" s="8"/>
      <c r="F69" s="7"/>
      <c r="G69" s="8"/>
      <c r="H69" s="8"/>
      <c r="I69" s="8"/>
      <c r="J69" s="16"/>
    </row>
    <row r="70" spans="1:10" ht="13">
      <c r="A70" s="7" t="s">
        <v>54</v>
      </c>
      <c r="B70" s="49">
        <f t="shared" ref="B70:E70" si="53">L55/LN(1-$B$4)</f>
        <v>-0.37430533052440595</v>
      </c>
      <c r="C70" s="49">
        <f t="shared" si="53"/>
        <v>-0.37388894601762934</v>
      </c>
      <c r="D70" s="49">
        <f t="shared" si="53"/>
        <v>-0.36853690921797227</v>
      </c>
      <c r="E70" s="49">
        <f t="shared" si="53"/>
        <v>-0.36813325270757624</v>
      </c>
      <c r="F70" s="6"/>
      <c r="H70" s="8"/>
      <c r="I70" s="6"/>
      <c r="J70" s="16"/>
    </row>
    <row r="71" spans="1:10" ht="14">
      <c r="A71" s="7"/>
      <c r="B71" s="15"/>
      <c r="C71" s="15"/>
      <c r="D71" s="15"/>
      <c r="E71" s="15"/>
      <c r="F71" s="15"/>
      <c r="H71" s="6"/>
      <c r="I71" s="16"/>
      <c r="J71" s="16"/>
    </row>
    <row r="72" spans="1:10" ht="14">
      <c r="A72" s="7"/>
      <c r="B72" s="15"/>
      <c r="C72" s="15"/>
      <c r="D72" s="15"/>
      <c r="E72" s="15"/>
      <c r="F72" s="15"/>
      <c r="H72" s="6"/>
      <c r="I72" s="16"/>
      <c r="J72" s="16"/>
    </row>
    <row r="73" spans="1:10" ht="13">
      <c r="A73" s="8"/>
      <c r="B73" s="8"/>
      <c r="C73" s="8"/>
      <c r="D73" s="8"/>
      <c r="E73" s="8"/>
      <c r="F73" s="8"/>
      <c r="H73" s="6"/>
      <c r="I73" s="16"/>
      <c r="J73" s="11"/>
    </row>
    <row r="74" spans="1:10" ht="13">
      <c r="A74" s="7"/>
      <c r="B74" s="8"/>
      <c r="C74" s="8"/>
      <c r="D74" s="8"/>
      <c r="E74" s="8"/>
      <c r="F74" s="8"/>
      <c r="H74" s="6"/>
      <c r="I74" s="16"/>
    </row>
    <row r="75" spans="1:10" ht="13">
      <c r="A75" s="6"/>
      <c r="B75" s="6"/>
      <c r="C75" s="6"/>
      <c r="D75" s="6"/>
      <c r="E75" s="6"/>
      <c r="F75" s="6"/>
      <c r="H75" s="1"/>
      <c r="I75" s="11"/>
    </row>
    <row r="76" spans="1:10" ht="14">
      <c r="A76" s="7"/>
      <c r="B76" s="15"/>
      <c r="C76" s="15"/>
      <c r="D76" s="15"/>
      <c r="E76" s="15"/>
      <c r="F76" s="15"/>
      <c r="J76" s="6"/>
    </row>
    <row r="77" spans="1:10" ht="14">
      <c r="A77" s="7"/>
      <c r="B77" s="15"/>
      <c r="C77" s="15"/>
      <c r="D77" s="15"/>
      <c r="E77" s="15"/>
      <c r="F77" s="15"/>
      <c r="J77" s="34"/>
    </row>
    <row r="78" spans="1:10" ht="13">
      <c r="A78" s="7"/>
      <c r="B78" s="11"/>
      <c r="C78" s="11"/>
      <c r="D78" s="11"/>
      <c r="E78" s="11"/>
      <c r="F78" s="8"/>
      <c r="I78" s="6"/>
      <c r="J78" s="34"/>
    </row>
    <row r="79" spans="1:10" ht="13">
      <c r="A79" s="7"/>
      <c r="B79" s="11"/>
      <c r="C79" s="11"/>
      <c r="D79" s="11"/>
      <c r="E79" s="11"/>
      <c r="F79" s="11"/>
      <c r="H79" s="6"/>
      <c r="I79" s="34"/>
    </row>
    <row r="80" spans="1:10" ht="13">
      <c r="A80" s="7"/>
      <c r="B80" s="11"/>
      <c r="C80" s="11"/>
      <c r="D80" s="11"/>
      <c r="E80" s="11"/>
      <c r="F80" s="11"/>
      <c r="H80" s="6"/>
      <c r="I80" s="34"/>
    </row>
    <row r="81" spans="1:10" ht="13">
      <c r="A81" s="7"/>
      <c r="B81" s="8"/>
      <c r="C81" s="8"/>
      <c r="D81" s="8"/>
      <c r="E81" s="8"/>
      <c r="F81" s="8"/>
      <c r="H81" s="7"/>
      <c r="J81" s="8"/>
    </row>
    <row r="82" spans="1:10" ht="13">
      <c r="A82" s="7"/>
      <c r="B82" s="8"/>
      <c r="C82" s="8"/>
      <c r="D82" s="8"/>
      <c r="E82" s="8"/>
      <c r="F82" s="8"/>
      <c r="G82" s="8"/>
      <c r="J82" s="8"/>
    </row>
    <row r="83" spans="1:10" ht="13">
      <c r="A83" s="7"/>
      <c r="B83" s="8"/>
      <c r="C83" s="8"/>
      <c r="D83" s="8"/>
      <c r="E83" s="8"/>
      <c r="F83" s="8"/>
      <c r="G83" s="8"/>
      <c r="H83" s="8"/>
      <c r="I83" s="8"/>
      <c r="J83" s="8"/>
    </row>
    <row r="84" spans="1:10" ht="13">
      <c r="A84" s="7"/>
      <c r="B84" s="8"/>
      <c r="C84" s="8"/>
      <c r="D84" s="8"/>
      <c r="E84" s="7"/>
      <c r="F84" s="7"/>
      <c r="G84" s="8"/>
      <c r="H84" s="8"/>
      <c r="I84" s="8"/>
    </row>
    <row r="85" spans="1:10" ht="13">
      <c r="B85" s="1"/>
      <c r="C85" s="1"/>
      <c r="D85" s="13"/>
      <c r="E85" s="1"/>
      <c r="F85" s="1"/>
      <c r="G85" s="6"/>
      <c r="H85" s="8"/>
      <c r="I85" s="8"/>
    </row>
    <row r="86" spans="1:10" ht="13">
      <c r="A86" s="7"/>
      <c r="B86" s="16"/>
      <c r="C86" s="16"/>
      <c r="D86" s="16"/>
      <c r="E86" s="16"/>
      <c r="F86" s="16"/>
      <c r="G86" s="7"/>
      <c r="H86" s="8"/>
    </row>
    <row r="87" spans="1:10" ht="13">
      <c r="A87" s="7"/>
      <c r="B87" s="16"/>
      <c r="C87" s="16"/>
      <c r="D87" s="16"/>
      <c r="E87" s="16"/>
      <c r="F87" s="16"/>
      <c r="G87" s="7"/>
      <c r="H87" s="8"/>
      <c r="J87" s="8"/>
    </row>
    <row r="88" spans="1:10" ht="13">
      <c r="A88" s="7"/>
      <c r="B88" s="16"/>
      <c r="C88" s="16"/>
      <c r="D88" s="16"/>
      <c r="E88" s="16"/>
      <c r="F88" s="16"/>
      <c r="G88" s="7"/>
      <c r="H88" s="8"/>
    </row>
    <row r="89" spans="1:10" ht="13">
      <c r="A89" s="7"/>
      <c r="B89" s="16"/>
      <c r="C89" s="16"/>
      <c r="D89" s="16"/>
      <c r="E89" s="16"/>
      <c r="F89" s="16"/>
      <c r="G89" s="2"/>
      <c r="H89" s="8"/>
      <c r="I89" s="8"/>
    </row>
    <row r="93" spans="1:10" ht="13">
      <c r="A93" s="1"/>
    </row>
    <row r="95" spans="1:10" ht="13">
      <c r="A95" s="1"/>
      <c r="B95" s="2"/>
      <c r="C95" s="2"/>
      <c r="D95" s="2"/>
      <c r="E95" s="2"/>
      <c r="H95" s="2"/>
      <c r="I95" s="2"/>
    </row>
    <row r="96" spans="1:10" ht="13">
      <c r="A96" s="2"/>
      <c r="B96" s="2"/>
      <c r="C96" s="2"/>
      <c r="D96" s="2"/>
      <c r="E96" s="2"/>
      <c r="F96" s="6"/>
      <c r="G96" s="2"/>
      <c r="H96" s="2"/>
      <c r="I96" s="2"/>
      <c r="J96" s="8"/>
    </row>
    <row r="97" spans="1:10" ht="13">
      <c r="F97" s="1"/>
      <c r="G97" s="2"/>
      <c r="J97" s="8"/>
    </row>
    <row r="98" spans="1:10" ht="13">
      <c r="A98" s="6"/>
      <c r="B98" s="7"/>
      <c r="C98" s="7"/>
      <c r="E98" s="8"/>
      <c r="F98" s="6"/>
      <c r="G98" s="7"/>
      <c r="H98" s="8"/>
      <c r="I98" s="8"/>
      <c r="J98" s="7"/>
    </row>
    <row r="99" spans="1:10" ht="13">
      <c r="A99" s="7"/>
      <c r="B99" s="8"/>
      <c r="C99" s="8"/>
      <c r="D99" s="8"/>
      <c r="E99" s="8"/>
      <c r="F99" s="8"/>
      <c r="G99" s="8"/>
      <c r="H99" s="8"/>
      <c r="I99" s="8"/>
      <c r="J99" s="6"/>
    </row>
    <row r="100" spans="1:10" ht="13">
      <c r="A100" s="7"/>
      <c r="B100" s="8"/>
      <c r="C100" s="8"/>
      <c r="D100" s="8"/>
      <c r="E100" s="7"/>
      <c r="F100" s="7"/>
      <c r="G100" s="8"/>
      <c r="H100" s="8"/>
      <c r="I100" s="8"/>
      <c r="J100" s="16"/>
    </row>
    <row r="101" spans="1:10" ht="13">
      <c r="A101" s="6"/>
      <c r="B101" s="6"/>
      <c r="C101" s="6"/>
      <c r="D101" s="6"/>
      <c r="E101" s="6"/>
      <c r="F101" s="6"/>
      <c r="H101" s="8"/>
      <c r="I101" s="6"/>
      <c r="J101" s="16"/>
    </row>
    <row r="102" spans="1:10" ht="14">
      <c r="A102" s="7"/>
      <c r="B102" s="15"/>
      <c r="C102" s="15"/>
      <c r="D102" s="15"/>
      <c r="E102" s="15"/>
      <c r="F102" s="15"/>
      <c r="H102" s="6"/>
      <c r="I102" s="16"/>
      <c r="J102" s="16"/>
    </row>
    <row r="103" spans="1:10" ht="14">
      <c r="A103" s="7"/>
      <c r="B103" s="15"/>
      <c r="C103" s="15"/>
      <c r="D103" s="15"/>
      <c r="E103" s="15"/>
      <c r="F103" s="15"/>
      <c r="H103" s="6"/>
      <c r="I103" s="16"/>
      <c r="J103" s="16"/>
    </row>
    <row r="104" spans="1:10" ht="13">
      <c r="A104" s="8"/>
      <c r="B104" s="8"/>
      <c r="C104" s="8"/>
      <c r="D104" s="8"/>
      <c r="E104" s="8"/>
      <c r="F104" s="8"/>
      <c r="H104" s="6"/>
      <c r="I104" s="16"/>
      <c r="J104" s="11"/>
    </row>
    <row r="105" spans="1:10" ht="13">
      <c r="A105" s="7"/>
      <c r="B105" s="8"/>
      <c r="C105" s="8"/>
      <c r="D105" s="8"/>
      <c r="E105" s="8"/>
      <c r="F105" s="8"/>
      <c r="H105" s="6"/>
      <c r="I105" s="16"/>
    </row>
    <row r="106" spans="1:10" ht="13">
      <c r="A106" s="6"/>
      <c r="B106" s="6"/>
      <c r="C106" s="6"/>
      <c r="D106" s="6"/>
      <c r="E106" s="6"/>
      <c r="F106" s="6"/>
      <c r="H106" s="1"/>
      <c r="I106" s="11"/>
    </row>
    <row r="107" spans="1:10" ht="14">
      <c r="A107" s="7"/>
      <c r="B107" s="15"/>
      <c r="C107" s="15"/>
      <c r="D107" s="15"/>
      <c r="E107" s="15"/>
      <c r="F107" s="15"/>
      <c r="J107" s="6"/>
    </row>
    <row r="108" spans="1:10" ht="14">
      <c r="A108" s="7"/>
      <c r="B108" s="15"/>
      <c r="C108" s="15"/>
      <c r="D108" s="15"/>
      <c r="E108" s="15"/>
      <c r="F108" s="15"/>
      <c r="J108" s="34"/>
    </row>
    <row r="109" spans="1:10" ht="13">
      <c r="A109" s="7"/>
      <c r="B109" s="11"/>
      <c r="C109" s="11"/>
      <c r="D109" s="11"/>
      <c r="E109" s="11"/>
      <c r="F109" s="8"/>
      <c r="I109" s="6"/>
      <c r="J109" s="34"/>
    </row>
    <row r="110" spans="1:10" ht="13">
      <c r="A110" s="7"/>
      <c r="B110" s="11"/>
      <c r="C110" s="11"/>
      <c r="D110" s="11"/>
      <c r="E110" s="11"/>
      <c r="F110" s="11"/>
      <c r="H110" s="6"/>
      <c r="I110" s="34"/>
    </row>
    <row r="111" spans="1:10" ht="13">
      <c r="A111" s="7"/>
      <c r="B111" s="11"/>
      <c r="C111" s="11"/>
      <c r="D111" s="11"/>
      <c r="E111" s="11"/>
      <c r="F111" s="11"/>
      <c r="H111" s="6"/>
      <c r="I111" s="34"/>
    </row>
    <row r="112" spans="1:10" ht="13">
      <c r="A112" s="7"/>
      <c r="B112" s="8"/>
      <c r="C112" s="8"/>
      <c r="D112" s="8"/>
      <c r="E112" s="8"/>
      <c r="F112" s="8"/>
      <c r="H112" s="7"/>
      <c r="J112" s="8"/>
    </row>
    <row r="113" spans="1:10" ht="13">
      <c r="A113" s="7"/>
      <c r="B113" s="8"/>
      <c r="C113" s="8"/>
      <c r="D113" s="8"/>
      <c r="E113" s="8"/>
      <c r="F113" s="8"/>
      <c r="G113" s="8"/>
      <c r="J113" s="8"/>
    </row>
    <row r="114" spans="1:10" ht="13">
      <c r="A114" s="7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3">
      <c r="A115" s="7"/>
      <c r="B115" s="8"/>
      <c r="C115" s="8"/>
      <c r="D115" s="8"/>
      <c r="E115" s="7"/>
      <c r="F115" s="7"/>
      <c r="G115" s="8"/>
      <c r="H115" s="8"/>
      <c r="I115" s="8"/>
    </row>
    <row r="116" spans="1:10" ht="13">
      <c r="B116" s="1"/>
      <c r="C116" s="1"/>
      <c r="D116" s="13"/>
      <c r="E116" s="1"/>
      <c r="F116" s="1"/>
      <c r="G116" s="6"/>
      <c r="H116" s="8"/>
      <c r="I116" s="8"/>
    </row>
    <row r="117" spans="1:10" ht="13">
      <c r="A117" s="7"/>
      <c r="B117" s="16"/>
      <c r="C117" s="16"/>
      <c r="D117" s="16"/>
      <c r="E117" s="16"/>
      <c r="F117" s="16"/>
      <c r="G117" s="7"/>
      <c r="H117" s="8"/>
    </row>
    <row r="118" spans="1:10" ht="13">
      <c r="A118" s="7"/>
      <c r="B118" s="16"/>
      <c r="C118" s="16"/>
      <c r="D118" s="16"/>
      <c r="E118" s="16"/>
      <c r="F118" s="16"/>
      <c r="G118" s="7"/>
      <c r="H118" s="8"/>
      <c r="J118" s="8"/>
    </row>
    <row r="119" spans="1:10" ht="13">
      <c r="A119" s="7"/>
      <c r="B119" s="16"/>
      <c r="C119" s="16"/>
      <c r="D119" s="16"/>
      <c r="E119" s="16"/>
      <c r="F119" s="16"/>
      <c r="G119" s="7"/>
      <c r="H119" s="8"/>
    </row>
    <row r="120" spans="1:10" ht="13">
      <c r="A120" s="7"/>
      <c r="B120" s="16"/>
      <c r="C120" s="16"/>
      <c r="D120" s="16"/>
      <c r="E120" s="16"/>
      <c r="F120" s="16"/>
      <c r="G120" s="2"/>
      <c r="H120" s="8"/>
      <c r="I120" s="8"/>
    </row>
  </sheetData>
  <mergeCells count="3">
    <mergeCell ref="B35:C35"/>
    <mergeCell ref="D35:E35"/>
    <mergeCell ref="F35:G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7"/>
  <sheetViews>
    <sheetView tabSelected="1" zoomScale="150" zoomScaleNormal="150"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4.1640625" customWidth="1"/>
    <col min="6" max="6" width="16.33203125" customWidth="1"/>
    <col min="10" max="10" width="4.1640625" customWidth="1"/>
  </cols>
  <sheetData>
    <row r="1" spans="1:14" ht="15.75" customHeight="1">
      <c r="A1" s="1" t="s">
        <v>3</v>
      </c>
      <c r="B1" s="2"/>
      <c r="C1" s="2"/>
      <c r="D1" s="2"/>
      <c r="F1" s="76"/>
      <c r="G1" s="126" t="s">
        <v>14</v>
      </c>
      <c r="H1" s="283" t="s">
        <v>13</v>
      </c>
    </row>
    <row r="2" spans="1:14" ht="15.75" customHeight="1">
      <c r="A2" s="2" t="s">
        <v>977</v>
      </c>
      <c r="B2" s="2"/>
      <c r="C2" s="2"/>
      <c r="D2" s="2"/>
      <c r="F2" s="127" t="s">
        <v>5</v>
      </c>
      <c r="G2" s="134"/>
      <c r="H2" s="128"/>
      <c r="I2" s="2"/>
      <c r="K2" s="76"/>
    </row>
    <row r="3" spans="1:14" ht="15.75" customHeight="1">
      <c r="F3" s="129" t="s">
        <v>530</v>
      </c>
      <c r="G3" s="135"/>
      <c r="H3" s="130"/>
      <c r="K3" s="76"/>
    </row>
    <row r="4" spans="1:14" ht="15.75" customHeight="1">
      <c r="A4" s="6" t="s">
        <v>718</v>
      </c>
      <c r="B4" s="7"/>
      <c r="D4" s="8"/>
      <c r="F4" s="129" t="s">
        <v>142</v>
      </c>
      <c r="G4" s="135"/>
      <c r="H4" s="131"/>
      <c r="I4" s="8"/>
      <c r="J4" s="8"/>
    </row>
    <row r="5" spans="1:14" ht="15.75" customHeight="1">
      <c r="A5" s="6" t="s">
        <v>720</v>
      </c>
      <c r="B5" s="7"/>
      <c r="C5" s="8"/>
      <c r="D5" s="8"/>
      <c r="E5" s="8"/>
      <c r="F5" s="132" t="s">
        <v>532</v>
      </c>
      <c r="G5" s="136"/>
      <c r="H5" s="133"/>
      <c r="I5" s="8"/>
    </row>
    <row r="6" spans="1:14" ht="15.75" customHeight="1">
      <c r="A6" s="6" t="s">
        <v>12</v>
      </c>
      <c r="B6" s="7"/>
      <c r="C6" s="8"/>
      <c r="D6" s="8"/>
      <c r="E6" s="8"/>
      <c r="F6" s="8"/>
      <c r="G6" s="8"/>
      <c r="H6" s="8"/>
      <c r="I6" s="8"/>
    </row>
    <row r="7" spans="1:14" ht="15.75" customHeight="1">
      <c r="A7" s="2"/>
      <c r="B7" s="1"/>
      <c r="C7" s="1"/>
      <c r="D7" s="1"/>
    </row>
    <row r="8" spans="1:14" ht="15.75" customHeight="1">
      <c r="A8" s="2"/>
      <c r="B8" s="1" t="s">
        <v>14</v>
      </c>
      <c r="C8" s="1" t="s">
        <v>13</v>
      </c>
      <c r="D8" s="1"/>
    </row>
    <row r="9" spans="1:14" ht="15.75" customHeight="1">
      <c r="A9" s="9" t="s">
        <v>15</v>
      </c>
      <c r="B9" s="2" t="s">
        <v>23</v>
      </c>
      <c r="C9" s="2" t="s">
        <v>24</v>
      </c>
      <c r="D9" s="10"/>
      <c r="F9" s="9" t="s">
        <v>19</v>
      </c>
      <c r="G9" s="2" t="s">
        <v>23</v>
      </c>
      <c r="H9" s="2" t="s">
        <v>24</v>
      </c>
      <c r="I9" s="10"/>
      <c r="K9" s="9" t="s">
        <v>20</v>
      </c>
      <c r="L9" s="2" t="s">
        <v>23</v>
      </c>
      <c r="M9" s="2" t="s">
        <v>24</v>
      </c>
      <c r="N9" s="10"/>
    </row>
    <row r="10" spans="1:14" ht="15.75" customHeight="1">
      <c r="A10" s="2" t="s">
        <v>657</v>
      </c>
      <c r="B10" s="258"/>
      <c r="C10" s="259"/>
      <c r="D10" s="11"/>
      <c r="F10" s="2" t="s">
        <v>657</v>
      </c>
      <c r="G10" s="258"/>
      <c r="H10" s="259"/>
      <c r="I10" s="11"/>
      <c r="K10" s="2" t="s">
        <v>657</v>
      </c>
      <c r="L10" s="11" t="e">
        <f t="shared" ref="L10:L13" si="0">TINV(0.32,$G$4-1)*G10/SQRT($G$4)</f>
        <v>#NUM!</v>
      </c>
      <c r="M10" s="11" t="e">
        <f t="shared" ref="M10:M13" si="1">TINV(0.32,$H$4-1)*H10/SQRT($H$4)</f>
        <v>#NUM!</v>
      </c>
      <c r="N10" s="11"/>
    </row>
    <row r="11" spans="1:14" ht="15.75" customHeight="1">
      <c r="A11" s="2" t="s">
        <v>676</v>
      </c>
      <c r="B11" s="260"/>
      <c r="C11" s="261"/>
      <c r="D11" s="11"/>
      <c r="E11" s="6"/>
      <c r="F11" s="2" t="s">
        <v>676</v>
      </c>
      <c r="G11" s="260"/>
      <c r="H11" s="261"/>
      <c r="I11" s="11"/>
      <c r="K11" s="2" t="s">
        <v>676</v>
      </c>
      <c r="L11" s="11" t="e">
        <f t="shared" si="0"/>
        <v>#NUM!</v>
      </c>
      <c r="M11" s="11" t="e">
        <f t="shared" si="1"/>
        <v>#NUM!</v>
      </c>
      <c r="N11" s="11"/>
    </row>
    <row r="12" spans="1:14" ht="15.75" customHeight="1">
      <c r="A12" s="2" t="s">
        <v>696</v>
      </c>
      <c r="B12" s="260"/>
      <c r="C12" s="261"/>
      <c r="D12" s="11"/>
      <c r="E12" s="1"/>
      <c r="F12" s="2" t="s">
        <v>696</v>
      </c>
      <c r="G12" s="260"/>
      <c r="H12" s="261"/>
      <c r="I12" s="11"/>
      <c r="K12" s="2" t="s">
        <v>696</v>
      </c>
      <c r="L12" s="11" t="e">
        <f t="shared" si="0"/>
        <v>#NUM!</v>
      </c>
      <c r="M12" s="11" t="e">
        <f t="shared" si="1"/>
        <v>#NUM!</v>
      </c>
      <c r="N12" s="11"/>
    </row>
    <row r="13" spans="1:14" ht="15.75" customHeight="1">
      <c r="A13" s="2" t="s">
        <v>729</v>
      </c>
      <c r="B13" s="262"/>
      <c r="C13" s="263"/>
      <c r="D13" s="11"/>
      <c r="E13" s="6"/>
      <c r="F13" s="2" t="s">
        <v>729</v>
      </c>
      <c r="G13" s="262"/>
      <c r="H13" s="263"/>
      <c r="I13" s="11"/>
      <c r="K13" s="2" t="s">
        <v>729</v>
      </c>
      <c r="L13" s="11" t="e">
        <f t="shared" si="0"/>
        <v>#NUM!</v>
      </c>
      <c r="M13" s="11" t="e">
        <f t="shared" si="1"/>
        <v>#NUM!</v>
      </c>
      <c r="N13" s="11"/>
    </row>
    <row r="14" spans="1:14" ht="15.75" customHeight="1">
      <c r="A14" s="2"/>
      <c r="B14" s="10"/>
      <c r="C14" s="10"/>
      <c r="D14" s="10"/>
      <c r="E14" s="8"/>
      <c r="F14" s="8"/>
      <c r="G14" s="8"/>
      <c r="H14" s="8"/>
      <c r="I14" s="8"/>
    </row>
    <row r="15" spans="1:14" ht="15.75" customHeight="1">
      <c r="A15" s="9" t="s">
        <v>32</v>
      </c>
      <c r="B15" s="2" t="s">
        <v>23</v>
      </c>
      <c r="C15" s="2" t="s">
        <v>24</v>
      </c>
      <c r="D15" s="10"/>
      <c r="E15" s="7"/>
      <c r="K15" s="9" t="s">
        <v>33</v>
      </c>
      <c r="L15" s="2" t="s">
        <v>23</v>
      </c>
      <c r="M15" s="2" t="s">
        <v>24</v>
      </c>
      <c r="N15" s="10"/>
    </row>
    <row r="16" spans="1:14" ht="15.75" customHeight="1">
      <c r="A16" s="2" t="s">
        <v>731</v>
      </c>
      <c r="B16" s="264">
        <f t="shared" ref="B16:C16" si="2">B12</f>
        <v>0</v>
      </c>
      <c r="C16" s="265">
        <f t="shared" si="2"/>
        <v>0</v>
      </c>
      <c r="E16" s="6"/>
      <c r="K16" s="2" t="s">
        <v>731</v>
      </c>
      <c r="L16" s="11" t="e">
        <f t="shared" ref="L16:M16" si="3">L12</f>
        <v>#NUM!</v>
      </c>
      <c r="M16" s="11" t="e">
        <f t="shared" si="3"/>
        <v>#NUM!</v>
      </c>
    </row>
    <row r="17" spans="1:14" ht="15.75" customHeight="1">
      <c r="A17" s="2" t="s">
        <v>732</v>
      </c>
      <c r="B17" s="266">
        <f t="shared" ref="B17:C17" si="4">B13</f>
        <v>0</v>
      </c>
      <c r="C17" s="267">
        <f t="shared" si="4"/>
        <v>0</v>
      </c>
      <c r="E17" s="15"/>
      <c r="K17" s="2" t="s">
        <v>732</v>
      </c>
      <c r="L17" s="11" t="e">
        <f t="shared" ref="L17:M17" si="5">L13</f>
        <v>#NUM!</v>
      </c>
      <c r="M17" s="11" t="e">
        <f t="shared" si="5"/>
        <v>#NUM!</v>
      </c>
    </row>
    <row r="18" spans="1:14" ht="15.75" customHeight="1">
      <c r="A18" s="2" t="s">
        <v>537</v>
      </c>
      <c r="B18" s="268" t="e">
        <f t="shared" ref="B18:C18" si="6">AVERAGE(B10:B11)</f>
        <v>#DIV/0!</v>
      </c>
      <c r="C18" s="269" t="e">
        <f t="shared" si="6"/>
        <v>#DIV/0!</v>
      </c>
      <c r="E18" s="15"/>
      <c r="K18" s="2" t="s">
        <v>537</v>
      </c>
      <c r="L18" s="11" t="e">
        <f t="shared" ref="L18:M18" si="7">SQRT(AVERAGE(L10^2,L11^2))</f>
        <v>#NUM!</v>
      </c>
      <c r="M18" s="11" t="e">
        <f t="shared" si="7"/>
        <v>#NUM!</v>
      </c>
      <c r="N18" s="11"/>
    </row>
    <row r="19" spans="1:14" ht="15.75" customHeight="1">
      <c r="E19" s="8"/>
    </row>
    <row r="20" spans="1:14" ht="15.75" customHeight="1">
      <c r="A20" s="7"/>
      <c r="B20" s="7"/>
      <c r="C20" s="7"/>
      <c r="D20" s="7"/>
      <c r="E20" s="8"/>
      <c r="F20" s="2"/>
      <c r="G20" s="6"/>
      <c r="H20" s="16"/>
      <c r="I20" s="16"/>
    </row>
    <row r="21" spans="1:14" ht="15.75" customHeight="1">
      <c r="A21" s="17" t="s">
        <v>35</v>
      </c>
      <c r="B21" s="7" t="s">
        <v>30</v>
      </c>
      <c r="C21" s="7" t="s">
        <v>27</v>
      </c>
      <c r="D21" s="7" t="s">
        <v>31</v>
      </c>
      <c r="E21" s="8"/>
      <c r="F21" s="7"/>
      <c r="G21" s="7"/>
      <c r="H21" s="7"/>
      <c r="I21" s="16"/>
    </row>
    <row r="22" spans="1:14" ht="15.75" customHeight="1">
      <c r="A22" s="2" t="s">
        <v>293</v>
      </c>
      <c r="B22" s="264" t="e">
        <f t="shared" ref="B22:B23" si="8">C16/B16</f>
        <v>#DIV/0!</v>
      </c>
      <c r="C22" s="270" t="e">
        <f>C18/B18</f>
        <v>#DIV/0!</v>
      </c>
      <c r="D22" s="265" t="e">
        <f t="shared" ref="D22:D23" si="9">B22/C22</f>
        <v>#DIV/0!</v>
      </c>
      <c r="F22" s="11"/>
      <c r="G22" s="11"/>
      <c r="H22" s="11"/>
    </row>
    <row r="23" spans="1:14" ht="15.75" customHeight="1">
      <c r="A23" s="2" t="s">
        <v>296</v>
      </c>
      <c r="B23" s="268" t="e">
        <f t="shared" si="8"/>
        <v>#DIV/0!</v>
      </c>
      <c r="C23" s="271" t="e">
        <f>C18/B18</f>
        <v>#DIV/0!</v>
      </c>
      <c r="D23" s="269" t="e">
        <f t="shared" si="9"/>
        <v>#DIV/0!</v>
      </c>
      <c r="F23" s="11"/>
      <c r="G23" s="11"/>
      <c r="H23" s="11"/>
    </row>
    <row r="25" spans="1:14" ht="15.75" customHeight="1">
      <c r="A25" s="9" t="s">
        <v>0</v>
      </c>
      <c r="B25" s="7" t="s">
        <v>0</v>
      </c>
      <c r="C25" s="7" t="s">
        <v>38</v>
      </c>
      <c r="D25" s="7"/>
      <c r="E25" s="8"/>
      <c r="F25" s="2"/>
      <c r="G25" s="2"/>
    </row>
    <row r="26" spans="1:14" ht="15.75" customHeight="1">
      <c r="A26" s="2" t="s">
        <v>293</v>
      </c>
      <c r="B26" s="272" t="e">
        <f t="shared" ref="B26:B27" si="10">LN(1-B4)/LN((1-B4)*D22)</f>
        <v>#DIV/0!</v>
      </c>
      <c r="C26" s="272" t="e">
        <f>SQRT(B45+B46)</f>
        <v>#DIV/0!</v>
      </c>
      <c r="F26" s="140" t="s">
        <v>739</v>
      </c>
      <c r="G26" s="5"/>
    </row>
    <row r="27" spans="1:14" ht="15.75" customHeight="1">
      <c r="A27" s="2" t="s">
        <v>296</v>
      </c>
      <c r="B27" s="272" t="e">
        <f t="shared" si="10"/>
        <v>#DIV/0!</v>
      </c>
      <c r="C27" s="272" t="e">
        <f>SQRT(C45+C46)</f>
        <v>#DIV/0!</v>
      </c>
      <c r="F27" s="140" t="s">
        <v>40</v>
      </c>
      <c r="G27" s="5"/>
    </row>
    <row r="28" spans="1:14" ht="15.75" customHeight="1">
      <c r="A28" s="2" t="s">
        <v>541</v>
      </c>
      <c r="B28" s="272" t="e">
        <f>AVERAGE(B26:B27)</f>
        <v>#DIV/0!</v>
      </c>
    </row>
    <row r="29" spans="1:14" ht="15.75" customHeight="1">
      <c r="A29" s="2"/>
      <c r="B29" s="2"/>
    </row>
    <row r="30" spans="1:14" ht="13">
      <c r="A30" s="9" t="s">
        <v>41</v>
      </c>
      <c r="B30" s="2"/>
    </row>
    <row r="31" spans="1:14" ht="13">
      <c r="B31" s="2" t="s">
        <v>293</v>
      </c>
      <c r="C31" s="2" t="s">
        <v>296</v>
      </c>
      <c r="G31" s="2"/>
    </row>
    <row r="32" spans="1:14" ht="13">
      <c r="A32" s="2" t="s">
        <v>2</v>
      </c>
      <c r="B32" s="18">
        <f>B4</f>
        <v>0</v>
      </c>
      <c r="C32" s="18">
        <f t="shared" ref="C32:C33" si="11">B5</f>
        <v>0</v>
      </c>
      <c r="D32" s="18"/>
      <c r="E32" s="18"/>
      <c r="F32" s="7"/>
      <c r="G32" s="18"/>
    </row>
    <row r="33" spans="1:11" ht="13">
      <c r="A33" s="2" t="s">
        <v>740</v>
      </c>
      <c r="B33" s="18">
        <f>B6</f>
        <v>0</v>
      </c>
      <c r="C33" s="18">
        <f t="shared" si="11"/>
        <v>0</v>
      </c>
      <c r="D33" s="18"/>
      <c r="E33" s="18"/>
      <c r="F33" s="7"/>
      <c r="G33" s="18"/>
    </row>
    <row r="34" spans="1:11" ht="13">
      <c r="A34" s="2" t="s">
        <v>31</v>
      </c>
      <c r="B34" s="18" t="e">
        <f>D22</f>
        <v>#DIV/0!</v>
      </c>
      <c r="C34" s="18" t="e">
        <f>D23</f>
        <v>#DIV/0!</v>
      </c>
      <c r="D34" s="18"/>
      <c r="E34" s="18"/>
      <c r="F34" s="7"/>
      <c r="G34" s="18"/>
    </row>
    <row r="35" spans="1:11" ht="13">
      <c r="A35" s="2" t="s">
        <v>42</v>
      </c>
      <c r="B35" s="18" t="e">
        <f>(M16/C16)^2+(L16/B16)^2</f>
        <v>#NUM!</v>
      </c>
      <c r="C35" s="18" t="e">
        <f>(M17/C17)^2+(L17/B17)^2</f>
        <v>#NUM!</v>
      </c>
      <c r="D35" s="18"/>
      <c r="E35" s="18"/>
      <c r="F35" s="7" t="s">
        <v>43</v>
      </c>
      <c r="G35" s="18"/>
    </row>
    <row r="36" spans="1:11" ht="13">
      <c r="A36" s="2" t="s">
        <v>44</v>
      </c>
      <c r="B36" s="18" t="e">
        <f>(M18/C18)^2+(L18/B18)^2</f>
        <v>#NUM!</v>
      </c>
      <c r="C36" s="18" t="e">
        <f>B36</f>
        <v>#NUM!</v>
      </c>
      <c r="D36" s="18"/>
      <c r="E36" s="18"/>
    </row>
    <row r="37" spans="1:11" ht="13">
      <c r="A37" s="2" t="s">
        <v>45</v>
      </c>
      <c r="B37" s="18" t="e">
        <f t="shared" ref="B37:C37" si="12">B35+B36</f>
        <v>#NUM!</v>
      </c>
      <c r="C37" s="18" t="e">
        <f t="shared" si="12"/>
        <v>#NUM!</v>
      </c>
      <c r="D37" s="18"/>
      <c r="E37" s="18"/>
      <c r="F37" s="19" t="s">
        <v>46</v>
      </c>
      <c r="G37" s="18"/>
    </row>
    <row r="38" spans="1:11" ht="13">
      <c r="A38" s="7"/>
    </row>
    <row r="39" spans="1:11" ht="13">
      <c r="A39" s="2" t="s">
        <v>47</v>
      </c>
      <c r="B39" s="18">
        <f t="shared" ref="B39:C39" si="13">LN(1-B32)</f>
        <v>0</v>
      </c>
      <c r="C39" s="18">
        <f t="shared" si="13"/>
        <v>0</v>
      </c>
      <c r="F39" s="2" t="s">
        <v>741</v>
      </c>
      <c r="G39" s="18"/>
    </row>
    <row r="40" spans="1:11" ht="13">
      <c r="A40" s="2" t="s">
        <v>742</v>
      </c>
      <c r="B40" s="20" t="e">
        <f t="shared" ref="B40:C40" si="14">LN((1-B32)*B34)</f>
        <v>#DIV/0!</v>
      </c>
      <c r="C40" s="20" t="e">
        <f t="shared" si="14"/>
        <v>#DIV/0!</v>
      </c>
      <c r="F40" s="2" t="s">
        <v>743</v>
      </c>
      <c r="G40" s="20"/>
    </row>
    <row r="41" spans="1:11" ht="13">
      <c r="A41" s="2" t="s">
        <v>54</v>
      </c>
      <c r="B41" s="20" t="e">
        <f t="shared" ref="B41:C41" si="15">(1-B32)*B40^2</f>
        <v>#DIV/0!</v>
      </c>
      <c r="C41" s="20" t="e">
        <f t="shared" si="15"/>
        <v>#DIV/0!</v>
      </c>
      <c r="F41" s="2" t="s">
        <v>744</v>
      </c>
      <c r="G41" s="18"/>
    </row>
    <row r="42" spans="1:11" ht="13">
      <c r="A42" s="2" t="s">
        <v>56</v>
      </c>
      <c r="B42" s="18" t="e">
        <f t="shared" ref="B42:C42" si="16">(1-B32)*B40</f>
        <v>#DIV/0!</v>
      </c>
      <c r="C42" s="18" t="e">
        <f t="shared" si="16"/>
        <v>#DIV/0!</v>
      </c>
      <c r="F42" s="2" t="s">
        <v>745</v>
      </c>
      <c r="G42" s="18"/>
    </row>
    <row r="43" spans="1:11" ht="13">
      <c r="A43" s="2" t="s">
        <v>58</v>
      </c>
      <c r="B43" s="18" t="e">
        <f t="shared" ref="B43:C43" si="17">B39^2*B37</f>
        <v>#NUM!</v>
      </c>
      <c r="C43" s="18" t="e">
        <f t="shared" si="17"/>
        <v>#NUM!</v>
      </c>
      <c r="F43" s="2" t="s">
        <v>746</v>
      </c>
      <c r="G43" s="18"/>
    </row>
    <row r="44" spans="1:11" ht="13">
      <c r="A44" s="2" t="s">
        <v>60</v>
      </c>
      <c r="B44" s="18" t="e">
        <f t="shared" ref="B44:C44" si="18">B34^2*B40^4</f>
        <v>#DIV/0!</v>
      </c>
      <c r="C44" s="18" t="e">
        <f t="shared" si="18"/>
        <v>#DIV/0!</v>
      </c>
      <c r="F44" s="2" t="s">
        <v>747</v>
      </c>
      <c r="G44" s="18"/>
    </row>
    <row r="45" spans="1:11" ht="13">
      <c r="A45" s="2" t="s">
        <v>62</v>
      </c>
      <c r="B45" s="18" t="e">
        <f t="shared" ref="B45:C45" si="19">(B39/B41-1/B42)^2*B33^2</f>
        <v>#DIV/0!</v>
      </c>
      <c r="C45" s="18" t="e">
        <f t="shared" si="19"/>
        <v>#DIV/0!</v>
      </c>
      <c r="F45" s="7" t="s">
        <v>63</v>
      </c>
      <c r="G45" s="18"/>
    </row>
    <row r="46" spans="1:11" ht="13">
      <c r="A46" s="2" t="s">
        <v>64</v>
      </c>
      <c r="B46" s="20" t="e">
        <f t="shared" ref="B46:C46" si="20">B43/B44</f>
        <v>#NUM!</v>
      </c>
      <c r="C46" s="20" t="e">
        <f t="shared" si="20"/>
        <v>#NUM!</v>
      </c>
      <c r="F46" s="2" t="s">
        <v>65</v>
      </c>
      <c r="G46" s="20"/>
    </row>
    <row r="47" spans="1:11" ht="13">
      <c r="A47" s="2"/>
      <c r="B47" s="18"/>
      <c r="C47" s="18"/>
      <c r="F47" s="18"/>
      <c r="G47" s="18"/>
      <c r="K47" s="2"/>
    </row>
  </sheetData>
  <pageMargins left="0.7" right="0.7" top="0.75" bottom="0.75" header="0.3" footer="0.3"/>
  <pageSetup orientation="portrait" r:id="rId1"/>
  <ignoredErrors>
    <ignoredError sqref="B18:C1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5"/>
  <sheetViews>
    <sheetView zoomScale="150" zoomScaleNormal="150" workbookViewId="0"/>
  </sheetViews>
  <sheetFormatPr baseColWidth="10" defaultColWidth="14.5" defaultRowHeight="15.75" customHeight="1"/>
  <cols>
    <col min="1" max="1" width="20.83203125" style="273" customWidth="1"/>
    <col min="2" max="2" width="15.83203125" style="273" customWidth="1"/>
    <col min="3" max="4" width="14.6640625" style="273" customWidth="1"/>
    <col min="5" max="5" width="4.1640625" style="273" customWidth="1"/>
    <col min="6" max="6" width="15.5" style="273" bestFit="1" customWidth="1"/>
    <col min="7" max="9" width="14.5" style="273"/>
    <col min="10" max="10" width="4.1640625" style="273" customWidth="1"/>
    <col min="11" max="16384" width="14.5" style="273"/>
  </cols>
  <sheetData>
    <row r="1" spans="1:14" ht="15.75" customHeight="1">
      <c r="A1" s="274" t="s">
        <v>3</v>
      </c>
      <c r="B1" s="275"/>
      <c r="C1" s="275"/>
      <c r="D1" s="275"/>
      <c r="F1" s="275"/>
      <c r="G1" s="283" t="s">
        <v>14</v>
      </c>
      <c r="H1" s="283" t="s">
        <v>13</v>
      </c>
    </row>
    <row r="2" spans="1:14" ht="15.75" customHeight="1">
      <c r="A2" s="275" t="s">
        <v>977</v>
      </c>
      <c r="B2" s="275"/>
      <c r="C2" s="275"/>
      <c r="D2" s="275"/>
      <c r="F2" s="284" t="s">
        <v>5</v>
      </c>
      <c r="G2" s="285"/>
      <c r="H2" s="286"/>
      <c r="I2" s="275"/>
    </row>
    <row r="3" spans="1:14" ht="15.75" customHeight="1">
      <c r="F3" s="284" t="s">
        <v>530</v>
      </c>
      <c r="G3" s="287"/>
      <c r="H3" s="288"/>
    </row>
    <row r="4" spans="1:14" ht="15.75" customHeight="1">
      <c r="A4" s="274" t="s">
        <v>718</v>
      </c>
      <c r="B4" s="275"/>
      <c r="D4" s="277"/>
      <c r="F4" s="284" t="s">
        <v>142</v>
      </c>
      <c r="G4" s="287"/>
      <c r="H4" s="288"/>
      <c r="I4" s="277"/>
      <c r="J4" s="277"/>
    </row>
    <row r="5" spans="1:14" ht="15.75" customHeight="1">
      <c r="A5" s="274" t="s">
        <v>720</v>
      </c>
      <c r="B5" s="275"/>
      <c r="C5" s="277"/>
      <c r="D5" s="277"/>
      <c r="E5" s="277"/>
      <c r="F5" s="284" t="s">
        <v>532</v>
      </c>
      <c r="G5" s="289"/>
      <c r="H5" s="290"/>
      <c r="I5" s="277"/>
    </row>
    <row r="6" spans="1:14" ht="15.75" customHeight="1">
      <c r="A6" s="274" t="s">
        <v>12</v>
      </c>
      <c r="B6" s="275"/>
      <c r="C6" s="277"/>
      <c r="D6" s="277"/>
      <c r="E6" s="277"/>
      <c r="F6" s="277"/>
      <c r="G6" s="277"/>
      <c r="H6" s="277"/>
      <c r="I6" s="277"/>
    </row>
    <row r="7" spans="1:14" ht="15.75" customHeight="1">
      <c r="A7" s="275"/>
      <c r="B7" s="274"/>
      <c r="C7" s="274"/>
      <c r="D7" s="274"/>
    </row>
    <row r="8" spans="1:14" ht="15.75" customHeight="1">
      <c r="A8" s="275"/>
      <c r="B8" s="274" t="s">
        <v>14</v>
      </c>
      <c r="C8" s="274" t="s">
        <v>13</v>
      </c>
      <c r="D8" s="274"/>
    </row>
    <row r="9" spans="1:14" ht="15.75" customHeight="1">
      <c r="A9" s="278" t="s">
        <v>15</v>
      </c>
      <c r="B9" s="275" t="s">
        <v>23</v>
      </c>
      <c r="C9" s="275" t="s">
        <v>24</v>
      </c>
      <c r="D9" s="277"/>
      <c r="F9" s="278" t="s">
        <v>19</v>
      </c>
      <c r="G9" s="275" t="s">
        <v>23</v>
      </c>
      <c r="H9" s="275" t="s">
        <v>24</v>
      </c>
      <c r="I9" s="277"/>
      <c r="K9" s="278" t="s">
        <v>20</v>
      </c>
      <c r="L9" s="275" t="s">
        <v>23</v>
      </c>
      <c r="M9" s="275" t="s">
        <v>24</v>
      </c>
      <c r="N9" s="277"/>
    </row>
    <row r="10" spans="1:14" ht="15.75" customHeight="1">
      <c r="A10" s="275" t="s">
        <v>721</v>
      </c>
      <c r="B10" s="258"/>
      <c r="C10" s="259"/>
      <c r="D10" s="279"/>
      <c r="F10" s="275" t="s">
        <v>721</v>
      </c>
      <c r="G10" s="258"/>
      <c r="H10" s="259"/>
      <c r="I10" s="279"/>
      <c r="K10" s="275" t="s">
        <v>721</v>
      </c>
      <c r="L10" s="279" t="e">
        <f>TINV(0.32,$G$4-1)*G10/SQRT($G$4)</f>
        <v>#NUM!</v>
      </c>
      <c r="M10" s="279" t="e">
        <f>TINV(0.32,$H$4-1)*H10/SQRT($H$4)</f>
        <v>#NUM!</v>
      </c>
      <c r="N10" s="279"/>
    </row>
    <row r="11" spans="1:14" ht="15.75" customHeight="1">
      <c r="A11" s="275" t="s">
        <v>723</v>
      </c>
      <c r="B11" s="260"/>
      <c r="C11" s="261"/>
      <c r="D11" s="279"/>
      <c r="E11" s="274"/>
      <c r="F11" s="275" t="s">
        <v>723</v>
      </c>
      <c r="G11" s="260"/>
      <c r="H11" s="261"/>
      <c r="I11" s="279"/>
      <c r="K11" s="275" t="s">
        <v>723</v>
      </c>
      <c r="L11" s="279" t="e">
        <f>TINV(0.32,$G$4-1)*G11/SQRT($G$4)</f>
        <v>#NUM!</v>
      </c>
      <c r="M11" s="279" t="e">
        <f>TINV(0.32,$H$4-1)*H11/SQRT($H$4)</f>
        <v>#NUM!</v>
      </c>
      <c r="N11" s="279"/>
    </row>
    <row r="12" spans="1:14" ht="15.75" customHeight="1">
      <c r="A12" s="275" t="s">
        <v>696</v>
      </c>
      <c r="B12" s="260"/>
      <c r="C12" s="261"/>
      <c r="D12" s="279"/>
      <c r="E12" s="274"/>
      <c r="F12" s="275" t="s">
        <v>696</v>
      </c>
      <c r="G12" s="260"/>
      <c r="H12" s="261"/>
      <c r="I12" s="279"/>
      <c r="K12" s="275" t="s">
        <v>696</v>
      </c>
      <c r="L12" s="279" t="e">
        <f>TINV(0.32,$G$4-1)*G12/SQRT($G$4)</f>
        <v>#NUM!</v>
      </c>
      <c r="M12" s="279" t="e">
        <f>TINV(0.32,$H$4-1)*H12/SQRT($H$4)</f>
        <v>#NUM!</v>
      </c>
      <c r="N12" s="279"/>
    </row>
    <row r="13" spans="1:14" ht="15.75" customHeight="1">
      <c r="A13" s="275" t="s">
        <v>729</v>
      </c>
      <c r="B13" s="262"/>
      <c r="C13" s="263"/>
      <c r="D13" s="279"/>
      <c r="E13" s="274"/>
      <c r="F13" s="275" t="s">
        <v>729</v>
      </c>
      <c r="G13" s="262"/>
      <c r="H13" s="263"/>
      <c r="I13" s="279"/>
      <c r="K13" s="275" t="s">
        <v>729</v>
      </c>
      <c r="L13" s="279" t="e">
        <f>TINV(0.32,$G$4-1)*G13/SQRT($G$4)</f>
        <v>#NUM!</v>
      </c>
      <c r="M13" s="279" t="e">
        <f>TINV(0.32,$H$4-1)*H13/SQRT($H$4)</f>
        <v>#NUM!</v>
      </c>
      <c r="N13" s="279"/>
    </row>
    <row r="14" spans="1:14" ht="15.75" customHeight="1">
      <c r="A14" s="275"/>
      <c r="B14" s="277"/>
      <c r="C14" s="277"/>
      <c r="D14" s="277"/>
      <c r="E14" s="277"/>
      <c r="F14" s="277"/>
      <c r="G14" s="277"/>
      <c r="H14" s="277"/>
      <c r="I14" s="277"/>
    </row>
    <row r="15" spans="1:14" ht="15.75" customHeight="1">
      <c r="A15" s="278" t="s">
        <v>32</v>
      </c>
      <c r="B15" s="275" t="s">
        <v>23</v>
      </c>
      <c r="C15" s="275" t="s">
        <v>24</v>
      </c>
      <c r="D15" s="277"/>
      <c r="E15" s="275"/>
      <c r="K15" s="278" t="s">
        <v>33</v>
      </c>
      <c r="L15" s="275" t="s">
        <v>23</v>
      </c>
      <c r="M15" s="275" t="s">
        <v>24</v>
      </c>
      <c r="N15" s="277"/>
    </row>
    <row r="16" spans="1:14" ht="15.75" customHeight="1">
      <c r="A16" s="275" t="s">
        <v>731</v>
      </c>
      <c r="B16" s="264">
        <f t="shared" ref="B16:C17" si="0">B12</f>
        <v>0</v>
      </c>
      <c r="C16" s="265">
        <f t="shared" si="0"/>
        <v>0</v>
      </c>
      <c r="E16" s="274"/>
      <c r="K16" s="275" t="s">
        <v>731</v>
      </c>
      <c r="L16" s="279" t="e">
        <f>L12</f>
        <v>#NUM!</v>
      </c>
      <c r="M16" s="279" t="e">
        <f>M12</f>
        <v>#NUM!</v>
      </c>
    </row>
    <row r="17" spans="1:14" ht="15.75" customHeight="1">
      <c r="A17" s="275" t="s">
        <v>732</v>
      </c>
      <c r="B17" s="266">
        <f t="shared" si="0"/>
        <v>0</v>
      </c>
      <c r="C17" s="267">
        <f t="shared" si="0"/>
        <v>0</v>
      </c>
      <c r="E17" s="280"/>
      <c r="K17" s="275" t="s">
        <v>732</v>
      </c>
      <c r="L17" s="279" t="e">
        <f>L13</f>
        <v>#NUM!</v>
      </c>
      <c r="M17" s="279" t="e">
        <f>M13</f>
        <v>#NUM!</v>
      </c>
    </row>
    <row r="18" spans="1:14" ht="15.75" customHeight="1">
      <c r="A18" s="275" t="s">
        <v>26</v>
      </c>
      <c r="B18" s="268" t="e">
        <f>AVERAGE(B10:B11)</f>
        <v>#DIV/0!</v>
      </c>
      <c r="C18" s="269" t="e">
        <f>AVERAGE(C10:C11)</f>
        <v>#DIV/0!</v>
      </c>
      <c r="E18" s="280"/>
      <c r="K18" s="275" t="s">
        <v>26</v>
      </c>
      <c r="L18" s="279" t="e">
        <f>SQRT(AVERAGE(L10^2,L11^2))</f>
        <v>#NUM!</v>
      </c>
      <c r="M18" s="279" t="e">
        <f>SQRT(AVERAGE(M10^2,M11^2))</f>
        <v>#NUM!</v>
      </c>
      <c r="N18" s="279"/>
    </row>
    <row r="19" spans="1:14" ht="15.75" customHeight="1">
      <c r="E19" s="277"/>
    </row>
    <row r="20" spans="1:14" ht="15.75" customHeight="1">
      <c r="A20" s="275"/>
      <c r="B20" s="275"/>
      <c r="C20" s="275"/>
      <c r="D20" s="275"/>
      <c r="E20" s="277"/>
      <c r="F20" s="275"/>
      <c r="G20" s="274"/>
      <c r="H20" s="279"/>
      <c r="I20" s="279"/>
    </row>
    <row r="21" spans="1:14" ht="15.75" customHeight="1">
      <c r="A21" s="278" t="s">
        <v>35</v>
      </c>
      <c r="B21" s="275" t="s">
        <v>30</v>
      </c>
      <c r="C21" s="275" t="s">
        <v>27</v>
      </c>
      <c r="D21" s="275" t="s">
        <v>31</v>
      </c>
      <c r="E21" s="277"/>
      <c r="F21" s="275"/>
      <c r="G21" s="275"/>
      <c r="H21" s="275"/>
      <c r="I21" s="279"/>
    </row>
    <row r="22" spans="1:14" ht="15.75" customHeight="1">
      <c r="A22" s="275" t="s">
        <v>293</v>
      </c>
      <c r="B22" s="264" t="e">
        <f>C16/B16</f>
        <v>#DIV/0!</v>
      </c>
      <c r="C22" s="270" t="e">
        <f>C18/B18</f>
        <v>#DIV/0!</v>
      </c>
      <c r="D22" s="265" t="e">
        <f>B22/C22</f>
        <v>#DIV/0!</v>
      </c>
      <c r="F22" s="279"/>
      <c r="G22" s="279"/>
      <c r="H22" s="279"/>
    </row>
    <row r="23" spans="1:14" ht="15.75" customHeight="1">
      <c r="A23" s="275" t="s">
        <v>296</v>
      </c>
      <c r="B23" s="268" t="e">
        <f>C17/B17</f>
        <v>#DIV/0!</v>
      </c>
      <c r="C23" s="271" t="e">
        <f>C18/B18</f>
        <v>#DIV/0!</v>
      </c>
      <c r="D23" s="269" t="e">
        <f>B23/C23</f>
        <v>#DIV/0!</v>
      </c>
      <c r="F23" s="279"/>
      <c r="G23" s="279"/>
      <c r="H23" s="279"/>
    </row>
    <row r="25" spans="1:14" ht="15.75" customHeight="1">
      <c r="A25" s="278" t="s">
        <v>0</v>
      </c>
      <c r="B25" s="275" t="s">
        <v>0</v>
      </c>
      <c r="C25" s="275" t="s">
        <v>38</v>
      </c>
      <c r="D25" s="275"/>
      <c r="E25" s="277"/>
      <c r="F25" s="275"/>
      <c r="G25" s="275"/>
    </row>
    <row r="26" spans="1:14" ht="15.75" customHeight="1">
      <c r="A26" s="275" t="s">
        <v>293</v>
      </c>
      <c r="B26" s="272" t="e">
        <f>LN(1-$B$4)/LN(1-$B$4*D22)</f>
        <v>#DIV/0!</v>
      </c>
      <c r="C26" s="272" t="e">
        <f>SQRT(B45)</f>
        <v>#NUM!</v>
      </c>
      <c r="F26" s="275" t="s">
        <v>39</v>
      </c>
      <c r="G26" s="276"/>
    </row>
    <row r="27" spans="1:14" ht="15.75" customHeight="1">
      <c r="A27" s="275" t="s">
        <v>296</v>
      </c>
      <c r="B27" s="272" t="e">
        <f>LN(1-$B$4)/LN(1-$B$4*D23)</f>
        <v>#DIV/0!</v>
      </c>
      <c r="C27" s="272" t="e">
        <f>SQRT(C45)</f>
        <v>#NUM!</v>
      </c>
      <c r="F27" s="275" t="s">
        <v>40</v>
      </c>
      <c r="G27" s="276"/>
    </row>
    <row r="28" spans="1:14" ht="15.75" customHeight="1">
      <c r="A28" s="275" t="s">
        <v>541</v>
      </c>
      <c r="B28" s="272" t="e">
        <f>AVERAGE(B26:B27)</f>
        <v>#DIV/0!</v>
      </c>
    </row>
    <row r="29" spans="1:14" ht="15.75" customHeight="1">
      <c r="A29" s="275"/>
      <c r="B29" s="275"/>
    </row>
    <row r="30" spans="1:14" ht="13">
      <c r="A30" s="278" t="s">
        <v>41</v>
      </c>
      <c r="B30" s="275"/>
    </row>
    <row r="31" spans="1:14" ht="13">
      <c r="B31" s="275" t="s">
        <v>293</v>
      </c>
      <c r="C31" s="275" t="s">
        <v>296</v>
      </c>
      <c r="G31" s="275"/>
    </row>
    <row r="32" spans="1:14" ht="13">
      <c r="A32" s="275" t="s">
        <v>31</v>
      </c>
      <c r="B32" s="281" t="e">
        <f>D22</f>
        <v>#DIV/0!</v>
      </c>
      <c r="C32" s="281" t="e">
        <f>D23</f>
        <v>#DIV/0!</v>
      </c>
      <c r="D32" s="281"/>
      <c r="E32" s="281"/>
      <c r="F32" s="275"/>
      <c r="G32" s="281"/>
    </row>
    <row r="33" spans="1:7" ht="13">
      <c r="A33" s="275" t="s">
        <v>42</v>
      </c>
      <c r="B33" s="281" t="e">
        <f>(M16/C16)^2+(L16/B16)^2</f>
        <v>#NUM!</v>
      </c>
      <c r="C33" s="281" t="e">
        <f>(M17/C17)^2+(L17/B17)^2</f>
        <v>#NUM!</v>
      </c>
      <c r="D33" s="281"/>
      <c r="E33" s="281"/>
      <c r="F33" s="275" t="s">
        <v>43</v>
      </c>
      <c r="G33" s="281"/>
    </row>
    <row r="34" spans="1:7" ht="13">
      <c r="A34" s="275" t="s">
        <v>44</v>
      </c>
      <c r="B34" s="281" t="e">
        <f>(M18/C18)^2+(L18/B18)^2</f>
        <v>#NUM!</v>
      </c>
      <c r="C34" s="281" t="e">
        <f>B34</f>
        <v>#NUM!</v>
      </c>
      <c r="D34" s="281"/>
      <c r="E34" s="281"/>
    </row>
    <row r="35" spans="1:7" ht="13">
      <c r="A35" s="275" t="s">
        <v>45</v>
      </c>
      <c r="B35" s="281" t="e">
        <f>B33+B34</f>
        <v>#NUM!</v>
      </c>
      <c r="C35" s="281" t="e">
        <f>C33+C34</f>
        <v>#NUM!</v>
      </c>
      <c r="D35" s="281"/>
      <c r="E35" s="281"/>
      <c r="F35" s="275" t="s">
        <v>46</v>
      </c>
      <c r="G35" s="281"/>
    </row>
    <row r="36" spans="1:7" ht="13">
      <c r="A36" s="275"/>
    </row>
    <row r="37" spans="1:7" ht="13">
      <c r="A37" s="275" t="s">
        <v>47</v>
      </c>
      <c r="B37" s="281" t="e">
        <f>B32*LN(1-$B$4)</f>
        <v>#DIV/0!</v>
      </c>
      <c r="C37" s="281" t="e">
        <f>C32*LN(1-$B$4)</f>
        <v>#DIV/0!</v>
      </c>
      <c r="F37" s="275" t="s">
        <v>49</v>
      </c>
      <c r="G37" s="281"/>
    </row>
    <row r="38" spans="1:7" ht="13">
      <c r="A38" s="275" t="s">
        <v>50</v>
      </c>
      <c r="B38" s="282" t="e">
        <f>1-$B$4*B32</f>
        <v>#DIV/0!</v>
      </c>
      <c r="C38" s="282" t="e">
        <f>1-$B$4*C32</f>
        <v>#DIV/0!</v>
      </c>
      <c r="F38" s="275" t="s">
        <v>51</v>
      </c>
      <c r="G38" s="282"/>
    </row>
    <row r="39" spans="1:7" ht="13">
      <c r="A39" s="275" t="s">
        <v>52</v>
      </c>
      <c r="B39" s="281" t="e">
        <f>LN(B38)</f>
        <v>#DIV/0!</v>
      </c>
      <c r="C39" s="281" t="e">
        <f>LN(C38)</f>
        <v>#DIV/0!</v>
      </c>
      <c r="F39" s="275" t="s">
        <v>53</v>
      </c>
      <c r="G39" s="281"/>
    </row>
    <row r="40" spans="1:7" ht="13">
      <c r="A40" s="275" t="s">
        <v>54</v>
      </c>
      <c r="B40" s="281" t="e">
        <f>B38*B39^2</f>
        <v>#DIV/0!</v>
      </c>
      <c r="C40" s="281" t="e">
        <f>C38*C39^2</f>
        <v>#DIV/0!</v>
      </c>
      <c r="F40" s="275" t="s">
        <v>55</v>
      </c>
      <c r="G40" s="281"/>
    </row>
    <row r="41" spans="1:7" ht="13">
      <c r="A41" s="275" t="s">
        <v>56</v>
      </c>
      <c r="B41" s="281" t="e">
        <f>(1-$B$4)*B39</f>
        <v>#DIV/0!</v>
      </c>
      <c r="C41" s="281" t="e">
        <f>(1-$B$4)*C39</f>
        <v>#DIV/0!</v>
      </c>
      <c r="F41" s="275" t="s">
        <v>57</v>
      </c>
      <c r="G41" s="281"/>
    </row>
    <row r="42" spans="1:7" ht="13">
      <c r="A42" s="275" t="s">
        <v>58</v>
      </c>
      <c r="B42" s="281" t="e">
        <f>$B$4^2*LN(1-$B$4)^2*B35</f>
        <v>#NUM!</v>
      </c>
      <c r="C42" s="281" t="e">
        <f>$B$4^2*LN(1-$B$4)^2*C35</f>
        <v>#NUM!</v>
      </c>
      <c r="F42" s="275" t="s">
        <v>59</v>
      </c>
      <c r="G42" s="281"/>
    </row>
    <row r="43" spans="1:7" ht="13">
      <c r="A43" s="275" t="s">
        <v>60</v>
      </c>
      <c r="B43" s="281" t="e">
        <f>B38^2*B39^4</f>
        <v>#DIV/0!</v>
      </c>
      <c r="C43" s="281" t="e">
        <f>C38^2*C39^4</f>
        <v>#DIV/0!</v>
      </c>
      <c r="F43" s="275" t="s">
        <v>61</v>
      </c>
      <c r="G43" s="281"/>
    </row>
    <row r="44" spans="1:7" ht="13">
      <c r="A44" s="275" t="s">
        <v>62</v>
      </c>
      <c r="B44" s="282" t="e">
        <f>(B37/B40-1/B41)^2*$B$6^2</f>
        <v>#DIV/0!</v>
      </c>
      <c r="C44" s="282" t="e">
        <f>(C37/C40-1/C41)^2*$B$6^2</f>
        <v>#DIV/0!</v>
      </c>
      <c r="F44" s="275" t="s">
        <v>63</v>
      </c>
      <c r="G44" s="282"/>
    </row>
    <row r="45" spans="1:7" ht="13">
      <c r="A45" s="275" t="s">
        <v>64</v>
      </c>
      <c r="B45" s="281" t="e">
        <f>B42/B43</f>
        <v>#NUM!</v>
      </c>
      <c r="C45" s="281" t="e">
        <f>C42/C43</f>
        <v>#NUM!</v>
      </c>
      <c r="F45" s="275" t="s">
        <v>65</v>
      </c>
      <c r="G45" s="28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27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5" ht="15.75" customHeight="1">
      <c r="A1" s="1" t="s">
        <v>722</v>
      </c>
      <c r="B1" s="2"/>
      <c r="C1" s="2"/>
      <c r="D1" s="2"/>
      <c r="G1" s="2"/>
      <c r="H1" s="2"/>
    </row>
    <row r="2" spans="1:15" ht="15.75" customHeight="1">
      <c r="A2" s="2" t="s">
        <v>724</v>
      </c>
      <c r="B2" s="2"/>
      <c r="C2" s="2"/>
      <c r="D2" s="2"/>
      <c r="E2" s="6" t="s">
        <v>5</v>
      </c>
      <c r="F2" s="2">
        <v>0.25</v>
      </c>
      <c r="G2" s="2" t="s">
        <v>725</v>
      </c>
      <c r="H2" s="2"/>
    </row>
    <row r="3" spans="1:15" ht="15.75" customHeight="1">
      <c r="A3" s="2" t="s">
        <v>726</v>
      </c>
      <c r="E3" s="1" t="s">
        <v>7</v>
      </c>
      <c r="F3" s="2">
        <v>16</v>
      </c>
      <c r="G3" s="2"/>
    </row>
    <row r="4" spans="1:15" ht="15.75" customHeight="1">
      <c r="A4" s="19" t="s">
        <v>727</v>
      </c>
      <c r="B4" s="7"/>
      <c r="D4" s="8"/>
      <c r="E4" s="6" t="s">
        <v>272</v>
      </c>
      <c r="F4" s="7">
        <v>8</v>
      </c>
      <c r="G4" s="8"/>
      <c r="H4" s="8"/>
      <c r="I4" s="8"/>
    </row>
    <row r="5" spans="1:15" ht="15.75" customHeight="1">
      <c r="D5" s="8"/>
      <c r="G5" s="8"/>
      <c r="H5" s="8"/>
      <c r="I5" s="8"/>
    </row>
    <row r="6" spans="1:15" ht="15.75" customHeight="1">
      <c r="A6" s="17" t="s">
        <v>533</v>
      </c>
      <c r="B6" s="7" t="s">
        <v>14</v>
      </c>
      <c r="D6" s="7" t="s">
        <v>300</v>
      </c>
      <c r="E6" s="8"/>
      <c r="F6" s="8"/>
      <c r="G6" s="8"/>
      <c r="H6" s="8"/>
      <c r="I6" s="8"/>
    </row>
    <row r="7" spans="1:15" ht="15.75" customHeight="1">
      <c r="A7" s="6" t="s">
        <v>68</v>
      </c>
      <c r="B7" s="6" t="s">
        <v>71</v>
      </c>
      <c r="C7" s="1" t="s">
        <v>538</v>
      </c>
      <c r="D7" s="6" t="s">
        <v>70</v>
      </c>
      <c r="E7" s="1" t="s">
        <v>538</v>
      </c>
      <c r="F7" s="6" t="s">
        <v>9</v>
      </c>
      <c r="G7" s="6" t="s">
        <v>1</v>
      </c>
      <c r="H7" s="8"/>
      <c r="I7" s="8"/>
      <c r="J7" s="1" t="s">
        <v>68</v>
      </c>
      <c r="K7" s="1" t="s">
        <v>30</v>
      </c>
      <c r="L7" s="1" t="s">
        <v>27</v>
      </c>
      <c r="M7" s="1" t="s">
        <v>31</v>
      </c>
      <c r="N7" s="1" t="s">
        <v>9</v>
      </c>
      <c r="O7" s="1" t="s">
        <v>0</v>
      </c>
    </row>
    <row r="8" spans="1:15" ht="15.75" customHeight="1">
      <c r="A8" s="7" t="s">
        <v>721</v>
      </c>
      <c r="B8" s="84">
        <v>35.655999999999999</v>
      </c>
      <c r="C8" s="12">
        <v>1.1299999999999999E-2</v>
      </c>
      <c r="D8" s="84">
        <v>3.0432000000000001</v>
      </c>
      <c r="E8" s="12">
        <v>0.13300000000000001</v>
      </c>
      <c r="F8" s="137">
        <v>1</v>
      </c>
      <c r="G8" s="8"/>
      <c r="H8" s="8"/>
      <c r="I8" s="8"/>
      <c r="J8" s="2" t="s">
        <v>47</v>
      </c>
      <c r="K8" s="11">
        <f t="shared" ref="K8:K10" si="0">D11/B11</f>
        <v>8.1559341578673658E-2</v>
      </c>
      <c r="L8" s="11">
        <f t="shared" ref="L8:L10" si="1">D8/B8</f>
        <v>8.5348889387480378E-2</v>
      </c>
      <c r="M8" s="11">
        <f t="shared" ref="M8:M10" si="2">K8/L8</f>
        <v>0.95559933074697279</v>
      </c>
      <c r="N8" s="2">
        <v>0.115</v>
      </c>
      <c r="O8" s="5">
        <f t="shared" ref="O8:O10" si="3">LN(1-N8)/LN(1-N8*M8)</f>
        <v>1.0494181696195135</v>
      </c>
    </row>
    <row r="9" spans="1:15" ht="15.75" customHeight="1">
      <c r="A9" s="7" t="s">
        <v>733</v>
      </c>
      <c r="B9" s="84">
        <v>35.662300000000002</v>
      </c>
      <c r="C9" s="12">
        <v>8.8999999999999999E-3</v>
      </c>
      <c r="D9" s="84">
        <v>3.0726</v>
      </c>
      <c r="E9" s="12">
        <v>7.8899999999999998E-2</v>
      </c>
      <c r="F9" s="137">
        <v>1</v>
      </c>
      <c r="G9" s="7" t="s">
        <v>734</v>
      </c>
      <c r="H9" s="8"/>
      <c r="I9" s="8"/>
      <c r="J9" s="2" t="s">
        <v>735</v>
      </c>
      <c r="K9" s="11">
        <f t="shared" si="0"/>
        <v>8.2790964234848177E-2</v>
      </c>
      <c r="L9" s="11">
        <f t="shared" si="1"/>
        <v>8.6158211893231779E-2</v>
      </c>
      <c r="M9" s="11">
        <f t="shared" si="2"/>
        <v>0.96091785583298395</v>
      </c>
      <c r="N9" s="2">
        <v>0.115</v>
      </c>
      <c r="O9" s="5">
        <f t="shared" si="3"/>
        <v>1.043258169072663</v>
      </c>
    </row>
    <row r="10" spans="1:15" ht="15.75" customHeight="1">
      <c r="A10" s="7" t="s">
        <v>723</v>
      </c>
      <c r="B10" s="84">
        <v>36.034700000000001</v>
      </c>
      <c r="C10" s="12">
        <v>5.5999999999999999E-3</v>
      </c>
      <c r="D10" s="84">
        <v>3.1324000000000001</v>
      </c>
      <c r="E10" s="12">
        <v>8.4599999999999995E-2</v>
      </c>
      <c r="F10" s="137">
        <v>1</v>
      </c>
      <c r="G10" s="8"/>
      <c r="H10" s="8"/>
      <c r="I10" s="8"/>
      <c r="J10" s="2" t="s">
        <v>54</v>
      </c>
      <c r="K10" s="11">
        <f t="shared" si="0"/>
        <v>8.3230794764523761E-2</v>
      </c>
      <c r="L10" s="11">
        <f t="shared" si="1"/>
        <v>8.6927322830493939E-2</v>
      </c>
      <c r="M10" s="11">
        <f t="shared" si="2"/>
        <v>0.95747564809768371</v>
      </c>
      <c r="N10" s="2">
        <v>0.107</v>
      </c>
      <c r="O10" s="5">
        <f t="shared" si="3"/>
        <v>1.0470213564718647</v>
      </c>
    </row>
    <row r="11" spans="1:15" ht="15.75" customHeight="1">
      <c r="A11" s="7" t="s">
        <v>696</v>
      </c>
      <c r="B11" s="84">
        <v>35.381599999999999</v>
      </c>
      <c r="C11" s="12">
        <v>8.3000000000000001E-3</v>
      </c>
      <c r="D11" s="84">
        <v>2.8856999999999999</v>
      </c>
      <c r="E11" s="12">
        <v>0.1026</v>
      </c>
      <c r="F11" s="137">
        <v>0.115</v>
      </c>
      <c r="G11" s="8"/>
      <c r="H11" s="8"/>
      <c r="I11" s="8"/>
    </row>
    <row r="12" spans="1:15" ht="15.75" customHeight="1">
      <c r="A12" s="7" t="s">
        <v>736</v>
      </c>
      <c r="B12" s="84">
        <v>35.246600000000001</v>
      </c>
      <c r="C12" s="12">
        <v>3.8E-3</v>
      </c>
      <c r="D12" s="84">
        <v>2.9180999999999999</v>
      </c>
      <c r="E12" s="12">
        <v>7.7899999999999997E-2</v>
      </c>
      <c r="F12" s="137">
        <v>0.115</v>
      </c>
      <c r="G12" s="8"/>
      <c r="H12" s="8"/>
      <c r="I12" s="8"/>
    </row>
    <row r="13" spans="1:15" ht="15.75" customHeight="1">
      <c r="A13" s="7" t="s">
        <v>729</v>
      </c>
      <c r="B13" s="84">
        <v>34.946199999999997</v>
      </c>
      <c r="C13" s="12">
        <v>6.4999999999999997E-3</v>
      </c>
      <c r="D13" s="84">
        <v>2.9085999999999999</v>
      </c>
      <c r="E13" s="12">
        <v>9.3399999999999997E-2</v>
      </c>
      <c r="F13" s="137">
        <v>0.107</v>
      </c>
      <c r="G13" s="8"/>
      <c r="H13" s="8"/>
      <c r="I13" s="8"/>
    </row>
    <row r="14" spans="1:15" ht="15.75" customHeight="1">
      <c r="A14" s="7"/>
      <c r="B14" s="16"/>
      <c r="C14" s="16"/>
      <c r="D14" s="8"/>
      <c r="E14" s="8"/>
      <c r="F14" s="8"/>
      <c r="G14" s="8"/>
      <c r="H14" s="8"/>
      <c r="I14" s="8"/>
    </row>
    <row r="15" spans="1:15" ht="15.75" customHeight="1">
      <c r="A15" s="17" t="s">
        <v>737</v>
      </c>
      <c r="B15" s="84" t="s">
        <v>14</v>
      </c>
      <c r="C15" s="84" t="s">
        <v>300</v>
      </c>
      <c r="E15" s="7"/>
      <c r="F15" s="8"/>
      <c r="G15" s="17" t="s">
        <v>738</v>
      </c>
      <c r="H15" s="138"/>
      <c r="I15" s="7"/>
      <c r="J15" s="6" t="s">
        <v>141</v>
      </c>
      <c r="K15" s="7">
        <v>0.111</v>
      </c>
    </row>
    <row r="16" spans="1:15" ht="15.75" customHeight="1">
      <c r="A16" s="6" t="s">
        <v>68</v>
      </c>
      <c r="B16" s="139" t="s">
        <v>71</v>
      </c>
      <c r="C16" s="139" t="s">
        <v>70</v>
      </c>
      <c r="E16" s="6"/>
      <c r="G16" s="8"/>
      <c r="H16" s="6"/>
      <c r="I16" s="6"/>
      <c r="J16" s="6"/>
    </row>
    <row r="17" spans="1:12" ht="15.75" customHeight="1">
      <c r="A17" s="7" t="s">
        <v>195</v>
      </c>
      <c r="B17" s="11">
        <f>AVERAGE(B8:B10)</f>
        <v>35.784333333333329</v>
      </c>
      <c r="C17" s="11">
        <f>AVERAGE(D8:D10)</f>
        <v>3.0827333333333335</v>
      </c>
      <c r="D17" s="32"/>
      <c r="E17" s="32"/>
      <c r="G17" s="6" t="s">
        <v>27</v>
      </c>
      <c r="H17" s="16">
        <f>C17/B17</f>
        <v>8.614756923420866E-2</v>
      </c>
      <c r="I17" s="16"/>
      <c r="J17" s="16"/>
      <c r="K17" s="32"/>
      <c r="L17" s="32"/>
    </row>
    <row r="18" spans="1:12" ht="15.75" customHeight="1">
      <c r="A18" s="7" t="s">
        <v>196</v>
      </c>
      <c r="B18" s="11">
        <f>AVERAGE(B11:B13)</f>
        <v>35.191466666666663</v>
      </c>
      <c r="C18" s="11">
        <f>AVERAGE(D11:D13)</f>
        <v>2.9041333333333328</v>
      </c>
      <c r="D18" s="32"/>
      <c r="E18" s="32"/>
      <c r="G18" s="6" t="s">
        <v>30</v>
      </c>
      <c r="H18" s="16">
        <f>AVERAGE(C18/B18)</f>
        <v>8.2523793646944704E-2</v>
      </c>
      <c r="I18" s="16"/>
      <c r="J18" s="16"/>
      <c r="K18" s="32"/>
      <c r="L18" s="32"/>
    </row>
    <row r="19" spans="1:12" ht="15.75" customHeight="1">
      <c r="A19" s="8"/>
      <c r="C19" s="8"/>
      <c r="D19" s="8"/>
      <c r="E19" s="8"/>
      <c r="G19" s="6" t="s">
        <v>31</v>
      </c>
      <c r="H19" s="16">
        <f>H18/H17</f>
        <v>0.95793525436089755</v>
      </c>
      <c r="I19" s="16"/>
      <c r="J19" s="16"/>
    </row>
    <row r="20" spans="1:12" ht="15.75" customHeight="1">
      <c r="A20" s="17" t="s">
        <v>19</v>
      </c>
      <c r="B20" s="8"/>
      <c r="C20" s="8"/>
      <c r="D20" s="8"/>
      <c r="E20" s="8"/>
      <c r="G20" s="37" t="s">
        <v>0</v>
      </c>
      <c r="H20" s="16">
        <f>LN(1-$K$15)/LN(1-$K$15*H19)</f>
        <v>1.0465971553306446</v>
      </c>
      <c r="I20" s="2" t="s">
        <v>39</v>
      </c>
      <c r="J20" s="16"/>
      <c r="K20" s="32"/>
    </row>
    <row r="21" spans="1:12" ht="15.75" customHeight="1">
      <c r="A21" s="6" t="s">
        <v>68</v>
      </c>
      <c r="B21" s="6" t="s">
        <v>143</v>
      </c>
      <c r="C21" s="6" t="s">
        <v>144</v>
      </c>
      <c r="D21" s="6"/>
      <c r="E21" s="6"/>
      <c r="G21" s="39" t="s">
        <v>38</v>
      </c>
      <c r="H21" s="11">
        <f>H20*SQRT(B35^2*(H25+H26))</f>
        <v>1.2661824529707077E-2</v>
      </c>
      <c r="I21" s="27" t="s">
        <v>226</v>
      </c>
      <c r="J21" s="11"/>
      <c r="K21" s="32"/>
    </row>
    <row r="22" spans="1:12" ht="15.75" customHeight="1">
      <c r="A22" s="7" t="s">
        <v>195</v>
      </c>
      <c r="B22" s="11">
        <f>SQRT(AVERAGE(C8^2,C9^2,C10^2))</f>
        <v>8.9117899436645161E-3</v>
      </c>
      <c r="C22" s="11">
        <f>SQRT(AVERAGE(E8^2,E9^2,E10^2))</f>
        <v>0.10176995299858074</v>
      </c>
      <c r="D22" s="32"/>
      <c r="E22" s="32"/>
      <c r="I22" s="2" t="s">
        <v>227</v>
      </c>
      <c r="K22" s="32"/>
    </row>
    <row r="23" spans="1:12" ht="15.75" customHeight="1">
      <c r="A23" s="7" t="s">
        <v>196</v>
      </c>
      <c r="B23" s="11">
        <f>SQRT(AVERAGE(C11^2,C12^2,C13^2))</f>
        <v>6.4699304478487247E-3</v>
      </c>
      <c r="C23" s="11">
        <f>SQRT(AVERAGE(E11^2,E12^2,E13^2))</f>
        <v>9.1867168600467189E-2</v>
      </c>
      <c r="D23" s="32"/>
      <c r="E23" s="32"/>
      <c r="I23" s="2" t="s">
        <v>228</v>
      </c>
      <c r="J23" s="8"/>
      <c r="K23" s="32"/>
    </row>
    <row r="24" spans="1:12" ht="15.75" customHeight="1">
      <c r="A24" s="7"/>
      <c r="B24" s="11"/>
      <c r="C24" s="11"/>
      <c r="D24" s="11"/>
      <c r="E24" s="8"/>
      <c r="H24" s="6" t="s">
        <v>193</v>
      </c>
      <c r="I24" s="6"/>
      <c r="J24" s="6"/>
    </row>
    <row r="25" spans="1:12" ht="15.75" customHeight="1">
      <c r="A25" s="7" t="s">
        <v>197</v>
      </c>
      <c r="B25" s="11">
        <f t="shared" ref="B25:C25" si="4">B22/SQRT($F$3)</f>
        <v>2.227947485916129E-3</v>
      </c>
      <c r="C25" s="11">
        <f t="shared" si="4"/>
        <v>2.5442488249645186E-2</v>
      </c>
      <c r="D25" s="11"/>
      <c r="E25" s="11"/>
      <c r="G25" s="6" t="s">
        <v>44</v>
      </c>
      <c r="H25" s="34">
        <f t="shared" ref="H25:H26" si="5">(B25/B17)^2+(C25/C17)^2</f>
        <v>6.8119580169409167E-5</v>
      </c>
      <c r="I25" s="34"/>
      <c r="J25" s="34"/>
    </row>
    <row r="26" spans="1:12" ht="15.75" customHeight="1">
      <c r="A26" s="7" t="s">
        <v>198</v>
      </c>
      <c r="B26" s="11">
        <f t="shared" ref="B26:C26" si="6">B23/SQRT($F$3)</f>
        <v>1.6174826119621812E-3</v>
      </c>
      <c r="C26" s="11">
        <f t="shared" si="6"/>
        <v>2.2966792150116797E-2</v>
      </c>
      <c r="D26" s="11"/>
      <c r="E26" s="11"/>
      <c r="G26" s="6" t="s">
        <v>42</v>
      </c>
      <c r="H26" s="34">
        <f t="shared" si="5"/>
        <v>6.2543509378324284E-5</v>
      </c>
      <c r="I26" s="34"/>
      <c r="J26" s="34"/>
    </row>
    <row r="27" spans="1:12" ht="15.75" customHeight="1">
      <c r="A27" s="7" t="s">
        <v>208</v>
      </c>
      <c r="B27" s="8"/>
      <c r="C27" s="8"/>
      <c r="D27" s="8"/>
      <c r="E27" s="8"/>
      <c r="G27" s="7" t="s">
        <v>209</v>
      </c>
    </row>
    <row r="28" spans="1:12" ht="15.75" customHeight="1">
      <c r="A28" s="7" t="s">
        <v>210</v>
      </c>
      <c r="B28" s="8"/>
      <c r="C28" s="8"/>
      <c r="D28" s="8"/>
      <c r="E28" s="8"/>
      <c r="F28" s="8"/>
    </row>
    <row r="29" spans="1:12" ht="15.75" customHeight="1">
      <c r="A29" s="7"/>
      <c r="B29" s="8"/>
      <c r="C29" s="8"/>
      <c r="D29" s="8"/>
      <c r="E29" s="8"/>
      <c r="F29" s="8"/>
      <c r="G29" s="8"/>
      <c r="H29" s="8"/>
      <c r="I29" s="8"/>
    </row>
    <row r="30" spans="1:12" ht="13">
      <c r="A30" s="17" t="s">
        <v>148</v>
      </c>
      <c r="B30" s="8"/>
      <c r="C30" s="8"/>
      <c r="D30" s="7"/>
      <c r="E30" s="7"/>
      <c r="F30" s="8"/>
      <c r="G30" s="8"/>
      <c r="H30" s="8"/>
      <c r="I30" s="8"/>
    </row>
    <row r="31" spans="1:12" ht="13">
      <c r="B31" s="1" t="s">
        <v>193</v>
      </c>
      <c r="C31" s="6" t="s">
        <v>215</v>
      </c>
      <c r="D31" s="1"/>
      <c r="E31" s="1"/>
      <c r="G31" s="8"/>
      <c r="H31" s="8"/>
      <c r="I31" s="8"/>
    </row>
    <row r="32" spans="1:12" ht="13">
      <c r="A32" s="7" t="s">
        <v>149</v>
      </c>
      <c r="B32" s="16">
        <f>$K$15/LN(1-$K$15)</f>
        <v>-0.94341191412017555</v>
      </c>
      <c r="C32" s="7" t="s">
        <v>217</v>
      </c>
      <c r="D32" s="16"/>
      <c r="E32" s="16"/>
      <c r="G32" s="8"/>
    </row>
    <row r="33" spans="1:12" ht="13">
      <c r="A33" s="7" t="s">
        <v>150</v>
      </c>
      <c r="B33" s="16">
        <f>H19*H20</f>
        <v>1.0025723122050527</v>
      </c>
      <c r="C33" s="7" t="s">
        <v>220</v>
      </c>
      <c r="D33" s="16"/>
      <c r="E33" s="16"/>
      <c r="G33" s="8"/>
    </row>
    <row r="34" spans="1:12" ht="13">
      <c r="A34" s="7" t="s">
        <v>151</v>
      </c>
      <c r="B34" s="16">
        <f>1-$K$15*H19</f>
        <v>0.89366918676594032</v>
      </c>
      <c r="C34" s="7" t="s">
        <v>221</v>
      </c>
      <c r="D34" s="16"/>
      <c r="E34" s="16"/>
      <c r="G34" s="8"/>
    </row>
    <row r="35" spans="1:12" ht="13">
      <c r="A35" s="7" t="s">
        <v>54</v>
      </c>
      <c r="B35" s="16">
        <f>B32*B33/B34</f>
        <v>-1.0583767216190059</v>
      </c>
      <c r="C35" s="2" t="s">
        <v>245</v>
      </c>
      <c r="D35" s="16"/>
      <c r="E35" s="16"/>
      <c r="G35" s="8"/>
      <c r="H35" s="8"/>
      <c r="I35" s="8"/>
      <c r="J35" s="8"/>
    </row>
    <row r="36" spans="1:12" ht="13">
      <c r="A36" s="8"/>
      <c r="B36" s="8"/>
      <c r="C36" s="8"/>
      <c r="D36" s="8"/>
      <c r="E36" s="27"/>
      <c r="F36" s="2"/>
      <c r="I36" s="8"/>
      <c r="J36" s="8"/>
    </row>
    <row r="38" spans="1:12" ht="13">
      <c r="A38" s="2"/>
      <c r="C38" s="11"/>
      <c r="D38" s="2"/>
      <c r="E38" s="2"/>
    </row>
    <row r="39" spans="1:12" ht="13">
      <c r="A39" s="1"/>
      <c r="B39" s="2"/>
      <c r="C39" s="2"/>
      <c r="D39" s="2"/>
      <c r="G39" s="2"/>
      <c r="H39" s="2"/>
    </row>
    <row r="40" spans="1:12" ht="13">
      <c r="A40" s="2"/>
      <c r="B40" s="2"/>
      <c r="C40" s="2"/>
      <c r="D40" s="2"/>
      <c r="E40" s="6"/>
      <c r="F40" s="2"/>
      <c r="G40" s="2"/>
      <c r="H40" s="2"/>
    </row>
    <row r="41" spans="1:12" ht="13">
      <c r="A41" s="2"/>
      <c r="E41" s="1"/>
      <c r="F41" s="2"/>
      <c r="G41" s="2"/>
    </row>
    <row r="42" spans="1:12" ht="13">
      <c r="A42" s="6"/>
      <c r="B42" s="7"/>
      <c r="D42" s="8"/>
      <c r="E42" s="6"/>
      <c r="F42" s="7"/>
      <c r="G42" s="8"/>
      <c r="H42" s="8"/>
      <c r="I42" s="8"/>
    </row>
    <row r="43" spans="1:12" ht="13">
      <c r="A43" s="7"/>
      <c r="B43" s="8"/>
      <c r="C43" s="8"/>
      <c r="D43" s="8"/>
      <c r="E43" s="8"/>
      <c r="F43" s="8"/>
      <c r="G43" s="8"/>
      <c r="H43" s="8"/>
      <c r="I43" s="8"/>
    </row>
    <row r="44" spans="1:12" ht="13">
      <c r="A44" s="7"/>
      <c r="B44" s="7"/>
      <c r="C44" s="7"/>
      <c r="D44" s="7"/>
      <c r="E44" s="7"/>
      <c r="F44" s="8"/>
      <c r="G44" s="8"/>
      <c r="H44" s="8"/>
      <c r="I44" s="7"/>
      <c r="J44" s="2"/>
    </row>
    <row r="45" spans="1:12" ht="13">
      <c r="A45" s="6"/>
      <c r="B45" s="6"/>
      <c r="C45" s="6"/>
      <c r="D45" s="6"/>
      <c r="E45" s="6"/>
      <c r="G45" s="8"/>
      <c r="H45" s="6"/>
      <c r="I45" s="6"/>
      <c r="J45" s="6"/>
    </row>
    <row r="46" spans="1:12" ht="14">
      <c r="A46" s="7"/>
      <c r="B46" s="15"/>
      <c r="C46" s="15"/>
      <c r="D46" s="15"/>
      <c r="E46" s="15"/>
      <c r="G46" s="6"/>
      <c r="H46" s="16"/>
      <c r="I46" s="16"/>
      <c r="J46" s="16"/>
      <c r="K46" s="32"/>
      <c r="L46" s="32"/>
    </row>
    <row r="47" spans="1:12" ht="14">
      <c r="A47" s="7"/>
      <c r="B47" s="15"/>
      <c r="C47" s="15"/>
      <c r="D47" s="15"/>
      <c r="E47" s="15"/>
      <c r="G47" s="6"/>
      <c r="H47" s="16"/>
      <c r="I47" s="16"/>
      <c r="J47" s="16"/>
      <c r="K47" s="32"/>
      <c r="L47" s="32"/>
    </row>
    <row r="48" spans="1:12" ht="13">
      <c r="A48" s="8"/>
      <c r="C48" s="8"/>
      <c r="D48" s="8"/>
      <c r="E48" s="8"/>
      <c r="G48" s="6"/>
      <c r="H48" s="16"/>
      <c r="I48" s="16"/>
      <c r="J48" s="16"/>
    </row>
    <row r="49" spans="1:12" ht="14">
      <c r="A49" s="7"/>
      <c r="B49" s="8"/>
      <c r="C49" s="8"/>
      <c r="D49" s="8"/>
      <c r="E49" s="8"/>
      <c r="G49" s="6"/>
      <c r="H49" s="16"/>
      <c r="I49" s="16"/>
      <c r="J49" s="16"/>
      <c r="K49" s="32"/>
      <c r="L49" s="2"/>
    </row>
    <row r="50" spans="1:12" ht="14">
      <c r="A50" s="6"/>
      <c r="B50" s="6"/>
      <c r="C50" s="6"/>
      <c r="D50" s="6"/>
      <c r="E50" s="6"/>
      <c r="G50" s="1"/>
      <c r="H50" s="11"/>
      <c r="I50" s="11"/>
      <c r="J50" s="11"/>
      <c r="K50" s="32"/>
      <c r="L50" s="27"/>
    </row>
    <row r="51" spans="1:12" ht="14">
      <c r="A51" s="7"/>
      <c r="B51" s="15"/>
      <c r="C51" s="15"/>
      <c r="D51" s="15"/>
      <c r="E51" s="15"/>
      <c r="K51" s="32"/>
      <c r="L51" s="2"/>
    </row>
    <row r="52" spans="1:12" ht="14">
      <c r="A52" s="7"/>
      <c r="B52" s="21"/>
      <c r="C52" s="21"/>
      <c r="D52" s="15"/>
      <c r="E52" s="15"/>
      <c r="J52" s="8"/>
      <c r="K52" s="32"/>
      <c r="L52" s="2"/>
    </row>
    <row r="53" spans="1:12" ht="13">
      <c r="A53" s="7"/>
      <c r="B53" s="11"/>
      <c r="C53" s="11"/>
      <c r="D53" s="11"/>
      <c r="E53" s="8"/>
      <c r="H53" s="6"/>
      <c r="I53" s="6"/>
      <c r="J53" s="6"/>
    </row>
    <row r="54" spans="1:12" ht="13">
      <c r="A54" s="7"/>
      <c r="B54" s="11"/>
      <c r="C54" s="11"/>
      <c r="D54" s="11"/>
      <c r="E54" s="11"/>
      <c r="G54" s="6"/>
      <c r="H54" s="34"/>
      <c r="I54" s="34"/>
      <c r="J54" s="34"/>
    </row>
    <row r="55" spans="1:12" ht="13">
      <c r="A55" s="7"/>
      <c r="B55" s="11"/>
      <c r="C55" s="11"/>
      <c r="D55" s="11"/>
      <c r="E55" s="11"/>
      <c r="G55" s="6"/>
      <c r="H55" s="34"/>
      <c r="I55" s="34"/>
      <c r="J55" s="34"/>
    </row>
    <row r="56" spans="1:12" ht="13">
      <c r="A56" s="7"/>
      <c r="B56" s="8"/>
      <c r="C56" s="8"/>
      <c r="D56" s="8"/>
      <c r="E56" s="8"/>
      <c r="G56" s="7"/>
    </row>
    <row r="57" spans="1:12" ht="13">
      <c r="A57" s="7"/>
      <c r="B57" s="8"/>
      <c r="C57" s="8"/>
      <c r="D57" s="8"/>
      <c r="E57" s="8"/>
      <c r="F57" s="8"/>
    </row>
    <row r="58" spans="1:12" ht="13">
      <c r="A58" s="7"/>
      <c r="B58" s="8"/>
      <c r="C58" s="8"/>
      <c r="D58" s="8"/>
      <c r="E58" s="8"/>
      <c r="F58" s="8"/>
      <c r="G58" s="8"/>
      <c r="H58" s="8"/>
      <c r="I58" s="8"/>
    </row>
    <row r="59" spans="1:12" ht="13">
      <c r="A59" s="7"/>
      <c r="B59" s="8"/>
      <c r="C59" s="8"/>
      <c r="D59" s="7"/>
      <c r="E59" s="7"/>
      <c r="F59" s="8"/>
      <c r="G59" s="8"/>
      <c r="H59" s="8"/>
      <c r="I59" s="8"/>
    </row>
    <row r="60" spans="1:12" ht="13">
      <c r="B60" s="1"/>
      <c r="C60" s="13"/>
      <c r="D60" s="1"/>
      <c r="E60" s="1"/>
      <c r="F60" s="6"/>
      <c r="G60" s="8"/>
      <c r="H60" s="8"/>
      <c r="I60" s="8"/>
    </row>
    <row r="61" spans="1:12" ht="13">
      <c r="A61" s="7"/>
      <c r="B61" s="16"/>
      <c r="C61" s="16"/>
      <c r="D61" s="16"/>
      <c r="E61" s="16"/>
      <c r="F61" s="7"/>
      <c r="G61" s="8"/>
    </row>
    <row r="62" spans="1:12" ht="13">
      <c r="A62" s="7"/>
      <c r="B62" s="16"/>
      <c r="C62" s="16"/>
      <c r="D62" s="16"/>
      <c r="E62" s="16"/>
      <c r="F62" s="7"/>
      <c r="G62" s="8"/>
    </row>
    <row r="63" spans="1:12" ht="13">
      <c r="A63" s="7"/>
      <c r="B63" s="16"/>
      <c r="C63" s="16"/>
      <c r="D63" s="16"/>
      <c r="E63" s="16"/>
      <c r="F63" s="7"/>
      <c r="G63" s="8"/>
    </row>
    <row r="64" spans="1:12" ht="13">
      <c r="A64" s="7"/>
      <c r="B64" s="16"/>
      <c r="C64" s="16"/>
      <c r="D64" s="16"/>
      <c r="E64" s="16"/>
      <c r="F64" s="2"/>
      <c r="G64" s="8"/>
      <c r="H64" s="8"/>
      <c r="I64" s="8"/>
      <c r="J64" s="8"/>
    </row>
    <row r="65" spans="1:10" ht="13">
      <c r="A65" s="8"/>
      <c r="B65" s="8"/>
      <c r="C65" s="8"/>
      <c r="D65" s="8"/>
      <c r="E65" s="27"/>
      <c r="F65" s="2"/>
      <c r="I65" s="8"/>
      <c r="J65" s="8"/>
    </row>
    <row r="66" spans="1:10" ht="13">
      <c r="A66" s="7"/>
      <c r="B66" s="16"/>
      <c r="C66" s="16"/>
      <c r="D66" s="16"/>
      <c r="E66" s="16"/>
      <c r="F66" s="7"/>
      <c r="G66" s="8"/>
    </row>
    <row r="67" spans="1:10" ht="13">
      <c r="A67" s="7"/>
      <c r="B67" s="16"/>
      <c r="C67" s="16"/>
      <c r="D67" s="16"/>
      <c r="E67" s="16"/>
      <c r="F67" s="2"/>
      <c r="G67" s="8"/>
      <c r="H67" s="8"/>
      <c r="I67" s="8"/>
      <c r="J67" s="8"/>
    </row>
    <row r="69" spans="1:10" ht="13">
      <c r="A69" s="1"/>
    </row>
    <row r="71" spans="1:10" ht="13">
      <c r="A71" s="1"/>
      <c r="B71" s="2"/>
      <c r="C71" s="2"/>
      <c r="D71" s="2"/>
      <c r="G71" s="2"/>
      <c r="H71" s="2"/>
    </row>
    <row r="72" spans="1:10" ht="13">
      <c r="A72" s="2"/>
      <c r="B72" s="2"/>
      <c r="C72" s="2"/>
      <c r="D72" s="2"/>
      <c r="E72" s="6"/>
      <c r="F72" s="2"/>
      <c r="G72" s="2"/>
      <c r="H72" s="2"/>
    </row>
    <row r="73" spans="1:10" ht="13">
      <c r="E73" s="1"/>
      <c r="F73" s="2"/>
    </row>
    <row r="74" spans="1:10" ht="13">
      <c r="A74" s="6"/>
      <c r="B74" s="7"/>
      <c r="D74" s="8"/>
      <c r="E74" s="6"/>
      <c r="F74" s="7"/>
      <c r="G74" s="8"/>
      <c r="H74" s="8"/>
      <c r="I74" s="8"/>
    </row>
    <row r="75" spans="1:10" ht="13">
      <c r="A75" s="7"/>
      <c r="B75" s="8"/>
      <c r="C75" s="8"/>
      <c r="D75" s="8"/>
      <c r="E75" s="8"/>
      <c r="F75" s="8"/>
      <c r="G75" s="8"/>
      <c r="H75" s="8"/>
      <c r="I75" s="8"/>
    </row>
    <row r="76" spans="1:10" ht="13">
      <c r="A76" s="7"/>
      <c r="B76" s="8"/>
      <c r="C76" s="8"/>
      <c r="D76" s="7"/>
      <c r="E76" s="7"/>
      <c r="F76" s="8"/>
      <c r="G76" s="8"/>
      <c r="H76" s="8"/>
      <c r="I76" s="7"/>
      <c r="J76" s="2"/>
    </row>
    <row r="77" spans="1:10" ht="13">
      <c r="A77" s="6"/>
      <c r="B77" s="6"/>
      <c r="C77" s="6"/>
      <c r="D77" s="6"/>
      <c r="E77" s="6"/>
      <c r="G77" s="8"/>
      <c r="H77" s="6"/>
      <c r="I77" s="6"/>
      <c r="J77" s="6"/>
    </row>
    <row r="78" spans="1:10" ht="14">
      <c r="A78" s="7"/>
      <c r="B78" s="15"/>
      <c r="C78" s="15"/>
      <c r="D78" s="15"/>
      <c r="E78" s="15"/>
      <c r="G78" s="6"/>
      <c r="H78" s="16"/>
      <c r="I78" s="16"/>
      <c r="J78" s="16"/>
    </row>
    <row r="79" spans="1:10" ht="14">
      <c r="A79" s="7"/>
      <c r="B79" s="15"/>
      <c r="C79" s="15"/>
      <c r="D79" s="15"/>
      <c r="E79" s="15"/>
      <c r="G79" s="6"/>
      <c r="H79" s="16"/>
      <c r="I79" s="16"/>
      <c r="J79" s="16"/>
    </row>
    <row r="80" spans="1:10" ht="13">
      <c r="A80" s="8"/>
      <c r="B80" s="8"/>
      <c r="C80" s="8"/>
      <c r="D80" s="8"/>
      <c r="E80" s="8"/>
      <c r="G80" s="6"/>
      <c r="H80" s="16"/>
      <c r="I80" s="16"/>
      <c r="J80" s="16"/>
    </row>
    <row r="81" spans="1:10" ht="13">
      <c r="A81" s="7"/>
      <c r="B81" s="8"/>
      <c r="C81" s="8"/>
      <c r="D81" s="8"/>
      <c r="E81" s="8"/>
      <c r="G81" s="6"/>
      <c r="H81" s="16"/>
      <c r="I81" s="16"/>
      <c r="J81" s="16"/>
    </row>
    <row r="82" spans="1:10" ht="13">
      <c r="A82" s="6"/>
      <c r="B82" s="6"/>
      <c r="C82" s="6"/>
      <c r="D82" s="6"/>
      <c r="E82" s="6"/>
      <c r="G82" s="1"/>
      <c r="H82" s="11"/>
      <c r="I82" s="11"/>
      <c r="J82" s="11"/>
    </row>
    <row r="83" spans="1:10" ht="14">
      <c r="A83" s="7"/>
      <c r="B83" s="15"/>
      <c r="C83" s="15"/>
      <c r="D83" s="15"/>
      <c r="E83" s="15"/>
    </row>
    <row r="84" spans="1:10" ht="14">
      <c r="A84" s="7"/>
      <c r="B84" s="15"/>
      <c r="C84" s="15"/>
      <c r="D84" s="15"/>
      <c r="E84" s="15"/>
      <c r="J84" s="8"/>
    </row>
    <row r="85" spans="1:10" ht="13">
      <c r="A85" s="7"/>
      <c r="B85" s="11"/>
      <c r="C85" s="11"/>
      <c r="D85" s="11"/>
      <c r="E85" s="8"/>
      <c r="H85" s="6"/>
      <c r="I85" s="6"/>
      <c r="J85" s="6"/>
    </row>
    <row r="86" spans="1:10" ht="13">
      <c r="A86" s="7"/>
      <c r="B86" s="11"/>
      <c r="C86" s="11"/>
      <c r="D86" s="11"/>
      <c r="E86" s="11"/>
      <c r="G86" s="6"/>
      <c r="H86" s="34"/>
      <c r="I86" s="34"/>
      <c r="J86" s="34"/>
    </row>
    <row r="87" spans="1:10" ht="13">
      <c r="A87" s="7"/>
      <c r="B87" s="11"/>
      <c r="C87" s="11"/>
      <c r="D87" s="11"/>
      <c r="E87" s="11"/>
      <c r="G87" s="6"/>
      <c r="H87" s="34"/>
      <c r="I87" s="34"/>
      <c r="J87" s="34"/>
    </row>
    <row r="88" spans="1:10" ht="13">
      <c r="A88" s="7"/>
      <c r="B88" s="8"/>
      <c r="C88" s="8"/>
      <c r="D88" s="8"/>
      <c r="E88" s="8"/>
      <c r="G88" s="7"/>
    </row>
    <row r="89" spans="1:10" ht="13">
      <c r="A89" s="7"/>
      <c r="B89" s="8"/>
      <c r="C89" s="8"/>
      <c r="D89" s="8"/>
      <c r="E89" s="8"/>
      <c r="F89" s="8"/>
    </row>
    <row r="90" spans="1:10" ht="13">
      <c r="A90" s="7"/>
      <c r="B90" s="8"/>
      <c r="C90" s="8"/>
      <c r="D90" s="8"/>
      <c r="E90" s="8"/>
      <c r="F90" s="8"/>
      <c r="G90" s="8"/>
      <c r="H90" s="8"/>
      <c r="I90" s="8"/>
    </row>
    <row r="91" spans="1:10" ht="13">
      <c r="A91" s="7"/>
      <c r="B91" s="8"/>
      <c r="C91" s="8"/>
      <c r="D91" s="7"/>
      <c r="E91" s="7"/>
      <c r="F91" s="8"/>
      <c r="G91" s="8"/>
      <c r="H91" s="8"/>
      <c r="I91" s="8"/>
    </row>
    <row r="92" spans="1:10" ht="13">
      <c r="B92" s="1"/>
      <c r="C92" s="13"/>
      <c r="D92" s="1"/>
      <c r="E92" s="1"/>
      <c r="F92" s="6"/>
      <c r="G92" s="8"/>
      <c r="H92" s="8"/>
      <c r="I92" s="8"/>
    </row>
    <row r="93" spans="1:10" ht="13">
      <c r="A93" s="7"/>
      <c r="B93" s="16"/>
      <c r="C93" s="16"/>
      <c r="D93" s="16"/>
      <c r="E93" s="16"/>
      <c r="F93" s="7"/>
      <c r="G93" s="8"/>
    </row>
    <row r="94" spans="1:10" ht="13">
      <c r="A94" s="7"/>
      <c r="B94" s="16"/>
      <c r="C94" s="16"/>
      <c r="D94" s="16"/>
      <c r="E94" s="16"/>
      <c r="F94" s="7"/>
      <c r="G94" s="8"/>
    </row>
    <row r="95" spans="1:10" ht="13">
      <c r="A95" s="7"/>
      <c r="B95" s="16"/>
      <c r="C95" s="16"/>
      <c r="D95" s="16"/>
      <c r="E95" s="16"/>
      <c r="F95" s="7"/>
      <c r="G95" s="8"/>
    </row>
    <row r="96" spans="1:10" ht="13">
      <c r="A96" s="7"/>
      <c r="B96" s="16"/>
      <c r="C96" s="16"/>
      <c r="D96" s="16"/>
      <c r="E96" s="16"/>
      <c r="F96" s="2"/>
      <c r="G96" s="8"/>
      <c r="H96" s="8"/>
      <c r="I96" s="8"/>
      <c r="J96" s="8"/>
    </row>
    <row r="100" spans="1:10" ht="13">
      <c r="A100" s="1"/>
    </row>
    <row r="102" spans="1:10" ht="13">
      <c r="A102" s="1"/>
      <c r="B102" s="2"/>
      <c r="C102" s="2"/>
      <c r="D102" s="2"/>
      <c r="G102" s="2"/>
      <c r="H102" s="2"/>
    </row>
    <row r="103" spans="1:10" ht="13">
      <c r="A103" s="2"/>
      <c r="B103" s="2"/>
      <c r="C103" s="2"/>
      <c r="D103" s="2"/>
      <c r="E103" s="6"/>
      <c r="F103" s="2"/>
      <c r="G103" s="2"/>
      <c r="H103" s="2"/>
    </row>
    <row r="104" spans="1:10" ht="13">
      <c r="E104" s="1"/>
      <c r="F104" s="2"/>
    </row>
    <row r="105" spans="1:10" ht="13">
      <c r="A105" s="6"/>
      <c r="B105" s="7"/>
      <c r="D105" s="8"/>
      <c r="E105" s="6"/>
      <c r="F105" s="7"/>
      <c r="G105" s="8"/>
      <c r="H105" s="8"/>
      <c r="I105" s="8"/>
    </row>
    <row r="106" spans="1:10" ht="13">
      <c r="A106" s="7"/>
      <c r="B106" s="8"/>
      <c r="C106" s="8"/>
      <c r="D106" s="8"/>
      <c r="E106" s="8"/>
      <c r="F106" s="8"/>
      <c r="G106" s="8"/>
      <c r="H106" s="8"/>
      <c r="I106" s="8"/>
    </row>
    <row r="107" spans="1:10" ht="13">
      <c r="A107" s="7"/>
      <c r="B107" s="8"/>
      <c r="C107" s="8"/>
      <c r="D107" s="7"/>
      <c r="E107" s="7"/>
      <c r="F107" s="8"/>
      <c r="G107" s="8"/>
      <c r="H107" s="8"/>
      <c r="I107" s="7"/>
      <c r="J107" s="2"/>
    </row>
    <row r="108" spans="1:10" ht="13">
      <c r="A108" s="6"/>
      <c r="B108" s="6"/>
      <c r="C108" s="6"/>
      <c r="D108" s="6"/>
      <c r="E108" s="6"/>
      <c r="G108" s="8"/>
      <c r="H108" s="6"/>
      <c r="I108" s="6"/>
      <c r="J108" s="6"/>
    </row>
    <row r="109" spans="1:10" ht="14">
      <c r="A109" s="7"/>
      <c r="B109" s="15"/>
      <c r="C109" s="15"/>
      <c r="D109" s="15"/>
      <c r="E109" s="15"/>
      <c r="G109" s="6"/>
      <c r="H109" s="16"/>
      <c r="I109" s="16"/>
      <c r="J109" s="16"/>
    </row>
    <row r="110" spans="1:10" ht="14">
      <c r="A110" s="7"/>
      <c r="B110" s="15"/>
      <c r="C110" s="15"/>
      <c r="D110" s="15"/>
      <c r="E110" s="15"/>
      <c r="G110" s="6"/>
      <c r="H110" s="16"/>
      <c r="I110" s="16"/>
      <c r="J110" s="16"/>
    </row>
    <row r="111" spans="1:10" ht="13">
      <c r="A111" s="8"/>
      <c r="B111" s="8"/>
      <c r="C111" s="8"/>
      <c r="D111" s="8"/>
      <c r="E111" s="8"/>
      <c r="G111" s="6"/>
      <c r="H111" s="16"/>
      <c r="I111" s="16"/>
      <c r="J111" s="16"/>
    </row>
    <row r="112" spans="1:10" ht="13">
      <c r="A112" s="7"/>
      <c r="B112" s="8"/>
      <c r="C112" s="8"/>
      <c r="D112" s="8"/>
      <c r="E112" s="8"/>
      <c r="G112" s="6"/>
      <c r="H112" s="16"/>
      <c r="I112" s="16"/>
      <c r="J112" s="16"/>
    </row>
    <row r="113" spans="1:10" ht="13">
      <c r="A113" s="6"/>
      <c r="B113" s="6"/>
      <c r="C113" s="6"/>
      <c r="D113" s="6"/>
      <c r="E113" s="6"/>
      <c r="G113" s="1"/>
      <c r="H113" s="11"/>
      <c r="I113" s="11"/>
      <c r="J113" s="11"/>
    </row>
    <row r="114" spans="1:10" ht="14">
      <c r="A114" s="7"/>
      <c r="B114" s="15"/>
      <c r="C114" s="15"/>
      <c r="D114" s="15"/>
      <c r="E114" s="15"/>
    </row>
    <row r="115" spans="1:10" ht="14">
      <c r="A115" s="7"/>
      <c r="B115" s="15"/>
      <c r="C115" s="15"/>
      <c r="D115" s="15"/>
      <c r="E115" s="15"/>
      <c r="J115" s="8"/>
    </row>
    <row r="116" spans="1:10" ht="13">
      <c r="A116" s="7"/>
      <c r="B116" s="11"/>
      <c r="C116" s="11"/>
      <c r="D116" s="11"/>
      <c r="E116" s="8"/>
      <c r="H116" s="6"/>
      <c r="I116" s="6"/>
      <c r="J116" s="6"/>
    </row>
    <row r="117" spans="1:10" ht="13">
      <c r="A117" s="7"/>
      <c r="B117" s="11"/>
      <c r="C117" s="11"/>
      <c r="D117" s="11"/>
      <c r="E117" s="11"/>
      <c r="G117" s="6"/>
      <c r="H117" s="34"/>
      <c r="I117" s="34"/>
      <c r="J117" s="34"/>
    </row>
    <row r="118" spans="1:10" ht="13">
      <c r="A118" s="7"/>
      <c r="B118" s="11"/>
      <c r="C118" s="11"/>
      <c r="D118" s="11"/>
      <c r="E118" s="11"/>
      <c r="G118" s="6"/>
      <c r="H118" s="34"/>
      <c r="I118" s="34"/>
      <c r="J118" s="34"/>
    </row>
    <row r="119" spans="1:10" ht="13">
      <c r="A119" s="7"/>
      <c r="B119" s="8"/>
      <c r="C119" s="8"/>
      <c r="D119" s="8"/>
      <c r="E119" s="8"/>
      <c r="G119" s="7"/>
    </row>
    <row r="120" spans="1:10" ht="13">
      <c r="A120" s="7"/>
      <c r="B120" s="8"/>
      <c r="C120" s="8"/>
      <c r="D120" s="8"/>
      <c r="E120" s="8"/>
      <c r="F120" s="8"/>
    </row>
    <row r="121" spans="1:10" ht="13">
      <c r="A121" s="7"/>
      <c r="B121" s="8"/>
      <c r="C121" s="8"/>
      <c r="D121" s="8"/>
      <c r="E121" s="8"/>
      <c r="F121" s="8"/>
      <c r="G121" s="8"/>
      <c r="H121" s="8"/>
      <c r="I121" s="8"/>
    </row>
    <row r="122" spans="1:10" ht="13">
      <c r="A122" s="7"/>
      <c r="B122" s="8"/>
      <c r="C122" s="8"/>
      <c r="D122" s="7"/>
      <c r="E122" s="7"/>
      <c r="F122" s="8"/>
      <c r="G122" s="8"/>
      <c r="H122" s="8"/>
      <c r="I122" s="8"/>
    </row>
    <row r="123" spans="1:10" ht="13">
      <c r="B123" s="1"/>
      <c r="C123" s="13"/>
      <c r="D123" s="1"/>
      <c r="E123" s="1"/>
      <c r="F123" s="6"/>
      <c r="G123" s="8"/>
      <c r="H123" s="8"/>
      <c r="I123" s="8"/>
    </row>
    <row r="124" spans="1:10" ht="13">
      <c r="A124" s="7"/>
      <c r="B124" s="16"/>
      <c r="C124" s="16"/>
      <c r="D124" s="16"/>
      <c r="E124" s="16"/>
      <c r="F124" s="7"/>
      <c r="G124" s="8"/>
    </row>
    <row r="125" spans="1:10" ht="13">
      <c r="A125" s="7"/>
      <c r="B125" s="16"/>
      <c r="C125" s="16"/>
      <c r="D125" s="16"/>
      <c r="E125" s="16"/>
      <c r="F125" s="7"/>
      <c r="G125" s="8"/>
    </row>
    <row r="126" spans="1:10" ht="13">
      <c r="A126" s="7"/>
      <c r="B126" s="16"/>
      <c r="C126" s="16"/>
      <c r="D126" s="16"/>
      <c r="E126" s="16"/>
      <c r="F126" s="7"/>
      <c r="G126" s="8"/>
    </row>
    <row r="127" spans="1:10" ht="13">
      <c r="A127" s="7"/>
      <c r="B127" s="16"/>
      <c r="C127" s="16"/>
      <c r="D127" s="16"/>
      <c r="E127" s="16"/>
      <c r="F127" s="2"/>
      <c r="G127" s="8"/>
      <c r="H127" s="8"/>
      <c r="I127" s="8"/>
      <c r="J1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51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 t="s">
        <v>269</v>
      </c>
      <c r="I1" s="1" t="s">
        <v>263</v>
      </c>
    </row>
    <row r="2" spans="1:18" ht="15.75" customHeight="1">
      <c r="A2" s="2" t="s">
        <v>748</v>
      </c>
      <c r="B2" s="2"/>
      <c r="C2" s="2"/>
      <c r="D2" s="2"/>
      <c r="E2" s="6" t="s">
        <v>5</v>
      </c>
      <c r="F2" s="77">
        <v>0.25</v>
      </c>
      <c r="G2" s="141">
        <v>1</v>
      </c>
      <c r="H2" s="141">
        <v>0</v>
      </c>
      <c r="I2" s="78">
        <v>0.25</v>
      </c>
    </row>
    <row r="3" spans="1:18" ht="15.75" customHeight="1">
      <c r="A3" s="2" t="s">
        <v>728</v>
      </c>
      <c r="E3" s="1" t="s">
        <v>530</v>
      </c>
      <c r="F3" s="67">
        <v>2</v>
      </c>
      <c r="G3" s="2">
        <v>2</v>
      </c>
      <c r="H3" s="2">
        <v>1</v>
      </c>
      <c r="I3" s="68">
        <v>1</v>
      </c>
    </row>
    <row r="4" spans="1:18" ht="15.75" customHeight="1">
      <c r="A4" s="2" t="s">
        <v>529</v>
      </c>
      <c r="B4" s="7"/>
      <c r="D4" s="8"/>
      <c r="E4" s="1" t="s">
        <v>142</v>
      </c>
      <c r="F4" s="67">
        <v>8</v>
      </c>
      <c r="G4" s="7">
        <v>16</v>
      </c>
      <c r="H4" s="7">
        <v>8</v>
      </c>
      <c r="I4" s="80">
        <v>16</v>
      </c>
    </row>
    <row r="5" spans="1:18" ht="15.75" customHeight="1">
      <c r="A5" s="19" t="s">
        <v>749</v>
      </c>
      <c r="D5" s="8"/>
      <c r="E5" s="6" t="s">
        <v>532</v>
      </c>
      <c r="F5" s="81">
        <v>4</v>
      </c>
      <c r="G5" s="142">
        <v>32</v>
      </c>
      <c r="H5" s="142">
        <v>4</v>
      </c>
      <c r="I5" s="82">
        <v>32</v>
      </c>
    </row>
    <row r="6" spans="1:18" ht="15.75" customHeight="1">
      <c r="A6" s="7" t="s">
        <v>750</v>
      </c>
      <c r="G6" s="7"/>
      <c r="H6" s="8"/>
      <c r="I6" s="8"/>
      <c r="J6" s="7"/>
      <c r="M6" s="2"/>
    </row>
    <row r="7" spans="1:18" ht="15.75" customHeight="1">
      <c r="A7" s="7"/>
      <c r="G7" s="7"/>
      <c r="H7" s="8"/>
      <c r="I7" s="8"/>
      <c r="J7" s="7"/>
      <c r="M7" s="2"/>
    </row>
    <row r="8" spans="1:18" ht="15.75" customHeight="1">
      <c r="A8" s="17" t="s">
        <v>533</v>
      </c>
      <c r="H8" s="8"/>
      <c r="I8" s="8"/>
    </row>
    <row r="9" spans="1:18" ht="15.75" customHeight="1">
      <c r="A9" s="6"/>
      <c r="B9" s="6"/>
      <c r="C9" s="7"/>
      <c r="E9" s="7"/>
      <c r="F9" s="8"/>
      <c r="G9" s="7" t="s">
        <v>751</v>
      </c>
      <c r="H9" s="2"/>
      <c r="I9" s="2"/>
      <c r="J9" s="7" t="s">
        <v>752</v>
      </c>
      <c r="K9" s="2"/>
      <c r="L9" s="2"/>
      <c r="M9" s="2" t="s">
        <v>753</v>
      </c>
    </row>
    <row r="10" spans="1:18" ht="15.75" customHeight="1">
      <c r="A10" s="6"/>
      <c r="B10" s="6"/>
      <c r="C10" s="7" t="s">
        <v>754</v>
      </c>
      <c r="E10" s="7" t="s">
        <v>755</v>
      </c>
      <c r="F10" s="8"/>
      <c r="G10" s="2" t="s">
        <v>306</v>
      </c>
      <c r="H10" s="2" t="s">
        <v>756</v>
      </c>
      <c r="I10" s="2" t="s">
        <v>307</v>
      </c>
      <c r="J10" s="2" t="s">
        <v>306</v>
      </c>
      <c r="K10" s="2" t="s">
        <v>756</v>
      </c>
      <c r="L10" s="2" t="s">
        <v>307</v>
      </c>
      <c r="M10" s="2" t="s">
        <v>306</v>
      </c>
      <c r="N10" s="2" t="s">
        <v>756</v>
      </c>
      <c r="O10" s="2" t="s">
        <v>307</v>
      </c>
      <c r="P10" s="2" t="s">
        <v>306</v>
      </c>
      <c r="Q10" s="2" t="s">
        <v>756</v>
      </c>
      <c r="R10" s="2" t="s">
        <v>307</v>
      </c>
    </row>
    <row r="11" spans="1:18" ht="15.75" customHeight="1">
      <c r="A11" s="6" t="s">
        <v>68</v>
      </c>
      <c r="B11" s="6" t="s">
        <v>9</v>
      </c>
      <c r="C11" s="6" t="s">
        <v>757</v>
      </c>
      <c r="D11" s="1" t="s">
        <v>538</v>
      </c>
      <c r="E11" s="6" t="s">
        <v>757</v>
      </c>
      <c r="F11" s="1" t="s">
        <v>538</v>
      </c>
      <c r="G11" s="1" t="s">
        <v>758</v>
      </c>
      <c r="H11" s="1" t="s">
        <v>759</v>
      </c>
      <c r="I11" s="6" t="s">
        <v>760</v>
      </c>
      <c r="J11" s="1" t="s">
        <v>758</v>
      </c>
      <c r="K11" s="1" t="s">
        <v>759</v>
      </c>
      <c r="L11" s="6" t="s">
        <v>760</v>
      </c>
      <c r="M11" s="1" t="s">
        <v>758</v>
      </c>
      <c r="N11" s="1" t="s">
        <v>759</v>
      </c>
      <c r="O11" s="6" t="s">
        <v>760</v>
      </c>
      <c r="P11" s="1" t="s">
        <v>758</v>
      </c>
      <c r="Q11" s="1" t="s">
        <v>759</v>
      </c>
      <c r="R11" s="6" t="s">
        <v>760</v>
      </c>
    </row>
    <row r="12" spans="1:18" ht="15.75" customHeight="1">
      <c r="A12" s="7" t="s">
        <v>721</v>
      </c>
      <c r="B12" s="84">
        <v>1</v>
      </c>
      <c r="C12" s="85">
        <v>35.477699999999999</v>
      </c>
      <c r="D12" s="86">
        <v>4.7000000000000002E-3</v>
      </c>
      <c r="E12" s="87">
        <v>3.0133000000000001</v>
      </c>
      <c r="F12" s="88">
        <v>2.3300000000000001E-2</v>
      </c>
      <c r="G12" s="143">
        <v>9.4537999999999993</v>
      </c>
      <c r="H12" s="86">
        <v>9.4859000000000009</v>
      </c>
      <c r="I12" s="88">
        <v>9.5012000000000008</v>
      </c>
      <c r="J12" s="85">
        <v>1E-3</v>
      </c>
      <c r="K12" s="87">
        <v>1.1999999999999999E-3</v>
      </c>
      <c r="L12" s="144">
        <v>2.2000000000000001E-3</v>
      </c>
      <c r="M12" s="85">
        <v>9.8716000000000008</v>
      </c>
      <c r="N12" s="87">
        <v>9.5122999999999998</v>
      </c>
      <c r="O12" s="144">
        <v>9.4529999999999994</v>
      </c>
      <c r="P12" s="85">
        <v>4.9099999999999998E-2</v>
      </c>
      <c r="Q12" s="87">
        <v>9.9000000000000005E-2</v>
      </c>
      <c r="R12" s="144">
        <v>0.1099</v>
      </c>
    </row>
    <row r="13" spans="1:18" ht="15.75" customHeight="1">
      <c r="A13" s="7" t="s">
        <v>696</v>
      </c>
      <c r="B13" s="12">
        <v>0.115</v>
      </c>
      <c r="C13" s="145">
        <v>35.0154</v>
      </c>
      <c r="D13" s="84">
        <v>7.3000000000000001E-3</v>
      </c>
      <c r="E13" s="12">
        <v>2.8614000000000002</v>
      </c>
      <c r="F13" s="146">
        <v>1.8499999999999999E-2</v>
      </c>
      <c r="G13" s="147">
        <v>9.3323999999999998</v>
      </c>
      <c r="H13" s="84">
        <v>9.3482000000000003</v>
      </c>
      <c r="I13" s="146">
        <v>9.3500999999999994</v>
      </c>
      <c r="J13" s="145">
        <v>8.9999999999999998E-4</v>
      </c>
      <c r="K13" s="12">
        <v>2.3999999999999998E-3</v>
      </c>
      <c r="L13" s="148">
        <v>2.2000000000000001E-3</v>
      </c>
      <c r="M13" s="145">
        <v>9.7957000000000001</v>
      </c>
      <c r="N13" s="12">
        <v>9.3779000000000003</v>
      </c>
      <c r="O13" s="148">
        <v>9.3603000000000005</v>
      </c>
      <c r="P13" s="145">
        <v>8.5099999999999995E-2</v>
      </c>
      <c r="Q13" s="12">
        <v>8.2799999999999999E-2</v>
      </c>
      <c r="R13" s="148">
        <v>9.9299999999999999E-2</v>
      </c>
    </row>
    <row r="14" spans="1:18" ht="15.75" customHeight="1">
      <c r="A14" s="7" t="s">
        <v>723</v>
      </c>
      <c r="B14" s="84">
        <v>1</v>
      </c>
      <c r="C14" s="145">
        <v>35.791400000000003</v>
      </c>
      <c r="D14" s="84">
        <v>5.4999999999999997E-3</v>
      </c>
      <c r="E14" s="12">
        <v>3.0533999999999999</v>
      </c>
      <c r="F14" s="146">
        <v>2.1999999999999999E-2</v>
      </c>
      <c r="G14" s="147">
        <v>9.5320999999999998</v>
      </c>
      <c r="H14" s="84">
        <v>9.5620999999999992</v>
      </c>
      <c r="I14" s="146">
        <v>9.5693999999999999</v>
      </c>
      <c r="J14" s="145">
        <v>5.5999999999999999E-3</v>
      </c>
      <c r="K14" s="12">
        <v>2.8999999999999998E-3</v>
      </c>
      <c r="L14" s="148">
        <v>4.0000000000000001E-3</v>
      </c>
      <c r="M14" s="149" t="s">
        <v>762</v>
      </c>
      <c r="N14" s="150"/>
      <c r="O14" s="151"/>
      <c r="P14" s="152"/>
      <c r="Q14" s="150"/>
      <c r="R14" s="151"/>
    </row>
    <row r="15" spans="1:18" ht="15.75" customHeight="1">
      <c r="A15" s="2" t="s">
        <v>729</v>
      </c>
      <c r="B15" s="84">
        <v>0.107</v>
      </c>
      <c r="C15" s="89">
        <v>35.446899999999999</v>
      </c>
      <c r="D15" s="91">
        <v>4.3E-3</v>
      </c>
      <c r="E15" s="92">
        <v>2.8908</v>
      </c>
      <c r="F15" s="93">
        <v>2.23E-2</v>
      </c>
      <c r="G15" s="153">
        <v>9.4670000000000005</v>
      </c>
      <c r="H15" s="91">
        <v>9.4909999999999997</v>
      </c>
      <c r="I15" s="93">
        <v>9.4905000000000008</v>
      </c>
      <c r="J15" s="89">
        <v>5.3E-3</v>
      </c>
      <c r="K15" s="92">
        <v>3.8E-3</v>
      </c>
      <c r="L15" s="154">
        <v>3.3999999999999998E-3</v>
      </c>
      <c r="M15" s="155"/>
      <c r="N15" s="156"/>
      <c r="O15" s="157"/>
      <c r="P15" s="155"/>
      <c r="Q15" s="156"/>
      <c r="R15" s="157"/>
    </row>
    <row r="16" spans="1:18" ht="15.75" customHeight="1">
      <c r="A16" s="7"/>
      <c r="B16" s="16"/>
      <c r="C16" s="16"/>
      <c r="D16" s="8"/>
      <c r="E16" s="8"/>
      <c r="F16" s="8"/>
      <c r="G16" s="8"/>
      <c r="H16" s="8"/>
      <c r="I16" s="8"/>
    </row>
    <row r="17" spans="1:18" ht="15.75" customHeight="1">
      <c r="A17" s="17" t="s">
        <v>763</v>
      </c>
      <c r="B17" s="16"/>
      <c r="C17" s="16"/>
      <c r="D17" s="8"/>
      <c r="E17" s="8"/>
      <c r="F17" s="8"/>
      <c r="G17" s="8"/>
      <c r="H17" s="8"/>
      <c r="I17" s="8"/>
    </row>
    <row r="18" spans="1:18" ht="15.75" customHeight="1">
      <c r="A18" s="6" t="s">
        <v>68</v>
      </c>
      <c r="B18" s="139" t="s">
        <v>764</v>
      </c>
      <c r="C18" s="1" t="s">
        <v>757</v>
      </c>
      <c r="D18" s="1" t="s">
        <v>758</v>
      </c>
      <c r="E18" s="1" t="s">
        <v>759</v>
      </c>
      <c r="F18" s="1" t="s">
        <v>760</v>
      </c>
      <c r="G18" s="8"/>
      <c r="H18" s="8"/>
      <c r="I18" s="8"/>
    </row>
    <row r="19" spans="1:18" ht="15.75" customHeight="1">
      <c r="A19" s="7" t="s">
        <v>47</v>
      </c>
      <c r="B19" s="84" t="s">
        <v>30</v>
      </c>
      <c r="C19" s="158">
        <f>E13/C13</f>
        <v>8.1718329649240057E-2</v>
      </c>
      <c r="D19" s="159">
        <f t="shared" ref="D19:F19" si="0">M13/G13</f>
        <v>1.0496442501392997</v>
      </c>
      <c r="E19" s="159">
        <f t="shared" si="0"/>
        <v>1.0031770822190369</v>
      </c>
      <c r="F19" s="160">
        <f t="shared" si="0"/>
        <v>1.0010908974235571</v>
      </c>
      <c r="G19" s="8"/>
      <c r="H19" s="8"/>
      <c r="I19" s="8"/>
    </row>
    <row r="20" spans="1:18" ht="15.75" customHeight="1">
      <c r="A20" s="7"/>
      <c r="B20" s="84" t="s">
        <v>27</v>
      </c>
      <c r="C20" s="161">
        <f>E12/C12</f>
        <v>8.493504370350953E-2</v>
      </c>
      <c r="D20" s="49">
        <f t="shared" ref="D20:F20" si="1">M12/G12</f>
        <v>1.0441938691319894</v>
      </c>
      <c r="E20" s="49">
        <f t="shared" si="1"/>
        <v>1.0027830780421467</v>
      </c>
      <c r="F20" s="162">
        <f t="shared" si="1"/>
        <v>0.99492695659495634</v>
      </c>
      <c r="G20" s="8"/>
      <c r="H20" s="8"/>
      <c r="I20" s="8"/>
    </row>
    <row r="21" spans="1:18" ht="15.75" customHeight="1">
      <c r="A21" s="7"/>
      <c r="B21" s="84" t="s">
        <v>31</v>
      </c>
      <c r="C21" s="163">
        <f t="shared" ref="C21:F21" si="2">C19/C20</f>
        <v>0.96212736328836956</v>
      </c>
      <c r="D21" s="164">
        <f t="shared" si="2"/>
        <v>1.005219702172587</v>
      </c>
      <c r="E21" s="164">
        <f t="shared" si="2"/>
        <v>1.0003929106758158</v>
      </c>
      <c r="F21" s="165">
        <f t="shared" si="2"/>
        <v>1.0061953702105892</v>
      </c>
      <c r="G21" s="8"/>
      <c r="H21" s="8"/>
      <c r="I21" s="8"/>
    </row>
    <row r="22" spans="1:18" ht="15.75" customHeight="1">
      <c r="A22" s="7"/>
      <c r="B22" s="139" t="s">
        <v>0</v>
      </c>
      <c r="C22" s="166">
        <f t="shared" ref="C22:F22" si="3">LN(1-$B$13)/LN(1-$B$13*C21)</f>
        <v>1.0418667917072379</v>
      </c>
      <c r="D22" s="166">
        <f t="shared" si="3"/>
        <v>0.99447685891254345</v>
      </c>
      <c r="E22" s="166">
        <f t="shared" si="3"/>
        <v>0.99958224480796232</v>
      </c>
      <c r="F22" s="166">
        <f t="shared" si="3"/>
        <v>0.99345082017668873</v>
      </c>
      <c r="G22" s="8"/>
      <c r="H22" s="8"/>
      <c r="I22" s="8"/>
    </row>
    <row r="23" spans="1:18" ht="15.75" customHeight="1">
      <c r="A23" s="7"/>
      <c r="B23" s="84"/>
      <c r="C23" s="16"/>
      <c r="D23" s="8"/>
      <c r="E23" s="8"/>
      <c r="F23" s="8"/>
      <c r="G23" s="8"/>
      <c r="H23" s="8"/>
      <c r="I23" s="8"/>
    </row>
    <row r="24" spans="1:18" ht="15.75" customHeight="1">
      <c r="A24" s="7" t="s">
        <v>54</v>
      </c>
      <c r="B24" s="84" t="s">
        <v>30</v>
      </c>
      <c r="C24" s="158">
        <f>E15/C15</f>
        <v>8.155297078164804E-2</v>
      </c>
      <c r="D24" s="167"/>
      <c r="E24" s="167"/>
      <c r="F24" s="168"/>
      <c r="G24" s="8"/>
      <c r="H24" s="8"/>
      <c r="I24" s="8"/>
    </row>
    <row r="25" spans="1:18" ht="15.75" customHeight="1">
      <c r="A25" s="7"/>
      <c r="B25" s="84" t="s">
        <v>27</v>
      </c>
      <c r="C25" s="161">
        <f>E14/C14</f>
        <v>8.5310996496365032E-2</v>
      </c>
      <c r="D25" s="169"/>
      <c r="E25" s="169"/>
      <c r="F25" s="170"/>
      <c r="G25" s="8"/>
      <c r="H25" s="8"/>
      <c r="I25" s="8"/>
    </row>
    <row r="26" spans="1:18" ht="15.75" customHeight="1">
      <c r="A26" s="7"/>
      <c r="B26" s="84" t="s">
        <v>31</v>
      </c>
      <c r="C26" s="163">
        <f>C24/C25</f>
        <v>0.95594910540193823</v>
      </c>
      <c r="D26" s="171"/>
      <c r="E26" s="171"/>
      <c r="F26" s="172"/>
      <c r="G26" s="8"/>
      <c r="H26" s="8"/>
      <c r="I26" s="8"/>
    </row>
    <row r="27" spans="1:18" ht="15.75" customHeight="1">
      <c r="A27" s="7"/>
      <c r="B27" s="1" t="s">
        <v>0</v>
      </c>
      <c r="C27" s="173">
        <f>LN(1-$B$15)/LN(1-$B$15*C26)</f>
        <v>1.0487870326020559</v>
      </c>
      <c r="E27" s="7"/>
      <c r="F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32</v>
      </c>
      <c r="C29" s="84"/>
      <c r="E29" s="7"/>
      <c r="F29" s="8"/>
      <c r="G29" s="2" t="s">
        <v>765</v>
      </c>
    </row>
    <row r="30" spans="1:18" ht="13">
      <c r="B30" s="139"/>
      <c r="C30" s="7"/>
      <c r="E30" s="7"/>
      <c r="F30" s="8"/>
      <c r="G30" s="7" t="s">
        <v>751</v>
      </c>
      <c r="H30" s="2"/>
      <c r="I30" s="2"/>
      <c r="J30" s="7" t="s">
        <v>766</v>
      </c>
      <c r="K30" s="2"/>
      <c r="L30" s="2"/>
      <c r="M30" s="2" t="s">
        <v>767</v>
      </c>
    </row>
    <row r="31" spans="1:18" ht="13">
      <c r="C31" s="7" t="s">
        <v>754</v>
      </c>
      <c r="E31" s="7" t="s">
        <v>755</v>
      </c>
      <c r="F31" s="8"/>
      <c r="G31" s="2" t="s">
        <v>306</v>
      </c>
      <c r="H31" s="2" t="s">
        <v>756</v>
      </c>
      <c r="I31" s="2" t="s">
        <v>307</v>
      </c>
      <c r="J31" s="2" t="s">
        <v>306</v>
      </c>
      <c r="K31" s="2" t="s">
        <v>756</v>
      </c>
      <c r="L31" s="2" t="s">
        <v>307</v>
      </c>
      <c r="M31" s="2" t="s">
        <v>306</v>
      </c>
      <c r="N31" s="2" t="s">
        <v>756</v>
      </c>
      <c r="O31" s="2" t="s">
        <v>307</v>
      </c>
      <c r="P31" s="2" t="s">
        <v>306</v>
      </c>
      <c r="Q31" s="2" t="s">
        <v>756</v>
      </c>
      <c r="R31" s="2" t="s">
        <v>307</v>
      </c>
    </row>
    <row r="32" spans="1:18" ht="13">
      <c r="B32" s="6" t="s">
        <v>68</v>
      </c>
      <c r="C32" s="6" t="s">
        <v>757</v>
      </c>
      <c r="D32" s="1" t="s">
        <v>38</v>
      </c>
      <c r="E32" s="6" t="s">
        <v>757</v>
      </c>
      <c r="F32" s="1" t="s">
        <v>38</v>
      </c>
      <c r="G32" s="1" t="s">
        <v>758</v>
      </c>
      <c r="H32" s="1" t="s">
        <v>759</v>
      </c>
      <c r="I32" s="6" t="s">
        <v>760</v>
      </c>
      <c r="J32" s="1" t="s">
        <v>758</v>
      </c>
      <c r="K32" s="1" t="s">
        <v>759</v>
      </c>
      <c r="L32" s="6" t="s">
        <v>760</v>
      </c>
      <c r="M32" s="1" t="s">
        <v>758</v>
      </c>
      <c r="N32" s="1" t="s">
        <v>759</v>
      </c>
      <c r="O32" s="6" t="s">
        <v>760</v>
      </c>
      <c r="P32" s="1" t="s">
        <v>758</v>
      </c>
      <c r="Q32" s="1" t="s">
        <v>759</v>
      </c>
      <c r="R32" s="6" t="s">
        <v>760</v>
      </c>
    </row>
    <row r="33" spans="1:18" ht="13">
      <c r="B33" s="7" t="s">
        <v>195</v>
      </c>
      <c r="C33" s="85">
        <f t="shared" ref="C33:C34" si="4">AVERAGE(C12,C14)</f>
        <v>35.634550000000004</v>
      </c>
      <c r="D33" s="88">
        <f t="shared" ref="D33:D34" si="5">SQRT(AVERAGE(D12^2,D14^2)/$F$4)</f>
        <v>1.8086597247685922E-3</v>
      </c>
      <c r="E33" s="85">
        <f t="shared" ref="E33:E34" si="6">AVERAGE(E12,E14)</f>
        <v>3.03335</v>
      </c>
      <c r="F33" s="86">
        <f t="shared" ref="F33:F34" si="7">SQRT(AVERAGE(F12^2,F14^2)/$G$4)</f>
        <v>5.6648311978381135E-3</v>
      </c>
      <c r="G33" s="143">
        <f t="shared" ref="G33:I33" si="8">G12</f>
        <v>9.4537999999999993</v>
      </c>
      <c r="H33" s="86">
        <f t="shared" si="8"/>
        <v>9.4859000000000009</v>
      </c>
      <c r="I33" s="86">
        <f t="shared" si="8"/>
        <v>9.5012000000000008</v>
      </c>
      <c r="J33" s="143">
        <f t="shared" ref="J33:L33" si="9">J12/SQRT($H$4)</f>
        <v>3.5355339059327376E-4</v>
      </c>
      <c r="K33" s="86">
        <f t="shared" si="9"/>
        <v>4.2426406871192844E-4</v>
      </c>
      <c r="L33" s="88">
        <f t="shared" si="9"/>
        <v>7.7781745930520225E-4</v>
      </c>
      <c r="M33" s="143">
        <f t="shared" ref="M33:O33" si="10">M12</f>
        <v>9.8716000000000008</v>
      </c>
      <c r="N33" s="86">
        <f t="shared" si="10"/>
        <v>9.5122999999999998</v>
      </c>
      <c r="O33" s="88">
        <f t="shared" si="10"/>
        <v>9.4529999999999994</v>
      </c>
      <c r="P33" s="143">
        <f t="shared" ref="P33:R33" si="11">P12/SQRT($I$4)</f>
        <v>1.2274999999999999E-2</v>
      </c>
      <c r="Q33" s="86">
        <f t="shared" si="11"/>
        <v>2.4750000000000001E-2</v>
      </c>
      <c r="R33" s="88">
        <f t="shared" si="11"/>
        <v>2.7474999999999999E-2</v>
      </c>
    </row>
    <row r="34" spans="1:18" ht="13">
      <c r="B34" s="7" t="s">
        <v>196</v>
      </c>
      <c r="C34" s="89">
        <f t="shared" si="4"/>
        <v>35.23115</v>
      </c>
      <c r="D34" s="93">
        <f t="shared" si="5"/>
        <v>2.1180769579975133E-3</v>
      </c>
      <c r="E34" s="92">
        <f t="shared" si="6"/>
        <v>2.8761000000000001</v>
      </c>
      <c r="F34" s="91">
        <f t="shared" si="7"/>
        <v>5.1220723345146149E-3</v>
      </c>
      <c r="G34" s="153">
        <f t="shared" ref="G34:I34" si="12">G13</f>
        <v>9.3323999999999998</v>
      </c>
      <c r="H34" s="91">
        <f t="shared" si="12"/>
        <v>9.3482000000000003</v>
      </c>
      <c r="I34" s="91">
        <f t="shared" si="12"/>
        <v>9.3500999999999994</v>
      </c>
      <c r="J34" s="153">
        <f t="shared" ref="J34:L34" si="13">J13/SQRT($H$4)</f>
        <v>3.1819805153394633E-4</v>
      </c>
      <c r="K34" s="91">
        <f t="shared" si="13"/>
        <v>8.4852813742385689E-4</v>
      </c>
      <c r="L34" s="93">
        <f t="shared" si="13"/>
        <v>7.7781745930520225E-4</v>
      </c>
      <c r="M34" s="153">
        <f t="shared" ref="M34:O34" si="14">M13</f>
        <v>9.7957000000000001</v>
      </c>
      <c r="N34" s="91">
        <f t="shared" si="14"/>
        <v>9.3779000000000003</v>
      </c>
      <c r="O34" s="93">
        <f t="shared" si="14"/>
        <v>9.3603000000000005</v>
      </c>
      <c r="P34" s="153">
        <f t="shared" ref="P34:R34" si="15">P13/SQRT($I$4)</f>
        <v>2.1274999999999999E-2</v>
      </c>
      <c r="Q34" s="91">
        <f t="shared" si="15"/>
        <v>2.07E-2</v>
      </c>
      <c r="R34" s="93">
        <f t="shared" si="15"/>
        <v>2.4825E-2</v>
      </c>
    </row>
    <row r="35" spans="1:18" ht="13">
      <c r="C35" s="12"/>
      <c r="D35" s="84"/>
      <c r="E35" s="12"/>
      <c r="F35" s="84"/>
      <c r="G35" s="16"/>
      <c r="H35" s="16"/>
      <c r="I35" s="16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3">
      <c r="B36" s="84" t="s">
        <v>768</v>
      </c>
      <c r="C36" s="12"/>
      <c r="D36" s="84"/>
      <c r="E36" s="12"/>
      <c r="F36" s="84"/>
      <c r="G36" s="16"/>
      <c r="H36" s="16"/>
      <c r="I36" s="16"/>
      <c r="J36" s="11"/>
      <c r="K36" s="11"/>
      <c r="L36" s="11"/>
      <c r="M36" s="11"/>
      <c r="N36" s="11"/>
      <c r="O36" s="11"/>
      <c r="P36" s="11"/>
      <c r="Q36" s="11"/>
      <c r="R36" s="11"/>
    </row>
    <row r="38" spans="1:18" ht="13">
      <c r="A38" s="17" t="s">
        <v>35</v>
      </c>
    </row>
    <row r="39" spans="1:18" ht="13">
      <c r="C39" s="1" t="s">
        <v>757</v>
      </c>
      <c r="D39" s="1" t="s">
        <v>758</v>
      </c>
      <c r="E39" s="1" t="s">
        <v>759</v>
      </c>
      <c r="F39" s="1" t="s">
        <v>760</v>
      </c>
    </row>
    <row r="40" spans="1:18" ht="13">
      <c r="B40" s="2" t="s">
        <v>30</v>
      </c>
      <c r="C40" s="174">
        <f>E34/C34</f>
        <v>8.1635143899645629E-2</v>
      </c>
      <c r="D40" s="175">
        <f t="shared" ref="D40:F40" si="16">M34/G34</f>
        <v>1.0496442501392997</v>
      </c>
      <c r="E40" s="175">
        <f t="shared" si="16"/>
        <v>1.0031770822190369</v>
      </c>
      <c r="F40" s="176">
        <f t="shared" si="16"/>
        <v>1.0010908974235571</v>
      </c>
    </row>
    <row r="41" spans="1:18" ht="13">
      <c r="B41" s="2" t="s">
        <v>27</v>
      </c>
      <c r="C41" s="161">
        <f>E33/C33</f>
        <v>8.5123847501932803E-2</v>
      </c>
      <c r="D41" s="16">
        <f t="shared" ref="D41:F41" si="17">M33/G33</f>
        <v>1.0441938691319894</v>
      </c>
      <c r="E41" s="16">
        <f t="shared" si="17"/>
        <v>1.0027830780421467</v>
      </c>
      <c r="F41" s="177">
        <f t="shared" si="17"/>
        <v>0.99492695659495634</v>
      </c>
    </row>
    <row r="42" spans="1:18" ht="13">
      <c r="A42" s="6"/>
      <c r="B42" s="7" t="s">
        <v>31</v>
      </c>
      <c r="C42" s="153">
        <f t="shared" ref="C42:F42" si="18">C40/C41</f>
        <v>0.9590161428945283</v>
      </c>
      <c r="D42" s="91">
        <f t="shared" si="18"/>
        <v>1.005219702172587</v>
      </c>
      <c r="E42" s="91">
        <f t="shared" si="18"/>
        <v>1.0003929106758158</v>
      </c>
      <c r="F42" s="165">
        <f t="shared" si="18"/>
        <v>1.0061953702105892</v>
      </c>
    </row>
    <row r="43" spans="1:18" ht="14">
      <c r="A43" s="7"/>
      <c r="B43" s="12"/>
      <c r="C43" s="11"/>
      <c r="D43" s="61"/>
      <c r="E43" s="61"/>
      <c r="F43" s="8"/>
    </row>
    <row r="44" spans="1:18" ht="13">
      <c r="A44" s="9" t="s">
        <v>551</v>
      </c>
    </row>
    <row r="46" spans="1:18" ht="13">
      <c r="A46" s="7"/>
      <c r="B46" s="2" t="s">
        <v>42</v>
      </c>
      <c r="C46" s="18">
        <f>(F34/E34)^2+(D34/C34)^2</f>
        <v>3.1752511631603208E-6</v>
      </c>
      <c r="D46" s="18">
        <f t="shared" ref="D46:F46" si="19">(J34/G34)^2+(P34/M34)^2</f>
        <v>4.7181876208860782E-6</v>
      </c>
      <c r="E46" s="18">
        <f t="shared" si="19"/>
        <v>4.8804882735921542E-6</v>
      </c>
      <c r="F46" s="18">
        <f t="shared" si="19"/>
        <v>7.0408654253867172E-6</v>
      </c>
      <c r="G46" s="7" t="s">
        <v>43</v>
      </c>
    </row>
    <row r="47" spans="1:18" ht="13">
      <c r="A47" s="7"/>
      <c r="B47" s="2" t="s">
        <v>44</v>
      </c>
      <c r="C47" s="18">
        <f>(F33/E33)^2+(D33/C33)^2</f>
        <v>3.4901940557397039E-6</v>
      </c>
      <c r="D47" s="18">
        <f t="shared" ref="D47:F47" si="20">(J33/G33)^2+(P33/M33)^2</f>
        <v>1.5476065655641064E-6</v>
      </c>
      <c r="E47" s="18">
        <f t="shared" si="20"/>
        <v>6.7718548068699182E-6</v>
      </c>
      <c r="F47" s="18">
        <f t="shared" si="20"/>
        <v>8.4543552997164557E-6</v>
      </c>
    </row>
    <row r="48" spans="1:18" ht="13">
      <c r="B48" s="2" t="s">
        <v>560</v>
      </c>
      <c r="C48" s="16">
        <f t="shared" ref="C48:F48" si="21">SQRT(C46+C47)</f>
        <v>2.5817523542934987E-3</v>
      </c>
      <c r="D48" s="16">
        <f t="shared" si="21"/>
        <v>2.5031568441570306E-3</v>
      </c>
      <c r="E48" s="16">
        <f t="shared" si="21"/>
        <v>3.4135528530348075E-3</v>
      </c>
      <c r="F48" s="16">
        <f t="shared" si="21"/>
        <v>3.9363969216916084E-3</v>
      </c>
      <c r="G48" s="6"/>
      <c r="H48" s="8"/>
      <c r="I48" s="8"/>
      <c r="J48" s="8"/>
    </row>
    <row r="49" spans="1:10" ht="13">
      <c r="A49" s="7"/>
      <c r="B49" s="7"/>
      <c r="C49" s="16"/>
      <c r="D49" s="16"/>
      <c r="E49" s="16"/>
      <c r="F49" s="16"/>
      <c r="I49" s="8"/>
      <c r="J49" s="8"/>
    </row>
    <row r="50" spans="1:10" ht="13">
      <c r="A50" s="7"/>
      <c r="B50" s="7" t="s">
        <v>47</v>
      </c>
      <c r="C50" s="16">
        <f t="shared" ref="C50:F50" si="22">C42*LN(1-$C$63)</f>
        <v>-0.11283596302742104</v>
      </c>
      <c r="D50" s="16">
        <f t="shared" si="22"/>
        <v>-0.11827218341334593</v>
      </c>
      <c r="E50" s="16">
        <f t="shared" si="22"/>
        <v>-0.11770427256960672</v>
      </c>
      <c r="F50" s="16">
        <f t="shared" si="22"/>
        <v>-0.11838697860577176</v>
      </c>
      <c r="G50" s="7" t="s">
        <v>49</v>
      </c>
      <c r="I50" s="7" t="s">
        <v>564</v>
      </c>
      <c r="J50" s="8"/>
    </row>
    <row r="51" spans="1:10" ht="13">
      <c r="A51" s="7"/>
      <c r="B51" s="7" t="s">
        <v>50</v>
      </c>
      <c r="C51" s="16">
        <f t="shared" ref="C51:F51" si="23">1-$C$63*C42</f>
        <v>0.89354920813870731</v>
      </c>
      <c r="D51" s="16">
        <f t="shared" si="23"/>
        <v>0.88842061305884279</v>
      </c>
      <c r="E51" s="16">
        <f t="shared" si="23"/>
        <v>0.88895638691498446</v>
      </c>
      <c r="F51" s="16">
        <f t="shared" si="23"/>
        <v>0.88831231390662457</v>
      </c>
      <c r="G51" s="7" t="s">
        <v>51</v>
      </c>
      <c r="I51" s="8"/>
      <c r="J51" s="8"/>
    </row>
    <row r="52" spans="1:10" ht="13">
      <c r="A52" s="7"/>
      <c r="B52" s="7" t="s">
        <v>52</v>
      </c>
      <c r="C52" s="16">
        <f t="shared" ref="C52:F52" si="24">LN(C51)</f>
        <v>-0.11255387243668256</v>
      </c>
      <c r="D52" s="16">
        <f t="shared" si="24"/>
        <v>-0.11830998477849038</v>
      </c>
      <c r="E52" s="16">
        <f t="shared" si="24"/>
        <v>-0.11770710325996331</v>
      </c>
      <c r="F52" s="16">
        <f t="shared" si="24"/>
        <v>-0.11843189297381752</v>
      </c>
      <c r="G52" s="7" t="s">
        <v>53</v>
      </c>
      <c r="I52" s="8"/>
      <c r="J52" s="8"/>
    </row>
    <row r="53" spans="1:10" ht="13">
      <c r="A53" s="7"/>
      <c r="B53" s="7" t="s">
        <v>54</v>
      </c>
      <c r="C53" s="16">
        <f t="shared" ref="C53:F53" si="25">C51*C52^2</f>
        <v>1.1319815735255359E-2</v>
      </c>
      <c r="D53" s="16">
        <f t="shared" si="25"/>
        <v>1.2435447645667222E-2</v>
      </c>
      <c r="E53" s="16">
        <f t="shared" si="25"/>
        <v>1.2316457100687652E-2</v>
      </c>
      <c r="F53" s="16">
        <f t="shared" si="25"/>
        <v>1.2459569136976413E-2</v>
      </c>
      <c r="G53" s="7" t="s">
        <v>55</v>
      </c>
      <c r="I53" s="8"/>
      <c r="J53" s="8"/>
    </row>
    <row r="54" spans="1:10" ht="13">
      <c r="A54" s="7"/>
      <c r="B54" s="7" t="s">
        <v>56</v>
      </c>
      <c r="C54" s="16">
        <f t="shared" ref="C54:F54" si="26">(1-$C$63)*C52</f>
        <v>-0.1000603925962108</v>
      </c>
      <c r="D54" s="16">
        <f t="shared" si="26"/>
        <v>-0.10517757646807795</v>
      </c>
      <c r="E54" s="16">
        <f t="shared" si="26"/>
        <v>-0.10464161479810738</v>
      </c>
      <c r="F54" s="16">
        <f t="shared" si="26"/>
        <v>-0.10528595285372377</v>
      </c>
      <c r="G54" s="7" t="s">
        <v>57</v>
      </c>
      <c r="I54" s="8"/>
      <c r="J54" s="8"/>
    </row>
    <row r="55" spans="1:10" ht="13">
      <c r="A55" s="7"/>
      <c r="B55" s="7" t="s">
        <v>58</v>
      </c>
      <c r="C55" s="34">
        <f t="shared" ref="C55:F55" si="27">$C$63^2 * LN(1-$C$63)^2 * C48^2</f>
        <v>1.1368897880397413E-9</v>
      </c>
      <c r="D55" s="34">
        <f t="shared" si="27"/>
        <v>1.0687234221556717E-9</v>
      </c>
      <c r="E55" s="34">
        <f t="shared" si="27"/>
        <v>1.9874786184348919E-9</v>
      </c>
      <c r="F55" s="34">
        <f t="shared" si="27"/>
        <v>2.6429379624694774E-9</v>
      </c>
      <c r="G55" s="7" t="s">
        <v>59</v>
      </c>
      <c r="I55" s="8"/>
      <c r="J55" s="8"/>
    </row>
    <row r="56" spans="1:10" ht="13">
      <c r="B56" s="7" t="s">
        <v>60</v>
      </c>
      <c r="C56" s="50">
        <f t="shared" ref="C56:F56" si="28">C51^2 * C52^4</f>
        <v>1.2813822828013481E-4</v>
      </c>
      <c r="D56" s="50">
        <f t="shared" si="28"/>
        <v>1.5464035814813043E-4</v>
      </c>
      <c r="E56" s="50">
        <f t="shared" si="28"/>
        <v>1.516951155130793E-4</v>
      </c>
      <c r="F56" s="50">
        <f t="shared" si="28"/>
        <v>1.5524086307909516E-4</v>
      </c>
      <c r="G56" s="7" t="s">
        <v>61</v>
      </c>
    </row>
    <row r="57" spans="1:10" ht="13">
      <c r="B57" s="2" t="s">
        <v>62</v>
      </c>
      <c r="C57" s="18">
        <f t="shared" ref="C57:F57" si="29">(C50/C53-1/C54)^2 * $C$64^2</f>
        <v>1.6849171087747331E-6</v>
      </c>
      <c r="D57" s="18">
        <f t="shared" si="29"/>
        <v>2.4974991253738345E-8</v>
      </c>
      <c r="E57" s="18">
        <f t="shared" si="29"/>
        <v>1.4282391583361858E-10</v>
      </c>
      <c r="F57" s="18">
        <f t="shared" si="29"/>
        <v>3.5119025827563938E-8</v>
      </c>
      <c r="G57" s="7" t="s">
        <v>63</v>
      </c>
    </row>
    <row r="58" spans="1:10" ht="13">
      <c r="A58" s="2"/>
      <c r="B58" s="2" t="s">
        <v>64</v>
      </c>
      <c r="C58" s="18">
        <f t="shared" ref="C58:F58" si="30">C55/C56</f>
        <v>8.8723701216960911E-6</v>
      </c>
      <c r="D58" s="18">
        <f t="shared" si="30"/>
        <v>6.911025265034232E-6</v>
      </c>
      <c r="E58" s="18">
        <f t="shared" si="30"/>
        <v>1.310179705992926E-5</v>
      </c>
      <c r="F58" s="18">
        <f t="shared" si="30"/>
        <v>1.7024756948967114E-5</v>
      </c>
      <c r="G58" s="2" t="s">
        <v>65</v>
      </c>
      <c r="H58" s="2"/>
    </row>
    <row r="59" spans="1:10" ht="13">
      <c r="A59" s="2"/>
      <c r="G59" s="2"/>
      <c r="H59" s="2"/>
    </row>
    <row r="60" spans="1:10" ht="13">
      <c r="A60" s="17" t="s">
        <v>572</v>
      </c>
      <c r="B60" s="7" t="s">
        <v>0</v>
      </c>
      <c r="C60" s="178">
        <f t="shared" ref="C60:F60" si="31">LN(1-$C$63)/LN(1-$C$63*C42)</f>
        <v>1.0453486932172968</v>
      </c>
      <c r="D60" s="179">
        <f t="shared" si="31"/>
        <v>0.99448954953820223</v>
      </c>
      <c r="E60" s="179">
        <f t="shared" si="31"/>
        <v>0.99958320449342386</v>
      </c>
      <c r="F60" s="180">
        <f t="shared" si="31"/>
        <v>0.99346586898044309</v>
      </c>
      <c r="G60" s="2" t="s">
        <v>39</v>
      </c>
      <c r="H60" s="2"/>
    </row>
    <row r="61" spans="1:10" ht="13">
      <c r="A61" s="7"/>
      <c r="B61" s="2" t="s">
        <v>577</v>
      </c>
      <c r="C61" s="11">
        <f t="shared" ref="C61:F61" si="32">SQRT(C57+C58)</f>
        <v>3.2491979364869146E-3</v>
      </c>
      <c r="D61" s="11">
        <f t="shared" si="32"/>
        <v>2.6336287240778587E-3</v>
      </c>
      <c r="E61" s="11">
        <f t="shared" si="32"/>
        <v>3.6196601890018756E-3</v>
      </c>
      <c r="F61" s="11">
        <f t="shared" si="32"/>
        <v>4.1303602717916365E-3</v>
      </c>
      <c r="G61" s="2" t="s">
        <v>40</v>
      </c>
      <c r="H61" s="2"/>
    </row>
    <row r="62" spans="1:10" ht="13">
      <c r="A62" s="2"/>
      <c r="B62" s="11"/>
      <c r="C62" s="11"/>
      <c r="D62" s="11"/>
      <c r="E62" s="2"/>
      <c r="F62" s="5"/>
      <c r="G62" s="2"/>
      <c r="H62" s="8"/>
      <c r="I62" s="8"/>
    </row>
    <row r="63" spans="1:10" ht="13">
      <c r="B63" s="2" t="s">
        <v>770</v>
      </c>
      <c r="C63" s="182">
        <f>AVERAGE(B13,B15)</f>
        <v>0.111</v>
      </c>
      <c r="G63" s="2"/>
      <c r="H63" s="8"/>
      <c r="I63" s="8"/>
    </row>
    <row r="64" spans="1:10" ht="13">
      <c r="A64" s="2"/>
      <c r="B64" s="2" t="s">
        <v>578</v>
      </c>
      <c r="C64" s="2">
        <v>0.05</v>
      </c>
      <c r="G64" s="8"/>
      <c r="H64" s="8"/>
      <c r="I64" s="7"/>
    </row>
    <row r="68" spans="1:12" ht="13">
      <c r="J68" s="2"/>
    </row>
    <row r="69" spans="1:12" ht="13">
      <c r="A69" s="6"/>
      <c r="B69" s="7"/>
      <c r="C69" s="6"/>
      <c r="D69" s="6"/>
      <c r="G69" s="8"/>
      <c r="H69" s="6"/>
      <c r="I69" s="6"/>
      <c r="J69" s="6"/>
    </row>
    <row r="70" spans="1:12" ht="14">
      <c r="A70" s="6"/>
      <c r="B70" s="16"/>
      <c r="C70" s="16"/>
      <c r="D70" s="16"/>
      <c r="E70" s="32"/>
      <c r="G70" s="6"/>
      <c r="H70" s="16"/>
      <c r="I70" s="16"/>
      <c r="J70" s="16"/>
      <c r="K70" s="32"/>
      <c r="L70" s="32"/>
    </row>
    <row r="71" spans="1:12" ht="14">
      <c r="A71" s="6"/>
      <c r="B71" s="16"/>
      <c r="C71" s="16"/>
      <c r="D71" s="16"/>
      <c r="E71" s="32"/>
      <c r="G71" s="6"/>
      <c r="H71" s="16"/>
      <c r="I71" s="16"/>
      <c r="J71" s="16"/>
      <c r="K71" s="32"/>
      <c r="L71" s="32"/>
    </row>
    <row r="72" spans="1:12" ht="13">
      <c r="A72" s="6"/>
      <c r="B72" s="16"/>
      <c r="C72" s="16"/>
      <c r="D72" s="16"/>
      <c r="G72" s="6"/>
      <c r="H72" s="16"/>
      <c r="I72" s="16"/>
      <c r="J72" s="16"/>
    </row>
    <row r="73" spans="1:12" ht="14">
      <c r="A73" s="6"/>
      <c r="B73" s="16"/>
      <c r="D73" s="16"/>
      <c r="E73" s="32"/>
      <c r="G73" s="6"/>
      <c r="H73" s="16"/>
      <c r="I73" s="16"/>
      <c r="J73" s="16"/>
      <c r="K73" s="32"/>
      <c r="L73" s="2"/>
    </row>
    <row r="74" spans="1:12" ht="14">
      <c r="A74" s="1"/>
      <c r="B74" s="11"/>
      <c r="D74" s="11"/>
      <c r="E74" s="32"/>
      <c r="G74" s="1"/>
      <c r="H74" s="11"/>
      <c r="I74" s="11"/>
      <c r="J74" s="11"/>
      <c r="K74" s="32"/>
      <c r="L74" s="27"/>
    </row>
    <row r="75" spans="1:12" ht="14">
      <c r="E75" s="32"/>
      <c r="K75" s="32"/>
      <c r="L75" s="2"/>
    </row>
    <row r="76" spans="1:12" ht="14">
      <c r="D76" s="8"/>
      <c r="E76" s="32"/>
      <c r="J76" s="8"/>
      <c r="K76" s="32"/>
      <c r="L76" s="2"/>
    </row>
    <row r="77" spans="1:12" ht="13">
      <c r="B77" s="6"/>
      <c r="C77" s="6"/>
      <c r="D77" s="6"/>
      <c r="H77" s="6"/>
      <c r="I77" s="6"/>
      <c r="J77" s="6"/>
    </row>
    <row r="78" spans="1:12" ht="13">
      <c r="A78" s="6"/>
      <c r="B78" s="34"/>
      <c r="C78" s="34"/>
      <c r="D78" s="34"/>
      <c r="G78" s="6"/>
      <c r="H78" s="34"/>
      <c r="I78" s="34"/>
      <c r="J78" s="34"/>
    </row>
    <row r="79" spans="1:12" ht="13">
      <c r="A79" s="6"/>
      <c r="B79" s="34"/>
      <c r="C79" s="34"/>
      <c r="D79" s="34"/>
      <c r="G79" s="6"/>
      <c r="H79" s="34"/>
      <c r="I79" s="34"/>
      <c r="J79" s="34"/>
    </row>
    <row r="80" spans="1:12" ht="13">
      <c r="G80" s="7"/>
    </row>
    <row r="81" spans="1:10" ht="13">
      <c r="A81" s="7"/>
      <c r="B81" s="8"/>
      <c r="C81" s="8"/>
      <c r="D81" s="8"/>
      <c r="E81" s="8"/>
      <c r="F81" s="8"/>
    </row>
    <row r="82" spans="1:10" ht="13">
      <c r="A82" s="7"/>
      <c r="B82" s="8"/>
      <c r="C82" s="8"/>
      <c r="D82" s="8"/>
      <c r="E82" s="8"/>
      <c r="F82" s="8"/>
      <c r="G82" s="8"/>
      <c r="H82" s="8"/>
      <c r="I82" s="8"/>
    </row>
    <row r="83" spans="1:10" ht="13">
      <c r="B83" s="1"/>
      <c r="D83" s="7"/>
      <c r="E83" s="7"/>
      <c r="F83" s="8"/>
      <c r="G83" s="8"/>
      <c r="H83" s="8"/>
      <c r="I83" s="8"/>
    </row>
    <row r="84" spans="1:10" ht="13">
      <c r="A84" s="7"/>
      <c r="B84" s="16"/>
      <c r="D84" s="1"/>
      <c r="E84" s="1"/>
      <c r="F84" s="6"/>
      <c r="G84" s="8"/>
      <c r="H84" s="8"/>
      <c r="I84" s="8"/>
    </row>
    <row r="85" spans="1:10" ht="13">
      <c r="A85" s="7"/>
      <c r="B85" s="16"/>
      <c r="D85" s="16"/>
      <c r="E85" s="16"/>
      <c r="F85" s="7"/>
      <c r="G85" s="8"/>
    </row>
    <row r="86" spans="1:10" ht="13">
      <c r="A86" s="7"/>
      <c r="B86" s="16"/>
      <c r="D86" s="16"/>
      <c r="E86" s="16"/>
      <c r="F86" s="7"/>
      <c r="G86" s="8"/>
    </row>
    <row r="87" spans="1:10" ht="13">
      <c r="A87" s="7"/>
      <c r="B87" s="16"/>
      <c r="D87" s="16"/>
      <c r="E87" s="16"/>
      <c r="F87" s="7"/>
      <c r="G87" s="8"/>
    </row>
    <row r="88" spans="1:10" ht="13">
      <c r="A88" s="7"/>
      <c r="B88" s="16"/>
      <c r="C88" s="16"/>
      <c r="D88" s="16"/>
      <c r="E88" s="16"/>
      <c r="F88" s="2"/>
      <c r="G88" s="8"/>
      <c r="H88" s="8"/>
      <c r="I88" s="8"/>
      <c r="J88" s="8"/>
    </row>
    <row r="89" spans="1:10" ht="13">
      <c r="A89" s="8"/>
      <c r="B89" s="8"/>
      <c r="C89" s="8"/>
      <c r="D89" s="8"/>
      <c r="E89" s="27"/>
      <c r="F89" s="2"/>
      <c r="I89" s="8"/>
      <c r="J89" s="8"/>
    </row>
    <row r="90" spans="1:10" ht="13">
      <c r="A90" s="7"/>
      <c r="B90" s="16"/>
      <c r="C90" s="16"/>
      <c r="D90" s="16"/>
      <c r="E90" s="16"/>
      <c r="F90" s="7"/>
      <c r="G90" s="8"/>
    </row>
    <row r="91" spans="1:10" ht="13">
      <c r="A91" s="7"/>
      <c r="B91" s="16"/>
      <c r="C91" s="16"/>
      <c r="D91" s="16"/>
      <c r="E91" s="16"/>
      <c r="F91" s="2"/>
      <c r="G91" s="8"/>
      <c r="H91" s="8"/>
      <c r="I91" s="8"/>
      <c r="J91" s="8"/>
    </row>
    <row r="93" spans="1:10" ht="13">
      <c r="A93" s="1"/>
    </row>
    <row r="95" spans="1:10" ht="13">
      <c r="A95" s="1"/>
      <c r="B95" s="2"/>
      <c r="C95" s="2"/>
      <c r="D95" s="2"/>
      <c r="G95" s="2"/>
      <c r="H95" s="2"/>
    </row>
    <row r="96" spans="1:10" ht="13">
      <c r="A96" s="2"/>
      <c r="B96" s="2"/>
      <c r="C96" s="2"/>
      <c r="D96" s="2"/>
      <c r="E96" s="6"/>
      <c r="F96" s="2"/>
      <c r="G96" s="2"/>
      <c r="H96" s="2"/>
    </row>
    <row r="97" spans="1:10" ht="13">
      <c r="E97" s="1"/>
      <c r="F97" s="2"/>
    </row>
    <row r="98" spans="1:10" ht="13">
      <c r="A98" s="6"/>
      <c r="B98" s="7"/>
      <c r="D98" s="8"/>
      <c r="E98" s="6"/>
      <c r="F98" s="7"/>
      <c r="G98" s="8"/>
      <c r="H98" s="8"/>
      <c r="I98" s="8"/>
    </row>
    <row r="99" spans="1:10" ht="13">
      <c r="A99" s="7"/>
      <c r="B99" s="8"/>
      <c r="C99" s="8"/>
      <c r="D99" s="8"/>
      <c r="E99" s="8"/>
      <c r="F99" s="8"/>
      <c r="G99" s="8"/>
      <c r="H99" s="8"/>
      <c r="I99" s="8"/>
    </row>
    <row r="100" spans="1:10" ht="13">
      <c r="A100" s="7"/>
      <c r="B100" s="8"/>
      <c r="C100" s="8"/>
      <c r="D100" s="7"/>
      <c r="E100" s="7"/>
      <c r="F100" s="8"/>
      <c r="G100" s="8"/>
      <c r="H100" s="8"/>
      <c r="I100" s="7"/>
      <c r="J100" s="2"/>
    </row>
    <row r="101" spans="1:10" ht="13">
      <c r="A101" s="6"/>
      <c r="B101" s="6"/>
      <c r="C101" s="6"/>
      <c r="D101" s="6"/>
      <c r="E101" s="6"/>
      <c r="G101" s="8"/>
      <c r="H101" s="6"/>
      <c r="I101" s="6"/>
      <c r="J101" s="6"/>
    </row>
    <row r="102" spans="1:10" ht="14">
      <c r="A102" s="7"/>
      <c r="B102" s="15"/>
      <c r="C102" s="15"/>
      <c r="D102" s="15"/>
      <c r="E102" s="15"/>
      <c r="G102" s="6"/>
      <c r="H102" s="16"/>
      <c r="I102" s="16"/>
      <c r="J102" s="16"/>
    </row>
    <row r="103" spans="1:10" ht="14">
      <c r="A103" s="7"/>
      <c r="B103" s="15"/>
      <c r="C103" s="15"/>
      <c r="D103" s="15"/>
      <c r="E103" s="15"/>
      <c r="G103" s="6"/>
      <c r="H103" s="16"/>
      <c r="I103" s="16"/>
      <c r="J103" s="16"/>
    </row>
    <row r="104" spans="1:10" ht="13">
      <c r="A104" s="8"/>
      <c r="B104" s="8"/>
      <c r="C104" s="8"/>
      <c r="D104" s="8"/>
      <c r="E104" s="8"/>
      <c r="G104" s="6"/>
      <c r="H104" s="16"/>
      <c r="I104" s="16"/>
      <c r="J104" s="16"/>
    </row>
    <row r="105" spans="1:10" ht="13">
      <c r="A105" s="7"/>
      <c r="B105" s="8"/>
      <c r="C105" s="8"/>
      <c r="D105" s="8"/>
      <c r="E105" s="8"/>
      <c r="G105" s="6"/>
      <c r="H105" s="16"/>
      <c r="I105" s="16"/>
      <c r="J105" s="16"/>
    </row>
    <row r="106" spans="1:10" ht="13">
      <c r="A106" s="6"/>
      <c r="B106" s="6"/>
      <c r="C106" s="6"/>
      <c r="D106" s="6"/>
      <c r="E106" s="6"/>
      <c r="G106" s="1"/>
      <c r="H106" s="11"/>
      <c r="I106" s="11"/>
      <c r="J106" s="11"/>
    </row>
    <row r="107" spans="1:10" ht="14">
      <c r="A107" s="7"/>
      <c r="B107" s="15"/>
      <c r="C107" s="15"/>
      <c r="D107" s="15"/>
      <c r="E107" s="15"/>
    </row>
    <row r="108" spans="1:10" ht="14">
      <c r="A108" s="7"/>
      <c r="B108" s="15"/>
      <c r="C108" s="15"/>
      <c r="D108" s="15"/>
      <c r="E108" s="15"/>
      <c r="J108" s="8"/>
    </row>
    <row r="109" spans="1:10" ht="13">
      <c r="A109" s="7"/>
      <c r="B109" s="11"/>
      <c r="C109" s="11"/>
      <c r="D109" s="11"/>
      <c r="E109" s="8"/>
      <c r="H109" s="6"/>
      <c r="I109" s="6"/>
      <c r="J109" s="6"/>
    </row>
    <row r="110" spans="1:10" ht="13">
      <c r="A110" s="7"/>
      <c r="B110" s="11"/>
      <c r="C110" s="11"/>
      <c r="D110" s="11"/>
      <c r="E110" s="11"/>
      <c r="G110" s="6"/>
      <c r="H110" s="34"/>
      <c r="I110" s="34"/>
      <c r="J110" s="34"/>
    </row>
    <row r="111" spans="1:10" ht="13">
      <c r="A111" s="7"/>
      <c r="B111" s="11"/>
      <c r="C111" s="11"/>
      <c r="D111" s="11"/>
      <c r="E111" s="11"/>
      <c r="G111" s="6"/>
      <c r="H111" s="34"/>
      <c r="I111" s="34"/>
      <c r="J111" s="34"/>
    </row>
    <row r="112" spans="1:10" ht="13">
      <c r="A112" s="7"/>
      <c r="B112" s="8"/>
      <c r="C112" s="8"/>
      <c r="D112" s="8"/>
      <c r="E112" s="8"/>
      <c r="G112" s="7"/>
    </row>
    <row r="113" spans="1:10" ht="13">
      <c r="A113" s="7"/>
      <c r="B113" s="8"/>
      <c r="C113" s="8"/>
      <c r="D113" s="8"/>
      <c r="E113" s="8"/>
      <c r="F113" s="8"/>
    </row>
    <row r="114" spans="1:10" ht="13">
      <c r="A114" s="7"/>
      <c r="B114" s="8"/>
      <c r="C114" s="8"/>
      <c r="D114" s="8"/>
      <c r="E114" s="8"/>
      <c r="F114" s="8"/>
      <c r="G114" s="8"/>
      <c r="H114" s="8"/>
      <c r="I114" s="8"/>
    </row>
    <row r="115" spans="1:10" ht="13">
      <c r="A115" s="7"/>
      <c r="B115" s="8"/>
      <c r="C115" s="8"/>
      <c r="D115" s="7"/>
      <c r="E115" s="7"/>
      <c r="F115" s="8"/>
      <c r="G115" s="8"/>
      <c r="H115" s="8"/>
      <c r="I115" s="8"/>
    </row>
    <row r="116" spans="1:10" ht="13">
      <c r="B116" s="1"/>
      <c r="C116" s="13"/>
      <c r="D116" s="1"/>
      <c r="E116" s="1"/>
      <c r="F116" s="6"/>
      <c r="G116" s="8"/>
      <c r="H116" s="8"/>
      <c r="I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7"/>
      <c r="G118" s="8"/>
    </row>
    <row r="119" spans="1:10" ht="13">
      <c r="A119" s="7"/>
      <c r="B119" s="16"/>
      <c r="C119" s="16"/>
      <c r="D119" s="16"/>
      <c r="E119" s="16"/>
      <c r="F119" s="7"/>
      <c r="G119" s="8"/>
    </row>
    <row r="120" spans="1:10" ht="13">
      <c r="A120" s="7"/>
      <c r="B120" s="16"/>
      <c r="C120" s="16"/>
      <c r="D120" s="16"/>
      <c r="E120" s="16"/>
      <c r="F120" s="2"/>
      <c r="G120" s="8"/>
      <c r="H120" s="8"/>
      <c r="I120" s="8"/>
      <c r="J120" s="8"/>
    </row>
    <row r="124" spans="1:10" ht="13">
      <c r="A124" s="1"/>
    </row>
    <row r="126" spans="1:10" ht="13">
      <c r="A126" s="1"/>
      <c r="B126" s="2"/>
      <c r="C126" s="2"/>
      <c r="D126" s="2"/>
      <c r="G126" s="2"/>
      <c r="H126" s="2"/>
    </row>
    <row r="127" spans="1:10" ht="13">
      <c r="A127" s="2"/>
      <c r="B127" s="2"/>
      <c r="C127" s="2"/>
      <c r="D127" s="2"/>
      <c r="E127" s="6"/>
      <c r="F127" s="2"/>
      <c r="G127" s="2"/>
      <c r="H127" s="2"/>
    </row>
    <row r="128" spans="1:10" ht="13">
      <c r="E128" s="1"/>
      <c r="F128" s="2"/>
    </row>
    <row r="129" spans="1:10" ht="13">
      <c r="A129" s="6"/>
      <c r="B129" s="7"/>
      <c r="D129" s="8"/>
      <c r="E129" s="6"/>
      <c r="F129" s="7"/>
      <c r="G129" s="8"/>
      <c r="H129" s="8"/>
      <c r="I129" s="8"/>
    </row>
    <row r="130" spans="1:10" ht="13">
      <c r="A130" s="7"/>
      <c r="B130" s="8"/>
      <c r="C130" s="8"/>
      <c r="D130" s="8"/>
      <c r="E130" s="8"/>
      <c r="F130" s="8"/>
      <c r="G130" s="8"/>
      <c r="H130" s="8"/>
      <c r="I130" s="8"/>
    </row>
    <row r="131" spans="1:10" ht="13">
      <c r="A131" s="7"/>
      <c r="B131" s="8"/>
      <c r="C131" s="8"/>
      <c r="D131" s="7"/>
      <c r="E131" s="7"/>
      <c r="F131" s="8"/>
      <c r="G131" s="8"/>
      <c r="H131" s="8"/>
      <c r="I131" s="7"/>
      <c r="J131" s="2"/>
    </row>
    <row r="132" spans="1:10" ht="13">
      <c r="A132" s="6"/>
      <c r="B132" s="6"/>
      <c r="C132" s="6"/>
      <c r="D132" s="6"/>
      <c r="E132" s="6"/>
      <c r="G132" s="8"/>
      <c r="H132" s="6"/>
      <c r="I132" s="6"/>
      <c r="J132" s="6"/>
    </row>
    <row r="133" spans="1:10" ht="14">
      <c r="A133" s="7"/>
      <c r="B133" s="15"/>
      <c r="C133" s="15"/>
      <c r="D133" s="15"/>
      <c r="E133" s="15"/>
      <c r="G133" s="6"/>
      <c r="H133" s="16"/>
      <c r="I133" s="16"/>
      <c r="J133" s="16"/>
    </row>
    <row r="134" spans="1:10" ht="14">
      <c r="A134" s="7"/>
      <c r="B134" s="15"/>
      <c r="C134" s="15"/>
      <c r="D134" s="15"/>
      <c r="E134" s="15"/>
      <c r="G134" s="6"/>
      <c r="H134" s="16"/>
      <c r="I134" s="16"/>
      <c r="J134" s="16"/>
    </row>
    <row r="135" spans="1:10" ht="13">
      <c r="A135" s="8"/>
      <c r="B135" s="8"/>
      <c r="C135" s="8"/>
      <c r="D135" s="8"/>
      <c r="E135" s="8"/>
      <c r="G135" s="6"/>
      <c r="H135" s="16"/>
      <c r="I135" s="16"/>
      <c r="J135" s="16"/>
    </row>
    <row r="136" spans="1:10" ht="13">
      <c r="A136" s="7"/>
      <c r="B136" s="8"/>
      <c r="C136" s="8"/>
      <c r="D136" s="8"/>
      <c r="E136" s="8"/>
      <c r="G136" s="6"/>
      <c r="H136" s="16"/>
      <c r="I136" s="16"/>
      <c r="J136" s="16"/>
    </row>
    <row r="137" spans="1:10" ht="13">
      <c r="A137" s="6"/>
      <c r="B137" s="6"/>
      <c r="C137" s="6"/>
      <c r="D137" s="6"/>
      <c r="E137" s="6"/>
      <c r="G137" s="1"/>
      <c r="H137" s="11"/>
      <c r="I137" s="11"/>
      <c r="J137" s="11"/>
    </row>
    <row r="138" spans="1:10" ht="14">
      <c r="A138" s="7"/>
      <c r="B138" s="15"/>
      <c r="C138" s="15"/>
      <c r="D138" s="15"/>
      <c r="E138" s="15"/>
    </row>
    <row r="139" spans="1:10" ht="14">
      <c r="A139" s="7"/>
      <c r="B139" s="15"/>
      <c r="C139" s="15"/>
      <c r="D139" s="15"/>
      <c r="E139" s="15"/>
      <c r="J139" s="8"/>
    </row>
    <row r="140" spans="1:10" ht="13">
      <c r="A140" s="7"/>
      <c r="B140" s="11"/>
      <c r="C140" s="11"/>
      <c r="D140" s="11"/>
      <c r="E140" s="8"/>
      <c r="H140" s="6"/>
      <c r="I140" s="6"/>
      <c r="J140" s="6"/>
    </row>
    <row r="141" spans="1:10" ht="13">
      <c r="A141" s="7"/>
      <c r="B141" s="11"/>
      <c r="C141" s="11"/>
      <c r="D141" s="11"/>
      <c r="E141" s="11"/>
      <c r="G141" s="6"/>
      <c r="H141" s="34"/>
      <c r="I141" s="34"/>
      <c r="J141" s="34"/>
    </row>
    <row r="142" spans="1:10" ht="13">
      <c r="A142" s="7"/>
      <c r="B142" s="11"/>
      <c r="C142" s="11"/>
      <c r="D142" s="11"/>
      <c r="E142" s="11"/>
      <c r="G142" s="6"/>
      <c r="H142" s="34"/>
      <c r="I142" s="34"/>
      <c r="J142" s="34"/>
    </row>
    <row r="143" spans="1:10" ht="13">
      <c r="A143" s="7"/>
      <c r="B143" s="8"/>
      <c r="C143" s="8"/>
      <c r="D143" s="8"/>
      <c r="E143" s="8"/>
      <c r="G143" s="7"/>
    </row>
    <row r="144" spans="1:10" ht="13">
      <c r="A144" s="7"/>
      <c r="B144" s="8"/>
      <c r="C144" s="8"/>
      <c r="D144" s="8"/>
      <c r="E144" s="8"/>
      <c r="F144" s="8"/>
    </row>
    <row r="145" spans="1:10" ht="13">
      <c r="A145" s="7"/>
      <c r="B145" s="8"/>
      <c r="C145" s="8"/>
      <c r="D145" s="8"/>
      <c r="E145" s="8"/>
      <c r="F145" s="8"/>
      <c r="G145" s="8"/>
      <c r="H145" s="8"/>
      <c r="I145" s="8"/>
    </row>
    <row r="146" spans="1:10" ht="13">
      <c r="A146" s="7"/>
      <c r="B146" s="8"/>
      <c r="C146" s="8"/>
      <c r="D146" s="7"/>
      <c r="E146" s="7"/>
      <c r="F146" s="8"/>
      <c r="G146" s="8"/>
      <c r="H146" s="8"/>
      <c r="I146" s="8"/>
    </row>
    <row r="147" spans="1:10" ht="13">
      <c r="B147" s="1"/>
      <c r="C147" s="13"/>
      <c r="D147" s="1"/>
      <c r="E147" s="1"/>
      <c r="F147" s="6"/>
      <c r="G147" s="8"/>
      <c r="H147" s="8"/>
      <c r="I147" s="8"/>
    </row>
    <row r="148" spans="1:10" ht="13">
      <c r="A148" s="7"/>
      <c r="B148" s="16"/>
      <c r="C148" s="16"/>
      <c r="D148" s="16"/>
      <c r="E148" s="16"/>
      <c r="F148" s="7"/>
      <c r="G148" s="8"/>
    </row>
    <row r="149" spans="1:10" ht="13">
      <c r="A149" s="7"/>
      <c r="B149" s="16"/>
      <c r="C149" s="16"/>
      <c r="D149" s="16"/>
      <c r="E149" s="16"/>
      <c r="F149" s="7"/>
      <c r="G149" s="8"/>
    </row>
    <row r="150" spans="1:10" ht="13">
      <c r="A150" s="7"/>
      <c r="B150" s="16"/>
      <c r="C150" s="16"/>
      <c r="D150" s="16"/>
      <c r="E150" s="16"/>
      <c r="F150" s="7"/>
      <c r="G150" s="8"/>
    </row>
    <row r="151" spans="1:10" ht="13">
      <c r="A151" s="7"/>
      <c r="B151" s="16"/>
      <c r="C151" s="16"/>
      <c r="D151" s="16"/>
      <c r="E151" s="16"/>
      <c r="F151" s="2"/>
      <c r="G151" s="8"/>
      <c r="H151" s="8"/>
      <c r="I151" s="8"/>
      <c r="J151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51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 t="s">
        <v>269</v>
      </c>
      <c r="I1" s="1" t="s">
        <v>263</v>
      </c>
    </row>
    <row r="2" spans="1:18" ht="15.75" customHeight="1">
      <c r="A2" s="2" t="s">
        <v>748</v>
      </c>
      <c r="B2" s="2"/>
      <c r="C2" s="2"/>
      <c r="D2" s="2"/>
      <c r="E2" s="6" t="s">
        <v>5</v>
      </c>
      <c r="F2" s="77">
        <v>0.25</v>
      </c>
      <c r="G2" s="141">
        <v>1</v>
      </c>
      <c r="H2" s="141">
        <v>0</v>
      </c>
      <c r="I2" s="78">
        <v>0.25</v>
      </c>
    </row>
    <row r="3" spans="1:18" ht="15.75" customHeight="1">
      <c r="A3" s="2" t="s">
        <v>728</v>
      </c>
      <c r="E3" s="1" t="s">
        <v>530</v>
      </c>
      <c r="F3" s="67">
        <v>2</v>
      </c>
      <c r="G3" s="2">
        <v>2</v>
      </c>
      <c r="H3" s="2">
        <v>1</v>
      </c>
      <c r="I3" s="68">
        <v>1</v>
      </c>
    </row>
    <row r="4" spans="1:18" ht="15.75" customHeight="1">
      <c r="A4" s="2" t="s">
        <v>529</v>
      </c>
      <c r="B4" s="7"/>
      <c r="D4" s="8"/>
      <c r="E4" s="1" t="s">
        <v>142</v>
      </c>
      <c r="F4" s="67">
        <v>8</v>
      </c>
      <c r="G4" s="7">
        <v>16</v>
      </c>
      <c r="H4" s="7">
        <v>8</v>
      </c>
      <c r="I4" s="80">
        <v>16</v>
      </c>
    </row>
    <row r="5" spans="1:18" ht="15.75" customHeight="1">
      <c r="A5" s="19" t="s">
        <v>749</v>
      </c>
      <c r="D5" s="8"/>
      <c r="E5" s="6" t="s">
        <v>532</v>
      </c>
      <c r="F5" s="81">
        <v>4</v>
      </c>
      <c r="G5" s="142">
        <v>32</v>
      </c>
      <c r="H5" s="142">
        <v>4</v>
      </c>
      <c r="I5" s="82">
        <v>32</v>
      </c>
    </row>
    <row r="6" spans="1:18" ht="15.75" customHeight="1">
      <c r="A6" s="7" t="s">
        <v>750</v>
      </c>
      <c r="G6" s="7"/>
      <c r="H6" s="8"/>
      <c r="I6" s="8"/>
      <c r="J6" s="7"/>
      <c r="M6" s="2"/>
    </row>
    <row r="7" spans="1:18" ht="15.75" customHeight="1">
      <c r="A7" s="7"/>
      <c r="G7" s="7"/>
      <c r="H7" s="8"/>
      <c r="I7" s="8"/>
      <c r="J7" s="7"/>
      <c r="M7" s="2"/>
    </row>
    <row r="8" spans="1:18" ht="15.75" customHeight="1">
      <c r="A8" s="17" t="s">
        <v>533</v>
      </c>
      <c r="H8" s="8"/>
      <c r="I8" s="8"/>
    </row>
    <row r="9" spans="1:18" ht="15.75" customHeight="1">
      <c r="A9" s="6"/>
      <c r="B9" s="6"/>
      <c r="C9" s="7"/>
      <c r="E9" s="7"/>
      <c r="F9" s="8"/>
      <c r="G9" s="7" t="s">
        <v>751</v>
      </c>
      <c r="H9" s="2"/>
      <c r="I9" s="2"/>
      <c r="J9" s="7" t="s">
        <v>752</v>
      </c>
      <c r="K9" s="2"/>
      <c r="L9" s="2"/>
      <c r="M9" s="2" t="s">
        <v>753</v>
      </c>
    </row>
    <row r="10" spans="1:18" ht="15.75" customHeight="1">
      <c r="A10" s="6"/>
      <c r="B10" s="6"/>
      <c r="C10" s="7" t="s">
        <v>754</v>
      </c>
      <c r="E10" s="7" t="s">
        <v>755</v>
      </c>
      <c r="F10" s="8"/>
      <c r="G10" s="2" t="s">
        <v>306</v>
      </c>
      <c r="H10" s="2" t="s">
        <v>756</v>
      </c>
      <c r="I10" s="2" t="s">
        <v>307</v>
      </c>
      <c r="J10" s="2" t="s">
        <v>306</v>
      </c>
      <c r="K10" s="2" t="s">
        <v>756</v>
      </c>
      <c r="L10" s="2" t="s">
        <v>307</v>
      </c>
      <c r="M10" s="2" t="s">
        <v>306</v>
      </c>
      <c r="N10" s="2" t="s">
        <v>756</v>
      </c>
      <c r="O10" s="2" t="s">
        <v>307</v>
      </c>
      <c r="P10" s="2" t="s">
        <v>306</v>
      </c>
      <c r="Q10" s="2" t="s">
        <v>756</v>
      </c>
      <c r="R10" s="2" t="s">
        <v>307</v>
      </c>
    </row>
    <row r="11" spans="1:18" ht="15.75" customHeight="1">
      <c r="A11" s="6" t="s">
        <v>68</v>
      </c>
      <c r="B11" s="6" t="s">
        <v>9</v>
      </c>
      <c r="C11" s="6" t="s">
        <v>757</v>
      </c>
      <c r="D11" s="1" t="s">
        <v>538</v>
      </c>
      <c r="E11" s="6" t="s">
        <v>757</v>
      </c>
      <c r="F11" s="1" t="s">
        <v>538</v>
      </c>
      <c r="G11" s="1" t="s">
        <v>758</v>
      </c>
      <c r="H11" s="1" t="s">
        <v>759</v>
      </c>
      <c r="I11" s="6" t="s">
        <v>760</v>
      </c>
      <c r="J11" s="1" t="s">
        <v>758</v>
      </c>
      <c r="K11" s="1" t="s">
        <v>759</v>
      </c>
      <c r="L11" s="6" t="s">
        <v>760</v>
      </c>
      <c r="M11" s="1" t="s">
        <v>758</v>
      </c>
      <c r="N11" s="1" t="s">
        <v>759</v>
      </c>
      <c r="O11" s="6" t="s">
        <v>760</v>
      </c>
      <c r="P11" s="1" t="s">
        <v>758</v>
      </c>
      <c r="Q11" s="1" t="s">
        <v>759</v>
      </c>
      <c r="R11" s="6" t="s">
        <v>760</v>
      </c>
    </row>
    <row r="12" spans="1:18" ht="15.75" customHeight="1">
      <c r="A12" s="7" t="s">
        <v>721</v>
      </c>
      <c r="B12" s="84">
        <v>1</v>
      </c>
      <c r="C12" s="85">
        <v>35.477699999999999</v>
      </c>
      <c r="D12" s="86">
        <v>4.7000000000000002E-3</v>
      </c>
      <c r="E12" s="87">
        <v>3.0133000000000001</v>
      </c>
      <c r="F12" s="88">
        <v>2.3300000000000001E-2</v>
      </c>
      <c r="G12" s="143">
        <v>9.4537999999999993</v>
      </c>
      <c r="H12" s="86">
        <v>9.4859000000000009</v>
      </c>
      <c r="I12" s="88">
        <v>9.5012000000000008</v>
      </c>
      <c r="J12" s="85">
        <v>1E-3</v>
      </c>
      <c r="K12" s="87">
        <v>1.1999999999999999E-3</v>
      </c>
      <c r="L12" s="144">
        <v>2.2000000000000001E-3</v>
      </c>
      <c r="M12" s="85">
        <v>9.8716000000000008</v>
      </c>
      <c r="N12" s="87">
        <v>9.5122999999999998</v>
      </c>
      <c r="O12" s="144">
        <v>9.4529999999999994</v>
      </c>
      <c r="P12" s="85">
        <v>4.9099999999999998E-2</v>
      </c>
      <c r="Q12" s="87">
        <v>9.9000000000000005E-2</v>
      </c>
      <c r="R12" s="144">
        <v>0.1099</v>
      </c>
    </row>
    <row r="13" spans="1:18" ht="15.75" customHeight="1">
      <c r="A13" s="7" t="s">
        <v>696</v>
      </c>
      <c r="B13" s="12">
        <v>0.115</v>
      </c>
      <c r="C13" s="145">
        <v>35.0154</v>
      </c>
      <c r="D13" s="84">
        <v>7.3000000000000001E-3</v>
      </c>
      <c r="E13" s="12">
        <v>2.8614000000000002</v>
      </c>
      <c r="F13" s="146">
        <v>1.8499999999999999E-2</v>
      </c>
      <c r="G13" s="147">
        <v>9.3323999999999998</v>
      </c>
      <c r="H13" s="84">
        <v>9.3482000000000003</v>
      </c>
      <c r="I13" s="146">
        <v>9.3500999999999994</v>
      </c>
      <c r="J13" s="145">
        <v>8.9999999999999998E-4</v>
      </c>
      <c r="K13" s="12">
        <v>2.3999999999999998E-3</v>
      </c>
      <c r="L13" s="148">
        <v>2.2000000000000001E-3</v>
      </c>
      <c r="M13" s="145">
        <v>9.7957000000000001</v>
      </c>
      <c r="N13" s="12">
        <v>9.3779000000000003</v>
      </c>
      <c r="O13" s="148">
        <v>9.3603000000000005</v>
      </c>
      <c r="P13" s="145">
        <v>8.5099999999999995E-2</v>
      </c>
      <c r="Q13" s="12">
        <v>8.2799999999999999E-2</v>
      </c>
      <c r="R13" s="148">
        <v>9.9299999999999999E-2</v>
      </c>
    </row>
    <row r="14" spans="1:18" ht="15.75" customHeight="1">
      <c r="A14" s="7" t="s">
        <v>723</v>
      </c>
      <c r="B14" s="84">
        <v>1</v>
      </c>
      <c r="C14" s="145">
        <v>35.791400000000003</v>
      </c>
      <c r="D14" s="84">
        <v>5.4999999999999997E-3</v>
      </c>
      <c r="E14" s="12">
        <v>3.0533999999999999</v>
      </c>
      <c r="F14" s="146">
        <v>2.1999999999999999E-2</v>
      </c>
      <c r="G14" s="147">
        <v>9.5320999999999998</v>
      </c>
      <c r="H14" s="84">
        <v>9.5620999999999992</v>
      </c>
      <c r="I14" s="146">
        <v>9.5693999999999999</v>
      </c>
      <c r="J14" s="145">
        <v>5.5999999999999999E-3</v>
      </c>
      <c r="K14" s="12">
        <v>2.8999999999999998E-3</v>
      </c>
      <c r="L14" s="148">
        <v>4.0000000000000001E-3</v>
      </c>
      <c r="M14" s="149" t="s">
        <v>762</v>
      </c>
      <c r="N14" s="150"/>
      <c r="O14" s="151"/>
      <c r="P14" s="152"/>
      <c r="Q14" s="150"/>
      <c r="R14" s="151"/>
    </row>
    <row r="15" spans="1:18" ht="15.75" customHeight="1">
      <c r="A15" s="2" t="s">
        <v>729</v>
      </c>
      <c r="B15" s="84">
        <v>0.107</v>
      </c>
      <c r="C15" s="89">
        <v>35.446899999999999</v>
      </c>
      <c r="D15" s="91">
        <v>4.3E-3</v>
      </c>
      <c r="E15" s="92">
        <v>2.8908</v>
      </c>
      <c r="F15" s="93">
        <v>2.23E-2</v>
      </c>
      <c r="G15" s="153">
        <v>9.4670000000000005</v>
      </c>
      <c r="H15" s="91">
        <v>9.4909999999999997</v>
      </c>
      <c r="I15" s="93">
        <v>9.4905000000000008</v>
      </c>
      <c r="J15" s="89">
        <v>5.3E-3</v>
      </c>
      <c r="K15" s="92">
        <v>3.8E-3</v>
      </c>
      <c r="L15" s="154">
        <v>3.3999999999999998E-3</v>
      </c>
      <c r="M15" s="155"/>
      <c r="N15" s="156"/>
      <c r="O15" s="157"/>
      <c r="P15" s="155"/>
      <c r="Q15" s="156"/>
      <c r="R15" s="157"/>
    </row>
    <row r="16" spans="1:18" ht="15.75" customHeight="1">
      <c r="A16" s="7"/>
      <c r="B16" s="16"/>
      <c r="C16" s="16"/>
      <c r="D16" s="8"/>
      <c r="E16" s="8"/>
      <c r="F16" s="8"/>
      <c r="G16" s="8"/>
      <c r="H16" s="8"/>
      <c r="I16" s="8"/>
    </row>
    <row r="17" spans="1:18" ht="15.75" customHeight="1">
      <c r="A17" s="17" t="s">
        <v>763</v>
      </c>
      <c r="B17" s="16"/>
      <c r="C17" s="16"/>
      <c r="D17" s="8"/>
      <c r="E17" s="8"/>
      <c r="F17" s="8"/>
      <c r="G17" s="8"/>
      <c r="H17" s="8"/>
      <c r="I17" s="8"/>
    </row>
    <row r="18" spans="1:18" ht="15.75" customHeight="1">
      <c r="A18" s="6" t="s">
        <v>68</v>
      </c>
      <c r="B18" s="139" t="s">
        <v>764</v>
      </c>
      <c r="C18" s="1" t="s">
        <v>757</v>
      </c>
      <c r="D18" s="1" t="s">
        <v>758</v>
      </c>
      <c r="E18" s="1" t="s">
        <v>759</v>
      </c>
      <c r="F18" s="1" t="s">
        <v>760</v>
      </c>
      <c r="G18" s="8"/>
      <c r="H18" s="8"/>
      <c r="I18" s="8"/>
    </row>
    <row r="19" spans="1:18" ht="15.75" customHeight="1">
      <c r="A19" s="7" t="s">
        <v>47</v>
      </c>
      <c r="B19" s="84" t="s">
        <v>30</v>
      </c>
      <c r="C19" s="158">
        <f>E13/C13</f>
        <v>8.1718329649240057E-2</v>
      </c>
      <c r="D19" s="159">
        <f t="shared" ref="D19:F19" si="0">M13/G13</f>
        <v>1.0496442501392997</v>
      </c>
      <c r="E19" s="159">
        <f t="shared" si="0"/>
        <v>1.0031770822190369</v>
      </c>
      <c r="F19" s="160">
        <f t="shared" si="0"/>
        <v>1.0010908974235571</v>
      </c>
      <c r="G19" s="8"/>
      <c r="H19" s="8"/>
      <c r="I19" s="8"/>
    </row>
    <row r="20" spans="1:18" ht="15.75" customHeight="1">
      <c r="A20" s="7"/>
      <c r="B20" s="84" t="s">
        <v>27</v>
      </c>
      <c r="C20" s="161">
        <f>AVERAGE(E12/C12,E14/C14)</f>
        <v>8.5123020099937274E-2</v>
      </c>
      <c r="D20" s="49">
        <f t="shared" ref="D20:F20" si="1">M12/G12</f>
        <v>1.0441938691319894</v>
      </c>
      <c r="E20" s="49">
        <f t="shared" si="1"/>
        <v>1.0027830780421467</v>
      </c>
      <c r="F20" s="162">
        <f t="shared" si="1"/>
        <v>0.99492695659495634</v>
      </c>
      <c r="G20" s="8"/>
      <c r="H20" s="8"/>
      <c r="I20" s="8"/>
    </row>
    <row r="21" spans="1:18" ht="15.75" customHeight="1">
      <c r="A21" s="7"/>
      <c r="B21" s="84" t="s">
        <v>31</v>
      </c>
      <c r="C21" s="163">
        <f t="shared" ref="C21:F21" si="2">C19/C20</f>
        <v>0.96000270612226868</v>
      </c>
      <c r="D21" s="164">
        <f t="shared" si="2"/>
        <v>1.005219702172587</v>
      </c>
      <c r="E21" s="164">
        <f t="shared" si="2"/>
        <v>1.0003929106758158</v>
      </c>
      <c r="F21" s="165">
        <f t="shared" si="2"/>
        <v>1.0061953702105892</v>
      </c>
      <c r="G21" s="8"/>
      <c r="H21" s="8"/>
      <c r="I21" s="8"/>
    </row>
    <row r="22" spans="1:18" ht="15.75" customHeight="1">
      <c r="A22" s="7"/>
      <c r="B22" s="139" t="s">
        <v>0</v>
      </c>
      <c r="C22" s="166">
        <f t="shared" ref="C22:F22" si="3">LN(1-$B$13)/LN(1-$B$13*C21)</f>
        <v>1.0443132541395852</v>
      </c>
      <c r="D22" s="166">
        <f t="shared" si="3"/>
        <v>0.99447685891254345</v>
      </c>
      <c r="E22" s="166">
        <f t="shared" si="3"/>
        <v>0.99958224480796232</v>
      </c>
      <c r="F22" s="166">
        <f t="shared" si="3"/>
        <v>0.99345082017668873</v>
      </c>
      <c r="G22" s="8"/>
      <c r="H22" s="8"/>
      <c r="I22" s="8"/>
    </row>
    <row r="23" spans="1:18" ht="15.75" customHeight="1">
      <c r="A23" s="7"/>
      <c r="B23" s="84"/>
      <c r="C23" s="16"/>
      <c r="D23" s="8"/>
      <c r="E23" s="8"/>
      <c r="F23" s="8"/>
      <c r="G23" s="8"/>
      <c r="H23" s="8"/>
      <c r="I23" s="8"/>
    </row>
    <row r="24" spans="1:18" ht="15.75" customHeight="1">
      <c r="A24" s="7" t="s">
        <v>54</v>
      </c>
      <c r="B24" s="84" t="s">
        <v>30</v>
      </c>
      <c r="C24" s="158">
        <f>E15/C15</f>
        <v>8.155297078164804E-2</v>
      </c>
      <c r="D24" s="167"/>
      <c r="E24" s="167"/>
      <c r="F24" s="168"/>
      <c r="G24" s="8"/>
      <c r="H24" s="8"/>
      <c r="I24" s="8"/>
    </row>
    <row r="25" spans="1:18" ht="15.75" customHeight="1">
      <c r="A25" s="7"/>
      <c r="B25" s="84" t="s">
        <v>27</v>
      </c>
      <c r="C25" s="161">
        <f>AVERAGE(E12/C12,E14/C14)</f>
        <v>8.5123020099937274E-2</v>
      </c>
      <c r="D25" s="169"/>
      <c r="E25" s="169"/>
      <c r="F25" s="170"/>
      <c r="G25" s="8"/>
      <c r="H25" s="8"/>
      <c r="I25" s="8"/>
    </row>
    <row r="26" spans="1:18" ht="15.75" customHeight="1">
      <c r="A26" s="7"/>
      <c r="B26" s="84" t="s">
        <v>31</v>
      </c>
      <c r="C26" s="163">
        <f>C24/C25</f>
        <v>0.95806011917695266</v>
      </c>
      <c r="D26" s="171"/>
      <c r="E26" s="171"/>
      <c r="F26" s="172"/>
      <c r="G26" s="8"/>
      <c r="H26" s="8"/>
      <c r="I26" s="8"/>
    </row>
    <row r="27" spans="1:18" ht="15.75" customHeight="1">
      <c r="A27" s="7"/>
      <c r="B27" s="1" t="s">
        <v>0</v>
      </c>
      <c r="C27" s="173">
        <f>LN(1-$B$15)/LN(1-$B$15*C26)</f>
        <v>1.0463468158484448</v>
      </c>
      <c r="E27" s="7"/>
      <c r="F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32</v>
      </c>
      <c r="C29" s="84"/>
      <c r="E29" s="7"/>
      <c r="F29" s="8"/>
      <c r="G29" s="2" t="s">
        <v>765</v>
      </c>
    </row>
    <row r="30" spans="1:18" ht="13">
      <c r="B30" s="139"/>
      <c r="C30" s="7"/>
      <c r="E30" s="7"/>
      <c r="F30" s="8"/>
      <c r="G30" s="7" t="s">
        <v>751</v>
      </c>
      <c r="H30" s="2"/>
      <c r="I30" s="2"/>
      <c r="J30" s="7" t="s">
        <v>766</v>
      </c>
      <c r="K30" s="2"/>
      <c r="L30" s="2"/>
      <c r="M30" s="2" t="s">
        <v>767</v>
      </c>
    </row>
    <row r="31" spans="1:18" ht="13">
      <c r="C31" s="7" t="s">
        <v>754</v>
      </c>
      <c r="E31" s="7" t="s">
        <v>755</v>
      </c>
      <c r="F31" s="8"/>
      <c r="G31" s="2" t="s">
        <v>306</v>
      </c>
      <c r="H31" s="2" t="s">
        <v>756</v>
      </c>
      <c r="I31" s="2" t="s">
        <v>307</v>
      </c>
      <c r="J31" s="2" t="s">
        <v>306</v>
      </c>
      <c r="K31" s="2" t="s">
        <v>756</v>
      </c>
      <c r="L31" s="2" t="s">
        <v>307</v>
      </c>
      <c r="M31" s="2" t="s">
        <v>306</v>
      </c>
      <c r="N31" s="2" t="s">
        <v>756</v>
      </c>
      <c r="O31" s="2" t="s">
        <v>307</v>
      </c>
      <c r="P31" s="2" t="s">
        <v>306</v>
      </c>
      <c r="Q31" s="2" t="s">
        <v>756</v>
      </c>
      <c r="R31" s="2" t="s">
        <v>307</v>
      </c>
    </row>
    <row r="32" spans="1:18" ht="13">
      <c r="B32" s="6" t="s">
        <v>68</v>
      </c>
      <c r="C32" s="6" t="s">
        <v>757</v>
      </c>
      <c r="D32" s="1" t="s">
        <v>38</v>
      </c>
      <c r="E32" s="6" t="s">
        <v>757</v>
      </c>
      <c r="F32" s="1" t="s">
        <v>38</v>
      </c>
      <c r="G32" s="1" t="s">
        <v>758</v>
      </c>
      <c r="H32" s="1" t="s">
        <v>759</v>
      </c>
      <c r="I32" s="6" t="s">
        <v>760</v>
      </c>
      <c r="J32" s="1" t="s">
        <v>758</v>
      </c>
      <c r="K32" s="1" t="s">
        <v>759</v>
      </c>
      <c r="L32" s="6" t="s">
        <v>760</v>
      </c>
      <c r="M32" s="1" t="s">
        <v>758</v>
      </c>
      <c r="N32" s="1" t="s">
        <v>759</v>
      </c>
      <c r="O32" s="6" t="s">
        <v>760</v>
      </c>
      <c r="P32" s="1" t="s">
        <v>758</v>
      </c>
      <c r="Q32" s="1" t="s">
        <v>759</v>
      </c>
      <c r="R32" s="6" t="s">
        <v>760</v>
      </c>
    </row>
    <row r="33" spans="1:18" ht="13">
      <c r="B33" s="7" t="s">
        <v>195</v>
      </c>
      <c r="C33" s="85">
        <f t="shared" ref="C33:C34" si="4">AVERAGE(C12,C14)</f>
        <v>35.634550000000004</v>
      </c>
      <c r="D33" s="88">
        <f t="shared" ref="D33:D34" si="5">SQRT(AVERAGE(D12^2,D14^2)/$F$4)</f>
        <v>1.8086597247685922E-3</v>
      </c>
      <c r="E33" s="85">
        <f t="shared" ref="E33:E34" si="6">AVERAGE(E12,E14)</f>
        <v>3.03335</v>
      </c>
      <c r="F33" s="86">
        <f t="shared" ref="F33:F34" si="7">SQRT(AVERAGE(F12^2,F14^2)/$G$4)</f>
        <v>5.6648311978381135E-3</v>
      </c>
      <c r="G33" s="143">
        <f t="shared" ref="G33:I33" si="8">G12</f>
        <v>9.4537999999999993</v>
      </c>
      <c r="H33" s="86">
        <f t="shared" si="8"/>
        <v>9.4859000000000009</v>
      </c>
      <c r="I33" s="86">
        <f t="shared" si="8"/>
        <v>9.5012000000000008</v>
      </c>
      <c r="J33" s="143">
        <f t="shared" ref="J33:L33" si="9">J12/SQRT($H$4)</f>
        <v>3.5355339059327376E-4</v>
      </c>
      <c r="K33" s="86">
        <f t="shared" si="9"/>
        <v>4.2426406871192844E-4</v>
      </c>
      <c r="L33" s="88">
        <f t="shared" si="9"/>
        <v>7.7781745930520225E-4</v>
      </c>
      <c r="M33" s="143">
        <f t="shared" ref="M33:O33" si="10">M12</f>
        <v>9.8716000000000008</v>
      </c>
      <c r="N33" s="86">
        <f t="shared" si="10"/>
        <v>9.5122999999999998</v>
      </c>
      <c r="O33" s="88">
        <f t="shared" si="10"/>
        <v>9.4529999999999994</v>
      </c>
      <c r="P33" s="143">
        <f t="shared" ref="P33:R33" si="11">P12/SQRT($I$4)</f>
        <v>1.2274999999999999E-2</v>
      </c>
      <c r="Q33" s="86">
        <f t="shared" si="11"/>
        <v>2.4750000000000001E-2</v>
      </c>
      <c r="R33" s="88">
        <f t="shared" si="11"/>
        <v>2.7474999999999999E-2</v>
      </c>
    </row>
    <row r="34" spans="1:18" ht="13">
      <c r="B34" s="7" t="s">
        <v>196</v>
      </c>
      <c r="C34" s="89">
        <f t="shared" si="4"/>
        <v>35.23115</v>
      </c>
      <c r="D34" s="93">
        <f t="shared" si="5"/>
        <v>2.1180769579975133E-3</v>
      </c>
      <c r="E34" s="92">
        <f t="shared" si="6"/>
        <v>2.8761000000000001</v>
      </c>
      <c r="F34" s="91">
        <f t="shared" si="7"/>
        <v>5.1220723345146149E-3</v>
      </c>
      <c r="G34" s="153">
        <f t="shared" ref="G34:I34" si="12">G13</f>
        <v>9.3323999999999998</v>
      </c>
      <c r="H34" s="91">
        <f t="shared" si="12"/>
        <v>9.3482000000000003</v>
      </c>
      <c r="I34" s="91">
        <f t="shared" si="12"/>
        <v>9.3500999999999994</v>
      </c>
      <c r="J34" s="153">
        <f t="shared" ref="J34:L34" si="13">J13/SQRT($H$4)</f>
        <v>3.1819805153394633E-4</v>
      </c>
      <c r="K34" s="91">
        <f t="shared" si="13"/>
        <v>8.4852813742385689E-4</v>
      </c>
      <c r="L34" s="93">
        <f t="shared" si="13"/>
        <v>7.7781745930520225E-4</v>
      </c>
      <c r="M34" s="153">
        <f t="shared" ref="M34:O34" si="14">M13</f>
        <v>9.7957000000000001</v>
      </c>
      <c r="N34" s="91">
        <f t="shared" si="14"/>
        <v>9.3779000000000003</v>
      </c>
      <c r="O34" s="93">
        <f t="shared" si="14"/>
        <v>9.3603000000000005</v>
      </c>
      <c r="P34" s="153">
        <f t="shared" ref="P34:R34" si="15">P13/SQRT($I$4)</f>
        <v>2.1274999999999999E-2</v>
      </c>
      <c r="Q34" s="91">
        <f t="shared" si="15"/>
        <v>2.07E-2</v>
      </c>
      <c r="R34" s="93">
        <f t="shared" si="15"/>
        <v>2.4825E-2</v>
      </c>
    </row>
    <row r="35" spans="1:18" ht="13">
      <c r="C35" s="12"/>
      <c r="D35" s="84"/>
      <c r="E35" s="12"/>
      <c r="F35" s="84"/>
      <c r="G35" s="16"/>
      <c r="H35" s="16"/>
      <c r="I35" s="16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3">
      <c r="B36" s="84" t="s">
        <v>768</v>
      </c>
      <c r="C36" s="12"/>
      <c r="D36" s="84"/>
      <c r="E36" s="12"/>
      <c r="F36" s="84"/>
      <c r="G36" s="16"/>
      <c r="H36" s="16"/>
      <c r="I36" s="16"/>
      <c r="J36" s="11"/>
      <c r="K36" s="11"/>
      <c r="L36" s="11"/>
      <c r="M36" s="11"/>
      <c r="N36" s="11"/>
      <c r="O36" s="11"/>
      <c r="P36" s="11"/>
      <c r="Q36" s="11"/>
      <c r="R36" s="11"/>
    </row>
    <row r="38" spans="1:18" ht="13">
      <c r="A38" s="17" t="s">
        <v>35</v>
      </c>
    </row>
    <row r="39" spans="1:18" ht="13">
      <c r="C39" s="1" t="s">
        <v>757</v>
      </c>
      <c r="D39" s="1" t="s">
        <v>758</v>
      </c>
      <c r="E39" s="1" t="s">
        <v>759</v>
      </c>
      <c r="F39" s="1" t="s">
        <v>760</v>
      </c>
    </row>
    <row r="40" spans="1:18" ht="13">
      <c r="B40" s="2" t="s">
        <v>30</v>
      </c>
      <c r="C40" s="174">
        <f>E34/C34</f>
        <v>8.1635143899645629E-2</v>
      </c>
      <c r="D40" s="175">
        <f t="shared" ref="D40:F40" si="16">M34/G34</f>
        <v>1.0496442501392997</v>
      </c>
      <c r="E40" s="175">
        <f t="shared" si="16"/>
        <v>1.0031770822190369</v>
      </c>
      <c r="F40" s="176">
        <f t="shared" si="16"/>
        <v>1.0010908974235571</v>
      </c>
    </row>
    <row r="41" spans="1:18" ht="13">
      <c r="B41" s="2" t="s">
        <v>27</v>
      </c>
      <c r="C41" s="161">
        <f>E33/C33</f>
        <v>8.5123847501932803E-2</v>
      </c>
      <c r="D41" s="16">
        <f t="shared" ref="D41:F41" si="17">M33/G33</f>
        <v>1.0441938691319894</v>
      </c>
      <c r="E41" s="16">
        <f t="shared" si="17"/>
        <v>1.0027830780421467</v>
      </c>
      <c r="F41" s="177">
        <f t="shared" si="17"/>
        <v>0.99492695659495634</v>
      </c>
    </row>
    <row r="42" spans="1:18" ht="13">
      <c r="A42" s="6"/>
      <c r="B42" s="7" t="s">
        <v>31</v>
      </c>
      <c r="C42" s="153">
        <f t="shared" ref="C42:F42" si="18">C40/C41</f>
        <v>0.9590161428945283</v>
      </c>
      <c r="D42" s="91">
        <f t="shared" si="18"/>
        <v>1.005219702172587</v>
      </c>
      <c r="E42" s="91">
        <f t="shared" si="18"/>
        <v>1.0003929106758158</v>
      </c>
      <c r="F42" s="165">
        <f t="shared" si="18"/>
        <v>1.0061953702105892</v>
      </c>
    </row>
    <row r="43" spans="1:18" ht="14">
      <c r="A43" s="7"/>
      <c r="B43" s="12"/>
      <c r="C43" s="11"/>
      <c r="D43" s="61"/>
      <c r="E43" s="61"/>
      <c r="F43" s="8"/>
    </row>
    <row r="44" spans="1:18" ht="13">
      <c r="A44" s="9" t="s">
        <v>551</v>
      </c>
    </row>
    <row r="46" spans="1:18" ht="13">
      <c r="A46" s="7"/>
      <c r="B46" s="2" t="s">
        <v>42</v>
      </c>
      <c r="C46" s="18">
        <f>(F34/E34)^2+(D34/C34)^2</f>
        <v>3.1752511631603208E-6</v>
      </c>
      <c r="D46" s="18">
        <f t="shared" ref="D46:F46" si="19">(J34/G34)^2+(P34/M34)^2</f>
        <v>4.7181876208860782E-6</v>
      </c>
      <c r="E46" s="18">
        <f t="shared" si="19"/>
        <v>4.8804882735921542E-6</v>
      </c>
      <c r="F46" s="18">
        <f t="shared" si="19"/>
        <v>7.0408654253867172E-6</v>
      </c>
      <c r="G46" s="7" t="s">
        <v>43</v>
      </c>
    </row>
    <row r="47" spans="1:18" ht="13">
      <c r="A47" s="7"/>
      <c r="B47" s="2" t="s">
        <v>44</v>
      </c>
      <c r="C47" s="18">
        <f>(F33/E33)^2+(D33/C33)^2</f>
        <v>3.4901940557397039E-6</v>
      </c>
      <c r="D47" s="18">
        <f t="shared" ref="D47:F47" si="20">(J33/G33)^2+(P33/M33)^2</f>
        <v>1.5476065655641064E-6</v>
      </c>
      <c r="E47" s="18">
        <f t="shared" si="20"/>
        <v>6.7718548068699182E-6</v>
      </c>
      <c r="F47" s="18">
        <f t="shared" si="20"/>
        <v>8.4543552997164557E-6</v>
      </c>
    </row>
    <row r="48" spans="1:18" ht="13">
      <c r="B48" s="2" t="s">
        <v>45</v>
      </c>
      <c r="C48" s="34">
        <f t="shared" ref="C48:F48" si="21">C46+C47</f>
        <v>6.6654452189000243E-6</v>
      </c>
      <c r="D48" s="34">
        <f t="shared" si="21"/>
        <v>6.2657941864501845E-6</v>
      </c>
      <c r="E48" s="34">
        <f t="shared" si="21"/>
        <v>1.1652343080462073E-5</v>
      </c>
      <c r="F48" s="34">
        <f t="shared" si="21"/>
        <v>1.5495220725103173E-5</v>
      </c>
      <c r="G48" s="6"/>
      <c r="H48" s="8"/>
      <c r="I48" s="8"/>
      <c r="J48" s="8"/>
    </row>
    <row r="49" spans="1:10" ht="13">
      <c r="A49" s="7"/>
      <c r="B49" s="7"/>
      <c r="C49" s="16"/>
      <c r="D49" s="16"/>
      <c r="E49" s="16"/>
      <c r="F49" s="16"/>
      <c r="I49" s="8"/>
      <c r="J49" s="8"/>
    </row>
    <row r="50" spans="1:10" ht="13">
      <c r="A50" s="7"/>
      <c r="B50" s="7" t="s">
        <v>47</v>
      </c>
      <c r="C50" s="16">
        <f t="shared" ref="C50:F50" si="22">C42*LN(1-$C$63)</f>
        <v>-0.11283596302742104</v>
      </c>
      <c r="D50" s="16">
        <f t="shared" si="22"/>
        <v>-0.11827218341334593</v>
      </c>
      <c r="E50" s="16">
        <f t="shared" si="22"/>
        <v>-0.11770427256960672</v>
      </c>
      <c r="F50" s="16">
        <f t="shared" si="22"/>
        <v>-0.11838697860577176</v>
      </c>
      <c r="G50" s="7" t="s">
        <v>49</v>
      </c>
      <c r="I50" s="7" t="s">
        <v>564</v>
      </c>
      <c r="J50" s="8"/>
    </row>
    <row r="51" spans="1:10" ht="13">
      <c r="A51" s="7"/>
      <c r="B51" s="7" t="s">
        <v>50</v>
      </c>
      <c r="C51" s="16">
        <f t="shared" ref="C51:F51" si="23">1-$C$63*C42</f>
        <v>0.89354920813870731</v>
      </c>
      <c r="D51" s="16">
        <f t="shared" si="23"/>
        <v>0.88842061305884279</v>
      </c>
      <c r="E51" s="16">
        <f t="shared" si="23"/>
        <v>0.88895638691498446</v>
      </c>
      <c r="F51" s="16">
        <f t="shared" si="23"/>
        <v>0.88831231390662457</v>
      </c>
      <c r="G51" s="7" t="s">
        <v>51</v>
      </c>
      <c r="I51" s="8"/>
      <c r="J51" s="8"/>
    </row>
    <row r="52" spans="1:10" ht="13">
      <c r="A52" s="7"/>
      <c r="B52" s="7" t="s">
        <v>52</v>
      </c>
      <c r="C52" s="16">
        <f t="shared" ref="C52:F52" si="24">LN(C51)</f>
        <v>-0.11255387243668256</v>
      </c>
      <c r="D52" s="16">
        <f t="shared" si="24"/>
        <v>-0.11830998477849038</v>
      </c>
      <c r="E52" s="16">
        <f t="shared" si="24"/>
        <v>-0.11770710325996331</v>
      </c>
      <c r="F52" s="16">
        <f t="shared" si="24"/>
        <v>-0.11843189297381752</v>
      </c>
      <c r="G52" s="7" t="s">
        <v>53</v>
      </c>
      <c r="I52" s="8"/>
      <c r="J52" s="8"/>
    </row>
    <row r="53" spans="1:10" ht="13">
      <c r="A53" s="7"/>
      <c r="B53" s="7" t="s">
        <v>54</v>
      </c>
      <c r="C53" s="16">
        <f t="shared" ref="C53:F53" si="25">C51*C52^2</f>
        <v>1.1319815735255359E-2</v>
      </c>
      <c r="D53" s="16">
        <f t="shared" si="25"/>
        <v>1.2435447645667222E-2</v>
      </c>
      <c r="E53" s="16">
        <f t="shared" si="25"/>
        <v>1.2316457100687652E-2</v>
      </c>
      <c r="F53" s="16">
        <f t="shared" si="25"/>
        <v>1.2459569136976413E-2</v>
      </c>
      <c r="G53" s="7" t="s">
        <v>55</v>
      </c>
      <c r="I53" s="8"/>
      <c r="J53" s="8"/>
    </row>
    <row r="54" spans="1:10" ht="13">
      <c r="A54" s="7"/>
      <c r="B54" s="7" t="s">
        <v>56</v>
      </c>
      <c r="C54" s="16">
        <f t="shared" ref="C54:F54" si="26">(1-$C$63)*C52</f>
        <v>-0.1000603925962108</v>
      </c>
      <c r="D54" s="16">
        <f t="shared" si="26"/>
        <v>-0.10517757646807795</v>
      </c>
      <c r="E54" s="16">
        <f t="shared" si="26"/>
        <v>-0.10464161479810738</v>
      </c>
      <c r="F54" s="16">
        <f t="shared" si="26"/>
        <v>-0.10528595285372377</v>
      </c>
      <c r="G54" s="7" t="s">
        <v>57</v>
      </c>
      <c r="I54" s="8"/>
      <c r="J54" s="8"/>
    </row>
    <row r="55" spans="1:10" ht="13">
      <c r="A55" s="7"/>
      <c r="B55" s="7" t="s">
        <v>58</v>
      </c>
      <c r="C55" s="34">
        <f t="shared" ref="C55:F55" si="27">$C$63^2 * LN(1-$C$63)^2 * C48</f>
        <v>1.1368897880397415E-9</v>
      </c>
      <c r="D55" s="34">
        <f t="shared" si="27"/>
        <v>1.0687234221556717E-9</v>
      </c>
      <c r="E55" s="34">
        <f t="shared" si="27"/>
        <v>1.9874786184348919E-9</v>
      </c>
      <c r="F55" s="34">
        <f t="shared" si="27"/>
        <v>2.6429379624694782E-9</v>
      </c>
      <c r="G55" s="7" t="s">
        <v>59</v>
      </c>
      <c r="I55" s="8"/>
      <c r="J55" s="8"/>
    </row>
    <row r="56" spans="1:10" ht="13">
      <c r="B56" s="7" t="s">
        <v>60</v>
      </c>
      <c r="C56" s="50">
        <f t="shared" ref="C56:F56" si="28">C51^2 * C52^4</f>
        <v>1.2813822828013481E-4</v>
      </c>
      <c r="D56" s="50">
        <f t="shared" si="28"/>
        <v>1.5464035814813043E-4</v>
      </c>
      <c r="E56" s="50">
        <f t="shared" si="28"/>
        <v>1.516951155130793E-4</v>
      </c>
      <c r="F56" s="50">
        <f t="shared" si="28"/>
        <v>1.5524086307909516E-4</v>
      </c>
      <c r="G56" s="7" t="s">
        <v>61</v>
      </c>
    </row>
    <row r="57" spans="1:10" ht="13">
      <c r="B57" s="2" t="s">
        <v>62</v>
      </c>
      <c r="C57" s="18">
        <f t="shared" ref="C57:F57" si="29">(C50/C53-1/C54)^2 * $C$64^2</f>
        <v>1.6849171087747331E-6</v>
      </c>
      <c r="D57" s="18">
        <f t="shared" si="29"/>
        <v>2.4974991253738345E-8</v>
      </c>
      <c r="E57" s="18">
        <f t="shared" si="29"/>
        <v>1.4282391583361858E-10</v>
      </c>
      <c r="F57" s="18">
        <f t="shared" si="29"/>
        <v>3.5119025827563938E-8</v>
      </c>
      <c r="G57" s="7" t="s">
        <v>63</v>
      </c>
    </row>
    <row r="58" spans="1:10" ht="13">
      <c r="A58" s="2"/>
      <c r="B58" s="2" t="s">
        <v>64</v>
      </c>
      <c r="C58" s="18">
        <f t="shared" ref="C58:F58" si="30">C55/C56</f>
        <v>8.8723701216960928E-6</v>
      </c>
      <c r="D58" s="18">
        <f t="shared" si="30"/>
        <v>6.911025265034232E-6</v>
      </c>
      <c r="E58" s="18">
        <f t="shared" si="30"/>
        <v>1.310179705992926E-5</v>
      </c>
      <c r="F58" s="18">
        <f t="shared" si="30"/>
        <v>1.7024756948967118E-5</v>
      </c>
      <c r="G58" s="2" t="s">
        <v>65</v>
      </c>
      <c r="H58" s="2"/>
    </row>
    <row r="59" spans="1:10" ht="13">
      <c r="A59" s="2"/>
      <c r="G59" s="2"/>
      <c r="H59" s="2"/>
    </row>
    <row r="60" spans="1:10" ht="13">
      <c r="A60" s="17" t="s">
        <v>572</v>
      </c>
      <c r="B60" s="7" t="s">
        <v>0</v>
      </c>
      <c r="C60" s="178">
        <f t="shared" ref="C60:F60" si="31">LN(1-$C$63)/LN(1-$C$63*C42)</f>
        <v>1.0453486932172968</v>
      </c>
      <c r="D60" s="179">
        <f t="shared" si="31"/>
        <v>0.99448954953820223</v>
      </c>
      <c r="E60" s="179">
        <f t="shared" si="31"/>
        <v>0.99958320449342386</v>
      </c>
      <c r="F60" s="180">
        <f t="shared" si="31"/>
        <v>0.99346586898044309</v>
      </c>
      <c r="G60" s="2" t="s">
        <v>39</v>
      </c>
      <c r="H60" s="2"/>
    </row>
    <row r="61" spans="1:10" ht="13">
      <c r="A61" s="7"/>
      <c r="B61" s="2" t="s">
        <v>577</v>
      </c>
      <c r="C61" s="11">
        <f t="shared" ref="C61:F61" si="32">SQRT(C57+C58)</f>
        <v>3.249197936486915E-3</v>
      </c>
      <c r="D61" s="11">
        <f t="shared" si="32"/>
        <v>2.6336287240778587E-3</v>
      </c>
      <c r="E61" s="11">
        <f t="shared" si="32"/>
        <v>3.6196601890018756E-3</v>
      </c>
      <c r="F61" s="11">
        <f t="shared" si="32"/>
        <v>4.1303602717916365E-3</v>
      </c>
      <c r="G61" s="2" t="s">
        <v>40</v>
      </c>
      <c r="H61" s="2"/>
    </row>
    <row r="62" spans="1:10" ht="13">
      <c r="A62" s="2"/>
      <c r="B62" s="11"/>
      <c r="C62" s="11"/>
      <c r="D62" s="11"/>
      <c r="E62" s="2"/>
      <c r="F62" s="5"/>
      <c r="G62" s="2"/>
      <c r="H62" s="8"/>
      <c r="I62" s="8"/>
    </row>
    <row r="63" spans="1:10" ht="13">
      <c r="B63" s="2" t="s">
        <v>770</v>
      </c>
      <c r="C63" s="182">
        <f>AVERAGE(B13,B15)</f>
        <v>0.111</v>
      </c>
      <c r="G63" s="2"/>
      <c r="H63" s="8"/>
      <c r="I63" s="8"/>
    </row>
    <row r="64" spans="1:10" ht="13">
      <c r="A64" s="2"/>
      <c r="B64" s="2" t="s">
        <v>578</v>
      </c>
      <c r="C64" s="2">
        <v>0.05</v>
      </c>
      <c r="G64" s="8"/>
      <c r="H64" s="8"/>
      <c r="I64" s="7"/>
    </row>
    <row r="68" spans="1:12" ht="13">
      <c r="J68" s="2"/>
    </row>
    <row r="69" spans="1:12" ht="13">
      <c r="A69" s="6"/>
      <c r="B69" s="7"/>
      <c r="C69" s="6"/>
      <c r="D69" s="6"/>
      <c r="G69" s="8"/>
      <c r="H69" s="6"/>
      <c r="I69" s="6"/>
      <c r="J69" s="6"/>
    </row>
    <row r="70" spans="1:12" ht="14">
      <c r="A70" s="6"/>
      <c r="B70" s="16"/>
      <c r="C70" s="16"/>
      <c r="D70" s="16"/>
      <c r="E70" s="32"/>
      <c r="G70" s="6"/>
      <c r="H70" s="16"/>
      <c r="I70" s="16"/>
      <c r="J70" s="16"/>
      <c r="K70" s="32"/>
      <c r="L70" s="32"/>
    </row>
    <row r="71" spans="1:12" ht="14">
      <c r="A71" s="6"/>
      <c r="B71" s="16"/>
      <c r="C71" s="16"/>
      <c r="D71" s="16"/>
      <c r="E71" s="32"/>
      <c r="G71" s="6"/>
      <c r="H71" s="16"/>
      <c r="I71" s="16"/>
      <c r="J71" s="16"/>
      <c r="K71" s="32"/>
      <c r="L71" s="32"/>
    </row>
    <row r="72" spans="1:12" ht="13">
      <c r="A72" s="6"/>
      <c r="B72" s="16"/>
      <c r="C72" s="16"/>
      <c r="D72" s="16"/>
      <c r="G72" s="6"/>
      <c r="H72" s="16"/>
      <c r="I72" s="16"/>
      <c r="J72" s="16"/>
    </row>
    <row r="73" spans="1:12" ht="14">
      <c r="A73" s="6"/>
      <c r="B73" s="16"/>
      <c r="D73" s="16"/>
      <c r="E73" s="32"/>
      <c r="G73" s="6"/>
      <c r="H73" s="16"/>
      <c r="I73" s="16"/>
      <c r="J73" s="16"/>
      <c r="K73" s="32"/>
      <c r="L73" s="2"/>
    </row>
    <row r="74" spans="1:12" ht="14">
      <c r="A74" s="1"/>
      <c r="B74" s="11"/>
      <c r="D74" s="11"/>
      <c r="E74" s="32"/>
      <c r="G74" s="1"/>
      <c r="H74" s="11"/>
      <c r="I74" s="11"/>
      <c r="J74" s="11"/>
      <c r="K74" s="32"/>
      <c r="L74" s="27"/>
    </row>
    <row r="75" spans="1:12" ht="14">
      <c r="E75" s="32"/>
      <c r="K75" s="32"/>
      <c r="L75" s="2"/>
    </row>
    <row r="76" spans="1:12" ht="14">
      <c r="D76" s="8"/>
      <c r="E76" s="32"/>
      <c r="J76" s="8"/>
      <c r="K76" s="32"/>
      <c r="L76" s="2"/>
    </row>
    <row r="77" spans="1:12" ht="13">
      <c r="B77" s="6"/>
      <c r="C77" s="6"/>
      <c r="D77" s="6"/>
      <c r="H77" s="6"/>
      <c r="I77" s="6"/>
      <c r="J77" s="6"/>
    </row>
    <row r="78" spans="1:12" ht="13">
      <c r="A78" s="6"/>
      <c r="B78" s="34"/>
      <c r="C78" s="34"/>
      <c r="D78" s="34"/>
      <c r="G78" s="6"/>
      <c r="H78" s="34"/>
      <c r="I78" s="34"/>
      <c r="J78" s="34"/>
    </row>
    <row r="79" spans="1:12" ht="13">
      <c r="A79" s="6"/>
      <c r="B79" s="34"/>
      <c r="C79" s="34"/>
      <c r="D79" s="34"/>
      <c r="G79" s="6"/>
      <c r="H79" s="34"/>
      <c r="I79" s="34"/>
      <c r="J79" s="34"/>
    </row>
    <row r="80" spans="1:12" ht="13">
      <c r="G80" s="7"/>
    </row>
    <row r="81" spans="1:10" ht="13">
      <c r="A81" s="7"/>
      <c r="B81" s="8"/>
      <c r="C81" s="8"/>
      <c r="D81" s="8"/>
      <c r="E81" s="8"/>
      <c r="F81" s="8"/>
    </row>
    <row r="82" spans="1:10" ht="13">
      <c r="A82" s="7"/>
      <c r="B82" s="8"/>
      <c r="C82" s="8"/>
      <c r="D82" s="8"/>
      <c r="E82" s="8"/>
      <c r="F82" s="8"/>
      <c r="G82" s="8"/>
      <c r="H82" s="8"/>
      <c r="I82" s="8"/>
    </row>
    <row r="83" spans="1:10" ht="13">
      <c r="B83" s="1"/>
      <c r="D83" s="7"/>
      <c r="E83" s="7"/>
      <c r="F83" s="8"/>
      <c r="G83" s="8"/>
      <c r="H83" s="8"/>
      <c r="I83" s="8"/>
    </row>
    <row r="84" spans="1:10" ht="13">
      <c r="A84" s="7"/>
      <c r="B84" s="16"/>
      <c r="D84" s="1"/>
      <c r="E84" s="1"/>
      <c r="F84" s="6"/>
      <c r="G84" s="8"/>
      <c r="H84" s="8"/>
      <c r="I84" s="8"/>
    </row>
    <row r="85" spans="1:10" ht="13">
      <c r="A85" s="7"/>
      <c r="B85" s="16"/>
      <c r="D85" s="16"/>
      <c r="E85" s="16"/>
      <c r="F85" s="7"/>
      <c r="G85" s="8"/>
    </row>
    <row r="86" spans="1:10" ht="13">
      <c r="A86" s="7"/>
      <c r="B86" s="16"/>
      <c r="D86" s="16"/>
      <c r="E86" s="16"/>
      <c r="F86" s="7"/>
      <c r="G86" s="8"/>
    </row>
    <row r="87" spans="1:10" ht="13">
      <c r="A87" s="7"/>
      <c r="B87" s="16"/>
      <c r="D87" s="16"/>
      <c r="E87" s="16"/>
      <c r="F87" s="7"/>
      <c r="G87" s="8"/>
    </row>
    <row r="88" spans="1:10" ht="13">
      <c r="A88" s="7"/>
      <c r="B88" s="16"/>
      <c r="C88" s="16"/>
      <c r="D88" s="16"/>
      <c r="E88" s="16"/>
      <c r="F88" s="2"/>
      <c r="G88" s="8"/>
      <c r="H88" s="8"/>
      <c r="I88" s="8"/>
      <c r="J88" s="8"/>
    </row>
    <row r="89" spans="1:10" ht="13">
      <c r="A89" s="8"/>
      <c r="B89" s="8"/>
      <c r="C89" s="8"/>
      <c r="D89" s="8"/>
      <c r="E89" s="27"/>
      <c r="F89" s="2"/>
      <c r="I89" s="8"/>
      <c r="J89" s="8"/>
    </row>
    <row r="90" spans="1:10" ht="13">
      <c r="A90" s="7"/>
      <c r="B90" s="16"/>
      <c r="C90" s="16"/>
      <c r="D90" s="16"/>
      <c r="E90" s="16"/>
      <c r="F90" s="7"/>
      <c r="G90" s="8"/>
    </row>
    <row r="91" spans="1:10" ht="13">
      <c r="A91" s="7"/>
      <c r="B91" s="16"/>
      <c r="C91" s="16"/>
      <c r="D91" s="16"/>
      <c r="E91" s="16"/>
      <c r="F91" s="2"/>
      <c r="G91" s="8"/>
      <c r="H91" s="8"/>
      <c r="I91" s="8"/>
      <c r="J91" s="8"/>
    </row>
    <row r="93" spans="1:10" ht="13">
      <c r="A93" s="1"/>
    </row>
    <row r="95" spans="1:10" ht="13">
      <c r="A95" s="1"/>
      <c r="B95" s="2"/>
      <c r="C95" s="2"/>
      <c r="D95" s="2"/>
      <c r="G95" s="2"/>
      <c r="H95" s="2"/>
    </row>
    <row r="96" spans="1:10" ht="13">
      <c r="A96" s="2"/>
      <c r="B96" s="2"/>
      <c r="C96" s="2"/>
      <c r="D96" s="2"/>
      <c r="E96" s="6"/>
      <c r="F96" s="2"/>
      <c r="G96" s="2"/>
      <c r="H96" s="2"/>
    </row>
    <row r="97" spans="1:10" ht="13">
      <c r="E97" s="1"/>
      <c r="F97" s="2"/>
    </row>
    <row r="98" spans="1:10" ht="13">
      <c r="A98" s="6"/>
      <c r="B98" s="7"/>
      <c r="D98" s="8"/>
      <c r="E98" s="6"/>
      <c r="F98" s="7"/>
      <c r="G98" s="8"/>
      <c r="H98" s="8"/>
      <c r="I98" s="8"/>
    </row>
    <row r="99" spans="1:10" ht="13">
      <c r="A99" s="7"/>
      <c r="B99" s="8"/>
      <c r="C99" s="8"/>
      <c r="D99" s="8"/>
      <c r="E99" s="8"/>
      <c r="F99" s="8"/>
      <c r="G99" s="8"/>
      <c r="H99" s="8"/>
      <c r="I99" s="8"/>
    </row>
    <row r="100" spans="1:10" ht="13">
      <c r="A100" s="7"/>
      <c r="B100" s="8"/>
      <c r="C100" s="8"/>
      <c r="D100" s="7"/>
      <c r="E100" s="7"/>
      <c r="F100" s="8"/>
      <c r="G100" s="8"/>
      <c r="H100" s="8"/>
      <c r="I100" s="7"/>
      <c r="J100" s="2"/>
    </row>
    <row r="101" spans="1:10" ht="13">
      <c r="A101" s="6"/>
      <c r="B101" s="6"/>
      <c r="C101" s="6"/>
      <c r="D101" s="6"/>
      <c r="E101" s="6"/>
      <c r="G101" s="8"/>
      <c r="H101" s="6"/>
      <c r="I101" s="6"/>
      <c r="J101" s="6"/>
    </row>
    <row r="102" spans="1:10" ht="14">
      <c r="A102" s="7"/>
      <c r="B102" s="15"/>
      <c r="C102" s="15"/>
      <c r="D102" s="15"/>
      <c r="E102" s="15"/>
      <c r="G102" s="6"/>
      <c r="H102" s="16"/>
      <c r="I102" s="16"/>
      <c r="J102" s="16"/>
    </row>
    <row r="103" spans="1:10" ht="14">
      <c r="A103" s="7"/>
      <c r="B103" s="15"/>
      <c r="C103" s="15"/>
      <c r="D103" s="15"/>
      <c r="E103" s="15"/>
      <c r="G103" s="6"/>
      <c r="H103" s="16"/>
      <c r="I103" s="16"/>
      <c r="J103" s="16"/>
    </row>
    <row r="104" spans="1:10" ht="13">
      <c r="A104" s="8"/>
      <c r="B104" s="8"/>
      <c r="C104" s="8"/>
      <c r="D104" s="8"/>
      <c r="E104" s="8"/>
      <c r="G104" s="6"/>
      <c r="H104" s="16"/>
      <c r="I104" s="16"/>
      <c r="J104" s="16"/>
    </row>
    <row r="105" spans="1:10" ht="13">
      <c r="A105" s="7"/>
      <c r="B105" s="8"/>
      <c r="C105" s="8"/>
      <c r="D105" s="8"/>
      <c r="E105" s="8"/>
      <c r="G105" s="6"/>
      <c r="H105" s="16"/>
      <c r="I105" s="16"/>
      <c r="J105" s="16"/>
    </row>
    <row r="106" spans="1:10" ht="13">
      <c r="A106" s="6"/>
      <c r="B106" s="6"/>
      <c r="C106" s="6"/>
      <c r="D106" s="6"/>
      <c r="E106" s="6"/>
      <c r="G106" s="1"/>
      <c r="H106" s="11"/>
      <c r="I106" s="11"/>
      <c r="J106" s="11"/>
    </row>
    <row r="107" spans="1:10" ht="14">
      <c r="A107" s="7"/>
      <c r="B107" s="15"/>
      <c r="C107" s="15"/>
      <c r="D107" s="15"/>
      <c r="E107" s="15"/>
    </row>
    <row r="108" spans="1:10" ht="14">
      <c r="A108" s="7"/>
      <c r="B108" s="15"/>
      <c r="C108" s="15"/>
      <c r="D108" s="15"/>
      <c r="E108" s="15"/>
      <c r="J108" s="8"/>
    </row>
    <row r="109" spans="1:10" ht="13">
      <c r="A109" s="7"/>
      <c r="B109" s="11"/>
      <c r="C109" s="11"/>
      <c r="D109" s="11"/>
      <c r="E109" s="8"/>
      <c r="H109" s="6"/>
      <c r="I109" s="6"/>
      <c r="J109" s="6"/>
    </row>
    <row r="110" spans="1:10" ht="13">
      <c r="A110" s="7"/>
      <c r="B110" s="11"/>
      <c r="C110" s="11"/>
      <c r="D110" s="11"/>
      <c r="E110" s="11"/>
      <c r="G110" s="6"/>
      <c r="H110" s="34"/>
      <c r="I110" s="34"/>
      <c r="J110" s="34"/>
    </row>
    <row r="111" spans="1:10" ht="13">
      <c r="A111" s="7"/>
      <c r="B111" s="11"/>
      <c r="C111" s="11"/>
      <c r="D111" s="11"/>
      <c r="E111" s="11"/>
      <c r="G111" s="6"/>
      <c r="H111" s="34"/>
      <c r="I111" s="34"/>
      <c r="J111" s="34"/>
    </row>
    <row r="112" spans="1:10" ht="13">
      <c r="A112" s="7"/>
      <c r="B112" s="8"/>
      <c r="C112" s="8"/>
      <c r="D112" s="8"/>
      <c r="E112" s="8"/>
      <c r="G112" s="7"/>
    </row>
    <row r="113" spans="1:10" ht="13">
      <c r="A113" s="7"/>
      <c r="B113" s="8"/>
      <c r="C113" s="8"/>
      <c r="D113" s="8"/>
      <c r="E113" s="8"/>
      <c r="F113" s="8"/>
    </row>
    <row r="114" spans="1:10" ht="13">
      <c r="A114" s="7"/>
      <c r="B114" s="8"/>
      <c r="C114" s="8"/>
      <c r="D114" s="8"/>
      <c r="E114" s="8"/>
      <c r="F114" s="8"/>
      <c r="G114" s="8"/>
      <c r="H114" s="8"/>
      <c r="I114" s="8"/>
    </row>
    <row r="115" spans="1:10" ht="13">
      <c r="A115" s="7"/>
      <c r="B115" s="8"/>
      <c r="C115" s="8"/>
      <c r="D115" s="7"/>
      <c r="E115" s="7"/>
      <c r="F115" s="8"/>
      <c r="G115" s="8"/>
      <c r="H115" s="8"/>
      <c r="I115" s="8"/>
    </row>
    <row r="116" spans="1:10" ht="13">
      <c r="B116" s="1"/>
      <c r="C116" s="13"/>
      <c r="D116" s="1"/>
      <c r="E116" s="1"/>
      <c r="F116" s="6"/>
      <c r="G116" s="8"/>
      <c r="H116" s="8"/>
      <c r="I116" s="8"/>
    </row>
    <row r="117" spans="1:10" ht="13">
      <c r="A117" s="7"/>
      <c r="B117" s="16"/>
      <c r="C117" s="16"/>
      <c r="D117" s="16"/>
      <c r="E117" s="16"/>
      <c r="F117" s="7"/>
      <c r="G117" s="8"/>
    </row>
    <row r="118" spans="1:10" ht="13">
      <c r="A118" s="7"/>
      <c r="B118" s="16"/>
      <c r="C118" s="16"/>
      <c r="D118" s="16"/>
      <c r="E118" s="16"/>
      <c r="F118" s="7"/>
      <c r="G118" s="8"/>
    </row>
    <row r="119" spans="1:10" ht="13">
      <c r="A119" s="7"/>
      <c r="B119" s="16"/>
      <c r="C119" s="16"/>
      <c r="D119" s="16"/>
      <c r="E119" s="16"/>
      <c r="F119" s="7"/>
      <c r="G119" s="8"/>
    </row>
    <row r="120" spans="1:10" ht="13">
      <c r="A120" s="7"/>
      <c r="B120" s="16"/>
      <c r="C120" s="16"/>
      <c r="D120" s="16"/>
      <c r="E120" s="16"/>
      <c r="F120" s="2"/>
      <c r="G120" s="8"/>
      <c r="H120" s="8"/>
      <c r="I120" s="8"/>
      <c r="J120" s="8"/>
    </row>
    <row r="124" spans="1:10" ht="13">
      <c r="A124" s="1"/>
    </row>
    <row r="126" spans="1:10" ht="13">
      <c r="A126" s="1"/>
      <c r="B126" s="2"/>
      <c r="C126" s="2"/>
      <c r="D126" s="2"/>
      <c r="G126" s="2"/>
      <c r="H126" s="2"/>
    </row>
    <row r="127" spans="1:10" ht="13">
      <c r="A127" s="2"/>
      <c r="B127" s="2"/>
      <c r="C127" s="2"/>
      <c r="D127" s="2"/>
      <c r="E127" s="6"/>
      <c r="F127" s="2"/>
      <c r="G127" s="2"/>
      <c r="H127" s="2"/>
    </row>
    <row r="128" spans="1:10" ht="13">
      <c r="E128" s="1"/>
      <c r="F128" s="2"/>
    </row>
    <row r="129" spans="1:10" ht="13">
      <c r="A129" s="6"/>
      <c r="B129" s="7"/>
      <c r="D129" s="8"/>
      <c r="E129" s="6"/>
      <c r="F129" s="7"/>
      <c r="G129" s="8"/>
      <c r="H129" s="8"/>
      <c r="I129" s="8"/>
    </row>
    <row r="130" spans="1:10" ht="13">
      <c r="A130" s="7"/>
      <c r="B130" s="8"/>
      <c r="C130" s="8"/>
      <c r="D130" s="8"/>
      <c r="E130" s="8"/>
      <c r="F130" s="8"/>
      <c r="G130" s="8"/>
      <c r="H130" s="8"/>
      <c r="I130" s="8"/>
    </row>
    <row r="131" spans="1:10" ht="13">
      <c r="A131" s="7"/>
      <c r="B131" s="8"/>
      <c r="C131" s="8"/>
      <c r="D131" s="7"/>
      <c r="E131" s="7"/>
      <c r="F131" s="8"/>
      <c r="G131" s="8"/>
      <c r="H131" s="8"/>
      <c r="I131" s="7"/>
      <c r="J131" s="2"/>
    </row>
    <row r="132" spans="1:10" ht="13">
      <c r="A132" s="6"/>
      <c r="B132" s="6"/>
      <c r="C132" s="6"/>
      <c r="D132" s="6"/>
      <c r="E132" s="6"/>
      <c r="G132" s="8"/>
      <c r="H132" s="6"/>
      <c r="I132" s="6"/>
      <c r="J132" s="6"/>
    </row>
    <row r="133" spans="1:10" ht="14">
      <c r="A133" s="7"/>
      <c r="B133" s="15"/>
      <c r="C133" s="15"/>
      <c r="D133" s="15"/>
      <c r="E133" s="15"/>
      <c r="G133" s="6"/>
      <c r="H133" s="16"/>
      <c r="I133" s="16"/>
      <c r="J133" s="16"/>
    </row>
    <row r="134" spans="1:10" ht="14">
      <c r="A134" s="7"/>
      <c r="B134" s="15"/>
      <c r="C134" s="15"/>
      <c r="D134" s="15"/>
      <c r="E134" s="15"/>
      <c r="G134" s="6"/>
      <c r="H134" s="16"/>
      <c r="I134" s="16"/>
      <c r="J134" s="16"/>
    </row>
    <row r="135" spans="1:10" ht="13">
      <c r="A135" s="8"/>
      <c r="B135" s="8"/>
      <c r="C135" s="8"/>
      <c r="D135" s="8"/>
      <c r="E135" s="8"/>
      <c r="G135" s="6"/>
      <c r="H135" s="16"/>
      <c r="I135" s="16"/>
      <c r="J135" s="16"/>
    </row>
    <row r="136" spans="1:10" ht="13">
      <c r="A136" s="7"/>
      <c r="B136" s="8"/>
      <c r="C136" s="8"/>
      <c r="D136" s="8"/>
      <c r="E136" s="8"/>
      <c r="G136" s="6"/>
      <c r="H136" s="16"/>
      <c r="I136" s="16"/>
      <c r="J136" s="16"/>
    </row>
    <row r="137" spans="1:10" ht="13">
      <c r="A137" s="6"/>
      <c r="B137" s="6"/>
      <c r="C137" s="6"/>
      <c r="D137" s="6"/>
      <c r="E137" s="6"/>
      <c r="G137" s="1"/>
      <c r="H137" s="11"/>
      <c r="I137" s="11"/>
      <c r="J137" s="11"/>
    </row>
    <row r="138" spans="1:10" ht="14">
      <c r="A138" s="7"/>
      <c r="B138" s="15"/>
      <c r="C138" s="15"/>
      <c r="D138" s="15"/>
      <c r="E138" s="15"/>
    </row>
    <row r="139" spans="1:10" ht="14">
      <c r="A139" s="7"/>
      <c r="B139" s="15"/>
      <c r="C139" s="15"/>
      <c r="D139" s="15"/>
      <c r="E139" s="15"/>
      <c r="J139" s="8"/>
    </row>
    <row r="140" spans="1:10" ht="13">
      <c r="A140" s="7"/>
      <c r="B140" s="11"/>
      <c r="C140" s="11"/>
      <c r="D140" s="11"/>
      <c r="E140" s="8"/>
      <c r="H140" s="6"/>
      <c r="I140" s="6"/>
      <c r="J140" s="6"/>
    </row>
    <row r="141" spans="1:10" ht="13">
      <c r="A141" s="7"/>
      <c r="B141" s="11"/>
      <c r="C141" s="11"/>
      <c r="D141" s="11"/>
      <c r="E141" s="11"/>
      <c r="G141" s="6"/>
      <c r="H141" s="34"/>
      <c r="I141" s="34"/>
      <c r="J141" s="34"/>
    </row>
    <row r="142" spans="1:10" ht="13">
      <c r="A142" s="7"/>
      <c r="B142" s="11"/>
      <c r="C142" s="11"/>
      <c r="D142" s="11"/>
      <c r="E142" s="11"/>
      <c r="G142" s="6"/>
      <c r="H142" s="34"/>
      <c r="I142" s="34"/>
      <c r="J142" s="34"/>
    </row>
    <row r="143" spans="1:10" ht="13">
      <c r="A143" s="7"/>
      <c r="B143" s="8"/>
      <c r="C143" s="8"/>
      <c r="D143" s="8"/>
      <c r="E143" s="8"/>
      <c r="G143" s="7"/>
    </row>
    <row r="144" spans="1:10" ht="13">
      <c r="A144" s="7"/>
      <c r="B144" s="8"/>
      <c r="C144" s="8"/>
      <c r="D144" s="8"/>
      <c r="E144" s="8"/>
      <c r="F144" s="8"/>
    </row>
    <row r="145" spans="1:10" ht="13">
      <c r="A145" s="7"/>
      <c r="B145" s="8"/>
      <c r="C145" s="8"/>
      <c r="D145" s="8"/>
      <c r="E145" s="8"/>
      <c r="F145" s="8"/>
      <c r="G145" s="8"/>
      <c r="H145" s="8"/>
      <c r="I145" s="8"/>
    </row>
    <row r="146" spans="1:10" ht="13">
      <c r="A146" s="7"/>
      <c r="B146" s="8"/>
      <c r="C146" s="8"/>
      <c r="D146" s="7"/>
      <c r="E146" s="7"/>
      <c r="F146" s="8"/>
      <c r="G146" s="8"/>
      <c r="H146" s="8"/>
      <c r="I146" s="8"/>
    </row>
    <row r="147" spans="1:10" ht="13">
      <c r="B147" s="1"/>
      <c r="C147" s="13"/>
      <c r="D147" s="1"/>
      <c r="E147" s="1"/>
      <c r="F147" s="6"/>
      <c r="G147" s="8"/>
      <c r="H147" s="8"/>
      <c r="I147" s="8"/>
    </row>
    <row r="148" spans="1:10" ht="13">
      <c r="A148" s="7"/>
      <c r="B148" s="16"/>
      <c r="C148" s="16"/>
      <c r="D148" s="16"/>
      <c r="E148" s="16"/>
      <c r="F148" s="7"/>
      <c r="G148" s="8"/>
    </row>
    <row r="149" spans="1:10" ht="13">
      <c r="A149" s="7"/>
      <c r="B149" s="16"/>
      <c r="C149" s="16"/>
      <c r="D149" s="16"/>
      <c r="E149" s="16"/>
      <c r="F149" s="7"/>
      <c r="G149" s="8"/>
    </row>
    <row r="150" spans="1:10" ht="13">
      <c r="A150" s="7"/>
      <c r="B150" s="16"/>
      <c r="C150" s="16"/>
      <c r="D150" s="16"/>
      <c r="E150" s="16"/>
      <c r="F150" s="7"/>
      <c r="G150" s="8"/>
    </row>
    <row r="151" spans="1:10" ht="13">
      <c r="A151" s="7"/>
      <c r="B151" s="16"/>
      <c r="C151" s="16"/>
      <c r="D151" s="16"/>
      <c r="E151" s="16"/>
      <c r="F151" s="2"/>
      <c r="G151" s="8"/>
      <c r="H151" s="8"/>
      <c r="I151" s="8"/>
      <c r="J151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7"/>
  <sheetViews>
    <sheetView workbookViewId="0"/>
  </sheetViews>
  <sheetFormatPr baseColWidth="10" defaultColWidth="14.5" defaultRowHeight="15.75" customHeight="1"/>
  <cols>
    <col min="2" max="2" width="17.5" customWidth="1"/>
    <col min="3" max="4" width="16.5" customWidth="1"/>
    <col min="5" max="5" width="17.6640625" customWidth="1"/>
    <col min="6" max="6" width="14.6640625" customWidth="1"/>
    <col min="8" max="9" width="15.33203125" customWidth="1"/>
    <col min="10" max="10" width="15" customWidth="1"/>
  </cols>
  <sheetData>
    <row r="1" spans="1:22" ht="15.75" customHeight="1">
      <c r="A1" s="1" t="s">
        <v>3</v>
      </c>
      <c r="B1" s="2"/>
      <c r="C1" s="2"/>
      <c r="D1" s="2"/>
    </row>
    <row r="2" spans="1:22" ht="15.75" customHeight="1">
      <c r="A2" s="2" t="s">
        <v>152</v>
      </c>
      <c r="B2" s="2"/>
      <c r="C2" s="2"/>
      <c r="D2" s="2"/>
      <c r="G2" s="1" t="s">
        <v>9</v>
      </c>
      <c r="H2" s="2">
        <v>0.09</v>
      </c>
    </row>
    <row r="3" spans="1:22" ht="15.75" customHeight="1">
      <c r="A3" s="2"/>
      <c r="B3" s="2"/>
      <c r="C3" s="2"/>
      <c r="D3" s="2"/>
      <c r="L3" s="2"/>
    </row>
    <row r="4" spans="1:22" ht="15.75" customHeight="1">
      <c r="A4" s="2"/>
      <c r="B4" s="2" t="s">
        <v>153</v>
      </c>
      <c r="C4" s="2" t="s">
        <v>154</v>
      </c>
      <c r="D4" s="2" t="s">
        <v>155</v>
      </c>
      <c r="E4" s="2" t="s">
        <v>156</v>
      </c>
      <c r="F4" s="2" t="s">
        <v>154</v>
      </c>
      <c r="L4" s="2" t="s">
        <v>157</v>
      </c>
      <c r="Q4" s="2" t="s">
        <v>158</v>
      </c>
      <c r="R4" s="2" t="s">
        <v>159</v>
      </c>
      <c r="S4" s="2" t="s">
        <v>160</v>
      </c>
      <c r="T4" s="2" t="s">
        <v>161</v>
      </c>
    </row>
    <row r="5" spans="1:22" ht="15.75" customHeight="1">
      <c r="A5" s="13"/>
      <c r="B5" s="1" t="s">
        <v>162</v>
      </c>
      <c r="C5" s="1" t="s">
        <v>162</v>
      </c>
      <c r="D5" s="1" t="s">
        <v>14</v>
      </c>
      <c r="E5" s="1" t="s">
        <v>24</v>
      </c>
      <c r="F5" s="1" t="s">
        <v>24</v>
      </c>
      <c r="H5" s="1" t="s">
        <v>163</v>
      </c>
      <c r="I5" s="13"/>
      <c r="J5" s="13"/>
      <c r="L5" s="1" t="s">
        <v>24</v>
      </c>
      <c r="Q5" s="1" t="s">
        <v>164</v>
      </c>
    </row>
    <row r="6" spans="1:22" ht="15.75" customHeight="1">
      <c r="A6" s="1" t="s">
        <v>68</v>
      </c>
      <c r="B6" s="1" t="s">
        <v>69</v>
      </c>
      <c r="C6" s="1" t="s">
        <v>70</v>
      </c>
      <c r="D6" s="1" t="s">
        <v>71</v>
      </c>
      <c r="E6" s="1" t="s">
        <v>69</v>
      </c>
      <c r="F6" s="1" t="s">
        <v>70</v>
      </c>
      <c r="H6" s="1" t="s">
        <v>165</v>
      </c>
      <c r="I6" s="1" t="s">
        <v>166</v>
      </c>
      <c r="J6" s="1" t="s">
        <v>167</v>
      </c>
      <c r="L6" s="2" t="s">
        <v>168</v>
      </c>
      <c r="M6" s="2" t="s">
        <v>155</v>
      </c>
      <c r="N6" s="2" t="s">
        <v>153</v>
      </c>
      <c r="O6" s="2" t="s">
        <v>169</v>
      </c>
      <c r="P6" s="2"/>
      <c r="Q6" s="2" t="s">
        <v>168</v>
      </c>
      <c r="R6" s="2" t="s">
        <v>155</v>
      </c>
      <c r="S6" s="2" t="s">
        <v>153</v>
      </c>
      <c r="T6" s="2" t="s">
        <v>169</v>
      </c>
      <c r="V6" s="2"/>
    </row>
    <row r="7" spans="1:22" ht="15.75" customHeight="1">
      <c r="A7" s="2" t="s">
        <v>170</v>
      </c>
      <c r="B7" s="11">
        <v>12.8653</v>
      </c>
      <c r="C7" s="11">
        <v>6.0321999999999996</v>
      </c>
      <c r="D7" s="11">
        <v>45.463200000000001</v>
      </c>
      <c r="E7" s="11">
        <v>35.992800000000003</v>
      </c>
      <c r="F7" s="11">
        <v>42.326500000000003</v>
      </c>
      <c r="G7" s="11"/>
      <c r="H7" s="11">
        <f t="shared" ref="H7:H10" si="0">C7/B7</f>
        <v>0.46887363683707334</v>
      </c>
      <c r="I7" s="11">
        <f t="shared" ref="I7:I10" si="1">C7/D7</f>
        <v>0.1326831371306903</v>
      </c>
      <c r="J7" s="11">
        <f t="shared" ref="J7:J10" si="2">F7/N7</f>
        <v>0.43645285960585045</v>
      </c>
      <c r="K7" s="11"/>
      <c r="L7" s="29">
        <v>47.546999999999997</v>
      </c>
      <c r="M7" s="29">
        <v>47.829700000000003</v>
      </c>
      <c r="N7" s="29">
        <v>96.978399999999993</v>
      </c>
      <c r="O7" s="29">
        <v>98.540599999999998</v>
      </c>
      <c r="P7" s="11"/>
      <c r="Q7" s="11">
        <f t="shared" ref="Q7:T7" si="3">L7/$N7</f>
        <v>0.49028443447200615</v>
      </c>
      <c r="R7" s="11">
        <f t="shared" si="3"/>
        <v>0.49319951659338579</v>
      </c>
      <c r="S7" s="11">
        <f t="shared" si="3"/>
        <v>1</v>
      </c>
      <c r="T7" s="11">
        <f t="shared" si="3"/>
        <v>1.0161087417404289</v>
      </c>
      <c r="V7" s="11"/>
    </row>
    <row r="8" spans="1:22" ht="15.75" customHeight="1">
      <c r="A8" s="2" t="s">
        <v>174</v>
      </c>
      <c r="B8" s="11">
        <v>12.958600000000001</v>
      </c>
      <c r="C8" s="11">
        <v>6.1516000000000002</v>
      </c>
      <c r="D8" s="11">
        <v>46.585299999999997</v>
      </c>
      <c r="E8" s="11">
        <v>36.947400000000002</v>
      </c>
      <c r="F8" s="11">
        <v>43.665900000000001</v>
      </c>
      <c r="G8" s="11"/>
      <c r="H8" s="11">
        <f t="shared" si="0"/>
        <v>0.47471177442007623</v>
      </c>
      <c r="I8" s="11">
        <f t="shared" si="1"/>
        <v>0.13205023902389812</v>
      </c>
      <c r="J8" s="11">
        <f t="shared" si="2"/>
        <v>0.4391776840178423</v>
      </c>
      <c r="K8" s="11"/>
      <c r="L8" s="29">
        <v>48.444200000000002</v>
      </c>
      <c r="M8" s="29">
        <v>48.311100000000003</v>
      </c>
      <c r="N8" s="29">
        <v>99.426500000000004</v>
      </c>
      <c r="O8" s="29">
        <v>101.0087</v>
      </c>
      <c r="P8" s="11"/>
      <c r="Q8" s="11">
        <f t="shared" ref="Q8:T8" si="4">L8/$N8</f>
        <v>0.48723630018154113</v>
      </c>
      <c r="R8" s="11">
        <f t="shared" si="4"/>
        <v>0.48589762286714305</v>
      </c>
      <c r="S8" s="11">
        <f t="shared" si="4"/>
        <v>1</v>
      </c>
      <c r="T8" s="11">
        <f t="shared" si="4"/>
        <v>1.0159132625607861</v>
      </c>
    </row>
    <row r="9" spans="1:22" ht="15.75" customHeight="1">
      <c r="A9" s="2" t="s">
        <v>176</v>
      </c>
      <c r="B9" s="11">
        <v>12.8148</v>
      </c>
      <c r="C9" s="11">
        <v>5.7015000000000002</v>
      </c>
      <c r="D9" s="11">
        <v>45.647300000000001</v>
      </c>
      <c r="E9" s="11">
        <v>36.491100000000003</v>
      </c>
      <c r="F9" s="11">
        <v>40.509</v>
      </c>
      <c r="G9" s="11"/>
      <c r="H9" s="11">
        <f t="shared" si="0"/>
        <v>0.44491525423728817</v>
      </c>
      <c r="I9" s="11">
        <f t="shared" si="1"/>
        <v>0.12490333491794696</v>
      </c>
      <c r="J9" s="11">
        <f t="shared" si="2"/>
        <v>0.41378739730393133</v>
      </c>
      <c r="K9" s="11"/>
      <c r="L9" s="29">
        <v>47.358199999999997</v>
      </c>
      <c r="M9" s="29">
        <v>48.299900000000001</v>
      </c>
      <c r="N9" s="29">
        <v>97.898099999999999</v>
      </c>
      <c r="O9" s="29">
        <v>99.590999999999994</v>
      </c>
      <c r="P9" s="11"/>
      <c r="Q9" s="11">
        <f t="shared" ref="Q9:T9" si="5">L9/$N9</f>
        <v>0.48374993998862081</v>
      </c>
      <c r="R9" s="11">
        <f t="shared" si="5"/>
        <v>0.49336912565208113</v>
      </c>
      <c r="S9" s="11">
        <f t="shared" si="5"/>
        <v>1</v>
      </c>
      <c r="T9" s="11">
        <f t="shared" si="5"/>
        <v>1.0172924704360962</v>
      </c>
      <c r="V9" s="11"/>
    </row>
    <row r="10" spans="1:22" ht="15.75" customHeight="1">
      <c r="A10" s="2" t="s">
        <v>177</v>
      </c>
      <c r="B10" s="10">
        <v>12.0855</v>
      </c>
      <c r="C10" s="10">
        <v>5.3643000000000001</v>
      </c>
      <c r="D10" s="10">
        <v>42.742600000000003</v>
      </c>
      <c r="E10" s="10">
        <v>33.637700000000002</v>
      </c>
      <c r="F10" s="10">
        <v>37.807499999999997</v>
      </c>
      <c r="H10" s="11">
        <f t="shared" si="0"/>
        <v>0.44386247983120269</v>
      </c>
      <c r="I10" s="11">
        <f t="shared" si="1"/>
        <v>0.12550242615095947</v>
      </c>
      <c r="J10" s="11">
        <f t="shared" si="2"/>
        <v>0.41096716828049795</v>
      </c>
      <c r="L10" s="31">
        <v>44.734900000000003</v>
      </c>
      <c r="M10" s="31">
        <v>44.9343</v>
      </c>
      <c r="N10" s="31">
        <v>91.996399999999994</v>
      </c>
      <c r="O10" s="31">
        <v>93.425899999999999</v>
      </c>
      <c r="Q10" s="11">
        <f t="shared" ref="Q10:T10" si="6">L10/$N10</f>
        <v>0.48626794091942732</v>
      </c>
      <c r="R10" s="11">
        <f t="shared" si="6"/>
        <v>0.48843541703805804</v>
      </c>
      <c r="S10" s="11">
        <f t="shared" si="6"/>
        <v>1</v>
      </c>
      <c r="T10" s="11">
        <f t="shared" si="6"/>
        <v>1.0155386515124505</v>
      </c>
    </row>
    <row r="11" spans="1:22" ht="15.75" customHeight="1">
      <c r="G11" s="2"/>
      <c r="P11" s="2"/>
    </row>
    <row r="12" spans="1:22" ht="15.75" customHeight="1">
      <c r="G12" s="1" t="s">
        <v>179</v>
      </c>
      <c r="H12" s="11">
        <f t="shared" ref="H12:J12" si="7">AVERAGE(H9:H10)</f>
        <v>0.44438886703424541</v>
      </c>
      <c r="I12" s="11">
        <f t="shared" si="7"/>
        <v>0.12520288053445322</v>
      </c>
      <c r="J12" s="11">
        <f t="shared" si="7"/>
        <v>0.41237728279221464</v>
      </c>
      <c r="P12" s="1" t="s">
        <v>179</v>
      </c>
      <c r="Q12" s="11">
        <f t="shared" ref="Q12:T12" si="8">AVERAGE(Q7:T8)</f>
        <v>0.74857998480191135</v>
      </c>
      <c r="R12" s="11">
        <f t="shared" si="8"/>
        <v>0.83518652396029058</v>
      </c>
      <c r="S12" s="11">
        <f t="shared" si="8"/>
        <v>1.0080055010753037</v>
      </c>
      <c r="T12" s="11">
        <f t="shared" si="8"/>
        <v>1.0160110021506075</v>
      </c>
    </row>
    <row r="13" spans="1:22" ht="15.75" customHeight="1">
      <c r="G13" s="1" t="s">
        <v>181</v>
      </c>
      <c r="H13" s="11">
        <f t="shared" ref="H13:J13" si="9">AVERAGE(H7:H8)</f>
        <v>0.47179270562857478</v>
      </c>
      <c r="I13" s="11">
        <f t="shared" si="9"/>
        <v>0.13236668807729421</v>
      </c>
      <c r="J13" s="11">
        <f t="shared" si="9"/>
        <v>0.43781527181184637</v>
      </c>
      <c r="P13" s="1" t="s">
        <v>181</v>
      </c>
      <c r="Q13" s="11">
        <f t="shared" ref="Q13:T13" si="10">AVERAGE(Q9:T10)</f>
        <v>0.74808169319334172</v>
      </c>
      <c r="R13" s="11">
        <f t="shared" si="10"/>
        <v>0.83577261077311427</v>
      </c>
      <c r="S13" s="11">
        <f t="shared" si="10"/>
        <v>1.0082077804871368</v>
      </c>
      <c r="T13" s="11">
        <f t="shared" si="10"/>
        <v>1.0164155609742733</v>
      </c>
      <c r="V13" s="11"/>
    </row>
    <row r="14" spans="1:22" ht="15.75" customHeight="1">
      <c r="G14" s="1" t="s">
        <v>31</v>
      </c>
      <c r="H14" s="11">
        <f t="shared" ref="H14:J14" si="11">H12/H13</f>
        <v>0.94191551020735065</v>
      </c>
      <c r="I14" s="11">
        <f t="shared" si="11"/>
        <v>0.9458790754161821</v>
      </c>
      <c r="J14" s="11">
        <f t="shared" si="11"/>
        <v>0.94189789471171337</v>
      </c>
      <c r="P14" s="1" t="s">
        <v>31</v>
      </c>
      <c r="Q14" s="11">
        <f t="shared" ref="Q14:T14" si="12">Q12/Q13</f>
        <v>1.000666092504473</v>
      </c>
      <c r="R14" s="11">
        <f t="shared" si="12"/>
        <v>0.9992987484810234</v>
      </c>
      <c r="S14" s="11">
        <f t="shared" si="12"/>
        <v>0.99979936733702324</v>
      </c>
      <c r="T14" s="11">
        <f t="shared" si="12"/>
        <v>0.99960197498031411</v>
      </c>
    </row>
    <row r="15" spans="1:22" ht="15.75" customHeight="1">
      <c r="G15" s="1" t="s">
        <v>0</v>
      </c>
      <c r="H15" s="5">
        <f t="shared" ref="H15:J15" si="13">LN(1-$H$2)/LN(1-$H$2*H14)</f>
        <v>1.0646649468612295</v>
      </c>
      <c r="I15" s="5">
        <f t="shared" si="13"/>
        <v>1.060000050239928</v>
      </c>
      <c r="J15" s="5">
        <f t="shared" si="13"/>
        <v>1.0646857668945482</v>
      </c>
      <c r="P15" s="1" t="s">
        <v>0</v>
      </c>
      <c r="Q15" s="11">
        <f t="shared" ref="Q15:T15" si="14">LN(1-$H$2)/LN(1-$H$2*Q14)</f>
        <v>0.9993019511262321</v>
      </c>
      <c r="R15" s="11">
        <f t="shared" si="14"/>
        <v>1.0007358994496591</v>
      </c>
      <c r="S15" s="11">
        <f t="shared" si="14"/>
        <v>1.0002104403209831</v>
      </c>
      <c r="T15" s="11">
        <f t="shared" si="14"/>
        <v>1.0004175643141848</v>
      </c>
    </row>
    <row r="17" spans="1:20" ht="15.75" customHeight="1">
      <c r="A17" s="2" t="s">
        <v>182</v>
      </c>
    </row>
    <row r="18" spans="1:20" ht="15.75" customHeight="1">
      <c r="A18" s="2"/>
      <c r="B18" s="2" t="s">
        <v>153</v>
      </c>
      <c r="C18" s="2" t="s">
        <v>154</v>
      </c>
      <c r="D18" s="2" t="s">
        <v>155</v>
      </c>
      <c r="E18" s="2" t="s">
        <v>156</v>
      </c>
      <c r="F18" s="2" t="s">
        <v>154</v>
      </c>
      <c r="L18" s="2" t="s">
        <v>157</v>
      </c>
      <c r="Q18" s="2" t="s">
        <v>158</v>
      </c>
      <c r="R18" s="2" t="s">
        <v>159</v>
      </c>
      <c r="S18" s="2" t="s">
        <v>160</v>
      </c>
      <c r="T18" s="2" t="s">
        <v>161</v>
      </c>
    </row>
    <row r="19" spans="1:20" ht="15.75" customHeight="1">
      <c r="A19" s="13"/>
      <c r="B19" s="1" t="s">
        <v>162</v>
      </c>
      <c r="C19" s="1" t="s">
        <v>162</v>
      </c>
      <c r="D19" s="1" t="s">
        <v>14</v>
      </c>
      <c r="E19" s="1" t="s">
        <v>24</v>
      </c>
      <c r="F19" s="1" t="s">
        <v>24</v>
      </c>
      <c r="H19" s="1" t="s">
        <v>163</v>
      </c>
      <c r="I19" s="13"/>
      <c r="J19" s="13"/>
      <c r="L19" s="1" t="s">
        <v>24</v>
      </c>
      <c r="Q19" s="1" t="s">
        <v>164</v>
      </c>
    </row>
    <row r="20" spans="1:20" ht="15.75" customHeight="1">
      <c r="A20" s="1" t="s">
        <v>68</v>
      </c>
      <c r="B20" s="1" t="s">
        <v>69</v>
      </c>
      <c r="C20" s="1" t="s">
        <v>70</v>
      </c>
      <c r="D20" s="1" t="s">
        <v>71</v>
      </c>
      <c r="E20" s="1" t="s">
        <v>69</v>
      </c>
      <c r="F20" s="1" t="s">
        <v>70</v>
      </c>
      <c r="H20" s="1" t="s">
        <v>165</v>
      </c>
      <c r="I20" s="1" t="s">
        <v>166</v>
      </c>
      <c r="J20" s="1" t="s">
        <v>167</v>
      </c>
      <c r="L20" s="2" t="s">
        <v>168</v>
      </c>
      <c r="M20" s="2" t="s">
        <v>155</v>
      </c>
      <c r="N20" s="2" t="s">
        <v>153</v>
      </c>
      <c r="O20" s="2" t="s">
        <v>169</v>
      </c>
      <c r="P20" s="2"/>
      <c r="Q20" s="2" t="s">
        <v>168</v>
      </c>
      <c r="R20" s="2" t="s">
        <v>155</v>
      </c>
      <c r="S20" s="2" t="s">
        <v>153</v>
      </c>
      <c r="T20" s="2" t="s">
        <v>169</v>
      </c>
    </row>
    <row r="21" spans="1:20" ht="15.75" customHeight="1">
      <c r="A21" s="2" t="s">
        <v>170</v>
      </c>
      <c r="B21" s="22">
        <v>12.870799999999999</v>
      </c>
      <c r="C21" s="22">
        <v>6.0647000000000002</v>
      </c>
      <c r="D21" s="22">
        <v>45.252699999999997</v>
      </c>
      <c r="E21" s="22">
        <v>36.010800000000003</v>
      </c>
      <c r="F21" s="22">
        <v>42.326500000000003</v>
      </c>
      <c r="G21" s="11"/>
      <c r="H21" s="11">
        <f t="shared" ref="H21:H24" si="15">C21/B21</f>
        <v>0.47119837150759863</v>
      </c>
      <c r="I21" s="11">
        <f t="shared" ref="I21:I24" si="16">C21/D21</f>
        <v>0.13401852265168709</v>
      </c>
      <c r="J21" s="11">
        <f t="shared" ref="J21:J24" si="17">F21/E21</f>
        <v>1.1753834960622924</v>
      </c>
      <c r="K21" s="11"/>
      <c r="L21" s="29">
        <v>47.576300000000003</v>
      </c>
      <c r="M21" s="29">
        <v>47.813299999999998</v>
      </c>
      <c r="N21" s="29">
        <v>97.072500000000005</v>
      </c>
      <c r="O21" s="29">
        <v>98.589299999999994</v>
      </c>
      <c r="P21" s="11"/>
      <c r="Q21" s="11">
        <f t="shared" ref="Q21:T21" si="18">L21/$N21</f>
        <v>0.49011099951067499</v>
      </c>
      <c r="R21" s="11">
        <f t="shared" si="18"/>
        <v>0.49255247366658939</v>
      </c>
      <c r="S21" s="11">
        <f t="shared" si="18"/>
        <v>1</v>
      </c>
      <c r="T21" s="11">
        <f t="shared" si="18"/>
        <v>1.0156254345978519</v>
      </c>
    </row>
    <row r="22" spans="1:20" ht="15.75" customHeight="1">
      <c r="A22" s="2" t="s">
        <v>174</v>
      </c>
      <c r="B22" s="22">
        <v>12.829499999999999</v>
      </c>
      <c r="C22" s="22">
        <v>6.0580999999999996</v>
      </c>
      <c r="D22" s="22">
        <v>46.407899999999998</v>
      </c>
      <c r="E22" s="22">
        <v>36.960099999999997</v>
      </c>
      <c r="F22" s="22">
        <v>43.6462</v>
      </c>
      <c r="G22" s="11"/>
      <c r="H22" s="11">
        <f t="shared" si="15"/>
        <v>0.47220078724813902</v>
      </c>
      <c r="I22" s="11">
        <f t="shared" si="16"/>
        <v>0.13054027439293742</v>
      </c>
      <c r="J22" s="11">
        <f t="shared" si="17"/>
        <v>1.1809004845766111</v>
      </c>
      <c r="K22" s="11"/>
      <c r="L22" s="29">
        <v>48.444200000000002</v>
      </c>
      <c r="M22" s="29">
        <v>48.621299999999998</v>
      </c>
      <c r="N22" s="29">
        <v>99.412400000000005</v>
      </c>
      <c r="O22" s="29">
        <v>101.105</v>
      </c>
      <c r="P22" s="11"/>
      <c r="Q22" s="11">
        <f t="shared" ref="Q22:T22" si="19">L22/$N22</f>
        <v>0.48730540656899946</v>
      </c>
      <c r="R22" s="11">
        <f t="shared" si="19"/>
        <v>0.48908687447441157</v>
      </c>
      <c r="S22" s="11">
        <f t="shared" si="19"/>
        <v>1</v>
      </c>
      <c r="T22" s="11">
        <f t="shared" si="19"/>
        <v>1.017026045040659</v>
      </c>
    </row>
    <row r="23" spans="1:20" ht="15.75" customHeight="1">
      <c r="A23" s="2" t="s">
        <v>176</v>
      </c>
      <c r="B23" s="32">
        <v>12.843</v>
      </c>
      <c r="C23" s="32">
        <v>5.7549999999999999</v>
      </c>
      <c r="D23" s="22">
        <v>45.692700000000002</v>
      </c>
      <c r="E23" s="22">
        <v>36.453800000000001</v>
      </c>
      <c r="F23" s="22">
        <v>40.559100000000001</v>
      </c>
      <c r="G23" s="11"/>
      <c r="H23" s="11">
        <f t="shared" si="15"/>
        <v>0.44810402553920425</v>
      </c>
      <c r="I23" s="11">
        <f t="shared" si="16"/>
        <v>0.12595009706145621</v>
      </c>
      <c r="J23" s="11">
        <f t="shared" si="17"/>
        <v>1.1126165173452425</v>
      </c>
      <c r="K23" s="11"/>
      <c r="L23" s="29">
        <v>47.396599999999999</v>
      </c>
      <c r="M23" s="29">
        <v>48.227400000000003</v>
      </c>
      <c r="N23" s="29">
        <v>98.048000000000002</v>
      </c>
      <c r="O23" s="29">
        <v>99.590999999999994</v>
      </c>
      <c r="P23" s="11"/>
      <c r="Q23" s="11">
        <f t="shared" ref="Q23:T23" si="20">L23/$N23</f>
        <v>0.48340200718015663</v>
      </c>
      <c r="R23" s="11">
        <f t="shared" si="20"/>
        <v>0.49187540796344648</v>
      </c>
      <c r="S23" s="11">
        <f t="shared" si="20"/>
        <v>1</v>
      </c>
      <c r="T23" s="11">
        <f t="shared" si="20"/>
        <v>1.0157371899477805</v>
      </c>
    </row>
    <row r="24" spans="1:20" ht="15.75" customHeight="1">
      <c r="A24" s="2" t="s">
        <v>177</v>
      </c>
      <c r="B24" s="32">
        <v>12.112299999999999</v>
      </c>
      <c r="C24" s="32">
        <v>5.4126000000000003</v>
      </c>
      <c r="D24" s="32">
        <v>42.753700000000002</v>
      </c>
      <c r="E24" s="32">
        <v>33.637700000000002</v>
      </c>
      <c r="F24" s="32">
        <v>37.788600000000002</v>
      </c>
      <c r="G24" s="1"/>
      <c r="H24" s="11">
        <f t="shared" si="15"/>
        <v>0.44686805974092458</v>
      </c>
      <c r="I24" s="11">
        <f t="shared" si="16"/>
        <v>0.1265995691600961</v>
      </c>
      <c r="J24" s="11">
        <f t="shared" si="17"/>
        <v>1.1234002324772503</v>
      </c>
      <c r="L24" s="31">
        <v>44.892600000000002</v>
      </c>
      <c r="M24" s="31">
        <v>44.9343</v>
      </c>
      <c r="N24" s="31">
        <v>91.688299999999998</v>
      </c>
      <c r="O24" s="31">
        <v>93.393299999999996</v>
      </c>
      <c r="Q24" s="11">
        <f t="shared" ref="Q24:T24" si="21">L24/$N24</f>
        <v>0.48962190377616338</v>
      </c>
      <c r="R24" s="11">
        <f t="shared" si="21"/>
        <v>0.49007670553385768</v>
      </c>
      <c r="S24" s="11">
        <f t="shared" si="21"/>
        <v>1</v>
      </c>
      <c r="T24" s="11">
        <f t="shared" si="21"/>
        <v>1.0185956114357011</v>
      </c>
    </row>
    <row r="25" spans="1:20" ht="15.75" customHeight="1">
      <c r="G25" s="1"/>
      <c r="H25" s="5"/>
      <c r="I25" s="5"/>
      <c r="J25" s="5"/>
      <c r="P25" s="1" t="s">
        <v>179</v>
      </c>
      <c r="Q25">
        <f t="shared" ref="Q25:T25" si="22">AVERAGE(Q20:T22)</f>
        <v>0.74896340423239827</v>
      </c>
      <c r="R25">
        <f t="shared" si="22"/>
        <v>0.83571513796325192</v>
      </c>
      <c r="S25">
        <f t="shared" si="22"/>
        <v>1.0081628699096277</v>
      </c>
      <c r="T25">
        <f t="shared" si="22"/>
        <v>1.0163257398192553</v>
      </c>
    </row>
    <row r="26" spans="1:20" ht="15.75" customHeight="1">
      <c r="G26" s="1" t="s">
        <v>179</v>
      </c>
      <c r="H26" s="11">
        <f t="shared" ref="H26:J26" si="23">AVERAGE(H23:H24)</f>
        <v>0.44748604264006442</v>
      </c>
      <c r="I26" s="11">
        <f t="shared" si="23"/>
        <v>0.12627483311077614</v>
      </c>
      <c r="J26" s="11">
        <f t="shared" si="23"/>
        <v>1.1180083749112464</v>
      </c>
      <c r="P26" s="1" t="s">
        <v>181</v>
      </c>
      <c r="Q26" s="11">
        <f t="shared" ref="Q26:T26" si="24">AVERAGE(Q23:T24)</f>
        <v>0.74866360322963832</v>
      </c>
      <c r="R26" s="11">
        <f t="shared" si="24"/>
        <v>0.83604748581346433</v>
      </c>
      <c r="S26" s="11">
        <f t="shared" si="24"/>
        <v>1.0085832003458703</v>
      </c>
      <c r="T26" s="11">
        <f t="shared" si="24"/>
        <v>1.0171664006917407</v>
      </c>
    </row>
    <row r="27" spans="1:20" ht="15.75" customHeight="1">
      <c r="G27" s="1" t="s">
        <v>181</v>
      </c>
      <c r="H27" s="11">
        <f t="shared" ref="H27:J27" si="25">AVERAGE(H21:H22)</f>
        <v>0.47169957937786883</v>
      </c>
      <c r="I27" s="11">
        <f t="shared" si="25"/>
        <v>0.13227939852231224</v>
      </c>
      <c r="J27" s="11">
        <f t="shared" si="25"/>
        <v>1.1781419903194519</v>
      </c>
      <c r="P27" s="1" t="s">
        <v>31</v>
      </c>
      <c r="Q27" s="11">
        <f t="shared" ref="Q27:T27" si="26">Q25/Q26</f>
        <v>1.0004004482139464</v>
      </c>
      <c r="R27" s="11">
        <f t="shared" si="26"/>
        <v>0.99960247730439733</v>
      </c>
      <c r="S27" s="11">
        <f t="shared" si="26"/>
        <v>0.99958324664132958</v>
      </c>
      <c r="T27" s="11">
        <f t="shared" si="26"/>
        <v>0.99917352669935455</v>
      </c>
    </row>
    <row r="28" spans="1:20" ht="15.75" customHeight="1">
      <c r="G28" s="1" t="s">
        <v>31</v>
      </c>
      <c r="H28" s="11">
        <f t="shared" ref="H28:J28" si="27">H26/H27</f>
        <v>0.94866746167181237</v>
      </c>
      <c r="I28" s="11">
        <f t="shared" si="27"/>
        <v>0.9546069495430668</v>
      </c>
      <c r="J28" s="11">
        <f t="shared" si="27"/>
        <v>0.9489589405162443</v>
      </c>
      <c r="P28" s="1" t="s">
        <v>0</v>
      </c>
      <c r="Q28" s="11">
        <f t="shared" ref="Q28:T28" si="28">LN(1-$H$2)/LN(1-$H$2*Q27)</f>
        <v>0.99958022858445206</v>
      </c>
      <c r="R28" s="11">
        <f t="shared" si="28"/>
        <v>1.000417037121293</v>
      </c>
      <c r="S28" s="11">
        <f t="shared" si="28"/>
        <v>1.0004372202242242</v>
      </c>
      <c r="T28" s="11">
        <f t="shared" si="28"/>
        <v>1.0008674168889333</v>
      </c>
    </row>
    <row r="29" spans="1:20" ht="15.75" customHeight="1">
      <c r="G29" s="1" t="s">
        <v>0</v>
      </c>
      <c r="H29" s="33">
        <f t="shared" ref="H29:J29" si="29">LN(1-$H$2)/LN(1-$H$2*H28)</f>
        <v>1.0567416154704401</v>
      </c>
      <c r="I29" s="5">
        <f t="shared" si="29"/>
        <v>1.0498643007620745</v>
      </c>
      <c r="J29" s="33">
        <f t="shared" si="29"/>
        <v>1.0564021056725958</v>
      </c>
    </row>
    <row r="30" spans="1:20" ht="13">
      <c r="G30" s="1" t="s">
        <v>34</v>
      </c>
      <c r="H30" s="33">
        <f t="shared" ref="H30:I30" si="30">B52/SQRT(3)</f>
        <v>4.7451058620873636E-3</v>
      </c>
      <c r="I30" s="33">
        <f t="shared" si="30"/>
        <v>2.0110316452801565E-3</v>
      </c>
      <c r="J30" s="33">
        <f>D52/SQRT(6)</f>
        <v>5.1858882121572827E-3</v>
      </c>
    </row>
    <row r="32" spans="1:20" ht="13">
      <c r="A32" s="2" t="s">
        <v>183</v>
      </c>
    </row>
    <row r="33" spans="1:6" ht="13">
      <c r="A33" s="2"/>
      <c r="B33" s="2" t="s">
        <v>153</v>
      </c>
      <c r="C33" s="2" t="s">
        <v>154</v>
      </c>
      <c r="D33" s="2" t="s">
        <v>155</v>
      </c>
      <c r="E33" s="2" t="s">
        <v>156</v>
      </c>
      <c r="F33" s="2" t="s">
        <v>154</v>
      </c>
    </row>
    <row r="34" spans="1:6" ht="13">
      <c r="B34" s="1" t="s">
        <v>162</v>
      </c>
      <c r="C34" s="1" t="s">
        <v>162</v>
      </c>
      <c r="D34" s="1" t="s">
        <v>14</v>
      </c>
      <c r="E34" s="1" t="s">
        <v>24</v>
      </c>
      <c r="F34" s="1" t="s">
        <v>24</v>
      </c>
    </row>
    <row r="35" spans="1:6" ht="13">
      <c r="B35" s="1" t="s">
        <v>184</v>
      </c>
      <c r="C35" s="1" t="s">
        <v>184</v>
      </c>
      <c r="D35" s="1" t="s">
        <v>184</v>
      </c>
      <c r="E35" s="1" t="s">
        <v>184</v>
      </c>
      <c r="F35" s="1" t="s">
        <v>184</v>
      </c>
    </row>
    <row r="36" spans="1:6" ht="14">
      <c r="A36" s="2" t="s">
        <v>185</v>
      </c>
      <c r="B36" s="32">
        <v>0.10539999999999999</v>
      </c>
      <c r="C36" s="32">
        <v>3.04E-2</v>
      </c>
      <c r="D36" s="32">
        <v>2.1700000000000001E-2</v>
      </c>
      <c r="E36" s="32">
        <v>0.4516</v>
      </c>
      <c r="F36" s="32">
        <v>0.3271</v>
      </c>
    </row>
    <row r="37" spans="1:6" ht="14">
      <c r="A37" s="2" t="s">
        <v>186</v>
      </c>
      <c r="B37" s="32">
        <v>0.15210000000000001</v>
      </c>
      <c r="C37" s="32">
        <v>2.6200000000000001E-2</v>
      </c>
      <c r="D37" s="32">
        <v>2.2700000000000001E-2</v>
      </c>
      <c r="E37" s="32">
        <v>0.40510000000000002</v>
      </c>
      <c r="F37" s="32">
        <v>0.2429</v>
      </c>
    </row>
    <row r="38" spans="1:6" ht="14">
      <c r="A38" s="2" t="s">
        <v>187</v>
      </c>
      <c r="B38" s="32">
        <v>6.4199999999999993E-2</v>
      </c>
      <c r="C38" s="32">
        <v>1.14E-2</v>
      </c>
      <c r="D38" s="32">
        <v>2.9600000000000001E-2</v>
      </c>
      <c r="E38" s="32">
        <v>0.36799999999999999</v>
      </c>
      <c r="F38" s="32">
        <v>0.3362</v>
      </c>
    </row>
    <row r="39" spans="1:6" ht="14">
      <c r="A39" s="2" t="s">
        <v>188</v>
      </c>
      <c r="B39" s="32">
        <v>9.0899999999999995E-2</v>
      </c>
      <c r="C39" s="32">
        <v>2.0299999999999999E-2</v>
      </c>
      <c r="D39" s="32">
        <v>2.4199999999999999E-2</v>
      </c>
      <c r="E39" s="32">
        <v>0.43020000000000003</v>
      </c>
      <c r="F39" s="32">
        <v>0.27629999999999999</v>
      </c>
    </row>
    <row r="42" spans="1:6" ht="13">
      <c r="B42" s="2" t="s">
        <v>189</v>
      </c>
      <c r="C42" s="2" t="s">
        <v>190</v>
      </c>
      <c r="D42" s="2" t="s">
        <v>24</v>
      </c>
    </row>
    <row r="43" spans="1:6" ht="13">
      <c r="A43" s="2" t="s">
        <v>171</v>
      </c>
      <c r="B43" s="2" t="s">
        <v>172</v>
      </c>
      <c r="C43" s="2" t="s">
        <v>172</v>
      </c>
      <c r="D43" s="2" t="s">
        <v>172</v>
      </c>
    </row>
    <row r="44" spans="1:6" ht="13">
      <c r="A44" s="2" t="s">
        <v>185</v>
      </c>
      <c r="B44">
        <f t="shared" ref="B44:C44" si="31">SQRT((B36/B21)^2+(C36/C21)^2)</f>
        <v>9.6014226199530959E-3</v>
      </c>
      <c r="C44">
        <f t="shared" si="31"/>
        <v>5.0354987189775791E-3</v>
      </c>
      <c r="D44">
        <f t="shared" ref="D44:D47" si="32">SQRT((E36/E21)^2+(F36/F21)^2)</f>
        <v>1.4730614043197419E-2</v>
      </c>
    </row>
    <row r="45" spans="1:6" ht="13">
      <c r="A45" s="2" t="s">
        <v>186</v>
      </c>
      <c r="B45">
        <f t="shared" ref="B45:C45" si="33">SQRT((B37/B22)^2+(C37/C22)^2)</f>
        <v>1.2619683848231237E-2</v>
      </c>
      <c r="C45">
        <f t="shared" si="33"/>
        <v>4.3523617287569306E-3</v>
      </c>
      <c r="D45">
        <f t="shared" si="32"/>
        <v>1.2292410526746778E-2</v>
      </c>
    </row>
    <row r="46" spans="1:6" ht="13">
      <c r="A46" s="2" t="s">
        <v>187</v>
      </c>
      <c r="B46">
        <f t="shared" ref="B46:C46" si="34">SQRT((B38/B23)^2+(C38/C23)^2)</f>
        <v>5.377009571459577E-3</v>
      </c>
      <c r="C46">
        <f t="shared" si="34"/>
        <v>2.0841215289231071E-3</v>
      </c>
      <c r="D46">
        <f t="shared" si="32"/>
        <v>1.3062091250370438E-2</v>
      </c>
    </row>
    <row r="47" spans="1:6" ht="13">
      <c r="A47" s="2" t="s">
        <v>188</v>
      </c>
      <c r="B47">
        <f t="shared" ref="B47:C47" si="35">SQRT((B39/B24)^2+(C39/C24)^2)</f>
        <v>8.389746822922664E-3</v>
      </c>
      <c r="C47">
        <f t="shared" si="35"/>
        <v>3.7929808902865121E-3</v>
      </c>
      <c r="D47">
        <f t="shared" si="32"/>
        <v>1.4731787725369748E-2</v>
      </c>
    </row>
    <row r="49" spans="1:4" ht="13">
      <c r="A49" s="2" t="s">
        <v>175</v>
      </c>
      <c r="B49">
        <f t="shared" ref="B49:D49" si="36">SQRT((B44^2+B45^2)/2)</f>
        <v>1.1212576348820447E-2</v>
      </c>
      <c r="C49">
        <f t="shared" si="36"/>
        <v>4.7063414648096276E-3</v>
      </c>
      <c r="D49">
        <f t="shared" si="36"/>
        <v>1.3566398686602867E-2</v>
      </c>
    </row>
    <row r="50" spans="1:4" ht="13">
      <c r="A50" s="2" t="s">
        <v>172</v>
      </c>
      <c r="B50">
        <f t="shared" ref="B50:D50" si="37">SQRT((B46^2+B47^2)/2)</f>
        <v>7.0462785810777038E-3</v>
      </c>
      <c r="C50">
        <f t="shared" si="37"/>
        <v>3.060250527440478E-3</v>
      </c>
      <c r="D50">
        <f t="shared" si="37"/>
        <v>1.3921993345393444E-2</v>
      </c>
    </row>
    <row r="51" spans="1:4" ht="13">
      <c r="A51" s="2" t="s">
        <v>191</v>
      </c>
      <c r="B51">
        <f t="shared" ref="B51:D51" si="38">B57^2*(B49*B50)</f>
        <v>6.0488866325718588E-5</v>
      </c>
      <c r="C51">
        <f t="shared" si="38"/>
        <v>1.1007602223171867E-5</v>
      </c>
      <c r="D51">
        <f t="shared" si="38"/>
        <v>1.4459025898681886E-4</v>
      </c>
    </row>
    <row r="52" spans="1:4" ht="13">
      <c r="A52" s="2" t="s">
        <v>180</v>
      </c>
      <c r="B52">
        <f t="shared" ref="B52:D52" si="39">SQRT(B51)*H29</f>
        <v>8.218764440428232E-3</v>
      </c>
      <c r="C52">
        <f t="shared" si="39"/>
        <v>3.483208985254063E-3</v>
      </c>
      <c r="D52">
        <f t="shared" si="39"/>
        <v>1.2702779982899457E-2</v>
      </c>
    </row>
    <row r="53" spans="1:4" ht="13">
      <c r="B53" s="2" t="s">
        <v>189</v>
      </c>
      <c r="C53" s="2" t="s">
        <v>190</v>
      </c>
      <c r="D53" s="2" t="s">
        <v>24</v>
      </c>
    </row>
    <row r="54" spans="1:4" ht="13">
      <c r="A54" s="7" t="s">
        <v>149</v>
      </c>
      <c r="B54" s="16">
        <f t="shared" ref="B54:D54" si="40">$H$2/LN(1-$H$2)</f>
        <v>-0.95429277473760776</v>
      </c>
      <c r="C54" s="16">
        <f t="shared" si="40"/>
        <v>-0.95429277473760776</v>
      </c>
      <c r="D54" s="16">
        <f t="shared" si="40"/>
        <v>-0.95429277473760776</v>
      </c>
    </row>
    <row r="55" spans="1:4" ht="13">
      <c r="A55" s="7" t="s">
        <v>150</v>
      </c>
      <c r="B55" s="16">
        <f t="shared" ref="B55:D55" si="41">H28*H29</f>
        <v>1.0024963859913127</v>
      </c>
      <c r="C55" s="16">
        <f t="shared" si="41"/>
        <v>1.0022077575846486</v>
      </c>
      <c r="D55" s="16">
        <f t="shared" si="41"/>
        <v>1.002482222958196</v>
      </c>
    </row>
    <row r="56" spans="1:4" ht="13">
      <c r="A56" s="7" t="s">
        <v>151</v>
      </c>
      <c r="B56" s="16">
        <f t="shared" ref="B56:D56" si="42">1-$H$2*H28</f>
        <v>0.91461992844953688</v>
      </c>
      <c r="C56" s="16">
        <f t="shared" si="42"/>
        <v>0.91408537454112393</v>
      </c>
      <c r="D56" s="16">
        <f t="shared" si="42"/>
        <v>0.91459369535353807</v>
      </c>
    </row>
    <row r="57" spans="1:4" ht="13">
      <c r="A57" s="7" t="s">
        <v>54</v>
      </c>
      <c r="B57" s="16">
        <f t="shared" ref="B57:D57" si="43">B54*B55*B56</f>
        <v>-0.87499407296212028</v>
      </c>
      <c r="C57" s="16">
        <f t="shared" si="43"/>
        <v>-0.87423090654884161</v>
      </c>
      <c r="D57" s="16">
        <f t="shared" si="43"/>
        <v>-0.87495661505761446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48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8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 t="s">
        <v>269</v>
      </c>
      <c r="I1" s="1" t="s">
        <v>263</v>
      </c>
    </row>
    <row r="2" spans="1:18" ht="15.75" customHeight="1">
      <c r="A2" s="2" t="s">
        <v>719</v>
      </c>
      <c r="B2" s="2"/>
      <c r="C2" s="2"/>
      <c r="D2" s="2"/>
      <c r="E2" s="6" t="s">
        <v>5</v>
      </c>
      <c r="F2" s="77">
        <v>0.25</v>
      </c>
      <c r="G2" s="141">
        <v>1</v>
      </c>
      <c r="H2" s="141">
        <v>0</v>
      </c>
      <c r="I2" s="78">
        <v>0.25</v>
      </c>
    </row>
    <row r="3" spans="1:18" ht="15.75" customHeight="1">
      <c r="A3" s="2" t="s">
        <v>728</v>
      </c>
      <c r="E3" s="1" t="s">
        <v>530</v>
      </c>
      <c r="F3" s="67">
        <v>2</v>
      </c>
      <c r="G3" s="2">
        <v>2</v>
      </c>
      <c r="H3" s="2">
        <v>1</v>
      </c>
      <c r="I3" s="68">
        <v>1</v>
      </c>
    </row>
    <row r="4" spans="1:18" ht="15.75" customHeight="1">
      <c r="A4" s="2" t="s">
        <v>730</v>
      </c>
      <c r="B4" s="7"/>
      <c r="D4" s="8"/>
      <c r="E4" s="1" t="s">
        <v>142</v>
      </c>
      <c r="F4" s="67">
        <v>8</v>
      </c>
      <c r="G4" s="7">
        <v>16</v>
      </c>
      <c r="H4" s="7">
        <v>8</v>
      </c>
      <c r="I4" s="80">
        <v>16</v>
      </c>
    </row>
    <row r="5" spans="1:18" ht="15.75" customHeight="1">
      <c r="A5" s="19" t="s">
        <v>749</v>
      </c>
      <c r="D5" s="8"/>
      <c r="E5" s="6" t="s">
        <v>532</v>
      </c>
      <c r="F5" s="81">
        <v>4</v>
      </c>
      <c r="G5" s="142">
        <v>32</v>
      </c>
      <c r="H5" s="142">
        <v>4</v>
      </c>
      <c r="I5" s="82">
        <v>32</v>
      </c>
    </row>
    <row r="6" spans="1:18" ht="15.75" customHeight="1">
      <c r="A6" s="7" t="s">
        <v>750</v>
      </c>
      <c r="F6" s="2" t="s">
        <v>761</v>
      </c>
      <c r="G6" s="7"/>
      <c r="H6" s="8"/>
      <c r="I6" s="8"/>
      <c r="J6" s="7"/>
      <c r="M6" s="2"/>
    </row>
    <row r="7" spans="1:18" ht="15.75" customHeight="1">
      <c r="A7" s="7"/>
      <c r="G7" s="7"/>
      <c r="H7" s="8"/>
      <c r="I7" s="8"/>
      <c r="J7" s="7"/>
      <c r="M7" s="2"/>
    </row>
    <row r="8" spans="1:18" ht="15.75" customHeight="1">
      <c r="A8" s="17" t="s">
        <v>533</v>
      </c>
      <c r="H8" s="8"/>
      <c r="I8" s="8"/>
    </row>
    <row r="9" spans="1:18" ht="15.75" customHeight="1">
      <c r="A9" s="6"/>
      <c r="B9" s="6"/>
      <c r="C9" s="7"/>
      <c r="E9" s="7"/>
      <c r="F9" s="8"/>
      <c r="G9" s="7" t="s">
        <v>751</v>
      </c>
      <c r="H9" s="2"/>
      <c r="I9" s="2"/>
      <c r="J9" s="7" t="s">
        <v>752</v>
      </c>
      <c r="K9" s="2"/>
      <c r="L9" s="2"/>
      <c r="M9" s="2" t="s">
        <v>753</v>
      </c>
    </row>
    <row r="10" spans="1:18" ht="15.75" customHeight="1">
      <c r="A10" s="6"/>
      <c r="B10" s="6"/>
      <c r="C10" s="7" t="s">
        <v>754</v>
      </c>
      <c r="E10" s="7" t="s">
        <v>755</v>
      </c>
      <c r="F10" s="8"/>
      <c r="G10" s="2" t="s">
        <v>306</v>
      </c>
      <c r="H10" s="2" t="s">
        <v>756</v>
      </c>
      <c r="I10" s="2" t="s">
        <v>307</v>
      </c>
      <c r="J10" s="2" t="s">
        <v>306</v>
      </c>
      <c r="K10" s="2" t="s">
        <v>756</v>
      </c>
      <c r="L10" s="2" t="s">
        <v>307</v>
      </c>
      <c r="M10" s="2" t="s">
        <v>306</v>
      </c>
      <c r="N10" s="2" t="s">
        <v>756</v>
      </c>
      <c r="O10" s="2" t="s">
        <v>307</v>
      </c>
      <c r="P10" s="2" t="s">
        <v>306</v>
      </c>
      <c r="Q10" s="2" t="s">
        <v>756</v>
      </c>
      <c r="R10" s="2" t="s">
        <v>307</v>
      </c>
    </row>
    <row r="11" spans="1:18" ht="15.75" customHeight="1">
      <c r="A11" s="6" t="s">
        <v>68</v>
      </c>
      <c r="B11" s="6" t="s">
        <v>9</v>
      </c>
      <c r="C11" s="6" t="s">
        <v>757</v>
      </c>
      <c r="D11" s="1" t="s">
        <v>538</v>
      </c>
      <c r="E11" s="6" t="s">
        <v>757</v>
      </c>
      <c r="F11" s="1" t="s">
        <v>538</v>
      </c>
      <c r="G11" s="1" t="s">
        <v>758</v>
      </c>
      <c r="H11" s="1" t="s">
        <v>759</v>
      </c>
      <c r="I11" s="6" t="s">
        <v>760</v>
      </c>
      <c r="J11" s="1" t="s">
        <v>758</v>
      </c>
      <c r="K11" s="1" t="s">
        <v>759</v>
      </c>
      <c r="L11" s="6" t="s">
        <v>760</v>
      </c>
      <c r="M11" s="1" t="s">
        <v>758</v>
      </c>
      <c r="N11" s="1" t="s">
        <v>759</v>
      </c>
      <c r="O11" s="6" t="s">
        <v>760</v>
      </c>
      <c r="P11" s="1" t="s">
        <v>758</v>
      </c>
      <c r="Q11" s="1" t="s">
        <v>759</v>
      </c>
      <c r="R11" s="6" t="s">
        <v>760</v>
      </c>
    </row>
    <row r="12" spans="1:18" ht="15.75" customHeight="1">
      <c r="A12" s="7" t="s">
        <v>657</v>
      </c>
      <c r="B12" s="84">
        <v>1</v>
      </c>
      <c r="C12" s="85">
        <v>35.824100000000001</v>
      </c>
      <c r="D12" s="86">
        <v>5.3E-3</v>
      </c>
      <c r="E12" s="87">
        <v>3.0402999999999998</v>
      </c>
      <c r="F12" s="88">
        <v>1.8100000000000002E-2</v>
      </c>
      <c r="G12" s="143">
        <v>9.5379000000000005</v>
      </c>
      <c r="H12" s="86">
        <v>9.5668000000000006</v>
      </c>
      <c r="I12" s="88">
        <v>9.6236999999999995</v>
      </c>
      <c r="J12" s="85">
        <v>1.6000000000000001E-3</v>
      </c>
      <c r="K12" s="87">
        <v>1.1999999999999999E-3</v>
      </c>
      <c r="L12" s="144">
        <v>1.9E-3</v>
      </c>
      <c r="M12" s="85">
        <v>9.9962</v>
      </c>
      <c r="N12" s="87">
        <v>9.6309000000000005</v>
      </c>
      <c r="O12" s="144">
        <v>9.6193000000000008</v>
      </c>
      <c r="P12" s="85">
        <v>8.2900000000000001E-2</v>
      </c>
      <c r="Q12" s="87">
        <v>0.12889999999999999</v>
      </c>
      <c r="R12" s="144">
        <v>0.10050000000000001</v>
      </c>
    </row>
    <row r="13" spans="1:18" ht="15.75" customHeight="1">
      <c r="A13" s="7" t="s">
        <v>696</v>
      </c>
      <c r="B13" s="12">
        <v>0.85399999999999998</v>
      </c>
      <c r="C13" s="145">
        <v>33.648099999999999</v>
      </c>
      <c r="D13" s="84">
        <v>4.7999999999999996E-3</v>
      </c>
      <c r="E13" s="12">
        <v>3.0533999999999999</v>
      </c>
      <c r="F13" s="146">
        <v>4.7999999999999996E-3</v>
      </c>
      <c r="G13" s="147">
        <v>8.9742999999999995</v>
      </c>
      <c r="H13" s="84">
        <v>9.0145999999999997</v>
      </c>
      <c r="I13" s="146">
        <v>9.1630000000000003</v>
      </c>
      <c r="J13" s="145">
        <v>1E-3</v>
      </c>
      <c r="K13" s="12">
        <v>4.0000000000000002E-4</v>
      </c>
      <c r="L13" s="148">
        <v>1.2999999999999999E-3</v>
      </c>
      <c r="M13" s="145">
        <v>9.4666999999999994</v>
      </c>
      <c r="N13" s="12">
        <v>9.0561000000000007</v>
      </c>
      <c r="O13" s="148">
        <v>8.9764999999999997</v>
      </c>
      <c r="P13" s="145">
        <v>7.4899999999999994E-2</v>
      </c>
      <c r="Q13" s="12">
        <v>0.1188</v>
      </c>
      <c r="R13" s="148">
        <v>0.1159</v>
      </c>
    </row>
    <row r="14" spans="1:18" ht="15.75" customHeight="1">
      <c r="A14" s="7" t="s">
        <v>676</v>
      </c>
      <c r="B14" s="84">
        <v>1</v>
      </c>
      <c r="C14" s="145">
        <v>36.092500000000001</v>
      </c>
      <c r="D14" s="84">
        <v>5.1999999999999998E-3</v>
      </c>
      <c r="E14" s="12">
        <v>3.0697999999999999</v>
      </c>
      <c r="F14" s="146">
        <v>1.8499999999999999E-2</v>
      </c>
      <c r="G14" s="147">
        <v>9.6067</v>
      </c>
      <c r="H14" s="84">
        <v>9.6510999999999996</v>
      </c>
      <c r="I14" s="146">
        <v>9.7105999999999995</v>
      </c>
      <c r="J14" s="145">
        <v>7.4999999999999997E-3</v>
      </c>
      <c r="K14" s="12">
        <v>3.0999999999999999E-3</v>
      </c>
      <c r="L14" s="148">
        <v>5.1000000000000004E-3</v>
      </c>
      <c r="M14" s="149" t="s">
        <v>762</v>
      </c>
      <c r="N14" s="150"/>
      <c r="O14" s="151"/>
      <c r="P14" s="152"/>
      <c r="Q14" s="150"/>
      <c r="R14" s="151"/>
    </row>
    <row r="15" spans="1:18" ht="15.75" customHeight="1">
      <c r="A15" s="2" t="s">
        <v>729</v>
      </c>
      <c r="B15" s="84">
        <v>0.86399999999999999</v>
      </c>
      <c r="C15" s="89">
        <v>34.4255</v>
      </c>
      <c r="D15" s="91">
        <v>6.7999999999999996E-3</v>
      </c>
      <c r="E15" s="92">
        <v>3.1356999999999999</v>
      </c>
      <c r="F15" s="93">
        <v>2.18E-2</v>
      </c>
      <c r="G15" s="153">
        <v>9.1461000000000006</v>
      </c>
      <c r="H15" s="91">
        <v>9.2131000000000007</v>
      </c>
      <c r="I15" s="93">
        <v>9.3887999999999998</v>
      </c>
      <c r="J15" s="89">
        <v>7.6E-3</v>
      </c>
      <c r="K15" s="92">
        <v>3.8999999999999998E-3</v>
      </c>
      <c r="L15" s="154">
        <v>5.1000000000000004E-3</v>
      </c>
      <c r="M15" s="155"/>
      <c r="N15" s="156"/>
      <c r="O15" s="157"/>
      <c r="P15" s="155"/>
      <c r="Q15" s="156"/>
      <c r="R15" s="157"/>
    </row>
    <row r="16" spans="1:18" ht="15.75" customHeight="1">
      <c r="A16" s="7"/>
      <c r="B16" s="16"/>
      <c r="C16" s="16"/>
      <c r="D16" s="8"/>
      <c r="E16" s="8"/>
      <c r="F16" s="8"/>
      <c r="G16" s="8"/>
      <c r="H16" s="8"/>
      <c r="I16" s="8"/>
    </row>
    <row r="17" spans="1:18" ht="15.75" customHeight="1">
      <c r="A17" s="17" t="s">
        <v>763</v>
      </c>
      <c r="B17" s="16"/>
      <c r="C17" s="16"/>
      <c r="D17" s="8"/>
      <c r="E17" s="8"/>
      <c r="F17" s="8"/>
      <c r="G17" s="8"/>
      <c r="H17" s="8"/>
      <c r="I17" s="8"/>
    </row>
    <row r="18" spans="1:18" ht="15.75" customHeight="1">
      <c r="A18" s="6" t="s">
        <v>68</v>
      </c>
      <c r="B18" s="139" t="s">
        <v>764</v>
      </c>
      <c r="C18" s="1" t="s">
        <v>757</v>
      </c>
      <c r="D18" s="1" t="s">
        <v>758</v>
      </c>
      <c r="E18" s="1" t="s">
        <v>759</v>
      </c>
      <c r="F18" s="1" t="s">
        <v>760</v>
      </c>
      <c r="G18" s="8"/>
      <c r="H18" s="8"/>
      <c r="I18" s="8"/>
    </row>
    <row r="19" spans="1:18" ht="15.75" customHeight="1">
      <c r="A19" s="7" t="s">
        <v>47</v>
      </c>
      <c r="B19" s="84" t="s">
        <v>30</v>
      </c>
      <c r="C19" s="158">
        <f>E13/C13</f>
        <v>9.0745094076634336E-2</v>
      </c>
      <c r="D19" s="159">
        <f t="shared" ref="D19:F19" si="0">M13/G13</f>
        <v>1.0548677891311857</v>
      </c>
      <c r="E19" s="159">
        <f t="shared" si="0"/>
        <v>1.0046036429791672</v>
      </c>
      <c r="F19" s="160">
        <f t="shared" si="0"/>
        <v>0.97964640401615188</v>
      </c>
      <c r="G19" s="8"/>
      <c r="H19" s="8"/>
      <c r="I19" s="8"/>
    </row>
    <row r="20" spans="1:18" ht="15.75" customHeight="1">
      <c r="A20" s="7"/>
      <c r="B20" s="84" t="s">
        <v>27</v>
      </c>
      <c r="C20" s="161">
        <f>E12/C12</f>
        <v>8.4867449566074227E-2</v>
      </c>
      <c r="D20" s="49">
        <f t="shared" ref="D20:F20" si="1">M12/G12</f>
        <v>1.0480504094192642</v>
      </c>
      <c r="E20" s="49">
        <f t="shared" si="1"/>
        <v>1.0067002550487101</v>
      </c>
      <c r="F20" s="162">
        <f t="shared" si="1"/>
        <v>0.99954279539054636</v>
      </c>
      <c r="G20" s="8"/>
      <c r="H20" s="8"/>
      <c r="I20" s="8"/>
    </row>
    <row r="21" spans="1:18" ht="15.75" customHeight="1">
      <c r="A21" s="7"/>
      <c r="B21" s="84" t="s">
        <v>31</v>
      </c>
      <c r="C21" s="163">
        <f t="shared" ref="C21:F21" si="2">C19/C20</f>
        <v>1.0692567591062581</v>
      </c>
      <c r="D21" s="164">
        <f t="shared" si="2"/>
        <v>1.006504820427196</v>
      </c>
      <c r="E21" s="164">
        <f t="shared" si="2"/>
        <v>0.99791734226843776</v>
      </c>
      <c r="F21" s="165">
        <f t="shared" si="2"/>
        <v>0.98009450774279205</v>
      </c>
      <c r="G21" s="8"/>
      <c r="H21" s="8"/>
      <c r="I21" s="8"/>
    </row>
    <row r="22" spans="1:18" ht="15.75" customHeight="1">
      <c r="A22" s="7"/>
      <c r="B22" s="139" t="s">
        <v>0</v>
      </c>
      <c r="C22" s="137">
        <f t="shared" ref="C22:F22" si="3">LN(1-$B$13)/LN((1-$B$13)*C21)</f>
        <v>1.0360566094511792</v>
      </c>
      <c r="D22" s="137">
        <f t="shared" si="3"/>
        <v>1.0033810679731452</v>
      </c>
      <c r="E22" s="137">
        <f t="shared" si="3"/>
        <v>0.99891766522938408</v>
      </c>
      <c r="F22" s="137">
        <f t="shared" si="3"/>
        <v>0.98965862184217412</v>
      </c>
      <c r="G22" s="8"/>
      <c r="H22" s="8"/>
      <c r="I22" s="8"/>
    </row>
    <row r="23" spans="1:18" ht="15.75" customHeight="1">
      <c r="A23" s="7"/>
      <c r="B23" s="84"/>
      <c r="C23" s="16"/>
      <c r="D23" s="8"/>
      <c r="E23" s="8"/>
      <c r="F23" s="8"/>
      <c r="G23" s="8"/>
      <c r="H23" s="8"/>
      <c r="I23" s="8"/>
    </row>
    <row r="24" spans="1:18" ht="15.75" customHeight="1">
      <c r="A24" s="7" t="s">
        <v>54</v>
      </c>
      <c r="B24" s="84" t="s">
        <v>30</v>
      </c>
      <c r="C24" s="158">
        <f>E15/C15</f>
        <v>9.108654921497146E-2</v>
      </c>
      <c r="D24" s="167"/>
      <c r="E24" s="167"/>
      <c r="F24" s="168"/>
      <c r="G24" s="8"/>
      <c r="H24" s="8"/>
      <c r="I24" s="8"/>
    </row>
    <row r="25" spans="1:18" ht="15.75" customHeight="1">
      <c r="A25" s="7"/>
      <c r="B25" s="84" t="s">
        <v>27</v>
      </c>
      <c r="C25" s="161">
        <f>E14/C14</f>
        <v>8.5053681512779658E-2</v>
      </c>
      <c r="D25" s="169"/>
      <c r="E25" s="169"/>
      <c r="F25" s="170"/>
      <c r="G25" s="8"/>
      <c r="H25" s="8"/>
      <c r="I25" s="8"/>
    </row>
    <row r="26" spans="1:18" ht="15.75" customHeight="1">
      <c r="A26" s="7"/>
      <c r="B26" s="84" t="s">
        <v>31</v>
      </c>
      <c r="C26" s="163">
        <f>C24/C25</f>
        <v>1.0709301184250952</v>
      </c>
      <c r="D26" s="171"/>
      <c r="E26" s="171"/>
      <c r="F26" s="172"/>
      <c r="G26" s="8"/>
      <c r="H26" s="8"/>
      <c r="I26" s="8"/>
    </row>
    <row r="27" spans="1:18" ht="15.75" customHeight="1">
      <c r="A27" s="7"/>
      <c r="B27" s="1" t="s">
        <v>0</v>
      </c>
      <c r="C27" s="137">
        <f>LN(1-$B$15)/LN((1-$B$15)*C26)</f>
        <v>1.0355696595298636</v>
      </c>
      <c r="E27" s="7"/>
      <c r="F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32</v>
      </c>
      <c r="C29" s="84"/>
      <c r="E29" s="7"/>
      <c r="F29" s="8"/>
      <c r="G29" s="2" t="s">
        <v>765</v>
      </c>
    </row>
    <row r="30" spans="1:18" ht="13">
      <c r="B30" s="139"/>
      <c r="C30" s="7"/>
      <c r="E30" s="7"/>
      <c r="F30" s="8"/>
      <c r="G30" s="7" t="s">
        <v>751</v>
      </c>
      <c r="H30" s="2"/>
      <c r="I30" s="2"/>
      <c r="J30" s="7" t="s">
        <v>766</v>
      </c>
      <c r="K30" s="2"/>
      <c r="L30" s="2"/>
      <c r="M30" s="2" t="s">
        <v>767</v>
      </c>
    </row>
    <row r="31" spans="1:18" ht="13">
      <c r="C31" s="7" t="s">
        <v>754</v>
      </c>
      <c r="E31" s="7" t="s">
        <v>755</v>
      </c>
      <c r="F31" s="8"/>
      <c r="G31" s="2" t="s">
        <v>306</v>
      </c>
      <c r="H31" s="2" t="s">
        <v>756</v>
      </c>
      <c r="I31" s="2" t="s">
        <v>307</v>
      </c>
      <c r="J31" s="2" t="s">
        <v>306</v>
      </c>
      <c r="K31" s="2" t="s">
        <v>756</v>
      </c>
      <c r="L31" s="2" t="s">
        <v>307</v>
      </c>
      <c r="M31" s="2" t="s">
        <v>306</v>
      </c>
      <c r="N31" s="2" t="s">
        <v>756</v>
      </c>
      <c r="O31" s="2" t="s">
        <v>307</v>
      </c>
      <c r="P31" s="2" t="s">
        <v>306</v>
      </c>
      <c r="Q31" s="2" t="s">
        <v>756</v>
      </c>
      <c r="R31" s="2" t="s">
        <v>307</v>
      </c>
    </row>
    <row r="32" spans="1:18" ht="13">
      <c r="B32" s="6" t="s">
        <v>68</v>
      </c>
      <c r="C32" s="6" t="s">
        <v>757</v>
      </c>
      <c r="D32" s="1" t="s">
        <v>38</v>
      </c>
      <c r="E32" s="6" t="s">
        <v>757</v>
      </c>
      <c r="F32" s="1" t="s">
        <v>38</v>
      </c>
      <c r="G32" s="1" t="s">
        <v>758</v>
      </c>
      <c r="H32" s="1" t="s">
        <v>759</v>
      </c>
      <c r="I32" s="6" t="s">
        <v>760</v>
      </c>
      <c r="J32" s="1" t="s">
        <v>758</v>
      </c>
      <c r="K32" s="1" t="s">
        <v>759</v>
      </c>
      <c r="L32" s="6" t="s">
        <v>760</v>
      </c>
      <c r="M32" s="1" t="s">
        <v>758</v>
      </c>
      <c r="N32" s="1" t="s">
        <v>759</v>
      </c>
      <c r="O32" s="6" t="s">
        <v>760</v>
      </c>
      <c r="P32" s="1" t="s">
        <v>758</v>
      </c>
      <c r="Q32" s="1" t="s">
        <v>759</v>
      </c>
      <c r="R32" s="6" t="s">
        <v>760</v>
      </c>
    </row>
    <row r="33" spans="1:18" ht="13">
      <c r="B33" s="7" t="s">
        <v>195</v>
      </c>
      <c r="C33" s="85">
        <f t="shared" ref="C33:C34" si="4">AVERAGE(C12,C14)</f>
        <v>35.958300000000001</v>
      </c>
      <c r="D33" s="88">
        <f t="shared" ref="D33:D34" si="5">SQRT(AVERAGE(D12^2,D14^2)/$F$4)</f>
        <v>1.8562394780846569E-3</v>
      </c>
      <c r="E33" s="85">
        <f t="shared" ref="E33:E34" si="6">AVERAGE(E12,E14)</f>
        <v>3.0550499999999996</v>
      </c>
      <c r="F33" s="86">
        <f t="shared" ref="F33:F34" si="7">SQRT(AVERAGE(F12^2,F14^2)/$G$4)</f>
        <v>4.5752732158855823E-3</v>
      </c>
      <c r="G33" s="143">
        <f t="shared" ref="G33:I33" si="8">G12</f>
        <v>9.5379000000000005</v>
      </c>
      <c r="H33" s="86">
        <f t="shared" si="8"/>
        <v>9.5668000000000006</v>
      </c>
      <c r="I33" s="86">
        <f t="shared" si="8"/>
        <v>9.6236999999999995</v>
      </c>
      <c r="J33" s="143">
        <f t="shared" ref="J33:L33" si="9">J12/SQRT($H$4)</f>
        <v>5.6568542494923803E-4</v>
      </c>
      <c r="K33" s="86">
        <f t="shared" si="9"/>
        <v>4.2426406871192844E-4</v>
      </c>
      <c r="L33" s="88">
        <f t="shared" si="9"/>
        <v>6.7175144212722009E-4</v>
      </c>
      <c r="M33" s="143">
        <f t="shared" ref="M33:O33" si="10">M12</f>
        <v>9.9962</v>
      </c>
      <c r="N33" s="86">
        <f t="shared" si="10"/>
        <v>9.6309000000000005</v>
      </c>
      <c r="O33" s="88">
        <f t="shared" si="10"/>
        <v>9.6193000000000008</v>
      </c>
      <c r="P33" s="143">
        <f t="shared" ref="P33:R33" si="11">P12/SQRT($I$4)</f>
        <v>2.0725E-2</v>
      </c>
      <c r="Q33" s="86">
        <f t="shared" si="11"/>
        <v>3.2224999999999997E-2</v>
      </c>
      <c r="R33" s="88">
        <f t="shared" si="11"/>
        <v>2.5125000000000001E-2</v>
      </c>
    </row>
    <row r="34" spans="1:18" ht="13">
      <c r="B34" s="7" t="s">
        <v>196</v>
      </c>
      <c r="C34" s="89">
        <f t="shared" si="4"/>
        <v>34.036799999999999</v>
      </c>
      <c r="D34" s="93">
        <f t="shared" si="5"/>
        <v>2.0808652046684808E-3</v>
      </c>
      <c r="E34" s="92">
        <f t="shared" si="6"/>
        <v>3.0945499999999999</v>
      </c>
      <c r="F34" s="91">
        <f t="shared" si="7"/>
        <v>3.9460423211111154E-3</v>
      </c>
      <c r="G34" s="153">
        <f t="shared" ref="G34:I34" si="12">G13</f>
        <v>8.9742999999999995</v>
      </c>
      <c r="H34" s="91">
        <f t="shared" si="12"/>
        <v>9.0145999999999997</v>
      </c>
      <c r="I34" s="91">
        <f t="shared" si="12"/>
        <v>9.1630000000000003</v>
      </c>
      <c r="J34" s="153">
        <f t="shared" ref="J34:L34" si="13">J13/SQRT($H$4)</f>
        <v>3.5355339059327376E-4</v>
      </c>
      <c r="K34" s="91">
        <f t="shared" si="13"/>
        <v>1.4142135623730951E-4</v>
      </c>
      <c r="L34" s="93">
        <f t="shared" si="13"/>
        <v>4.5961940777125581E-4</v>
      </c>
      <c r="M34" s="153">
        <f t="shared" ref="M34:O34" si="14">M13</f>
        <v>9.4666999999999994</v>
      </c>
      <c r="N34" s="91">
        <f t="shared" si="14"/>
        <v>9.0561000000000007</v>
      </c>
      <c r="O34" s="93">
        <f t="shared" si="14"/>
        <v>8.9764999999999997</v>
      </c>
      <c r="P34" s="153">
        <f t="shared" ref="P34:R34" si="15">P13/SQRT($I$4)</f>
        <v>1.8724999999999999E-2</v>
      </c>
      <c r="Q34" s="91">
        <f t="shared" si="15"/>
        <v>2.9700000000000001E-2</v>
      </c>
      <c r="R34" s="93">
        <f t="shared" si="15"/>
        <v>2.8975000000000001E-2</v>
      </c>
    </row>
    <row r="35" spans="1:18" ht="13">
      <c r="C35" s="12"/>
      <c r="D35" s="84"/>
      <c r="E35" s="12"/>
      <c r="F35" s="84"/>
      <c r="G35" s="16"/>
      <c r="H35" s="16"/>
      <c r="I35" s="16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3">
      <c r="B36" s="84" t="s">
        <v>768</v>
      </c>
      <c r="C36" s="12"/>
      <c r="D36" s="84"/>
      <c r="E36" s="12"/>
      <c r="F36" s="84"/>
      <c r="G36" s="16"/>
      <c r="H36" s="16"/>
      <c r="I36" s="16"/>
      <c r="J36" s="11"/>
      <c r="K36" s="11"/>
      <c r="L36" s="11"/>
      <c r="M36" s="11"/>
      <c r="N36" s="11"/>
      <c r="O36" s="11"/>
      <c r="P36" s="11"/>
      <c r="Q36" s="11"/>
      <c r="R36" s="11"/>
    </row>
    <row r="38" spans="1:18" ht="13">
      <c r="A38" s="17" t="s">
        <v>35</v>
      </c>
    </row>
    <row r="39" spans="1:18" ht="13">
      <c r="C39" s="1" t="s">
        <v>757</v>
      </c>
      <c r="D39" s="1" t="s">
        <v>758</v>
      </c>
      <c r="E39" s="1" t="s">
        <v>759</v>
      </c>
      <c r="F39" s="1" t="s">
        <v>760</v>
      </c>
    </row>
    <row r="40" spans="1:18" ht="13">
      <c r="B40" s="2" t="s">
        <v>30</v>
      </c>
      <c r="C40" s="174">
        <f>E34/C34</f>
        <v>9.0917771353358712E-2</v>
      </c>
      <c r="D40" s="175">
        <f t="shared" ref="D40:F40" si="16">M34/G34</f>
        <v>1.0548677891311857</v>
      </c>
      <c r="E40" s="175">
        <f t="shared" si="16"/>
        <v>1.0046036429791672</v>
      </c>
      <c r="F40" s="176">
        <f t="shared" si="16"/>
        <v>0.97964640401615188</v>
      </c>
    </row>
    <row r="41" spans="1:18" ht="13">
      <c r="B41" s="2" t="s">
        <v>27</v>
      </c>
      <c r="C41" s="161">
        <f>E33/C33</f>
        <v>8.496091305762507E-2</v>
      </c>
      <c r="D41" s="16">
        <f t="shared" ref="D41:F41" si="17">M33/G33</f>
        <v>1.0480504094192642</v>
      </c>
      <c r="E41" s="16">
        <f t="shared" si="17"/>
        <v>1.0067002550487101</v>
      </c>
      <c r="F41" s="177">
        <f t="shared" si="17"/>
        <v>0.99954279539054636</v>
      </c>
    </row>
    <row r="42" spans="1:18" ht="13">
      <c r="A42" s="6"/>
      <c r="B42" s="7" t="s">
        <v>31</v>
      </c>
      <c r="C42" s="153">
        <f t="shared" ref="C42:F42" si="18">C40/C41</f>
        <v>1.0701129270078982</v>
      </c>
      <c r="D42" s="91">
        <f t="shared" si="18"/>
        <v>1.006504820427196</v>
      </c>
      <c r="E42" s="91">
        <f t="shared" si="18"/>
        <v>0.99791734226843776</v>
      </c>
      <c r="F42" s="165">
        <f t="shared" si="18"/>
        <v>0.98009450774279205</v>
      </c>
    </row>
    <row r="43" spans="1:18" ht="14">
      <c r="A43" s="7"/>
      <c r="B43" s="12"/>
      <c r="C43" s="11"/>
      <c r="D43" s="61"/>
      <c r="E43" s="61"/>
      <c r="F43" s="8"/>
    </row>
    <row r="44" spans="1:18" ht="13">
      <c r="A44" s="9" t="s">
        <v>551</v>
      </c>
    </row>
    <row r="46" spans="1:18" ht="13">
      <c r="A46" s="7"/>
      <c r="B46" s="2" t="s">
        <v>42</v>
      </c>
      <c r="C46" s="18">
        <f>(F34/E34)^2+(D34/C34)^2</f>
        <v>1.6297672617881343E-6</v>
      </c>
      <c r="D46" s="18">
        <f t="shared" ref="D46:F46" si="19">(J34/G34)^2+(P34/M34)^2</f>
        <v>3.9139806497469312E-6</v>
      </c>
      <c r="E46" s="18">
        <f t="shared" si="19"/>
        <v>1.0755743020804796E-5</v>
      </c>
      <c r="F46" s="18">
        <f t="shared" si="19"/>
        <v>1.0421678738944264E-5</v>
      </c>
      <c r="G46" s="7" t="s">
        <v>43</v>
      </c>
    </row>
    <row r="47" spans="1:18" ht="13">
      <c r="A47" s="7"/>
      <c r="B47" s="2" t="s">
        <v>44</v>
      </c>
      <c r="C47" s="18">
        <f>(F33/E33)^2+(D33/C33)^2</f>
        <v>2.2455003329041711E-6</v>
      </c>
      <c r="D47" s="18">
        <f t="shared" ref="D47:F47" si="20">(J33/G33)^2+(P33/M33)^2</f>
        <v>4.3020400901681276E-6</v>
      </c>
      <c r="E47" s="18">
        <f t="shared" si="20"/>
        <v>1.1197688680200891E-5</v>
      </c>
      <c r="F47" s="18">
        <f t="shared" si="20"/>
        <v>6.827084148702795E-6</v>
      </c>
    </row>
    <row r="48" spans="1:18" ht="13">
      <c r="B48" s="2" t="s">
        <v>560</v>
      </c>
      <c r="C48" s="16">
        <f t="shared" ref="C48:F48" si="21">SQRT(C46+C47)</f>
        <v>1.9685699364493771E-3</v>
      </c>
      <c r="D48" s="16">
        <f t="shared" si="21"/>
        <v>2.8663601901915709E-3</v>
      </c>
      <c r="E48" s="16">
        <f t="shared" si="21"/>
        <v>4.6854489327070557E-3</v>
      </c>
      <c r="F48" s="16">
        <f t="shared" si="21"/>
        <v>4.1531629979627647E-3</v>
      </c>
      <c r="G48" s="6"/>
      <c r="H48" s="8"/>
      <c r="I48" s="8"/>
      <c r="J48" s="8"/>
    </row>
    <row r="49" spans="1:10" ht="13">
      <c r="J49" s="8"/>
    </row>
    <row r="50" spans="1:10" ht="13">
      <c r="B50" s="2" t="s">
        <v>47</v>
      </c>
      <c r="C50" s="11">
        <f t="shared" ref="C50:F50" si="22">LN(1-$C$62)</f>
        <v>-1.9589953886039686</v>
      </c>
      <c r="D50" s="11">
        <f t="shared" si="22"/>
        <v>-1.9589953886039686</v>
      </c>
      <c r="E50" s="11">
        <f t="shared" si="22"/>
        <v>-1.9589953886039686</v>
      </c>
      <c r="F50" s="11">
        <f t="shared" si="22"/>
        <v>-1.9589953886039686</v>
      </c>
      <c r="G50" s="2" t="s">
        <v>741</v>
      </c>
      <c r="I50" s="2" t="s">
        <v>769</v>
      </c>
      <c r="J50" s="8"/>
    </row>
    <row r="51" spans="1:10" ht="13">
      <c r="B51" s="2" t="s">
        <v>742</v>
      </c>
      <c r="C51" s="11">
        <f t="shared" ref="C51:F51" si="23">LN((1-$C$62)*C42)</f>
        <v>-1.8912312064393118</v>
      </c>
      <c r="D51" s="11">
        <f t="shared" si="23"/>
        <v>-1.9525116332209611</v>
      </c>
      <c r="E51" s="11">
        <f t="shared" si="23"/>
        <v>-1.961080218083006</v>
      </c>
      <c r="F51" s="11">
        <f t="shared" si="23"/>
        <v>-1.9791016640989489</v>
      </c>
      <c r="G51" s="2" t="s">
        <v>743</v>
      </c>
      <c r="J51" s="8"/>
    </row>
    <row r="52" spans="1:10" ht="13">
      <c r="B52" s="2" t="s">
        <v>54</v>
      </c>
      <c r="C52" s="11">
        <f t="shared" ref="C52:F52" si="24">(1-$C$62)*C51^2</f>
        <v>0.50432252214559514</v>
      </c>
      <c r="D52" s="11">
        <f t="shared" si="24"/>
        <v>0.53753453657870909</v>
      </c>
      <c r="E52" s="11">
        <f t="shared" si="24"/>
        <v>0.54226282266766523</v>
      </c>
      <c r="F52" s="11">
        <f t="shared" si="24"/>
        <v>0.55227491895433134</v>
      </c>
      <c r="G52" s="2" t="s">
        <v>744</v>
      </c>
      <c r="J52" s="8"/>
    </row>
    <row r="53" spans="1:10" ht="13">
      <c r="A53" s="7"/>
      <c r="B53" s="2" t="s">
        <v>56</v>
      </c>
      <c r="C53" s="11">
        <f t="shared" ref="C53:F53" si="25">(1-$C$62)*C51</f>
        <v>-0.26666360010794299</v>
      </c>
      <c r="D53" s="11">
        <f t="shared" si="25"/>
        <v>-0.27530414028415556</v>
      </c>
      <c r="E53" s="11">
        <f t="shared" si="25"/>
        <v>-0.27651231074970389</v>
      </c>
      <c r="F53" s="11">
        <f t="shared" si="25"/>
        <v>-0.27905333463795184</v>
      </c>
      <c r="G53" s="2" t="s">
        <v>745</v>
      </c>
      <c r="J53" s="8"/>
    </row>
    <row r="54" spans="1:10" ht="13">
      <c r="B54" s="2" t="s">
        <v>58</v>
      </c>
      <c r="C54" s="18">
        <f t="shared" ref="C54:F54" si="26">(LN(1-$C$62))^2 * C48^2</f>
        <v>1.4871970801946614E-5</v>
      </c>
      <c r="D54" s="18">
        <f t="shared" si="26"/>
        <v>3.1530318246811626E-5</v>
      </c>
      <c r="E54" s="18">
        <f t="shared" si="26"/>
        <v>8.4249871081692128E-5</v>
      </c>
      <c r="F54" s="18">
        <f t="shared" si="26"/>
        <v>6.6194937966640037E-5</v>
      </c>
      <c r="G54" s="2" t="s">
        <v>746</v>
      </c>
    </row>
    <row r="55" spans="1:10" ht="13">
      <c r="A55" s="2"/>
      <c r="B55" s="2" t="s">
        <v>60</v>
      </c>
      <c r="C55" s="11">
        <f t="shared" ref="C55:F55" si="27">C42^2 * C51^4</f>
        <v>14.650003291965181</v>
      </c>
      <c r="D55" s="11">
        <f t="shared" si="27"/>
        <v>14.723336530423417</v>
      </c>
      <c r="E55" s="11">
        <f t="shared" si="27"/>
        <v>14.728908885731935</v>
      </c>
      <c r="F55" s="11">
        <f t="shared" si="27"/>
        <v>14.736974324948957</v>
      </c>
      <c r="G55" s="2" t="s">
        <v>747</v>
      </c>
    </row>
    <row r="56" spans="1:10" ht="13">
      <c r="A56" s="2"/>
      <c r="B56" s="2" t="s">
        <v>62</v>
      </c>
      <c r="C56" s="18">
        <f t="shared" ref="C56:F56" si="28">(C50/C52 - 1/C53)^2 * $C$63^2</f>
        <v>1.8054425590192592E-6</v>
      </c>
      <c r="D56" s="18">
        <f t="shared" si="28"/>
        <v>1.4549246345599133E-8</v>
      </c>
      <c r="E56" s="18">
        <f t="shared" si="28"/>
        <v>1.4781599043515889E-9</v>
      </c>
      <c r="F56" s="18">
        <f t="shared" si="28"/>
        <v>1.3254172443420227E-7</v>
      </c>
      <c r="G56" s="7" t="s">
        <v>63</v>
      </c>
    </row>
    <row r="57" spans="1:10" ht="13">
      <c r="A57" s="2"/>
      <c r="B57" s="2" t="s">
        <v>64</v>
      </c>
      <c r="C57" s="18">
        <f t="shared" ref="C57:F57" si="29">C54/C55</f>
        <v>1.0151513624644146E-6</v>
      </c>
      <c r="D57" s="18">
        <f t="shared" si="29"/>
        <v>2.1415199049250332E-6</v>
      </c>
      <c r="E57" s="18">
        <f t="shared" si="29"/>
        <v>5.7200347789038164E-6</v>
      </c>
      <c r="F57" s="18">
        <f t="shared" si="29"/>
        <v>4.4917590617346287E-6</v>
      </c>
      <c r="G57" s="2" t="s">
        <v>65</v>
      </c>
    </row>
    <row r="58" spans="1:10" ht="13">
      <c r="A58" s="2"/>
    </row>
    <row r="59" spans="1:10" ht="13">
      <c r="A59" s="17" t="s">
        <v>572</v>
      </c>
      <c r="B59" s="7" t="s">
        <v>0</v>
      </c>
      <c r="C59" s="178">
        <f t="shared" ref="C59:F59" si="30">LN(1-$C$62)/LN((1-$C$62)*C42)</f>
        <v>1.0358307233583772</v>
      </c>
      <c r="D59" s="179">
        <f t="shared" si="30"/>
        <v>1.0033207256093586</v>
      </c>
      <c r="E59" s="179">
        <f t="shared" si="30"/>
        <v>0.99893689739980374</v>
      </c>
      <c r="F59" s="180">
        <f t="shared" si="30"/>
        <v>0.98984070608412411</v>
      </c>
      <c r="G59" s="2" t="s">
        <v>739</v>
      </c>
      <c r="H59" s="2"/>
      <c r="J59" s="181"/>
    </row>
    <row r="60" spans="1:10" ht="13">
      <c r="A60" s="2"/>
      <c r="B60" s="2" t="s">
        <v>577</v>
      </c>
      <c r="C60" s="5">
        <f t="shared" ref="C60:F60" si="31">SQRT(C56+C57)</f>
        <v>1.679462390613042E-3</v>
      </c>
      <c r="D60" s="5">
        <f t="shared" si="31"/>
        <v>1.4683559348028096E-3</v>
      </c>
      <c r="E60" s="5">
        <f t="shared" si="31"/>
        <v>2.3919684234554955E-3</v>
      </c>
      <c r="F60" s="5">
        <f t="shared" si="31"/>
        <v>2.1504187467023326E-3</v>
      </c>
      <c r="G60" s="2" t="s">
        <v>40</v>
      </c>
    </row>
    <row r="62" spans="1:10" ht="13">
      <c r="A62" s="7"/>
      <c r="B62" s="2" t="s">
        <v>770</v>
      </c>
      <c r="C62" s="182">
        <f>AVERAGE(B13,B15)</f>
        <v>0.85899999999999999</v>
      </c>
      <c r="D62" s="11"/>
      <c r="E62" s="2"/>
      <c r="F62" s="5"/>
      <c r="G62" s="2"/>
      <c r="H62" s="8"/>
      <c r="I62" s="8"/>
    </row>
    <row r="63" spans="1:10" ht="13">
      <c r="A63" s="2"/>
      <c r="B63" s="2" t="s">
        <v>578</v>
      </c>
      <c r="C63" s="2">
        <v>0.01</v>
      </c>
      <c r="G63" s="2"/>
      <c r="H63" s="8"/>
      <c r="I63" s="8"/>
    </row>
    <row r="65" spans="1:12" ht="13">
      <c r="A65" s="2"/>
      <c r="G65" s="8"/>
      <c r="H65" s="8"/>
      <c r="I65" s="7"/>
      <c r="J65" s="2"/>
    </row>
    <row r="66" spans="1:12" ht="13">
      <c r="A66" s="6"/>
      <c r="B66" s="7"/>
      <c r="C66" s="6"/>
      <c r="D66" s="6"/>
      <c r="G66" s="8"/>
      <c r="H66" s="6"/>
      <c r="I66" s="6"/>
      <c r="J66" s="6"/>
    </row>
    <row r="67" spans="1:12" ht="14">
      <c r="A67" s="6"/>
      <c r="B67" s="84" t="s">
        <v>771</v>
      </c>
      <c r="C67" s="16"/>
      <c r="D67" s="16"/>
      <c r="E67" s="32"/>
      <c r="G67" s="6"/>
      <c r="H67" s="16"/>
      <c r="I67" s="16"/>
      <c r="J67" s="16"/>
      <c r="K67" s="32"/>
      <c r="L67" s="32"/>
    </row>
    <row r="68" spans="1:12" ht="14">
      <c r="A68" s="6"/>
      <c r="B68" s="2" t="s">
        <v>251</v>
      </c>
      <c r="C68" s="16">
        <f t="shared" ref="C68:F68" si="32">(C59-1)*$C$62</f>
        <v>3.0778591364846036E-2</v>
      </c>
      <c r="D68" s="16">
        <f t="shared" si="32"/>
        <v>2.8525032984390271E-3</v>
      </c>
      <c r="E68" s="16">
        <f t="shared" si="32"/>
        <v>-9.1320513356859081E-4</v>
      </c>
      <c r="F68" s="16">
        <f t="shared" si="32"/>
        <v>-8.7268334737373877E-3</v>
      </c>
      <c r="G68" s="7" t="s">
        <v>772</v>
      </c>
      <c r="H68" s="8"/>
      <c r="I68" s="8"/>
      <c r="J68" s="16"/>
      <c r="K68" s="32"/>
      <c r="L68" s="32"/>
    </row>
    <row r="69" spans="1:12" ht="13">
      <c r="A69" s="6"/>
      <c r="B69" s="2" t="s">
        <v>252</v>
      </c>
      <c r="C69" s="16">
        <f t="shared" ref="C69:F69" si="33">1-$C$62*LN(1-$C$62)</f>
        <v>2.682777038810809</v>
      </c>
      <c r="D69" s="16">
        <f t="shared" si="33"/>
        <v>2.682777038810809</v>
      </c>
      <c r="E69" s="16">
        <f t="shared" si="33"/>
        <v>2.682777038810809</v>
      </c>
      <c r="F69" s="16">
        <f t="shared" si="33"/>
        <v>2.682777038810809</v>
      </c>
      <c r="G69" s="7" t="s">
        <v>773</v>
      </c>
      <c r="H69" s="8"/>
      <c r="I69" s="8"/>
      <c r="J69" s="16"/>
    </row>
    <row r="70" spans="1:12" ht="14">
      <c r="A70" s="6"/>
      <c r="B70" s="2" t="s">
        <v>47</v>
      </c>
      <c r="C70" s="16">
        <f t="shared" ref="C70:F70" si="34">C68/C69</f>
        <v>1.1472660947809969E-2</v>
      </c>
      <c r="D70" s="16">
        <f t="shared" si="34"/>
        <v>1.0632651380166323E-3</v>
      </c>
      <c r="E70" s="16">
        <f t="shared" si="34"/>
        <v>-3.4039546349084082E-4</v>
      </c>
      <c r="F70" s="16">
        <f t="shared" si="34"/>
        <v>-3.2529104534179702E-3</v>
      </c>
      <c r="G70" s="7" t="s">
        <v>774</v>
      </c>
      <c r="H70" s="8"/>
      <c r="I70" s="8"/>
      <c r="J70" s="16"/>
      <c r="K70" s="32"/>
      <c r="L70" s="2"/>
    </row>
    <row r="71" spans="1:12" ht="14">
      <c r="A71" s="1"/>
      <c r="C71" s="8"/>
      <c r="D71" s="8"/>
      <c r="E71" s="8"/>
      <c r="G71" s="7"/>
      <c r="H71" s="8"/>
      <c r="I71" s="8"/>
      <c r="J71" s="11"/>
      <c r="K71" s="32"/>
      <c r="L71" s="27"/>
    </row>
    <row r="72" spans="1:12" ht="14">
      <c r="B72" s="7" t="s">
        <v>149</v>
      </c>
      <c r="C72" s="16">
        <f t="shared" ref="C72:F72" si="35">C59^2</f>
        <v>1.0729452874531391</v>
      </c>
      <c r="D72" s="16">
        <f t="shared" si="35"/>
        <v>1.0066524784372899</v>
      </c>
      <c r="E72" s="16">
        <f t="shared" si="35"/>
        <v>0.99787492498674601</v>
      </c>
      <c r="F72" s="16">
        <f t="shared" si="35"/>
        <v>0.97978462342111738</v>
      </c>
      <c r="G72" s="7" t="s">
        <v>775</v>
      </c>
      <c r="I72" s="8"/>
      <c r="K72" s="32"/>
      <c r="L72" s="2"/>
    </row>
    <row r="73" spans="1:12" ht="14">
      <c r="B73" s="7" t="s">
        <v>150</v>
      </c>
      <c r="C73" s="84">
        <f t="shared" ref="C73:F73" si="36">LN(1-$C$62)</f>
        <v>-1.9589953886039686</v>
      </c>
      <c r="D73" s="84">
        <f t="shared" si="36"/>
        <v>-1.9589953886039686</v>
      </c>
      <c r="E73" s="84">
        <f t="shared" si="36"/>
        <v>-1.9589953886039686</v>
      </c>
      <c r="F73" s="84">
        <f t="shared" si="36"/>
        <v>-1.9589953886039686</v>
      </c>
      <c r="G73" s="7" t="s">
        <v>741</v>
      </c>
      <c r="J73" s="8"/>
      <c r="K73" s="32"/>
      <c r="L73" s="2"/>
    </row>
    <row r="74" spans="1:12" ht="13">
      <c r="B74" s="2" t="s">
        <v>54</v>
      </c>
      <c r="C74" s="11">
        <f t="shared" ref="C74:F74" si="37">C72/C73</f>
        <v>-0.54770179332466318</v>
      </c>
      <c r="D74" s="11">
        <f t="shared" si="37"/>
        <v>-0.51386158655261394</v>
      </c>
      <c r="E74" s="11">
        <f t="shared" si="37"/>
        <v>-0.50938094637264963</v>
      </c>
      <c r="F74" s="11">
        <f t="shared" si="37"/>
        <v>-0.50014646748062919</v>
      </c>
      <c r="G74" s="2" t="s">
        <v>776</v>
      </c>
      <c r="H74" s="2"/>
      <c r="J74" s="6"/>
    </row>
    <row r="75" spans="1:12" ht="13">
      <c r="A75" s="6"/>
      <c r="G75" s="2"/>
      <c r="H75" s="2"/>
      <c r="J75" s="34"/>
    </row>
    <row r="76" spans="1:12" ht="13">
      <c r="A76" s="6"/>
      <c r="B76" s="2" t="s">
        <v>777</v>
      </c>
      <c r="C76" s="18">
        <f t="shared" ref="C76:F76" si="38">C70^2*($C$63/$C$62)^2</f>
        <v>1.7837828758757028E-8</v>
      </c>
      <c r="D76" s="18">
        <f t="shared" si="38"/>
        <v>1.5321342516225899E-10</v>
      </c>
      <c r="E76" s="18">
        <f t="shared" si="38"/>
        <v>1.5702948248449869E-11</v>
      </c>
      <c r="F76" s="18">
        <f t="shared" si="38"/>
        <v>1.434028849903427E-9</v>
      </c>
      <c r="G76" s="2" t="s">
        <v>778</v>
      </c>
      <c r="H76" s="2"/>
      <c r="I76" s="99" t="s">
        <v>779</v>
      </c>
      <c r="J76" s="34"/>
    </row>
    <row r="77" spans="1:12" ht="13">
      <c r="B77" s="2" t="s">
        <v>780</v>
      </c>
      <c r="C77" s="18">
        <f t="shared" ref="C77:F77" si="39">C74^2</f>
        <v>0.29997725441105205</v>
      </c>
      <c r="D77" s="18">
        <f t="shared" si="39"/>
        <v>0.26405373013436956</v>
      </c>
      <c r="E77" s="18">
        <f t="shared" si="39"/>
        <v>0.25946894852749619</v>
      </c>
      <c r="F77" s="18">
        <f t="shared" si="39"/>
        <v>0.25014648893335206</v>
      </c>
      <c r="G77" s="2" t="s">
        <v>781</v>
      </c>
      <c r="H77" s="2"/>
    </row>
    <row r="78" spans="1:12" ht="13">
      <c r="A78" s="7"/>
      <c r="B78" s="2" t="s">
        <v>782</v>
      </c>
      <c r="C78" s="18">
        <f t="shared" ref="C78:F78" si="40">C46+C47</f>
        <v>3.8752675946923054E-6</v>
      </c>
      <c r="D78" s="18">
        <f t="shared" si="40"/>
        <v>8.2160207399150587E-6</v>
      </c>
      <c r="E78" s="18">
        <f t="shared" si="40"/>
        <v>2.1953431701005687E-5</v>
      </c>
      <c r="F78" s="18">
        <f t="shared" si="40"/>
        <v>1.7248762887647058E-5</v>
      </c>
      <c r="G78" s="2" t="s">
        <v>46</v>
      </c>
      <c r="H78" s="2"/>
    </row>
    <row r="79" spans="1:12" ht="13">
      <c r="A79" s="7"/>
      <c r="B79" s="8"/>
      <c r="C79" s="8"/>
      <c r="D79" s="8"/>
      <c r="E79" s="8"/>
      <c r="F79" s="8"/>
      <c r="G79" s="8"/>
      <c r="H79" s="8"/>
      <c r="I79" s="8"/>
    </row>
    <row r="80" spans="1:12" ht="13">
      <c r="B80" s="7" t="s">
        <v>577</v>
      </c>
      <c r="C80" s="5">
        <f t="shared" ref="C80:F80" si="41">C59*SQRT(C76+C77*C78)</f>
        <v>1.1253574855505601E-3</v>
      </c>
      <c r="D80" s="5">
        <f t="shared" si="41"/>
        <v>1.477855715030137E-3</v>
      </c>
      <c r="E80" s="5">
        <f t="shared" si="41"/>
        <v>2.384144413705964E-3</v>
      </c>
      <c r="F80" s="5">
        <f t="shared" si="41"/>
        <v>2.0564286702001496E-3</v>
      </c>
      <c r="G80" s="27" t="s">
        <v>784</v>
      </c>
      <c r="H80" s="8"/>
      <c r="I80" s="8"/>
    </row>
    <row r="81" spans="1:10" ht="13">
      <c r="A81" s="7"/>
      <c r="B81" s="16"/>
      <c r="D81" s="1"/>
      <c r="E81" s="1"/>
      <c r="F81" s="6"/>
      <c r="G81" s="8"/>
      <c r="H81" s="8"/>
      <c r="I81" s="8"/>
    </row>
    <row r="82" spans="1:10" ht="13">
      <c r="A82" s="7"/>
      <c r="B82" s="16"/>
      <c r="D82" s="16"/>
      <c r="E82" s="16"/>
      <c r="F82" s="7"/>
      <c r="G82" s="8"/>
    </row>
    <row r="83" spans="1:10" ht="13">
      <c r="A83" s="7"/>
      <c r="B83" s="16"/>
      <c r="D83" s="16"/>
      <c r="E83" s="16"/>
      <c r="F83" s="7"/>
      <c r="G83" s="8"/>
    </row>
    <row r="84" spans="1:10" ht="13">
      <c r="A84" s="7"/>
      <c r="B84" s="16"/>
      <c r="D84" s="16"/>
      <c r="E84" s="16"/>
      <c r="F84" s="7"/>
      <c r="G84" s="8"/>
    </row>
    <row r="85" spans="1:10" ht="13">
      <c r="A85" s="7"/>
      <c r="B85" s="16"/>
      <c r="C85" s="16"/>
      <c r="D85" s="16"/>
      <c r="E85" s="16"/>
      <c r="F85" s="2"/>
      <c r="G85" s="8"/>
      <c r="H85" s="8"/>
      <c r="I85" s="8"/>
      <c r="J85" s="8"/>
    </row>
    <row r="86" spans="1:10" ht="13">
      <c r="A86" s="8"/>
      <c r="B86" s="8"/>
      <c r="C86" s="8"/>
      <c r="D86" s="8"/>
      <c r="E86" s="27"/>
      <c r="F86" s="2"/>
      <c r="I86" s="8"/>
      <c r="J86" s="8"/>
    </row>
    <row r="87" spans="1:10" ht="13">
      <c r="A87" s="7"/>
      <c r="B87" s="16"/>
      <c r="C87" s="16"/>
      <c r="D87" s="16"/>
      <c r="E87" s="16"/>
      <c r="F87" s="7"/>
      <c r="G87" s="8"/>
    </row>
    <row r="88" spans="1:10" ht="13">
      <c r="A88" s="7"/>
      <c r="B88" s="16"/>
      <c r="C88" s="16"/>
      <c r="D88" s="16"/>
      <c r="E88" s="16"/>
      <c r="F88" s="2"/>
      <c r="G88" s="8"/>
      <c r="H88" s="8"/>
      <c r="I88" s="8"/>
      <c r="J88" s="8"/>
    </row>
    <row r="90" spans="1:10" ht="13">
      <c r="A90" s="1"/>
    </row>
    <row r="92" spans="1:10" ht="13">
      <c r="A92" s="1"/>
      <c r="B92" s="2"/>
      <c r="C92" s="2"/>
      <c r="D92" s="2"/>
      <c r="G92" s="2"/>
      <c r="H92" s="2"/>
    </row>
    <row r="93" spans="1:10" ht="13">
      <c r="A93" s="2"/>
      <c r="B93" s="2"/>
      <c r="C93" s="2"/>
      <c r="D93" s="2"/>
      <c r="E93" s="6"/>
      <c r="F93" s="2"/>
      <c r="G93" s="2"/>
      <c r="H93" s="2"/>
    </row>
    <row r="94" spans="1:10" ht="13">
      <c r="E94" s="1"/>
      <c r="F94" s="2"/>
    </row>
    <row r="95" spans="1:10" ht="13">
      <c r="A95" s="6"/>
      <c r="B95" s="7"/>
      <c r="D95" s="8"/>
      <c r="E95" s="6"/>
      <c r="F95" s="7"/>
      <c r="G95" s="8"/>
      <c r="H95" s="8"/>
      <c r="I95" s="8"/>
    </row>
    <row r="96" spans="1:10" ht="13">
      <c r="A96" s="7"/>
      <c r="B96" s="8"/>
      <c r="C96" s="8"/>
      <c r="D96" s="8"/>
      <c r="E96" s="8"/>
      <c r="F96" s="8"/>
      <c r="G96" s="8"/>
      <c r="H96" s="8"/>
      <c r="I96" s="8"/>
    </row>
    <row r="97" spans="1:10" ht="13">
      <c r="A97" s="7"/>
      <c r="B97" s="8"/>
      <c r="C97" s="8"/>
      <c r="D97" s="7"/>
      <c r="E97" s="7"/>
      <c r="F97" s="8"/>
      <c r="G97" s="8"/>
      <c r="H97" s="8"/>
      <c r="I97" s="7"/>
      <c r="J97" s="2"/>
    </row>
    <row r="98" spans="1:10" ht="13">
      <c r="A98" s="6"/>
      <c r="B98" s="6"/>
      <c r="C98" s="6"/>
      <c r="D98" s="6"/>
      <c r="E98" s="6"/>
      <c r="G98" s="8"/>
      <c r="H98" s="6"/>
      <c r="I98" s="6"/>
      <c r="J98" s="6"/>
    </row>
    <row r="99" spans="1:10" ht="14">
      <c r="A99" s="7"/>
      <c r="B99" s="15"/>
      <c r="C99" s="15"/>
      <c r="D99" s="15"/>
      <c r="E99" s="15"/>
      <c r="G99" s="6"/>
      <c r="H99" s="16"/>
      <c r="I99" s="16"/>
      <c r="J99" s="16"/>
    </row>
    <row r="100" spans="1:10" ht="14">
      <c r="A100" s="7"/>
      <c r="B100" s="15"/>
      <c r="C100" s="15"/>
      <c r="D100" s="15"/>
      <c r="E100" s="15"/>
      <c r="G100" s="6"/>
      <c r="H100" s="16"/>
      <c r="I100" s="16"/>
      <c r="J100" s="16"/>
    </row>
    <row r="101" spans="1:10" ht="13">
      <c r="A101" s="8"/>
      <c r="B101" s="8"/>
      <c r="C101" s="8"/>
      <c r="D101" s="8"/>
      <c r="E101" s="8"/>
      <c r="G101" s="6"/>
      <c r="H101" s="16"/>
      <c r="I101" s="16"/>
      <c r="J101" s="16"/>
    </row>
    <row r="102" spans="1:10" ht="13">
      <c r="A102" s="7"/>
      <c r="B102" s="8"/>
      <c r="C102" s="8"/>
      <c r="D102" s="8"/>
      <c r="E102" s="8"/>
      <c r="G102" s="6"/>
      <c r="H102" s="16"/>
      <c r="I102" s="16"/>
      <c r="J102" s="16"/>
    </row>
    <row r="103" spans="1:10" ht="13">
      <c r="A103" s="6"/>
      <c r="B103" s="6"/>
      <c r="C103" s="6"/>
      <c r="D103" s="6"/>
      <c r="E103" s="6"/>
      <c r="G103" s="1"/>
      <c r="H103" s="11"/>
      <c r="I103" s="11"/>
      <c r="J103" s="11"/>
    </row>
    <row r="104" spans="1:10" ht="14">
      <c r="A104" s="7"/>
      <c r="B104" s="15"/>
      <c r="C104" s="15"/>
      <c r="D104" s="15"/>
      <c r="E104" s="15"/>
    </row>
    <row r="105" spans="1:10" ht="14">
      <c r="A105" s="7"/>
      <c r="B105" s="15"/>
      <c r="C105" s="15"/>
      <c r="D105" s="15"/>
      <c r="E105" s="15"/>
      <c r="J105" s="8"/>
    </row>
    <row r="106" spans="1:10" ht="13">
      <c r="A106" s="7"/>
      <c r="B106" s="11"/>
      <c r="C106" s="11"/>
      <c r="D106" s="11"/>
      <c r="E106" s="8"/>
      <c r="H106" s="6"/>
      <c r="I106" s="6"/>
      <c r="J106" s="6"/>
    </row>
    <row r="107" spans="1:10" ht="13">
      <c r="A107" s="7"/>
      <c r="B107" s="11"/>
      <c r="C107" s="11"/>
      <c r="D107" s="11"/>
      <c r="E107" s="11"/>
      <c r="G107" s="6"/>
      <c r="H107" s="34"/>
      <c r="I107" s="34"/>
      <c r="J107" s="34"/>
    </row>
    <row r="108" spans="1:10" ht="13">
      <c r="A108" s="7"/>
      <c r="B108" s="11"/>
      <c r="C108" s="11"/>
      <c r="D108" s="11"/>
      <c r="E108" s="11"/>
      <c r="G108" s="6"/>
      <c r="H108" s="34"/>
      <c r="I108" s="34"/>
      <c r="J108" s="34"/>
    </row>
    <row r="109" spans="1:10" ht="13">
      <c r="A109" s="7"/>
      <c r="B109" s="8"/>
      <c r="C109" s="8"/>
      <c r="D109" s="8"/>
      <c r="E109" s="8"/>
      <c r="G109" s="7"/>
    </row>
    <row r="110" spans="1:10" ht="13">
      <c r="A110" s="7"/>
      <c r="B110" s="8"/>
      <c r="C110" s="8"/>
      <c r="D110" s="8"/>
      <c r="E110" s="8"/>
      <c r="F110" s="8"/>
    </row>
    <row r="111" spans="1:10" ht="13">
      <c r="A111" s="7"/>
      <c r="B111" s="8"/>
      <c r="C111" s="8"/>
      <c r="D111" s="8"/>
      <c r="E111" s="8"/>
      <c r="F111" s="8"/>
      <c r="G111" s="8"/>
      <c r="H111" s="8"/>
      <c r="I111" s="8"/>
    </row>
    <row r="112" spans="1:10" ht="13">
      <c r="A112" s="7"/>
      <c r="B112" s="8"/>
      <c r="C112" s="8"/>
      <c r="D112" s="7"/>
      <c r="E112" s="7"/>
      <c r="F112" s="8"/>
      <c r="G112" s="8"/>
      <c r="H112" s="8"/>
      <c r="I112" s="8"/>
    </row>
    <row r="113" spans="1:10" ht="13">
      <c r="B113" s="1"/>
      <c r="C113" s="13"/>
      <c r="D113" s="1"/>
      <c r="E113" s="1"/>
      <c r="F113" s="6"/>
      <c r="G113" s="8"/>
      <c r="H113" s="8"/>
      <c r="I113" s="8"/>
    </row>
    <row r="114" spans="1:10" ht="13">
      <c r="A114" s="7"/>
      <c r="B114" s="16"/>
      <c r="C114" s="16"/>
      <c r="D114" s="16"/>
      <c r="E114" s="16"/>
      <c r="F114" s="7"/>
      <c r="G114" s="8"/>
    </row>
    <row r="115" spans="1:10" ht="13">
      <c r="A115" s="7"/>
      <c r="B115" s="16"/>
      <c r="C115" s="16"/>
      <c r="D115" s="16"/>
      <c r="E115" s="16"/>
      <c r="F115" s="7"/>
      <c r="G115" s="8"/>
    </row>
    <row r="116" spans="1:10" ht="13">
      <c r="A116" s="7"/>
      <c r="B116" s="16"/>
      <c r="C116" s="16"/>
      <c r="D116" s="16"/>
      <c r="E116" s="16"/>
      <c r="F116" s="7"/>
      <c r="G116" s="8"/>
    </row>
    <row r="117" spans="1:10" ht="13">
      <c r="A117" s="7"/>
      <c r="B117" s="16"/>
      <c r="C117" s="16"/>
      <c r="D117" s="16"/>
      <c r="E117" s="16"/>
      <c r="F117" s="2"/>
      <c r="G117" s="8"/>
      <c r="H117" s="8"/>
      <c r="I117" s="8"/>
      <c r="J117" s="8"/>
    </row>
    <row r="121" spans="1:10" ht="13">
      <c r="A121" s="1"/>
    </row>
    <row r="123" spans="1:10" ht="13">
      <c r="A123" s="1"/>
      <c r="B123" s="2"/>
      <c r="C123" s="2"/>
      <c r="D123" s="2"/>
      <c r="G123" s="2"/>
      <c r="H123" s="2"/>
    </row>
    <row r="124" spans="1:10" ht="13">
      <c r="A124" s="2"/>
      <c r="B124" s="2"/>
      <c r="C124" s="2"/>
      <c r="D124" s="2"/>
      <c r="E124" s="6"/>
      <c r="F124" s="2"/>
      <c r="G124" s="2"/>
      <c r="H124" s="2"/>
    </row>
    <row r="125" spans="1:10" ht="13">
      <c r="E125" s="1"/>
      <c r="F125" s="2"/>
    </row>
    <row r="126" spans="1:10" ht="13">
      <c r="A126" s="6"/>
      <c r="B126" s="7"/>
      <c r="D126" s="8"/>
      <c r="E126" s="6"/>
      <c r="F126" s="7"/>
      <c r="G126" s="8"/>
      <c r="H126" s="8"/>
      <c r="I126" s="8"/>
    </row>
    <row r="127" spans="1:10" ht="13">
      <c r="A127" s="7"/>
      <c r="B127" s="8"/>
      <c r="C127" s="8"/>
      <c r="D127" s="8"/>
      <c r="E127" s="8"/>
      <c r="F127" s="8"/>
      <c r="G127" s="8"/>
      <c r="H127" s="8"/>
      <c r="I127" s="8"/>
    </row>
    <row r="128" spans="1:10" ht="13">
      <c r="A128" s="7"/>
      <c r="B128" s="8"/>
      <c r="C128" s="8"/>
      <c r="D128" s="7"/>
      <c r="E128" s="7"/>
      <c r="F128" s="8"/>
      <c r="G128" s="8"/>
      <c r="H128" s="8"/>
      <c r="I128" s="7"/>
      <c r="J128" s="2"/>
    </row>
    <row r="129" spans="1:10" ht="13">
      <c r="A129" s="6"/>
      <c r="B129" s="6"/>
      <c r="C129" s="6"/>
      <c r="D129" s="6"/>
      <c r="E129" s="6"/>
      <c r="G129" s="8"/>
      <c r="H129" s="6"/>
      <c r="I129" s="6"/>
      <c r="J129" s="6"/>
    </row>
    <row r="130" spans="1:10" ht="14">
      <c r="A130" s="7"/>
      <c r="B130" s="15"/>
      <c r="C130" s="15"/>
      <c r="D130" s="15"/>
      <c r="E130" s="15"/>
      <c r="G130" s="6"/>
      <c r="H130" s="16"/>
      <c r="I130" s="16"/>
      <c r="J130" s="16"/>
    </row>
    <row r="131" spans="1:10" ht="14">
      <c r="A131" s="7"/>
      <c r="B131" s="15"/>
      <c r="C131" s="15"/>
      <c r="D131" s="15"/>
      <c r="E131" s="15"/>
      <c r="G131" s="6"/>
      <c r="H131" s="16"/>
      <c r="I131" s="16"/>
      <c r="J131" s="16"/>
    </row>
    <row r="132" spans="1:10" ht="13">
      <c r="A132" s="8"/>
      <c r="B132" s="8"/>
      <c r="C132" s="8"/>
      <c r="D132" s="8"/>
      <c r="E132" s="8"/>
      <c r="G132" s="6"/>
      <c r="H132" s="16"/>
      <c r="I132" s="16"/>
      <c r="J132" s="16"/>
    </row>
    <row r="133" spans="1:10" ht="13">
      <c r="A133" s="7"/>
      <c r="B133" s="8"/>
      <c r="C133" s="8"/>
      <c r="D133" s="8"/>
      <c r="E133" s="8"/>
      <c r="G133" s="6"/>
      <c r="H133" s="16"/>
      <c r="I133" s="16"/>
      <c r="J133" s="16"/>
    </row>
    <row r="134" spans="1:10" ht="13">
      <c r="A134" s="6"/>
      <c r="B134" s="6"/>
      <c r="C134" s="6"/>
      <c r="D134" s="6"/>
      <c r="E134" s="6"/>
      <c r="G134" s="1"/>
      <c r="H134" s="11"/>
      <c r="I134" s="11"/>
      <c r="J134" s="11"/>
    </row>
    <row r="135" spans="1:10" ht="14">
      <c r="A135" s="7"/>
      <c r="B135" s="15"/>
      <c r="C135" s="15"/>
      <c r="D135" s="15"/>
      <c r="E135" s="15"/>
    </row>
    <row r="136" spans="1:10" ht="14">
      <c r="A136" s="7"/>
      <c r="B136" s="15"/>
      <c r="C136" s="15"/>
      <c r="D136" s="15"/>
      <c r="E136" s="15"/>
      <c r="J136" s="8"/>
    </row>
    <row r="137" spans="1:10" ht="13">
      <c r="A137" s="7"/>
      <c r="B137" s="11"/>
      <c r="C137" s="11"/>
      <c r="D137" s="11"/>
      <c r="E137" s="8"/>
      <c r="H137" s="6"/>
      <c r="I137" s="6"/>
      <c r="J137" s="6"/>
    </row>
    <row r="138" spans="1:10" ht="13">
      <c r="A138" s="7"/>
      <c r="B138" s="11"/>
      <c r="C138" s="11"/>
      <c r="D138" s="11"/>
      <c r="E138" s="11"/>
      <c r="G138" s="6"/>
      <c r="H138" s="34"/>
      <c r="I138" s="34"/>
      <c r="J138" s="34"/>
    </row>
    <row r="139" spans="1:10" ht="13">
      <c r="A139" s="7"/>
      <c r="B139" s="11"/>
      <c r="C139" s="11"/>
      <c r="D139" s="11"/>
      <c r="E139" s="11"/>
      <c r="G139" s="6"/>
      <c r="H139" s="34"/>
      <c r="I139" s="34"/>
      <c r="J139" s="34"/>
    </row>
    <row r="140" spans="1:10" ht="13">
      <c r="A140" s="7"/>
      <c r="B140" s="8"/>
      <c r="C140" s="8"/>
      <c r="D140" s="8"/>
      <c r="E140" s="8"/>
      <c r="G140" s="7"/>
    </row>
    <row r="141" spans="1:10" ht="13">
      <c r="A141" s="7"/>
      <c r="B141" s="8"/>
      <c r="C141" s="8"/>
      <c r="D141" s="8"/>
      <c r="E141" s="8"/>
      <c r="F141" s="8"/>
    </row>
    <row r="142" spans="1:10" ht="13">
      <c r="A142" s="7"/>
      <c r="B142" s="8"/>
      <c r="C142" s="8"/>
      <c r="D142" s="8"/>
      <c r="E142" s="8"/>
      <c r="F142" s="8"/>
      <c r="G142" s="8"/>
      <c r="H142" s="8"/>
      <c r="I142" s="8"/>
    </row>
    <row r="143" spans="1:10" ht="13">
      <c r="A143" s="7"/>
      <c r="B143" s="8"/>
      <c r="C143" s="8"/>
      <c r="D143" s="7"/>
      <c r="E143" s="7"/>
      <c r="F143" s="8"/>
      <c r="G143" s="8"/>
      <c r="H143" s="8"/>
      <c r="I143" s="8"/>
    </row>
    <row r="144" spans="1:10" ht="13">
      <c r="B144" s="1"/>
      <c r="C144" s="13"/>
      <c r="D144" s="1"/>
      <c r="E144" s="1"/>
      <c r="F144" s="6"/>
      <c r="G144" s="8"/>
      <c r="H144" s="8"/>
      <c r="I144" s="8"/>
    </row>
    <row r="145" spans="1:10" ht="13">
      <c r="A145" s="7"/>
      <c r="B145" s="16"/>
      <c r="C145" s="16"/>
      <c r="D145" s="16"/>
      <c r="E145" s="16"/>
      <c r="F145" s="7"/>
      <c r="G145" s="8"/>
    </row>
    <row r="146" spans="1:10" ht="13">
      <c r="A146" s="7"/>
      <c r="B146" s="16"/>
      <c r="C146" s="16"/>
      <c r="D146" s="16"/>
      <c r="E146" s="16"/>
      <c r="F146" s="7"/>
      <c r="G146" s="8"/>
    </row>
    <row r="147" spans="1:10" ht="13">
      <c r="A147" s="7"/>
      <c r="B147" s="16"/>
      <c r="C147" s="16"/>
      <c r="D147" s="16"/>
      <c r="E147" s="16"/>
      <c r="F147" s="7"/>
      <c r="G147" s="8"/>
    </row>
    <row r="148" spans="1:10" ht="13">
      <c r="A148" s="7"/>
      <c r="B148" s="16"/>
      <c r="C148" s="16"/>
      <c r="D148" s="16"/>
      <c r="E148" s="16"/>
      <c r="F148" s="2"/>
      <c r="G148" s="8"/>
      <c r="H148" s="8"/>
      <c r="I148" s="8"/>
      <c r="J14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45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4.1640625" customWidth="1"/>
    <col min="10" max="10" width="4.1640625" customWidth="1"/>
  </cols>
  <sheetData>
    <row r="1" spans="1:14" ht="15.75" customHeight="1">
      <c r="A1" s="1" t="s">
        <v>3</v>
      </c>
      <c r="B1" s="2"/>
      <c r="C1" s="2"/>
      <c r="D1" s="2"/>
      <c r="F1" s="76"/>
      <c r="G1" s="183" t="s">
        <v>269</v>
      </c>
      <c r="H1" s="183" t="s">
        <v>263</v>
      </c>
    </row>
    <row r="2" spans="1:14" ht="15.75" customHeight="1">
      <c r="A2" s="30" t="s">
        <v>785</v>
      </c>
      <c r="B2" s="2"/>
      <c r="C2" s="2"/>
      <c r="D2" s="2"/>
      <c r="F2" s="127" t="s">
        <v>5</v>
      </c>
      <c r="G2" s="184">
        <v>0</v>
      </c>
      <c r="H2" s="185">
        <v>0</v>
      </c>
      <c r="I2" s="2"/>
      <c r="K2" s="76"/>
    </row>
    <row r="3" spans="1:14" ht="15.75" customHeight="1">
      <c r="F3" s="129" t="s">
        <v>530</v>
      </c>
      <c r="G3" s="186">
        <v>1</v>
      </c>
      <c r="H3" s="187">
        <v>1</v>
      </c>
      <c r="K3" s="76"/>
    </row>
    <row r="4" spans="1:14" ht="15.75" customHeight="1">
      <c r="A4" s="6" t="s">
        <v>718</v>
      </c>
      <c r="B4" s="7">
        <v>0.106</v>
      </c>
      <c r="D4" s="8"/>
      <c r="F4" s="129" t="s">
        <v>142</v>
      </c>
      <c r="G4" s="186">
        <v>24</v>
      </c>
      <c r="H4" s="188">
        <v>39</v>
      </c>
      <c r="I4" s="8"/>
      <c r="J4" s="8"/>
      <c r="K4" s="118"/>
    </row>
    <row r="5" spans="1:14" ht="15.75" customHeight="1">
      <c r="A5" s="6" t="s">
        <v>720</v>
      </c>
      <c r="B5" s="7">
        <v>9.0499999999999997E-2</v>
      </c>
      <c r="C5" s="8"/>
      <c r="D5" s="8"/>
      <c r="E5" s="8"/>
      <c r="F5" s="132" t="s">
        <v>532</v>
      </c>
      <c r="G5" s="136">
        <v>4</v>
      </c>
      <c r="H5" s="133">
        <v>32</v>
      </c>
      <c r="I5" s="8"/>
    </row>
    <row r="6" spans="1:14" ht="15.75" customHeight="1">
      <c r="A6" s="6" t="s">
        <v>12</v>
      </c>
      <c r="B6" s="7">
        <v>0.05</v>
      </c>
      <c r="C6" s="8"/>
      <c r="D6" s="8"/>
      <c r="E6" s="8"/>
      <c r="F6" s="8"/>
      <c r="G6" s="8"/>
      <c r="H6" s="8"/>
      <c r="I6" s="8"/>
    </row>
    <row r="7" spans="1:14" ht="15.75" customHeight="1">
      <c r="A7" s="2"/>
      <c r="B7" s="1"/>
      <c r="C7" s="1"/>
      <c r="D7" s="1"/>
    </row>
    <row r="8" spans="1:14" ht="15.75" customHeight="1">
      <c r="A8" s="2"/>
      <c r="B8" s="1" t="s">
        <v>269</v>
      </c>
      <c r="C8" s="1" t="s">
        <v>263</v>
      </c>
      <c r="D8" s="1"/>
    </row>
    <row r="9" spans="1:14" ht="15.75" customHeight="1">
      <c r="A9" s="9" t="s">
        <v>15</v>
      </c>
      <c r="B9" s="2" t="s">
        <v>23</v>
      </c>
      <c r="C9" s="2" t="s">
        <v>24</v>
      </c>
      <c r="D9" s="10"/>
      <c r="F9" s="9" t="s">
        <v>19</v>
      </c>
      <c r="G9" s="2" t="s">
        <v>23</v>
      </c>
      <c r="H9" s="2" t="s">
        <v>24</v>
      </c>
      <c r="I9" s="10"/>
      <c r="K9" s="9" t="s">
        <v>20</v>
      </c>
      <c r="L9" s="2" t="s">
        <v>23</v>
      </c>
      <c r="M9" s="2" t="s">
        <v>24</v>
      </c>
      <c r="N9" s="10"/>
    </row>
    <row r="10" spans="1:14" ht="15.75" customHeight="1">
      <c r="A10" s="2" t="s">
        <v>721</v>
      </c>
      <c r="B10" s="12">
        <v>9.4464000000000006</v>
      </c>
      <c r="C10" s="12">
        <v>19.838999999999999</v>
      </c>
      <c r="D10" s="11"/>
      <c r="F10" s="2" t="s">
        <v>721</v>
      </c>
      <c r="G10" s="12">
        <v>1.29E-2</v>
      </c>
      <c r="H10" s="12">
        <v>0.1207</v>
      </c>
      <c r="I10" s="11"/>
      <c r="K10" s="2" t="s">
        <v>721</v>
      </c>
      <c r="L10" s="11">
        <f t="shared" ref="L10:L13" si="0">TINV(0.32,$G$4-1)*G10/SQRT($G$4)</f>
        <v>2.6764553640064104E-3</v>
      </c>
      <c r="M10" s="11">
        <f t="shared" ref="M10:M13" si="1">TINV(0.32,$H$4-1)*H10/SQRT($H$4)</f>
        <v>1.9475163812640649E-2</v>
      </c>
      <c r="N10" s="11"/>
    </row>
    <row r="11" spans="1:14" ht="15.75" customHeight="1">
      <c r="A11" s="2" t="s">
        <v>723</v>
      </c>
      <c r="B11" s="12">
        <v>10.6631</v>
      </c>
      <c r="C11" s="12">
        <v>21.826699999999999</v>
      </c>
      <c r="D11" s="11"/>
      <c r="E11" s="6"/>
      <c r="F11" s="2" t="s">
        <v>723</v>
      </c>
      <c r="G11" s="12">
        <v>2.1999999999999999E-2</v>
      </c>
      <c r="H11" s="12">
        <v>0.12809999999999999</v>
      </c>
      <c r="I11" s="11"/>
      <c r="K11" s="2" t="s">
        <v>723</v>
      </c>
      <c r="L11" s="11">
        <f t="shared" si="0"/>
        <v>4.5644975200109326E-3</v>
      </c>
      <c r="M11" s="11">
        <f t="shared" si="1"/>
        <v>2.0669167227831537E-2</v>
      </c>
      <c r="N11" s="11"/>
    </row>
    <row r="12" spans="1:14" ht="15.75" customHeight="1">
      <c r="A12" s="2" t="s">
        <v>696</v>
      </c>
      <c r="B12" s="12">
        <v>9.5221</v>
      </c>
      <c r="C12" s="12">
        <v>17.960599999999999</v>
      </c>
      <c r="D12" s="11"/>
      <c r="E12" s="1"/>
      <c r="F12" s="2" t="s">
        <v>696</v>
      </c>
      <c r="G12" s="12">
        <v>7.0000000000000001E-3</v>
      </c>
      <c r="H12" s="12">
        <v>0.1047</v>
      </c>
      <c r="I12" s="11"/>
      <c r="K12" s="2" t="s">
        <v>696</v>
      </c>
      <c r="L12" s="11">
        <f t="shared" si="0"/>
        <v>1.4523401200034786E-3</v>
      </c>
      <c r="M12" s="11">
        <f t="shared" si="1"/>
        <v>1.6893534806822499E-2</v>
      </c>
      <c r="N12" s="11"/>
    </row>
    <row r="13" spans="1:14" ht="15.75" customHeight="1">
      <c r="A13" s="2" t="s">
        <v>729</v>
      </c>
      <c r="B13" s="12">
        <v>10.0786</v>
      </c>
      <c r="C13" s="12">
        <v>19.414999999999999</v>
      </c>
      <c r="D13" s="11"/>
      <c r="E13" s="6"/>
      <c r="F13" s="2" t="s">
        <v>729</v>
      </c>
      <c r="G13" s="12">
        <v>4.4000000000000003E-3</v>
      </c>
      <c r="H13" s="12">
        <v>0.12709999999999999</v>
      </c>
      <c r="I13" s="11"/>
      <c r="K13" s="2" t="s">
        <v>729</v>
      </c>
      <c r="L13" s="11">
        <f t="shared" si="0"/>
        <v>9.1289950400218656E-4</v>
      </c>
      <c r="M13" s="11">
        <f t="shared" si="1"/>
        <v>2.0507815414967906E-2</v>
      </c>
      <c r="N13" s="11"/>
    </row>
    <row r="14" spans="1:14" ht="15.75" customHeight="1">
      <c r="A14" s="2"/>
      <c r="B14" s="10"/>
      <c r="C14" s="10"/>
      <c r="D14" s="10"/>
      <c r="E14" s="8"/>
      <c r="F14" s="8"/>
      <c r="G14" s="8"/>
      <c r="H14" s="8"/>
      <c r="I14" s="8"/>
    </row>
    <row r="15" spans="1:14" ht="15.75" customHeight="1">
      <c r="A15" s="9" t="s">
        <v>32</v>
      </c>
      <c r="B15" s="2" t="s">
        <v>23</v>
      </c>
      <c r="C15" s="2" t="s">
        <v>24</v>
      </c>
      <c r="D15" s="10"/>
      <c r="E15" s="7"/>
      <c r="K15" s="9" t="s">
        <v>33</v>
      </c>
      <c r="L15" s="2" t="s">
        <v>23</v>
      </c>
      <c r="M15" s="2" t="s">
        <v>24</v>
      </c>
      <c r="N15" s="10"/>
    </row>
    <row r="16" spans="1:14" ht="15.75" customHeight="1">
      <c r="A16" s="2" t="s">
        <v>731</v>
      </c>
      <c r="B16" s="11">
        <f t="shared" ref="B16:C16" si="2">B12</f>
        <v>9.5221</v>
      </c>
      <c r="C16" s="11">
        <f t="shared" si="2"/>
        <v>17.960599999999999</v>
      </c>
      <c r="E16" s="6"/>
      <c r="K16" s="2" t="s">
        <v>731</v>
      </c>
      <c r="L16" s="11">
        <f t="shared" ref="L16:M16" si="3">L12</f>
        <v>1.4523401200034786E-3</v>
      </c>
      <c r="M16" s="11">
        <f t="shared" si="3"/>
        <v>1.6893534806822499E-2</v>
      </c>
    </row>
    <row r="17" spans="1:14" ht="15.75" customHeight="1">
      <c r="A17" s="2" t="s">
        <v>732</v>
      </c>
      <c r="B17" s="11">
        <f t="shared" ref="B17:C17" si="4">B13</f>
        <v>10.0786</v>
      </c>
      <c r="C17" s="11">
        <f t="shared" si="4"/>
        <v>19.414999999999999</v>
      </c>
      <c r="E17" s="15"/>
      <c r="K17" s="2" t="s">
        <v>732</v>
      </c>
      <c r="L17" s="11">
        <f t="shared" ref="L17:M17" si="5">L13</f>
        <v>9.1289950400218656E-4</v>
      </c>
      <c r="M17" s="11">
        <f t="shared" si="5"/>
        <v>2.0507815414967906E-2</v>
      </c>
    </row>
    <row r="18" spans="1:14" ht="15.75" customHeight="1">
      <c r="A18" s="2" t="s">
        <v>26</v>
      </c>
      <c r="B18" s="11">
        <f t="shared" ref="B18:C18" si="6">AVERAGE(B10:B11)</f>
        <v>10.05475</v>
      </c>
      <c r="C18" s="11">
        <f t="shared" si="6"/>
        <v>20.832850000000001</v>
      </c>
      <c r="E18" s="15"/>
      <c r="K18" s="2" t="s">
        <v>26</v>
      </c>
      <c r="L18" s="11">
        <f t="shared" ref="L18:M18" si="7">SQRT(AVERAGE(L10^2,L11^2))</f>
        <v>3.7415271565033868E-3</v>
      </c>
      <c r="M18" s="11">
        <f t="shared" si="7"/>
        <v>2.0081041798438309E-2</v>
      </c>
      <c r="N18" s="11"/>
    </row>
    <row r="19" spans="1:14" ht="15.75" customHeight="1">
      <c r="E19" s="8"/>
    </row>
    <row r="20" spans="1:14" ht="15.75" customHeight="1">
      <c r="A20" s="7"/>
      <c r="B20" s="7"/>
      <c r="C20" s="7"/>
      <c r="D20" s="7"/>
      <c r="E20" s="8"/>
      <c r="F20" s="2"/>
      <c r="G20" s="6"/>
      <c r="H20" s="16"/>
      <c r="I20" s="16"/>
    </row>
    <row r="21" spans="1:14" ht="15.75" customHeight="1">
      <c r="A21" s="17" t="s">
        <v>35</v>
      </c>
      <c r="B21" s="7" t="s">
        <v>30</v>
      </c>
      <c r="C21" s="7" t="s">
        <v>27</v>
      </c>
      <c r="D21" s="7" t="s">
        <v>31</v>
      </c>
      <c r="E21" s="8"/>
      <c r="F21" s="7"/>
      <c r="G21" s="7"/>
      <c r="H21" s="7"/>
      <c r="I21" s="16"/>
    </row>
    <row r="22" spans="1:14" ht="15.75" customHeight="1">
      <c r="A22" s="2" t="s">
        <v>36</v>
      </c>
      <c r="B22" s="11">
        <f t="shared" ref="B22:B23" si="8">C16/B16</f>
        <v>1.8862015731823862</v>
      </c>
      <c r="C22" s="11">
        <f>C18/B18</f>
        <v>2.0719411223551059</v>
      </c>
      <c r="D22" s="11">
        <f t="shared" ref="D22:D23" si="9">B22/C22</f>
        <v>0.9103548130935325</v>
      </c>
      <c r="F22" s="11"/>
      <c r="G22" s="11"/>
      <c r="H22" s="11"/>
    </row>
    <row r="23" spans="1:14" ht="15.75" customHeight="1">
      <c r="A23" s="2" t="s">
        <v>37</v>
      </c>
      <c r="B23" s="11">
        <f t="shared" si="8"/>
        <v>1.926358819677336</v>
      </c>
      <c r="C23" s="11">
        <f>C18/B18</f>
        <v>2.0719411223551059</v>
      </c>
      <c r="D23" s="11">
        <f t="shared" si="9"/>
        <v>0.92973627430479722</v>
      </c>
      <c r="F23" s="11"/>
      <c r="G23" s="11"/>
      <c r="H23" s="11"/>
    </row>
    <row r="25" spans="1:14" ht="15.75" customHeight="1">
      <c r="A25" s="9" t="s">
        <v>0</v>
      </c>
      <c r="B25" s="7" t="s">
        <v>0</v>
      </c>
      <c r="C25" s="7" t="s">
        <v>38</v>
      </c>
      <c r="D25" s="7"/>
      <c r="E25" s="8"/>
      <c r="F25" s="2"/>
      <c r="G25" s="2"/>
    </row>
    <row r="26" spans="1:14" ht="15.75" customHeight="1">
      <c r="A26" s="2" t="s">
        <v>36</v>
      </c>
      <c r="B26" s="5">
        <f t="shared" ref="B26:B27" si="10">LN(1-$B$4)/LN(1-$B$4*D22)</f>
        <v>1.1041913884125709</v>
      </c>
      <c r="C26" s="5">
        <f>SQRT(B45)</f>
        <v>1.7943254587437073E-3</v>
      </c>
      <c r="F26" s="5"/>
      <c r="G26" s="5"/>
      <c r="K26" s="2" t="s">
        <v>39</v>
      </c>
    </row>
    <row r="27" spans="1:14" ht="15.75" customHeight="1">
      <c r="A27" s="2" t="s">
        <v>37</v>
      </c>
      <c r="B27" s="5">
        <f t="shared" si="10"/>
        <v>1.0799643054870929</v>
      </c>
      <c r="C27" s="5">
        <f>SQRT(C45)</f>
        <v>1.8119623022910241E-3</v>
      </c>
      <c r="F27" s="5"/>
      <c r="G27" s="5"/>
      <c r="K27" s="2" t="s">
        <v>40</v>
      </c>
    </row>
    <row r="28" spans="1:14" ht="15.75" customHeight="1">
      <c r="A28" s="2" t="s">
        <v>541</v>
      </c>
      <c r="B28" s="5">
        <f>AVERAGE(B26:B27)</f>
        <v>1.0920778469498318</v>
      </c>
    </row>
    <row r="29" spans="1:14" ht="15.75" customHeight="1">
      <c r="A29" s="2"/>
      <c r="B29" s="2"/>
      <c r="F29" s="2"/>
    </row>
    <row r="30" spans="1:14" ht="13">
      <c r="A30" s="9" t="s">
        <v>41</v>
      </c>
      <c r="B30" s="2"/>
      <c r="F30" s="2"/>
    </row>
    <row r="31" spans="1:14" ht="13">
      <c r="B31" s="2" t="s">
        <v>293</v>
      </c>
      <c r="C31" s="2" t="s">
        <v>296</v>
      </c>
      <c r="F31" s="2"/>
      <c r="G31" s="2"/>
    </row>
    <row r="32" spans="1:14" ht="13">
      <c r="A32" s="2" t="s">
        <v>31</v>
      </c>
      <c r="B32" s="18">
        <f>D22</f>
        <v>0.9103548130935325</v>
      </c>
      <c r="C32" s="18">
        <f>D23</f>
        <v>0.92973627430479722</v>
      </c>
      <c r="D32" s="18"/>
      <c r="E32" s="18"/>
      <c r="F32" s="18"/>
      <c r="G32" s="18"/>
      <c r="K32" s="7"/>
    </row>
    <row r="33" spans="1:11" ht="13">
      <c r="A33" s="2" t="s">
        <v>42</v>
      </c>
      <c r="B33" s="18">
        <f>(M16/C16)^2+(L16/B16)^2</f>
        <v>9.0797012354802827E-7</v>
      </c>
      <c r="C33" s="18">
        <f>(M17/C17)^2+(L17/B17)^2</f>
        <v>1.123946961931145E-6</v>
      </c>
      <c r="D33" s="18"/>
      <c r="E33" s="18"/>
      <c r="F33" s="18"/>
      <c r="G33" s="18"/>
      <c r="K33" s="7" t="s">
        <v>43</v>
      </c>
    </row>
    <row r="34" spans="1:11" ht="13">
      <c r="A34" s="2" t="s">
        <v>44</v>
      </c>
      <c r="B34" s="18">
        <f>(M18/C18)^2+(L18/B18)^2</f>
        <v>1.0675969142409838E-6</v>
      </c>
      <c r="C34" s="18">
        <f>B34</f>
        <v>1.0675969142409838E-6</v>
      </c>
      <c r="D34" s="18"/>
      <c r="E34" s="18"/>
      <c r="F34" s="18"/>
    </row>
    <row r="35" spans="1:11" ht="13">
      <c r="A35" s="2" t="s">
        <v>45</v>
      </c>
      <c r="B35" s="18">
        <f t="shared" ref="B35:C35" si="11">B33+B34</f>
        <v>1.975567037789012E-6</v>
      </c>
      <c r="C35" s="18">
        <f t="shared" si="11"/>
        <v>2.1915438761721286E-6</v>
      </c>
      <c r="D35" s="18"/>
      <c r="E35" s="18"/>
      <c r="F35" s="18"/>
      <c r="G35" s="18"/>
      <c r="K35" s="19" t="s">
        <v>46</v>
      </c>
    </row>
    <row r="36" spans="1:11" ht="13">
      <c r="A36" s="7"/>
    </row>
    <row r="37" spans="1:11" ht="13">
      <c r="A37" s="7" t="s">
        <v>47</v>
      </c>
      <c r="B37" s="18">
        <f t="shared" ref="B37:C37" si="12">B32*LN(1-$B$4)</f>
        <v>-0.10200480509692195</v>
      </c>
      <c r="C37" s="18">
        <f t="shared" si="12"/>
        <v>-0.10417648820873023</v>
      </c>
      <c r="F37" s="18"/>
      <c r="G37" s="18"/>
      <c r="K37" s="7" t="s">
        <v>49</v>
      </c>
    </row>
    <row r="38" spans="1:11" ht="13">
      <c r="A38" s="7" t="s">
        <v>50</v>
      </c>
      <c r="B38" s="20">
        <f t="shared" ref="B38:C38" si="13">1-$B$4*B32</f>
        <v>0.90350238981208553</v>
      </c>
      <c r="C38" s="20">
        <f t="shared" si="13"/>
        <v>0.90144795492369145</v>
      </c>
      <c r="F38" s="20"/>
      <c r="G38" s="20"/>
      <c r="K38" s="7" t="s">
        <v>51</v>
      </c>
    </row>
    <row r="39" spans="1:11" ht="13">
      <c r="A39" s="7" t="s">
        <v>52</v>
      </c>
      <c r="B39" s="18">
        <f t="shared" ref="B39:C39" si="14">LN(B38)</f>
        <v>-0.1014765238929364</v>
      </c>
      <c r="C39" s="18">
        <f t="shared" si="14"/>
        <v>-0.10375296964846033</v>
      </c>
      <c r="F39" s="18"/>
      <c r="G39" s="18"/>
      <c r="K39" s="7" t="s">
        <v>53</v>
      </c>
    </row>
    <row r="40" spans="1:11" ht="13">
      <c r="A40" s="7" t="s">
        <v>54</v>
      </c>
      <c r="B40" s="18">
        <f t="shared" ref="B40:C40" si="15">B38*B39^2</f>
        <v>9.30380221746307E-3</v>
      </c>
      <c r="C40" s="18">
        <f t="shared" si="15"/>
        <v>9.7037976093282633E-3</v>
      </c>
      <c r="F40" s="18"/>
      <c r="G40" s="18"/>
      <c r="K40" s="7" t="s">
        <v>55</v>
      </c>
    </row>
    <row r="41" spans="1:11" ht="13">
      <c r="A41" s="7" t="s">
        <v>56</v>
      </c>
      <c r="B41" s="18">
        <f t="shared" ref="B41:C41" si="16">(1-$B$4)*B39</f>
        <v>-9.0720012360285152E-2</v>
      </c>
      <c r="C41" s="18">
        <f t="shared" si="16"/>
        <v>-9.2755154865723541E-2</v>
      </c>
      <c r="F41" s="18"/>
      <c r="G41" s="18"/>
      <c r="K41" s="7" t="s">
        <v>57</v>
      </c>
    </row>
    <row r="42" spans="1:11" ht="13">
      <c r="A42" s="7" t="s">
        <v>58</v>
      </c>
      <c r="B42" s="18">
        <f t="shared" ref="B42:C42" si="17">$B$4^2*LN(1-$B$4)^2*B35</f>
        <v>2.7869127808803474E-10</v>
      </c>
      <c r="C42" s="18">
        <f t="shared" si="17"/>
        <v>3.09158915973797E-10</v>
      </c>
      <c r="F42" s="18"/>
      <c r="G42" s="18"/>
      <c r="K42" s="7" t="s">
        <v>59</v>
      </c>
    </row>
    <row r="43" spans="1:11" ht="13">
      <c r="A43" s="7" t="s">
        <v>60</v>
      </c>
      <c r="B43" s="18">
        <f t="shared" ref="B43:C43" si="18">B38^2*B39^4</f>
        <v>8.6560735701670725E-5</v>
      </c>
      <c r="C43" s="18">
        <f t="shared" si="18"/>
        <v>9.4163688042804927E-5</v>
      </c>
      <c r="F43" s="18"/>
      <c r="G43" s="18"/>
      <c r="K43" s="7" t="s">
        <v>61</v>
      </c>
    </row>
    <row r="44" spans="1:11" ht="13">
      <c r="A44" s="2" t="s">
        <v>62</v>
      </c>
      <c r="B44" s="20">
        <f t="shared" ref="B44:C44" si="19">(B37/B40-1/B41)^2*$B$6^2</f>
        <v>8.7468097631646427E-6</v>
      </c>
      <c r="C44" s="20">
        <f t="shared" si="19"/>
        <v>5.1599148248910337E-6</v>
      </c>
      <c r="F44" s="20"/>
      <c r="G44" s="20"/>
      <c r="K44" s="7" t="s">
        <v>63</v>
      </c>
    </row>
    <row r="45" spans="1:11" ht="13">
      <c r="A45" s="2" t="s">
        <v>64</v>
      </c>
      <c r="B45" s="18">
        <f t="shared" ref="B45:C45" si="20">B42/B43</f>
        <v>3.2196038518958158E-6</v>
      </c>
      <c r="C45" s="18">
        <f t="shared" si="20"/>
        <v>3.2832073849237888E-6</v>
      </c>
      <c r="F45" s="18"/>
      <c r="G45" s="18"/>
      <c r="K45" s="2" t="s">
        <v>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140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21" ht="15.75" customHeight="1">
      <c r="A1" s="1" t="s">
        <v>3</v>
      </c>
      <c r="B1" s="2"/>
      <c r="C1" s="2"/>
      <c r="D1" s="2"/>
      <c r="F1" s="1" t="s">
        <v>14</v>
      </c>
      <c r="G1" s="1" t="s">
        <v>300</v>
      </c>
      <c r="H1" s="1"/>
      <c r="I1" s="1"/>
      <c r="J1" s="1" t="s">
        <v>9</v>
      </c>
    </row>
    <row r="2" spans="1:21" ht="15.75" customHeight="1">
      <c r="A2" s="2" t="s">
        <v>783</v>
      </c>
      <c r="B2" s="2"/>
      <c r="C2" s="2"/>
      <c r="D2" s="2"/>
      <c r="E2" s="6" t="s">
        <v>5</v>
      </c>
      <c r="F2" s="77">
        <v>0</v>
      </c>
      <c r="G2" s="78">
        <v>0</v>
      </c>
      <c r="H2" s="189"/>
      <c r="I2" s="190" t="s">
        <v>293</v>
      </c>
      <c r="J2" s="191">
        <v>0.21</v>
      </c>
    </row>
    <row r="3" spans="1:21" ht="15.75" customHeight="1">
      <c r="A3" s="2" t="s">
        <v>786</v>
      </c>
      <c r="E3" s="1" t="s">
        <v>530</v>
      </c>
      <c r="F3" s="67">
        <v>2</v>
      </c>
      <c r="G3" s="68">
        <v>2</v>
      </c>
      <c r="H3" s="2"/>
      <c r="I3" s="1" t="s">
        <v>296</v>
      </c>
      <c r="J3" s="192">
        <v>0.25800000000000001</v>
      </c>
    </row>
    <row r="4" spans="1:21" ht="15.75" customHeight="1">
      <c r="A4" s="2" t="s">
        <v>787</v>
      </c>
      <c r="B4" s="7"/>
      <c r="D4" s="8"/>
      <c r="E4" s="1" t="s">
        <v>142</v>
      </c>
      <c r="F4" s="67">
        <v>24</v>
      </c>
      <c r="G4" s="80">
        <v>45</v>
      </c>
      <c r="H4" s="7"/>
      <c r="I4" s="6" t="s">
        <v>789</v>
      </c>
      <c r="J4" s="193">
        <v>0.05</v>
      </c>
    </row>
    <row r="5" spans="1:21" ht="15.75" customHeight="1">
      <c r="A5" s="19" t="s">
        <v>788</v>
      </c>
      <c r="D5" s="8"/>
      <c r="E5" s="6" t="s">
        <v>532</v>
      </c>
      <c r="F5" s="81">
        <v>4</v>
      </c>
      <c r="G5" s="82">
        <v>32</v>
      </c>
      <c r="H5" s="7"/>
      <c r="I5" s="7"/>
    </row>
    <row r="6" spans="1:21" ht="15.75" customHeight="1">
      <c r="A6" s="7"/>
      <c r="F6" s="2"/>
      <c r="G6" s="7"/>
      <c r="H6" s="8"/>
      <c r="I6" s="8"/>
      <c r="J6" s="7"/>
      <c r="M6" s="2"/>
    </row>
    <row r="7" spans="1:21" ht="15.75" customHeight="1">
      <c r="A7" s="7"/>
      <c r="G7" s="7"/>
      <c r="H7" s="8"/>
      <c r="I7" s="8"/>
      <c r="J7" s="7"/>
      <c r="M7" s="2"/>
    </row>
    <row r="8" spans="1:21" ht="15.75" customHeight="1">
      <c r="A8" s="17" t="s">
        <v>533</v>
      </c>
      <c r="H8" s="8"/>
      <c r="I8" s="8"/>
    </row>
    <row r="9" spans="1:21" ht="15.75" customHeight="1">
      <c r="A9" s="6"/>
      <c r="B9" s="6"/>
      <c r="C9" s="7"/>
      <c r="E9" s="7"/>
      <c r="F9" s="8"/>
      <c r="G9" s="7"/>
      <c r="H9" s="2"/>
      <c r="I9" s="2"/>
      <c r="J9" s="7"/>
      <c r="K9" s="2"/>
      <c r="L9" s="2"/>
      <c r="M9" s="2"/>
      <c r="N9" s="194" t="s">
        <v>754</v>
      </c>
      <c r="P9" s="194" t="s">
        <v>755</v>
      </c>
    </row>
    <row r="10" spans="1:21" ht="15.75" customHeight="1">
      <c r="A10" s="6"/>
      <c r="B10" s="7" t="s">
        <v>754</v>
      </c>
      <c r="D10" s="7" t="s">
        <v>755</v>
      </c>
      <c r="E10" s="8"/>
      <c r="F10" s="2"/>
      <c r="G10" s="2"/>
      <c r="I10" s="2"/>
      <c r="J10" s="2"/>
      <c r="K10" s="2"/>
      <c r="L10" s="2"/>
      <c r="M10" s="2" t="s">
        <v>68</v>
      </c>
      <c r="N10" s="2" t="s">
        <v>757</v>
      </c>
      <c r="O10" s="2" t="s">
        <v>538</v>
      </c>
      <c r="P10" s="2" t="s">
        <v>757</v>
      </c>
      <c r="Q10" s="2" t="s">
        <v>538</v>
      </c>
      <c r="R10" s="2"/>
    </row>
    <row r="11" spans="1:21" ht="15.75" customHeight="1">
      <c r="A11" s="6" t="s">
        <v>68</v>
      </c>
      <c r="B11" s="6" t="s">
        <v>757</v>
      </c>
      <c r="C11" s="1" t="s">
        <v>538</v>
      </c>
      <c r="D11" s="6" t="s">
        <v>757</v>
      </c>
      <c r="E11" s="1" t="s">
        <v>538</v>
      </c>
      <c r="F11" s="1" t="s">
        <v>163</v>
      </c>
      <c r="G11" s="6" t="s">
        <v>790</v>
      </c>
      <c r="J11" s="1"/>
      <c r="K11" s="1"/>
      <c r="L11" s="6"/>
      <c r="M11" s="12" t="s">
        <v>791</v>
      </c>
      <c r="N11" s="12">
        <v>11.1761</v>
      </c>
      <c r="O11" s="12">
        <v>3.5000000000000001E-3</v>
      </c>
      <c r="P11" s="12">
        <v>33.734900000000003</v>
      </c>
      <c r="Q11" s="12">
        <v>0.29039999999999999</v>
      </c>
      <c r="R11" s="6"/>
    </row>
    <row r="12" spans="1:21" ht="15.75" customHeight="1">
      <c r="A12" s="7" t="s">
        <v>792</v>
      </c>
      <c r="B12" s="2">
        <v>10.8698</v>
      </c>
      <c r="C12" s="2">
        <v>5.5999999999999999E-3</v>
      </c>
      <c r="D12" s="2">
        <v>31.749500000000001</v>
      </c>
      <c r="E12" s="2">
        <v>0.24729999999999999</v>
      </c>
      <c r="F12" s="84">
        <f t="shared" ref="F12:F15" si="0">D12/B12</f>
        <v>2.920890908756371</v>
      </c>
      <c r="G12" s="50">
        <f t="shared" ref="G12:G15" si="1">(C12/B12/$F$4)^2+(E12/D12/$G$4)^2</f>
        <v>3.0421323238706198E-8</v>
      </c>
      <c r="I12" s="2"/>
      <c r="J12" s="84"/>
      <c r="K12" s="12"/>
      <c r="L12" s="12"/>
      <c r="M12" s="194" t="s">
        <v>793</v>
      </c>
      <c r="N12" s="194">
        <v>11.151199999999999</v>
      </c>
      <c r="O12" s="194">
        <v>2.8999999999999998E-3</v>
      </c>
      <c r="P12" s="194">
        <v>33.474699999999999</v>
      </c>
      <c r="Q12" s="194">
        <v>0.2601</v>
      </c>
      <c r="R12" s="12">
        <f>AVERAGE(N11:N12)</f>
        <v>11.163650000000001</v>
      </c>
      <c r="S12" s="12">
        <f>AVERAGE(P11:P12)</f>
        <v>33.604799999999997</v>
      </c>
      <c r="T12" s="11">
        <f>SQRT(AVERAGE(O11^2,O12^2))</f>
        <v>3.2140317359976396E-3</v>
      </c>
      <c r="U12" s="11">
        <f>SQRT(AVERAGE(Q11^2,Q12^2))</f>
        <v>0.27566661930672709</v>
      </c>
    </row>
    <row r="13" spans="1:21" ht="15.75" customHeight="1">
      <c r="A13" s="7" t="s">
        <v>791</v>
      </c>
      <c r="B13" s="12">
        <v>11.1761</v>
      </c>
      <c r="C13" s="84">
        <v>3.5000000000000001E-3</v>
      </c>
      <c r="D13" s="12">
        <v>33.734900000000003</v>
      </c>
      <c r="E13" s="84">
        <v>0.29039999999999999</v>
      </c>
      <c r="F13" s="84">
        <f t="shared" si="0"/>
        <v>3.018485876110629</v>
      </c>
      <c r="G13" s="50">
        <f t="shared" si="1"/>
        <v>3.6764222379915316E-8</v>
      </c>
      <c r="I13" s="84"/>
      <c r="J13" s="84"/>
      <c r="K13" s="12"/>
      <c r="L13" s="12"/>
      <c r="M13" s="12" t="s">
        <v>794</v>
      </c>
      <c r="N13" s="12">
        <v>11.554</v>
      </c>
      <c r="O13" s="12">
        <v>3.8999999999999998E-3</v>
      </c>
      <c r="P13" s="12">
        <v>34.679600000000001</v>
      </c>
      <c r="Q13" s="12">
        <v>0.3135</v>
      </c>
      <c r="R13" s="12">
        <f>AVERAGE(N13:N14)</f>
        <v>11.538499999999999</v>
      </c>
      <c r="S13" s="12">
        <f>AVERAGE(P13:P14)</f>
        <v>34.585499999999996</v>
      </c>
      <c r="T13" s="11">
        <f>SQRT(AVERAGE(O13^2,O14^2))</f>
        <v>7.0657625207758007E-3</v>
      </c>
      <c r="U13" s="11">
        <f>SQRT(AVERAGE(Q13^2,Q14^2))</f>
        <v>0.32200958060281376</v>
      </c>
    </row>
    <row r="14" spans="1:21" ht="15.75" customHeight="1">
      <c r="A14" s="7" t="s">
        <v>795</v>
      </c>
      <c r="B14" s="12">
        <v>12.0489</v>
      </c>
      <c r="C14" s="84">
        <v>7.1999999999999998E-3</v>
      </c>
      <c r="D14" s="12">
        <v>35.139400000000002</v>
      </c>
      <c r="E14" s="84">
        <v>0.30570000000000003</v>
      </c>
      <c r="F14" s="84">
        <f t="shared" si="0"/>
        <v>2.9163990073782671</v>
      </c>
      <c r="G14" s="50">
        <f t="shared" si="1"/>
        <v>3.7994589983258664E-8</v>
      </c>
      <c r="I14" s="84"/>
      <c r="J14" s="84"/>
      <c r="K14" s="12"/>
      <c r="L14" s="12"/>
      <c r="M14" s="194" t="s">
        <v>796</v>
      </c>
      <c r="N14" s="194">
        <v>11.523</v>
      </c>
      <c r="O14" s="194">
        <v>9.1999999999999998E-3</v>
      </c>
      <c r="P14" s="194">
        <v>34.491399999999999</v>
      </c>
      <c r="Q14" s="194">
        <v>0.33029999999999998</v>
      </c>
      <c r="R14" s="12">
        <f>AVERAGE(N15:N16)</f>
        <v>10.854700000000001</v>
      </c>
      <c r="S14" s="12">
        <f>AVERAGE(P15:P16)</f>
        <v>31.6877</v>
      </c>
      <c r="T14" s="11">
        <f>SQRT(AVERAGE(O15^2,O16^2))</f>
        <v>5.1696228102251331E-3</v>
      </c>
      <c r="U14" s="11">
        <f>SQRT(AVERAGE(Q15^2,Q16^2))</f>
        <v>0.25749425236303819</v>
      </c>
    </row>
    <row r="15" spans="1:21" ht="15.75" customHeight="1">
      <c r="A15" s="2" t="s">
        <v>794</v>
      </c>
      <c r="B15" s="12">
        <v>11.554</v>
      </c>
      <c r="C15" s="84">
        <v>3.8999999999999998E-3</v>
      </c>
      <c r="D15" s="12">
        <v>34.679600000000001</v>
      </c>
      <c r="E15" s="84">
        <v>0.3135</v>
      </c>
      <c r="F15" s="84">
        <f t="shared" si="0"/>
        <v>3.0015232819802664</v>
      </c>
      <c r="G15" s="50">
        <f t="shared" si="1"/>
        <v>4.0553230128279533E-8</v>
      </c>
      <c r="I15" s="84"/>
      <c r="J15" s="84"/>
      <c r="K15" s="12"/>
      <c r="L15" s="12"/>
      <c r="M15" s="2" t="s">
        <v>792</v>
      </c>
      <c r="N15" s="2">
        <v>10.8698</v>
      </c>
      <c r="O15" s="7">
        <v>5.5999999999999999E-3</v>
      </c>
      <c r="P15" s="2">
        <v>31.749500000000001</v>
      </c>
      <c r="Q15" s="2">
        <v>0.24729999999999999</v>
      </c>
      <c r="R15" s="12">
        <f>AVERAGE(N17:N18)</f>
        <v>12.02045</v>
      </c>
      <c r="S15" s="12">
        <f>AVERAGE(P17:P18)</f>
        <v>34.993700000000004</v>
      </c>
      <c r="T15" s="11">
        <f>SQRT(AVERAGE(O17^2,O18^2))</f>
        <v>5.2654534467603074E-3</v>
      </c>
      <c r="U15" s="11">
        <f>SQRT(AVERAGE(Q17^2,Q18^2))</f>
        <v>0.32881046972382133</v>
      </c>
    </row>
    <row r="16" spans="1:21" ht="15.75" customHeight="1">
      <c r="A16" s="7"/>
      <c r="B16" s="16"/>
      <c r="C16" s="8"/>
      <c r="D16" s="8"/>
      <c r="E16" s="8"/>
      <c r="F16" s="8"/>
      <c r="G16" s="8"/>
      <c r="I16" s="8"/>
      <c r="M16" s="194" t="s">
        <v>797</v>
      </c>
      <c r="N16" s="194">
        <v>10.839600000000001</v>
      </c>
      <c r="O16" s="194">
        <v>4.7000000000000002E-3</v>
      </c>
      <c r="P16" s="194">
        <v>31.625900000000001</v>
      </c>
      <c r="Q16" s="194">
        <v>0.26729999999999998</v>
      </c>
    </row>
    <row r="17" spans="1:18" ht="15.75" customHeight="1">
      <c r="A17" s="7" t="s">
        <v>797</v>
      </c>
      <c r="B17" s="84">
        <v>10.839600000000001</v>
      </c>
      <c r="C17" s="7">
        <v>4.7000000000000002E-3</v>
      </c>
      <c r="D17" s="7">
        <v>31.625900000000001</v>
      </c>
      <c r="E17" s="7">
        <v>0.26729999999999998</v>
      </c>
      <c r="F17" s="84">
        <f t="shared" ref="F17:F20" si="2">D17/B17</f>
        <v>2.9176261116646369</v>
      </c>
      <c r="G17" s="50">
        <f t="shared" ref="G17:G20" si="3">(C17/B17/$F$4)^2+(E17/D17/$G$4)^2</f>
        <v>3.5603028494958323E-8</v>
      </c>
      <c r="I17" s="8"/>
      <c r="M17" s="12" t="s">
        <v>795</v>
      </c>
      <c r="N17" s="12">
        <v>12.0489</v>
      </c>
      <c r="O17" s="12">
        <v>7.1999999999999998E-3</v>
      </c>
      <c r="P17" s="12">
        <v>35.139400000000002</v>
      </c>
      <c r="Q17" s="12">
        <v>0.30570000000000003</v>
      </c>
    </row>
    <row r="18" spans="1:18" ht="15.75" customHeight="1">
      <c r="A18" s="7" t="s">
        <v>796</v>
      </c>
      <c r="B18" s="84">
        <v>11.523</v>
      </c>
      <c r="C18" s="7">
        <v>9.1999999999999998E-3</v>
      </c>
      <c r="D18" s="7">
        <v>34.491399999999999</v>
      </c>
      <c r="E18" s="7">
        <v>0.33029999999999998</v>
      </c>
      <c r="F18" s="84">
        <f t="shared" si="2"/>
        <v>2.9932656426277879</v>
      </c>
      <c r="G18" s="50">
        <f t="shared" si="3"/>
        <v>4.6393359036962264E-8</v>
      </c>
      <c r="I18" s="8"/>
      <c r="M18" s="194" t="s">
        <v>798</v>
      </c>
      <c r="N18" s="194">
        <v>11.992000000000001</v>
      </c>
      <c r="O18" s="194">
        <v>1.9E-3</v>
      </c>
      <c r="P18" s="194">
        <v>34.847999999999999</v>
      </c>
      <c r="Q18" s="194">
        <v>0.35039999999999999</v>
      </c>
    </row>
    <row r="19" spans="1:18" ht="15.75" customHeight="1">
      <c r="A19" s="7" t="s">
        <v>793</v>
      </c>
      <c r="B19" s="84">
        <v>11.151199999999999</v>
      </c>
      <c r="C19" s="84">
        <v>2.8999999999999998E-3</v>
      </c>
      <c r="D19" s="7">
        <v>33.474699999999999</v>
      </c>
      <c r="E19" s="7">
        <v>0.2601</v>
      </c>
      <c r="F19" s="84">
        <f t="shared" si="2"/>
        <v>3.001892173039673</v>
      </c>
      <c r="G19" s="50">
        <f t="shared" si="3"/>
        <v>2.9931557039844391E-8</v>
      </c>
      <c r="H19" s="8"/>
      <c r="I19" s="8"/>
    </row>
    <row r="20" spans="1:18" ht="15.75" customHeight="1">
      <c r="A20" s="7" t="s">
        <v>798</v>
      </c>
      <c r="B20" s="84">
        <v>11.992000000000001</v>
      </c>
      <c r="C20" s="84">
        <v>1.9E-3</v>
      </c>
      <c r="D20" s="84">
        <v>34.847999999999999</v>
      </c>
      <c r="E20" s="7">
        <v>0.35039999999999999</v>
      </c>
      <c r="F20" s="84">
        <f t="shared" si="2"/>
        <v>2.9059372915276849</v>
      </c>
      <c r="G20" s="50">
        <f t="shared" si="3"/>
        <v>4.9971958709272209E-8</v>
      </c>
      <c r="H20" s="7" t="s">
        <v>799</v>
      </c>
      <c r="I20" s="8"/>
    </row>
    <row r="21" spans="1:18" ht="15.75" customHeight="1">
      <c r="A21" s="7"/>
      <c r="B21" s="16"/>
      <c r="C21" s="16"/>
      <c r="D21" s="8"/>
      <c r="E21" s="8"/>
      <c r="F21" s="8"/>
      <c r="G21" s="8"/>
      <c r="H21" s="8"/>
      <c r="I21" s="8"/>
    </row>
    <row r="22" spans="1:18" ht="15.75" customHeight="1">
      <c r="A22" s="17" t="s">
        <v>763</v>
      </c>
      <c r="B22" s="16"/>
      <c r="C22" s="16"/>
      <c r="D22" s="8"/>
      <c r="E22" s="8"/>
      <c r="F22" s="8"/>
      <c r="G22" s="8"/>
      <c r="H22" s="8"/>
      <c r="I22" s="8"/>
    </row>
    <row r="23" spans="1:18" ht="15.75" customHeight="1">
      <c r="A23" s="6" t="s">
        <v>68</v>
      </c>
      <c r="B23" s="139" t="s">
        <v>30</v>
      </c>
      <c r="C23" s="139" t="s">
        <v>27</v>
      </c>
      <c r="D23" s="139" t="s">
        <v>31</v>
      </c>
      <c r="E23" s="139" t="s">
        <v>0</v>
      </c>
      <c r="F23" s="1"/>
      <c r="G23" s="8"/>
      <c r="H23" s="8"/>
      <c r="I23" s="8"/>
    </row>
    <row r="24" spans="1:18" ht="15.75" customHeight="1">
      <c r="A24" s="7" t="s">
        <v>251</v>
      </c>
      <c r="B24" s="11">
        <f>D12/B12</f>
        <v>2.920890908756371</v>
      </c>
      <c r="C24" s="11">
        <f>D13/B13</f>
        <v>3.018485876110629</v>
      </c>
      <c r="D24" s="11">
        <f t="shared" ref="D24:D27" si="4">B24/C24</f>
        <v>0.96766757528115033</v>
      </c>
      <c r="E24" s="33">
        <f t="shared" ref="E24:E25" si="5">LN(1-J2)/LN(1-J2*D24)</f>
        <v>1.0376730353508914</v>
      </c>
      <c r="F24" s="49"/>
      <c r="G24" s="8"/>
      <c r="H24" s="8"/>
      <c r="I24" s="8"/>
    </row>
    <row r="25" spans="1:18" ht="15.75" customHeight="1">
      <c r="A25" s="7" t="s">
        <v>149</v>
      </c>
      <c r="B25" s="11">
        <f>D14/B14</f>
        <v>2.9163990073782671</v>
      </c>
      <c r="C25" s="16">
        <f>D15/B15</f>
        <v>3.0015232819802664</v>
      </c>
      <c r="D25" s="16">
        <f t="shared" si="4"/>
        <v>0.9716396420733947</v>
      </c>
      <c r="E25" s="26">
        <f t="shared" si="5"/>
        <v>1.0340023437451347</v>
      </c>
      <c r="F25" s="49"/>
      <c r="G25" s="8"/>
      <c r="H25" s="8"/>
      <c r="I25" s="8"/>
    </row>
    <row r="26" spans="1:18" ht="15.75" customHeight="1">
      <c r="A26" s="7" t="s">
        <v>252</v>
      </c>
      <c r="B26" s="11">
        <f>F17</f>
        <v>2.9176261116646369</v>
      </c>
      <c r="C26" s="16">
        <f>F19</f>
        <v>3.001892173039673</v>
      </c>
      <c r="D26" s="16">
        <f t="shared" si="4"/>
        <v>0.9719290179268133</v>
      </c>
      <c r="E26" s="166">
        <f t="shared" ref="E26:E27" si="6">LN(1-J2)/LN(1-J2*D26)</f>
        <v>1.0325650061201153</v>
      </c>
      <c r="F26" s="16"/>
      <c r="G26" s="8"/>
      <c r="H26" s="8"/>
      <c r="I26" s="8"/>
    </row>
    <row r="27" spans="1:18" ht="15.75" customHeight="1">
      <c r="A27" s="7" t="s">
        <v>150</v>
      </c>
      <c r="B27" s="11">
        <f>D20/B20</f>
        <v>2.9059372915276849</v>
      </c>
      <c r="C27" s="137">
        <f>D18/B18</f>
        <v>2.9932656426277879</v>
      </c>
      <c r="D27" s="84">
        <f t="shared" si="4"/>
        <v>0.9708250581383624</v>
      </c>
      <c r="E27" s="166">
        <f t="shared" si="6"/>
        <v>1.0350080861072082</v>
      </c>
      <c r="F27" s="137"/>
      <c r="G27" s="8"/>
      <c r="H27" s="8"/>
      <c r="I27" s="8"/>
    </row>
    <row r="28" spans="1:18" ht="15.75" customHeight="1">
      <c r="A28" s="7"/>
      <c r="C28" s="84"/>
      <c r="E28" s="7"/>
      <c r="F28" s="8"/>
    </row>
    <row r="29" spans="1:18" ht="15.75" customHeight="1">
      <c r="A29" s="17" t="s">
        <v>35</v>
      </c>
      <c r="C29" s="84"/>
      <c r="E29" s="7"/>
      <c r="F29" s="8"/>
      <c r="G29" s="2"/>
    </row>
    <row r="30" spans="1:18" ht="13">
      <c r="A30" s="6" t="s">
        <v>800</v>
      </c>
      <c r="B30" s="139" t="s">
        <v>163</v>
      </c>
      <c r="C30" s="6" t="s">
        <v>31</v>
      </c>
      <c r="D30" s="6" t="s">
        <v>790</v>
      </c>
      <c r="E30" s="6" t="s">
        <v>45</v>
      </c>
      <c r="H30" s="2"/>
      <c r="I30" s="2"/>
      <c r="J30" s="7"/>
      <c r="K30" s="2"/>
      <c r="L30" s="2"/>
      <c r="M30" s="2"/>
    </row>
    <row r="31" spans="1:18" ht="13">
      <c r="A31" s="2" t="s">
        <v>731</v>
      </c>
      <c r="B31" s="11">
        <f>AVERAGE(F12,F17)</f>
        <v>2.9192585102105042</v>
      </c>
      <c r="C31" s="11">
        <f>B31/B33</f>
        <v>0.97185782489291772</v>
      </c>
      <c r="D31" s="34">
        <f>AVERAGE(G12,G17)</f>
        <v>3.3012175866832261E-8</v>
      </c>
      <c r="E31" s="20">
        <f>D31+D33</f>
        <v>7.4249113048551298E-8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3">
      <c r="A32" s="2" t="s">
        <v>732</v>
      </c>
      <c r="B32" s="84">
        <f>AVERAGE(F14,F20)</f>
        <v>2.9111681494529762</v>
      </c>
      <c r="C32" s="12">
        <f>B32/B33</f>
        <v>0.96916444217915343</v>
      </c>
      <c r="D32" s="20">
        <f>AVERAGE(G14,H20)</f>
        <v>3.7994589983258664E-8</v>
      </c>
      <c r="E32" s="20">
        <f>D32+D33</f>
        <v>7.9231527164977701E-8</v>
      </c>
      <c r="H32" s="1"/>
      <c r="I32" s="6"/>
      <c r="J32" s="1"/>
      <c r="K32" s="1"/>
      <c r="L32" s="6"/>
      <c r="M32" s="1"/>
      <c r="N32" s="1"/>
      <c r="O32" s="6"/>
      <c r="P32" s="1"/>
      <c r="Q32" s="1"/>
      <c r="R32" s="6"/>
    </row>
    <row r="33" spans="1:18" ht="13">
      <c r="A33" s="2" t="s">
        <v>26</v>
      </c>
      <c r="B33" s="12">
        <f>AVERAGE(F13,F15,F18,F19)</f>
        <v>3.0037917434395891</v>
      </c>
      <c r="C33" s="84" t="s">
        <v>321</v>
      </c>
      <c r="D33" s="50">
        <f>AVERAGE(G13,G15,G18,H19)</f>
        <v>4.1236937181719038E-8</v>
      </c>
      <c r="E33" s="84" t="s">
        <v>321</v>
      </c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</row>
    <row r="34" spans="1:18" ht="13">
      <c r="A34" s="2"/>
      <c r="B34" s="7"/>
      <c r="C34" s="12"/>
      <c r="D34" s="84"/>
      <c r="E34" s="12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</row>
    <row r="35" spans="1:18" ht="13">
      <c r="A35" s="9" t="s">
        <v>551</v>
      </c>
    </row>
    <row r="36" spans="1:18" ht="13">
      <c r="B36" s="2" t="s">
        <v>731</v>
      </c>
      <c r="C36" s="2" t="s">
        <v>732</v>
      </c>
      <c r="F36" s="8"/>
    </row>
    <row r="37" spans="1:18" ht="13">
      <c r="A37" s="2" t="s">
        <v>9</v>
      </c>
      <c r="B37" s="5">
        <f>J2</f>
        <v>0.21</v>
      </c>
      <c r="C37" s="5">
        <f>J3</f>
        <v>0.25800000000000001</v>
      </c>
      <c r="D37" s="2"/>
      <c r="F37" s="2"/>
      <c r="G37" s="8"/>
    </row>
    <row r="38" spans="1:18" ht="13">
      <c r="A38" s="2" t="s">
        <v>31</v>
      </c>
      <c r="B38" s="11">
        <f>C31</f>
        <v>0.97185782489291772</v>
      </c>
      <c r="C38" s="11">
        <f>C32</f>
        <v>0.96916444217915343</v>
      </c>
      <c r="D38" s="2"/>
      <c r="F38" s="2"/>
      <c r="G38" s="8"/>
    </row>
    <row r="39" spans="1:18" ht="13">
      <c r="A39" s="2" t="s">
        <v>45</v>
      </c>
      <c r="B39" s="18">
        <f>E31</f>
        <v>7.4249113048551298E-8</v>
      </c>
      <c r="C39" s="18">
        <f>E32</f>
        <v>7.9231527164977701E-8</v>
      </c>
      <c r="D39" s="2"/>
      <c r="F39" s="2"/>
      <c r="G39" s="8"/>
    </row>
    <row r="40" spans="1:18" ht="13">
      <c r="A40" s="2"/>
      <c r="D40" s="2"/>
      <c r="F40" s="2"/>
      <c r="G40" s="8"/>
    </row>
    <row r="41" spans="1:18" ht="13">
      <c r="A41" s="7" t="s">
        <v>47</v>
      </c>
      <c r="B41" s="11">
        <f t="shared" ref="B41:C41" si="7">B38*LN(1-B37)</f>
        <v>-0.22908859433446985</v>
      </c>
      <c r="C41" s="11">
        <f t="shared" si="7"/>
        <v>-0.28920451924330109</v>
      </c>
      <c r="D41" s="7" t="s">
        <v>49</v>
      </c>
      <c r="F41" s="2"/>
      <c r="G41" s="8"/>
    </row>
    <row r="42" spans="1:18" ht="13">
      <c r="A42" s="7" t="s">
        <v>50</v>
      </c>
      <c r="B42" s="11">
        <f t="shared" ref="B42:C42" si="8">1-B37*B38</f>
        <v>0.79590985677248727</v>
      </c>
      <c r="C42" s="11">
        <f t="shared" si="8"/>
        <v>0.74995557391777834</v>
      </c>
      <c r="D42" s="7" t="s">
        <v>51</v>
      </c>
      <c r="F42" s="2"/>
      <c r="G42" s="8"/>
    </row>
    <row r="43" spans="1:18" ht="13">
      <c r="A43" s="7" t="s">
        <v>52</v>
      </c>
      <c r="B43" s="11">
        <f t="shared" ref="B43:C43" si="9">LN(B42)</f>
        <v>-0.22826934481117711</v>
      </c>
      <c r="C43" s="11">
        <f t="shared" si="9"/>
        <v>-0.28774130898252515</v>
      </c>
      <c r="D43" s="7" t="s">
        <v>53</v>
      </c>
      <c r="F43" s="2"/>
      <c r="G43" s="8"/>
    </row>
    <row r="44" spans="1:18" ht="13">
      <c r="A44" s="7" t="s">
        <v>54</v>
      </c>
      <c r="B44" s="11">
        <f t="shared" ref="B44:C44" si="10">B42*B43^2</f>
        <v>4.1472390365716122E-2</v>
      </c>
      <c r="C44" s="11">
        <f t="shared" si="10"/>
        <v>6.2092617411049891E-2</v>
      </c>
      <c r="D44" s="7" t="s">
        <v>55</v>
      </c>
      <c r="F44" s="2"/>
      <c r="G44" s="8"/>
    </row>
    <row r="45" spans="1:18" ht="13">
      <c r="A45" s="7" t="s">
        <v>56</v>
      </c>
      <c r="B45" s="11">
        <f t="shared" ref="B45:C45" si="11">(1-B37)*B43</f>
        <v>-0.18033278240082992</v>
      </c>
      <c r="C45" s="11">
        <f t="shared" si="11"/>
        <v>-0.21350405126503366</v>
      </c>
      <c r="D45" s="7" t="s">
        <v>57</v>
      </c>
      <c r="G45" s="8"/>
    </row>
    <row r="46" spans="1:18" ht="13">
      <c r="A46" s="7" t="s">
        <v>58</v>
      </c>
      <c r="B46" s="18">
        <f t="shared" ref="B46:C46" si="12">B37^2*LN(1-B37)^2*B39</f>
        <v>1.8194131236818711E-10</v>
      </c>
      <c r="C46" s="18">
        <f t="shared" si="12"/>
        <v>4.6962655429768832E-10</v>
      </c>
      <c r="D46" s="7" t="s">
        <v>59</v>
      </c>
      <c r="G46" s="8"/>
    </row>
    <row r="47" spans="1:18" ht="13">
      <c r="A47" s="7" t="s">
        <v>60</v>
      </c>
      <c r="B47" s="11">
        <f t="shared" ref="B47:C47" si="13">B42^2*B43^4</f>
        <v>1.7199591626463431E-3</v>
      </c>
      <c r="C47" s="11">
        <f t="shared" si="13"/>
        <v>3.8554931369550161E-3</v>
      </c>
      <c r="D47" s="7" t="s">
        <v>61</v>
      </c>
      <c r="G47" s="8"/>
    </row>
    <row r="48" spans="1:18" ht="13">
      <c r="A48" s="2" t="s">
        <v>62</v>
      </c>
      <c r="B48" s="18">
        <f t="shared" ref="B48:C48" si="14">(B41/B44-1/B45)^2*$J$4^2</f>
        <v>1.1471865192525953E-6</v>
      </c>
      <c r="C48" s="18">
        <f t="shared" si="14"/>
        <v>1.7057089577448039E-6</v>
      </c>
      <c r="D48" s="7" t="s">
        <v>63</v>
      </c>
    </row>
    <row r="49" spans="1:12" ht="13">
      <c r="A49" s="2" t="s">
        <v>64</v>
      </c>
      <c r="B49" s="18">
        <f t="shared" ref="B49:C49" si="15">B46/B47</f>
        <v>1.057823443251122E-7</v>
      </c>
      <c r="C49" s="18">
        <f t="shared" si="15"/>
        <v>1.2180713014278352E-7</v>
      </c>
      <c r="D49" s="2" t="s">
        <v>65</v>
      </c>
    </row>
    <row r="50" spans="1:12" ht="13">
      <c r="A50" s="2"/>
    </row>
    <row r="51" spans="1:12" ht="13">
      <c r="A51" s="17" t="s">
        <v>572</v>
      </c>
      <c r="C51" s="4"/>
      <c r="E51" s="4"/>
      <c r="F51" s="4"/>
      <c r="H51" s="2"/>
      <c r="J51" s="181"/>
    </row>
    <row r="52" spans="1:12" ht="13">
      <c r="A52" s="7" t="s">
        <v>0</v>
      </c>
      <c r="B52" s="211">
        <f>LN(1-J2)/LN(1-J2*C31)</f>
        <v>1.032649976351655</v>
      </c>
      <c r="C52" s="211">
        <f>LN(1-J3)/LN(1-J3*C32)</f>
        <v>1.0370635932322083</v>
      </c>
      <c r="D52" s="2" t="s">
        <v>739</v>
      </c>
      <c r="E52" s="5"/>
      <c r="F52" s="5"/>
    </row>
    <row r="53" spans="1:12" ht="13">
      <c r="A53" s="2" t="s">
        <v>577</v>
      </c>
      <c r="B53" s="5">
        <f t="shared" ref="B53:C53" si="16">SQRT(B48+B49)</f>
        <v>1.1193609174782312E-3</v>
      </c>
      <c r="C53" s="5">
        <f t="shared" si="16"/>
        <v>1.3518565337666522E-3</v>
      </c>
      <c r="D53" s="2" t="s">
        <v>40</v>
      </c>
    </row>
    <row r="54" spans="1:12" ht="13">
      <c r="D54" s="11"/>
      <c r="E54" s="2"/>
      <c r="F54" s="5"/>
      <c r="G54" s="2"/>
      <c r="H54" s="8"/>
      <c r="I54" s="8"/>
    </row>
    <row r="55" spans="1:12" ht="13">
      <c r="A55" s="2"/>
      <c r="C55" s="2"/>
      <c r="G55" s="2"/>
      <c r="H55" s="8"/>
      <c r="I55" s="8"/>
    </row>
    <row r="56" spans="1:12" ht="13">
      <c r="A56" s="2"/>
    </row>
    <row r="57" spans="1:12" ht="13">
      <c r="A57" s="2"/>
      <c r="G57" s="8"/>
      <c r="H57" s="8"/>
      <c r="I57" s="7"/>
      <c r="J57" s="2"/>
    </row>
    <row r="58" spans="1:12" ht="13">
      <c r="A58" s="6"/>
      <c r="B58" s="7"/>
      <c r="C58" s="6"/>
      <c r="D58" s="6"/>
      <c r="G58" s="8"/>
      <c r="H58" s="6"/>
      <c r="I58" s="6"/>
      <c r="J58" s="6"/>
    </row>
    <row r="59" spans="1:12" ht="14">
      <c r="A59" s="6"/>
      <c r="B59" s="84"/>
      <c r="C59" s="16"/>
      <c r="D59" s="16"/>
      <c r="E59" s="32"/>
      <c r="G59" s="6"/>
      <c r="H59" s="16"/>
      <c r="I59" s="16"/>
      <c r="J59" s="16"/>
      <c r="K59" s="32"/>
      <c r="L59" s="32"/>
    </row>
    <row r="60" spans="1:12" ht="14">
      <c r="A60" s="6"/>
      <c r="B60" s="2"/>
      <c r="C60" s="16"/>
      <c r="D60" s="16"/>
      <c r="E60" s="16"/>
      <c r="F60" s="16"/>
      <c r="G60" s="7"/>
      <c r="H60" s="8"/>
      <c r="I60" s="8"/>
      <c r="J60" s="16"/>
      <c r="K60" s="32"/>
      <c r="L60" s="32"/>
    </row>
    <row r="61" spans="1:12" ht="13">
      <c r="A61" s="6"/>
      <c r="B61" s="2"/>
      <c r="C61" s="16"/>
      <c r="D61" s="16"/>
      <c r="E61" s="16"/>
      <c r="F61" s="16"/>
      <c r="G61" s="7"/>
      <c r="H61" s="8"/>
      <c r="I61" s="8"/>
      <c r="J61" s="16"/>
    </row>
    <row r="62" spans="1:12" ht="14">
      <c r="A62" s="6"/>
      <c r="B62" s="2"/>
      <c r="C62" s="16"/>
      <c r="D62" s="16"/>
      <c r="E62" s="16"/>
      <c r="F62" s="16"/>
      <c r="G62" s="7"/>
      <c r="H62" s="8"/>
      <c r="I62" s="8"/>
      <c r="J62" s="16"/>
      <c r="K62" s="32"/>
      <c r="L62" s="2"/>
    </row>
    <row r="63" spans="1:12" ht="14">
      <c r="A63" s="1"/>
      <c r="C63" s="8"/>
      <c r="D63" s="8"/>
      <c r="E63" s="8"/>
      <c r="G63" s="7"/>
      <c r="H63" s="8"/>
      <c r="I63" s="8"/>
      <c r="J63" s="11"/>
      <c r="K63" s="32"/>
      <c r="L63" s="27"/>
    </row>
    <row r="64" spans="1:12" ht="14">
      <c r="B64" s="7"/>
      <c r="C64" s="16"/>
      <c r="D64" s="16"/>
      <c r="E64" s="16"/>
      <c r="F64" s="16"/>
      <c r="G64" s="7"/>
      <c r="I64" s="8"/>
      <c r="K64" s="32"/>
      <c r="L64" s="2"/>
    </row>
    <row r="65" spans="1:12" ht="14">
      <c r="B65" s="7"/>
      <c r="C65" s="84"/>
      <c r="D65" s="84"/>
      <c r="E65" s="84"/>
      <c r="F65" s="84"/>
      <c r="G65" s="7"/>
      <c r="J65" s="8"/>
      <c r="K65" s="32"/>
      <c r="L65" s="2"/>
    </row>
    <row r="66" spans="1:12" ht="13">
      <c r="B66" s="2"/>
      <c r="C66" s="11"/>
      <c r="D66" s="11"/>
      <c r="E66" s="11"/>
      <c r="F66" s="11"/>
      <c r="G66" s="2"/>
      <c r="H66" s="2"/>
      <c r="J66" s="6"/>
    </row>
    <row r="67" spans="1:12" ht="13">
      <c r="A67" s="6"/>
      <c r="G67" s="2"/>
      <c r="H67" s="2"/>
      <c r="J67" s="34"/>
    </row>
    <row r="68" spans="1:12" ht="13">
      <c r="A68" s="6"/>
      <c r="B68" s="2"/>
      <c r="C68" s="18"/>
      <c r="D68" s="18"/>
      <c r="E68" s="18"/>
      <c r="F68" s="18"/>
      <c r="G68" s="2"/>
      <c r="H68" s="2"/>
      <c r="I68" s="99"/>
      <c r="J68" s="34"/>
    </row>
    <row r="69" spans="1:12" ht="13">
      <c r="B69" s="2"/>
      <c r="C69" s="18"/>
      <c r="D69" s="18"/>
      <c r="E69" s="18"/>
      <c r="F69" s="18"/>
      <c r="G69" s="2"/>
      <c r="H69" s="2"/>
    </row>
    <row r="70" spans="1:12" ht="13">
      <c r="A70" s="7"/>
      <c r="B70" s="2"/>
      <c r="C70" s="18"/>
      <c r="D70" s="18"/>
      <c r="E70" s="18"/>
      <c r="F70" s="18"/>
      <c r="G70" s="2"/>
      <c r="H70" s="2"/>
    </row>
    <row r="71" spans="1:12" ht="13">
      <c r="A71" s="7"/>
      <c r="B71" s="8"/>
      <c r="C71" s="8"/>
      <c r="D71" s="8"/>
      <c r="E71" s="8"/>
      <c r="F71" s="8"/>
      <c r="G71" s="8"/>
      <c r="H71" s="8"/>
      <c r="I71" s="8"/>
    </row>
    <row r="72" spans="1:12" ht="13">
      <c r="B72" s="7"/>
      <c r="C72" s="5"/>
      <c r="D72" s="5"/>
      <c r="E72" s="5"/>
      <c r="F72" s="5"/>
      <c r="G72" s="27"/>
      <c r="H72" s="8"/>
      <c r="I72" s="8"/>
    </row>
    <row r="73" spans="1:12" ht="13">
      <c r="A73" s="7"/>
      <c r="B73" s="16"/>
      <c r="D73" s="1"/>
      <c r="E73" s="1"/>
      <c r="F73" s="6"/>
      <c r="G73" s="8"/>
      <c r="H73" s="8"/>
      <c r="I73" s="8"/>
    </row>
    <row r="74" spans="1:12" ht="13">
      <c r="A74" s="7"/>
      <c r="B74" s="16"/>
      <c r="D74" s="16"/>
      <c r="E74" s="16"/>
      <c r="F74" s="7"/>
      <c r="G74" s="8"/>
    </row>
    <row r="75" spans="1:12" ht="13">
      <c r="A75" s="7"/>
      <c r="B75" s="16"/>
      <c r="D75" s="16"/>
      <c r="E75" s="16"/>
      <c r="F75" s="7"/>
      <c r="G75" s="8"/>
    </row>
    <row r="76" spans="1:12" ht="13">
      <c r="A76" s="7"/>
      <c r="B76" s="16"/>
      <c r="D76" s="16"/>
      <c r="E76" s="16"/>
      <c r="F76" s="7"/>
      <c r="G76" s="8"/>
    </row>
    <row r="77" spans="1:12" ht="13">
      <c r="A77" s="7"/>
      <c r="B77" s="16"/>
      <c r="C77" s="16"/>
      <c r="D77" s="16"/>
      <c r="E77" s="16"/>
      <c r="F77" s="2"/>
      <c r="G77" s="8"/>
      <c r="H77" s="8"/>
      <c r="I77" s="8"/>
      <c r="J77" s="8"/>
    </row>
    <row r="78" spans="1:12" ht="13">
      <c r="A78" s="8"/>
      <c r="B78" s="8"/>
      <c r="C78" s="8"/>
      <c r="D78" s="8"/>
      <c r="E78" s="27"/>
      <c r="F78" s="2"/>
      <c r="I78" s="8"/>
      <c r="J78" s="8"/>
    </row>
    <row r="79" spans="1:12" ht="13">
      <c r="A79" s="7"/>
      <c r="B79" s="16"/>
      <c r="C79" s="16"/>
      <c r="D79" s="16"/>
      <c r="E79" s="16"/>
      <c r="F79" s="7"/>
      <c r="G79" s="8"/>
    </row>
    <row r="80" spans="1:12" ht="13">
      <c r="A80" s="7"/>
      <c r="B80" s="16"/>
      <c r="C80" s="16"/>
      <c r="D80" s="16"/>
      <c r="E80" s="16"/>
      <c r="F80" s="2"/>
      <c r="G80" s="8"/>
      <c r="H80" s="8"/>
      <c r="I80" s="8"/>
      <c r="J80" s="8"/>
    </row>
    <row r="82" spans="1:10" ht="13">
      <c r="A82" s="1"/>
    </row>
    <row r="84" spans="1:10" ht="13">
      <c r="A84" s="1"/>
      <c r="B84" s="2"/>
      <c r="C84" s="2"/>
      <c r="D84" s="2"/>
      <c r="G84" s="2"/>
      <c r="H84" s="2"/>
    </row>
    <row r="85" spans="1:10" ht="13">
      <c r="A85" s="2"/>
      <c r="B85" s="2"/>
      <c r="C85" s="2"/>
      <c r="D85" s="2"/>
      <c r="E85" s="6"/>
      <c r="F85" s="2"/>
      <c r="G85" s="2"/>
      <c r="H85" s="2"/>
    </row>
    <row r="86" spans="1:10" ht="13">
      <c r="E86" s="1"/>
      <c r="F86" s="2"/>
    </row>
    <row r="87" spans="1:10" ht="13">
      <c r="A87" s="6"/>
      <c r="B87" s="7"/>
      <c r="D87" s="8"/>
      <c r="E87" s="6"/>
      <c r="F87" s="7"/>
      <c r="G87" s="8"/>
      <c r="H87" s="8"/>
      <c r="I87" s="8"/>
    </row>
    <row r="88" spans="1:10" ht="13">
      <c r="A88" s="7"/>
      <c r="B88" s="8"/>
      <c r="C88" s="8"/>
      <c r="D88" s="8"/>
      <c r="E88" s="8"/>
      <c r="F88" s="8"/>
      <c r="G88" s="8"/>
      <c r="H88" s="8"/>
      <c r="I88" s="8"/>
    </row>
    <row r="89" spans="1:10" ht="13">
      <c r="A89" s="7"/>
      <c r="B89" s="8"/>
      <c r="C89" s="8"/>
      <c r="D89" s="7"/>
      <c r="E89" s="7"/>
      <c r="F89" s="8"/>
      <c r="G89" s="8"/>
      <c r="H89" s="8"/>
      <c r="I89" s="7"/>
      <c r="J89" s="2"/>
    </row>
    <row r="90" spans="1:10" ht="13">
      <c r="A90" s="6"/>
      <c r="B90" s="6"/>
      <c r="C90" s="6"/>
      <c r="D90" s="6"/>
      <c r="E90" s="6"/>
      <c r="G90" s="8"/>
      <c r="H90" s="6"/>
      <c r="I90" s="6"/>
      <c r="J90" s="6"/>
    </row>
    <row r="91" spans="1:10" ht="14">
      <c r="A91" s="7"/>
      <c r="B91" s="15"/>
      <c r="C91" s="15"/>
      <c r="D91" s="15"/>
      <c r="E91" s="15"/>
      <c r="G91" s="6"/>
      <c r="H91" s="16"/>
      <c r="I91" s="16"/>
      <c r="J91" s="16"/>
    </row>
    <row r="92" spans="1:10" ht="14">
      <c r="A92" s="7"/>
      <c r="B92" s="15"/>
      <c r="C92" s="15"/>
      <c r="D92" s="15"/>
      <c r="E92" s="15"/>
      <c r="G92" s="6"/>
      <c r="H92" s="16"/>
      <c r="I92" s="16"/>
      <c r="J92" s="16"/>
    </row>
    <row r="93" spans="1:10" ht="13">
      <c r="A93" s="8"/>
      <c r="B93" s="8"/>
      <c r="C93" s="8"/>
      <c r="D93" s="8"/>
      <c r="E93" s="8"/>
      <c r="G93" s="6"/>
      <c r="H93" s="16"/>
      <c r="I93" s="16"/>
      <c r="J93" s="16"/>
    </row>
    <row r="94" spans="1:10" ht="13">
      <c r="A94" s="7"/>
      <c r="B94" s="8"/>
      <c r="C94" s="8"/>
      <c r="D94" s="8"/>
      <c r="E94" s="8"/>
      <c r="G94" s="6"/>
      <c r="H94" s="16"/>
      <c r="I94" s="16"/>
      <c r="J94" s="16"/>
    </row>
    <row r="95" spans="1:10" ht="13">
      <c r="A95" s="6"/>
      <c r="B95" s="6"/>
      <c r="C95" s="6"/>
      <c r="D95" s="6"/>
      <c r="E95" s="6"/>
      <c r="G95" s="1"/>
      <c r="H95" s="11"/>
      <c r="I95" s="11"/>
      <c r="J95" s="11"/>
    </row>
    <row r="96" spans="1:10" ht="14">
      <c r="A96" s="7"/>
      <c r="B96" s="15"/>
      <c r="C96" s="15"/>
      <c r="D96" s="15"/>
      <c r="E96" s="15"/>
    </row>
    <row r="97" spans="1:10" ht="14">
      <c r="A97" s="7"/>
      <c r="B97" s="15"/>
      <c r="C97" s="15"/>
      <c r="D97" s="15"/>
      <c r="E97" s="15"/>
      <c r="J97" s="8"/>
    </row>
    <row r="98" spans="1:10" ht="13">
      <c r="A98" s="7"/>
      <c r="B98" s="11"/>
      <c r="C98" s="11"/>
      <c r="D98" s="11"/>
      <c r="E98" s="8"/>
      <c r="H98" s="6"/>
      <c r="I98" s="6"/>
      <c r="J98" s="6"/>
    </row>
    <row r="99" spans="1:10" ht="13">
      <c r="A99" s="7"/>
      <c r="B99" s="11"/>
      <c r="C99" s="11"/>
      <c r="D99" s="11"/>
      <c r="E99" s="11"/>
      <c r="G99" s="6"/>
      <c r="H99" s="34"/>
      <c r="I99" s="34"/>
      <c r="J99" s="34"/>
    </row>
    <row r="100" spans="1:10" ht="13">
      <c r="A100" s="7"/>
      <c r="B100" s="11"/>
      <c r="C100" s="11"/>
      <c r="D100" s="11"/>
      <c r="E100" s="11"/>
      <c r="G100" s="6"/>
      <c r="H100" s="34"/>
      <c r="I100" s="34"/>
      <c r="J100" s="34"/>
    </row>
    <row r="101" spans="1:10" ht="13">
      <c r="A101" s="7"/>
      <c r="B101" s="8"/>
      <c r="C101" s="8"/>
      <c r="D101" s="8"/>
      <c r="E101" s="8"/>
      <c r="G101" s="7"/>
    </row>
    <row r="102" spans="1:10" ht="13">
      <c r="A102" s="7"/>
      <c r="B102" s="8"/>
      <c r="C102" s="8"/>
      <c r="D102" s="8"/>
      <c r="E102" s="8"/>
      <c r="F102" s="8"/>
    </row>
    <row r="103" spans="1:10" ht="13">
      <c r="A103" s="7"/>
      <c r="B103" s="8"/>
      <c r="C103" s="8"/>
      <c r="D103" s="8"/>
      <c r="E103" s="8"/>
      <c r="F103" s="8"/>
      <c r="G103" s="8"/>
      <c r="H103" s="8"/>
      <c r="I103" s="8"/>
    </row>
    <row r="104" spans="1:10" ht="13">
      <c r="A104" s="7"/>
      <c r="B104" s="8"/>
      <c r="C104" s="8"/>
      <c r="D104" s="7"/>
      <c r="E104" s="7"/>
      <c r="F104" s="8"/>
      <c r="G104" s="8"/>
      <c r="H104" s="8"/>
      <c r="I104" s="8"/>
    </row>
    <row r="105" spans="1:10" ht="13">
      <c r="B105" s="1"/>
      <c r="C105" s="13"/>
      <c r="D105" s="1"/>
      <c r="E105" s="1"/>
      <c r="F105" s="6"/>
      <c r="G105" s="8"/>
      <c r="H105" s="8"/>
      <c r="I105" s="8"/>
    </row>
    <row r="106" spans="1:10" ht="13">
      <c r="A106" s="7"/>
      <c r="B106" s="16"/>
      <c r="C106" s="16"/>
      <c r="D106" s="16"/>
      <c r="E106" s="16"/>
      <c r="F106" s="7"/>
      <c r="G106" s="8"/>
    </row>
    <row r="107" spans="1:10" ht="13">
      <c r="A107" s="7"/>
      <c r="B107" s="16"/>
      <c r="C107" s="16"/>
      <c r="D107" s="16"/>
      <c r="E107" s="16"/>
      <c r="F107" s="7"/>
      <c r="G107" s="8"/>
    </row>
    <row r="108" spans="1:10" ht="13">
      <c r="A108" s="7"/>
      <c r="B108" s="16"/>
      <c r="C108" s="16"/>
      <c r="D108" s="16"/>
      <c r="E108" s="16"/>
      <c r="F108" s="7"/>
      <c r="G108" s="8"/>
    </row>
    <row r="109" spans="1:10" ht="13">
      <c r="A109" s="7"/>
      <c r="B109" s="16"/>
      <c r="C109" s="16"/>
      <c r="D109" s="16"/>
      <c r="E109" s="16"/>
      <c r="F109" s="2"/>
      <c r="G109" s="8"/>
      <c r="H109" s="8"/>
      <c r="I109" s="8"/>
      <c r="J109" s="8"/>
    </row>
    <row r="113" spans="1:10" ht="13">
      <c r="A113" s="1"/>
    </row>
    <row r="115" spans="1:10" ht="13">
      <c r="A115" s="1"/>
      <c r="B115" s="2"/>
      <c r="C115" s="2"/>
      <c r="D115" s="2"/>
      <c r="G115" s="2"/>
      <c r="H115" s="2"/>
    </row>
    <row r="116" spans="1:10" ht="13">
      <c r="A116" s="2"/>
      <c r="B116" s="2"/>
      <c r="C116" s="2"/>
      <c r="D116" s="2"/>
      <c r="E116" s="6"/>
      <c r="F116" s="2"/>
      <c r="G116" s="2"/>
      <c r="H116" s="2"/>
    </row>
    <row r="117" spans="1:10" ht="13">
      <c r="E117" s="1"/>
      <c r="F117" s="2"/>
    </row>
    <row r="118" spans="1:10" ht="13">
      <c r="A118" s="6"/>
      <c r="B118" s="7"/>
      <c r="D118" s="8"/>
      <c r="E118" s="6"/>
      <c r="F118" s="7"/>
      <c r="G118" s="8"/>
      <c r="H118" s="8"/>
      <c r="I118" s="8"/>
    </row>
    <row r="119" spans="1:10" ht="13">
      <c r="A119" s="7"/>
      <c r="B119" s="8"/>
      <c r="C119" s="8"/>
      <c r="D119" s="8"/>
      <c r="E119" s="8"/>
      <c r="F119" s="8"/>
      <c r="G119" s="8"/>
      <c r="H119" s="8"/>
      <c r="I119" s="8"/>
    </row>
    <row r="120" spans="1:10" ht="13">
      <c r="A120" s="7"/>
      <c r="B120" s="8"/>
      <c r="C120" s="8"/>
      <c r="D120" s="7"/>
      <c r="E120" s="7"/>
      <c r="F120" s="8"/>
      <c r="G120" s="8"/>
      <c r="H120" s="8"/>
      <c r="I120" s="7"/>
      <c r="J120" s="2"/>
    </row>
    <row r="121" spans="1:10" ht="13">
      <c r="A121" s="6"/>
      <c r="B121" s="6"/>
      <c r="C121" s="6"/>
      <c r="D121" s="6"/>
      <c r="E121" s="6"/>
      <c r="G121" s="8"/>
      <c r="H121" s="6"/>
      <c r="I121" s="6"/>
      <c r="J121" s="6"/>
    </row>
    <row r="122" spans="1:10" ht="14">
      <c r="A122" s="7"/>
      <c r="B122" s="15"/>
      <c r="C122" s="15"/>
      <c r="D122" s="15"/>
      <c r="E122" s="15"/>
      <c r="G122" s="6"/>
      <c r="H122" s="16"/>
      <c r="I122" s="16"/>
      <c r="J122" s="16"/>
    </row>
    <row r="123" spans="1:10" ht="14">
      <c r="A123" s="7"/>
      <c r="B123" s="15"/>
      <c r="C123" s="15"/>
      <c r="D123" s="15"/>
      <c r="E123" s="15"/>
      <c r="G123" s="6"/>
      <c r="H123" s="16"/>
      <c r="I123" s="16"/>
      <c r="J123" s="16"/>
    </row>
    <row r="124" spans="1:10" ht="13">
      <c r="A124" s="8"/>
      <c r="B124" s="8"/>
      <c r="C124" s="8"/>
      <c r="D124" s="8"/>
      <c r="E124" s="8"/>
      <c r="G124" s="6"/>
      <c r="H124" s="16"/>
      <c r="I124" s="16"/>
      <c r="J124" s="16"/>
    </row>
    <row r="125" spans="1:10" ht="13">
      <c r="A125" s="7"/>
      <c r="B125" s="8"/>
      <c r="C125" s="8"/>
      <c r="D125" s="8"/>
      <c r="E125" s="8"/>
      <c r="G125" s="6"/>
      <c r="H125" s="16"/>
      <c r="I125" s="16"/>
      <c r="J125" s="16"/>
    </row>
    <row r="126" spans="1:10" ht="13">
      <c r="A126" s="6"/>
      <c r="B126" s="6"/>
      <c r="C126" s="6"/>
      <c r="D126" s="6"/>
      <c r="E126" s="6"/>
      <c r="G126" s="1"/>
      <c r="H126" s="11"/>
      <c r="I126" s="11"/>
      <c r="J126" s="11"/>
    </row>
    <row r="127" spans="1:10" ht="14">
      <c r="A127" s="7"/>
      <c r="B127" s="15"/>
      <c r="C127" s="15"/>
      <c r="D127" s="15"/>
      <c r="E127" s="15"/>
    </row>
    <row r="128" spans="1:10" ht="14">
      <c r="A128" s="7"/>
      <c r="B128" s="15"/>
      <c r="C128" s="15"/>
      <c r="D128" s="15"/>
      <c r="E128" s="15"/>
      <c r="J128" s="8"/>
    </row>
    <row r="129" spans="1:10" ht="13">
      <c r="A129" s="7"/>
      <c r="B129" s="11"/>
      <c r="C129" s="11"/>
      <c r="D129" s="11"/>
      <c r="E129" s="8"/>
      <c r="H129" s="6"/>
      <c r="I129" s="6"/>
      <c r="J129" s="6"/>
    </row>
    <row r="130" spans="1:10" ht="13">
      <c r="A130" s="7"/>
      <c r="B130" s="11"/>
      <c r="C130" s="11"/>
      <c r="D130" s="11"/>
      <c r="E130" s="11"/>
      <c r="G130" s="6"/>
      <c r="H130" s="34"/>
      <c r="I130" s="34"/>
      <c r="J130" s="34"/>
    </row>
    <row r="131" spans="1:10" ht="13">
      <c r="A131" s="7"/>
      <c r="B131" s="11"/>
      <c r="C131" s="11"/>
      <c r="D131" s="11"/>
      <c r="E131" s="11"/>
      <c r="G131" s="6"/>
      <c r="H131" s="34"/>
      <c r="I131" s="34"/>
      <c r="J131" s="34"/>
    </row>
    <row r="132" spans="1:10" ht="13">
      <c r="A132" s="7"/>
      <c r="B132" s="8"/>
      <c r="C132" s="8"/>
      <c r="D132" s="8"/>
      <c r="E132" s="8"/>
      <c r="G132" s="7"/>
    </row>
    <row r="133" spans="1:10" ht="13">
      <c r="A133" s="7"/>
      <c r="B133" s="8"/>
      <c r="C133" s="8"/>
      <c r="D133" s="8"/>
      <c r="E133" s="8"/>
      <c r="F133" s="8"/>
    </row>
    <row r="134" spans="1:10" ht="13">
      <c r="A134" s="7"/>
      <c r="B134" s="8"/>
      <c r="C134" s="8"/>
      <c r="D134" s="8"/>
      <c r="E134" s="8"/>
      <c r="F134" s="8"/>
      <c r="G134" s="8"/>
      <c r="H134" s="8"/>
      <c r="I134" s="8"/>
    </row>
    <row r="135" spans="1:10" ht="13">
      <c r="A135" s="7"/>
      <c r="B135" s="8"/>
      <c r="C135" s="8"/>
      <c r="D135" s="7"/>
      <c r="E135" s="7"/>
      <c r="F135" s="8"/>
      <c r="G135" s="8"/>
      <c r="H135" s="8"/>
      <c r="I135" s="8"/>
    </row>
    <row r="136" spans="1:10" ht="13">
      <c r="B136" s="1"/>
      <c r="C136" s="13"/>
      <c r="D136" s="1"/>
      <c r="E136" s="1"/>
      <c r="F136" s="6"/>
      <c r="G136" s="8"/>
      <c r="H136" s="8"/>
      <c r="I136" s="8"/>
    </row>
    <row r="137" spans="1:10" ht="13">
      <c r="A137" s="7"/>
      <c r="B137" s="16"/>
      <c r="C137" s="16"/>
      <c r="D137" s="16"/>
      <c r="E137" s="16"/>
      <c r="F137" s="7"/>
      <c r="G137" s="8"/>
    </row>
    <row r="138" spans="1:10" ht="13">
      <c r="A138" s="7"/>
      <c r="B138" s="16"/>
      <c r="C138" s="16"/>
      <c r="D138" s="16"/>
      <c r="E138" s="16"/>
      <c r="F138" s="7"/>
      <c r="G138" s="8"/>
    </row>
    <row r="139" spans="1:10" ht="13">
      <c r="A139" s="7"/>
      <c r="B139" s="16"/>
      <c r="C139" s="16"/>
      <c r="D139" s="16"/>
      <c r="E139" s="16"/>
      <c r="F139" s="7"/>
      <c r="G139" s="8"/>
    </row>
    <row r="140" spans="1:10" ht="13">
      <c r="A140" s="7"/>
      <c r="B140" s="16"/>
      <c r="C140" s="16"/>
      <c r="D140" s="16"/>
      <c r="E140" s="16"/>
      <c r="F140" s="2"/>
      <c r="G140" s="8"/>
      <c r="H140" s="8"/>
      <c r="I140" s="8"/>
      <c r="J14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73"/>
  <sheetViews>
    <sheetView workbookViewId="0"/>
  </sheetViews>
  <sheetFormatPr baseColWidth="10" defaultColWidth="14.5" defaultRowHeight="15.75" customHeight="1"/>
  <cols>
    <col min="1" max="1" width="15.5" customWidth="1"/>
    <col min="5" max="5" width="4.5" customWidth="1"/>
    <col min="10" max="10" width="4.1640625" customWidth="1"/>
    <col min="11" max="11" width="16.5" customWidth="1"/>
  </cols>
  <sheetData>
    <row r="1" spans="1:14" ht="13">
      <c r="A1" s="1" t="s">
        <v>801</v>
      </c>
      <c r="B1" s="2"/>
      <c r="C1" s="2" t="s">
        <v>802</v>
      </c>
      <c r="D1" s="2"/>
      <c r="F1" s="9" t="s">
        <v>803</v>
      </c>
      <c r="G1" s="195" t="s">
        <v>804</v>
      </c>
      <c r="H1" s="196" t="s">
        <v>805</v>
      </c>
      <c r="I1" s="197" t="s">
        <v>806</v>
      </c>
      <c r="K1" s="1"/>
      <c r="L1" s="2"/>
      <c r="M1" s="2"/>
      <c r="N1" s="2"/>
    </row>
    <row r="2" spans="1:14" ht="13">
      <c r="A2" s="2" t="s">
        <v>807</v>
      </c>
      <c r="B2" s="2"/>
      <c r="D2" s="2"/>
      <c r="F2" s="198" t="s">
        <v>808</v>
      </c>
      <c r="G2" s="35" t="s">
        <v>809</v>
      </c>
      <c r="H2" s="199" t="s">
        <v>810</v>
      </c>
      <c r="I2" s="200" t="s">
        <v>89</v>
      </c>
      <c r="K2" s="1"/>
      <c r="L2" s="2"/>
      <c r="M2" s="2"/>
      <c r="N2" s="2"/>
    </row>
    <row r="3" spans="1:14" ht="13">
      <c r="A3" s="1"/>
      <c r="B3" s="2"/>
      <c r="C3" s="2"/>
      <c r="D3" s="2"/>
      <c r="F3" s="1"/>
      <c r="G3" s="2"/>
      <c r="H3" s="2"/>
      <c r="I3" s="2"/>
      <c r="K3" s="1"/>
      <c r="L3" s="2"/>
      <c r="M3" s="2"/>
      <c r="N3" s="2"/>
    </row>
    <row r="4" spans="1:14" ht="13">
      <c r="A4" s="1" t="s">
        <v>811</v>
      </c>
      <c r="B4" s="2" t="s">
        <v>2</v>
      </c>
      <c r="C4" s="2" t="s">
        <v>317</v>
      </c>
      <c r="D4" s="2" t="s">
        <v>311</v>
      </c>
      <c r="F4" s="1" t="s">
        <v>425</v>
      </c>
      <c r="G4" s="2" t="s">
        <v>2</v>
      </c>
      <c r="H4" s="2" t="s">
        <v>317</v>
      </c>
      <c r="I4" s="2" t="s">
        <v>311</v>
      </c>
      <c r="K4" s="1" t="s">
        <v>400</v>
      </c>
      <c r="L4" s="2" t="s">
        <v>2</v>
      </c>
      <c r="M4" s="2" t="s">
        <v>317</v>
      </c>
      <c r="N4" s="2" t="s">
        <v>311</v>
      </c>
    </row>
    <row r="5" spans="1:14" ht="13">
      <c r="A5" s="2" t="s">
        <v>2</v>
      </c>
      <c r="B5" s="202" t="s">
        <v>332</v>
      </c>
      <c r="C5" s="203" t="s">
        <v>680</v>
      </c>
      <c r="D5" s="66" t="s">
        <v>332</v>
      </c>
      <c r="F5" s="2" t="s">
        <v>2</v>
      </c>
      <c r="G5" s="201" t="s">
        <v>680</v>
      </c>
      <c r="H5" s="203" t="s">
        <v>680</v>
      </c>
      <c r="I5" s="204" t="s">
        <v>680</v>
      </c>
      <c r="K5" s="2" t="s">
        <v>2</v>
      </c>
      <c r="L5" s="201" t="s">
        <v>680</v>
      </c>
      <c r="M5" s="203" t="s">
        <v>680</v>
      </c>
      <c r="N5" s="204" t="s">
        <v>680</v>
      </c>
    </row>
    <row r="6" spans="1:14" ht="13">
      <c r="A6" s="2" t="s">
        <v>404</v>
      </c>
      <c r="B6" s="205" t="s">
        <v>332</v>
      </c>
      <c r="C6" s="196" t="s">
        <v>680</v>
      </c>
      <c r="D6" s="206" t="s">
        <v>680</v>
      </c>
      <c r="F6" s="2" t="s">
        <v>404</v>
      </c>
      <c r="G6" s="205" t="s">
        <v>680</v>
      </c>
      <c r="H6" s="9" t="s">
        <v>680</v>
      </c>
      <c r="I6" s="207" t="s">
        <v>680</v>
      </c>
      <c r="K6" s="2" t="s">
        <v>404</v>
      </c>
      <c r="L6" s="205" t="s">
        <v>680</v>
      </c>
      <c r="M6" s="9" t="s">
        <v>680</v>
      </c>
      <c r="N6" s="207" t="s">
        <v>680</v>
      </c>
    </row>
    <row r="7" spans="1:14" ht="13">
      <c r="A7" s="2" t="s">
        <v>406</v>
      </c>
      <c r="B7" s="208" t="s">
        <v>332</v>
      </c>
      <c r="C7" s="196" t="s">
        <v>680</v>
      </c>
      <c r="D7" s="206" t="s">
        <v>680</v>
      </c>
      <c r="F7" s="2" t="s">
        <v>406</v>
      </c>
      <c r="G7" s="205" t="s">
        <v>680</v>
      </c>
      <c r="H7" s="9" t="s">
        <v>680</v>
      </c>
      <c r="I7" s="207" t="s">
        <v>680</v>
      </c>
      <c r="K7" s="2" t="s">
        <v>406</v>
      </c>
      <c r="L7" s="205" t="s">
        <v>680</v>
      </c>
      <c r="M7" s="9" t="s">
        <v>680</v>
      </c>
      <c r="N7" s="207" t="s">
        <v>680</v>
      </c>
    </row>
    <row r="8" spans="1:14" ht="13">
      <c r="A8" s="2" t="s">
        <v>409</v>
      </c>
      <c r="B8" s="208" t="s">
        <v>332</v>
      </c>
      <c r="C8" s="2" t="s">
        <v>680</v>
      </c>
      <c r="D8" s="209" t="s">
        <v>680</v>
      </c>
      <c r="F8" s="2" t="s">
        <v>409</v>
      </c>
      <c r="G8" s="67" t="s">
        <v>680</v>
      </c>
      <c r="H8" s="2" t="s">
        <v>680</v>
      </c>
      <c r="I8" s="68" t="s">
        <v>680</v>
      </c>
      <c r="K8" s="2" t="s">
        <v>409</v>
      </c>
      <c r="L8" s="212" t="s">
        <v>680</v>
      </c>
      <c r="M8" s="199" t="s">
        <v>680</v>
      </c>
      <c r="N8" s="214" t="s">
        <v>680</v>
      </c>
    </row>
    <row r="9" spans="1:14" ht="13">
      <c r="A9" s="2" t="s">
        <v>411</v>
      </c>
      <c r="B9" s="216" t="s">
        <v>332</v>
      </c>
      <c r="C9" s="210" t="s">
        <v>680</v>
      </c>
      <c r="D9" s="72" t="s">
        <v>332</v>
      </c>
      <c r="F9" s="2" t="s">
        <v>411</v>
      </c>
      <c r="G9" s="213" t="s">
        <v>680</v>
      </c>
      <c r="H9" s="210" t="s">
        <v>680</v>
      </c>
      <c r="I9" s="215" t="s">
        <v>680</v>
      </c>
      <c r="K9" s="2" t="s">
        <v>411</v>
      </c>
      <c r="L9" s="213" t="s">
        <v>680</v>
      </c>
      <c r="M9" s="210" t="s">
        <v>680</v>
      </c>
      <c r="N9" s="215" t="s">
        <v>680</v>
      </c>
    </row>
    <row r="10" spans="1:14" ht="13">
      <c r="A10" s="2" t="s">
        <v>814</v>
      </c>
      <c r="F10" s="2" t="s">
        <v>815</v>
      </c>
      <c r="K10" s="2" t="s">
        <v>816</v>
      </c>
    </row>
    <row r="11" spans="1:14" ht="13">
      <c r="A11" s="1" t="s">
        <v>812</v>
      </c>
      <c r="B11" s="2" t="s">
        <v>2</v>
      </c>
      <c r="C11" s="2" t="s">
        <v>317</v>
      </c>
      <c r="D11" s="2" t="s">
        <v>311</v>
      </c>
      <c r="F11" s="1" t="s">
        <v>445</v>
      </c>
      <c r="G11" s="2" t="s">
        <v>2</v>
      </c>
      <c r="H11" s="2" t="s">
        <v>317</v>
      </c>
      <c r="I11" s="2" t="s">
        <v>311</v>
      </c>
      <c r="K11" s="1" t="s">
        <v>813</v>
      </c>
      <c r="L11" s="2" t="s">
        <v>2</v>
      </c>
      <c r="M11" s="2" t="s">
        <v>317</v>
      </c>
      <c r="N11" s="2" t="s">
        <v>311</v>
      </c>
    </row>
    <row r="12" spans="1:14" ht="13">
      <c r="A12" s="2" t="s">
        <v>2</v>
      </c>
      <c r="B12" s="63" t="s">
        <v>332</v>
      </c>
      <c r="C12" s="217" t="s">
        <v>680</v>
      </c>
      <c r="D12" s="218" t="s">
        <v>680</v>
      </c>
      <c r="F12" s="2" t="s">
        <v>2</v>
      </c>
      <c r="G12" s="201" t="s">
        <v>680</v>
      </c>
      <c r="H12" s="203" t="s">
        <v>680</v>
      </c>
      <c r="I12" s="204" t="s">
        <v>680</v>
      </c>
      <c r="K12" s="2" t="s">
        <v>2</v>
      </c>
      <c r="L12" s="63" t="s">
        <v>332</v>
      </c>
      <c r="M12" s="203" t="s">
        <v>680</v>
      </c>
      <c r="N12" s="204" t="s">
        <v>680</v>
      </c>
    </row>
    <row r="13" spans="1:14" ht="13">
      <c r="A13" s="2" t="s">
        <v>404</v>
      </c>
      <c r="B13" s="205" t="s">
        <v>332</v>
      </c>
      <c r="C13" s="196" t="s">
        <v>680</v>
      </c>
      <c r="D13" s="206" t="s">
        <v>680</v>
      </c>
      <c r="F13" s="2" t="s">
        <v>404</v>
      </c>
      <c r="G13" s="205" t="s">
        <v>680</v>
      </c>
      <c r="H13" s="9" t="s">
        <v>680</v>
      </c>
      <c r="I13" s="207" t="s">
        <v>680</v>
      </c>
      <c r="K13" s="2" t="s">
        <v>404</v>
      </c>
      <c r="L13" s="205" t="s">
        <v>332</v>
      </c>
      <c r="M13" s="9" t="s">
        <v>680</v>
      </c>
      <c r="N13" s="207" t="s">
        <v>680</v>
      </c>
    </row>
    <row r="14" spans="1:14" ht="13">
      <c r="A14" s="2" t="s">
        <v>406</v>
      </c>
      <c r="B14" s="67" t="s">
        <v>332</v>
      </c>
      <c r="C14" s="196" t="s">
        <v>680</v>
      </c>
      <c r="D14" s="206" t="s">
        <v>680</v>
      </c>
      <c r="F14" s="2" t="s">
        <v>406</v>
      </c>
      <c r="G14" s="205" t="s">
        <v>680</v>
      </c>
      <c r="H14" s="9" t="s">
        <v>680</v>
      </c>
      <c r="I14" s="207" t="s">
        <v>680</v>
      </c>
      <c r="K14" s="2" t="s">
        <v>406</v>
      </c>
      <c r="L14" s="67" t="s">
        <v>332</v>
      </c>
      <c r="M14" s="9" t="s">
        <v>680</v>
      </c>
      <c r="N14" s="207" t="s">
        <v>680</v>
      </c>
    </row>
    <row r="15" spans="1:14" ht="13">
      <c r="A15" s="2" t="s">
        <v>409</v>
      </c>
      <c r="B15" s="67" t="s">
        <v>332</v>
      </c>
      <c r="C15" s="2" t="s">
        <v>680</v>
      </c>
      <c r="D15" s="68" t="s">
        <v>680</v>
      </c>
      <c r="F15" s="2" t="s">
        <v>409</v>
      </c>
      <c r="G15" s="208" t="s">
        <v>680</v>
      </c>
      <c r="H15" s="197" t="s">
        <v>680</v>
      </c>
      <c r="I15" s="209" t="s">
        <v>680</v>
      </c>
      <c r="K15" s="2" t="s">
        <v>409</v>
      </c>
      <c r="L15" s="212" t="s">
        <v>680</v>
      </c>
      <c r="M15" s="199" t="s">
        <v>680</v>
      </c>
      <c r="N15" s="214" t="s">
        <v>680</v>
      </c>
    </row>
    <row r="16" spans="1:14" ht="13">
      <c r="A16" s="2" t="s">
        <v>411</v>
      </c>
      <c r="B16" s="70" t="s">
        <v>332</v>
      </c>
      <c r="C16" s="219" t="s">
        <v>680</v>
      </c>
      <c r="D16" s="220" t="s">
        <v>680</v>
      </c>
      <c r="F16" s="2" t="s">
        <v>411</v>
      </c>
      <c r="G16" s="213" t="s">
        <v>680</v>
      </c>
      <c r="H16" s="210" t="s">
        <v>680</v>
      </c>
      <c r="I16" s="215" t="s">
        <v>680</v>
      </c>
      <c r="K16" s="2" t="s">
        <v>411</v>
      </c>
      <c r="L16" s="70" t="s">
        <v>332</v>
      </c>
      <c r="M16" s="210" t="s">
        <v>680</v>
      </c>
      <c r="N16" s="215" t="s">
        <v>680</v>
      </c>
    </row>
    <row r="17" spans="1:15" ht="13">
      <c r="A17" s="2" t="s">
        <v>818</v>
      </c>
      <c r="F17" s="2" t="s">
        <v>819</v>
      </c>
      <c r="K17" s="2" t="s">
        <v>820</v>
      </c>
    </row>
    <row r="18" spans="1:15" ht="13">
      <c r="A18" s="1" t="s">
        <v>817</v>
      </c>
      <c r="B18" s="2" t="s">
        <v>2</v>
      </c>
      <c r="C18" s="2" t="s">
        <v>317</v>
      </c>
      <c r="D18" s="2" t="s">
        <v>311</v>
      </c>
      <c r="F18" s="1" t="s">
        <v>698</v>
      </c>
      <c r="G18" s="2" t="s">
        <v>2</v>
      </c>
      <c r="H18" s="2" t="s">
        <v>317</v>
      </c>
      <c r="I18" s="2" t="s">
        <v>311</v>
      </c>
      <c r="K18" s="1"/>
      <c r="L18" s="2" t="s">
        <v>821</v>
      </c>
      <c r="M18" s="2" t="s">
        <v>822</v>
      </c>
      <c r="O18" s="2" t="s">
        <v>823</v>
      </c>
    </row>
    <row r="19" spans="1:15" ht="13">
      <c r="A19" s="2" t="s">
        <v>2</v>
      </c>
      <c r="B19" s="201" t="s">
        <v>332</v>
      </c>
      <c r="C19" s="203" t="s">
        <v>680</v>
      </c>
      <c r="D19" s="204" t="s">
        <v>680</v>
      </c>
      <c r="F19" s="2" t="s">
        <v>2</v>
      </c>
      <c r="G19" s="201" t="s">
        <v>680</v>
      </c>
      <c r="H19" s="203" t="s">
        <v>680</v>
      </c>
      <c r="I19" s="204" t="s">
        <v>680</v>
      </c>
      <c r="K19" s="2" t="s">
        <v>717</v>
      </c>
      <c r="L19" s="2">
        <v>68</v>
      </c>
      <c r="M19" s="2">
        <v>1.94</v>
      </c>
      <c r="N19" s="2" t="s">
        <v>824</v>
      </c>
      <c r="O19" s="2">
        <v>-8.8000000000000007</v>
      </c>
    </row>
    <row r="20" spans="1:15" ht="13">
      <c r="A20" s="2" t="s">
        <v>404</v>
      </c>
      <c r="B20" s="205" t="s">
        <v>332</v>
      </c>
      <c r="C20" s="9" t="s">
        <v>680</v>
      </c>
      <c r="D20" s="207" t="s">
        <v>680</v>
      </c>
      <c r="F20" s="2" t="s">
        <v>404</v>
      </c>
      <c r="G20" s="205" t="s">
        <v>680</v>
      </c>
      <c r="H20" s="9" t="s">
        <v>680</v>
      </c>
      <c r="I20" s="207" t="s">
        <v>680</v>
      </c>
      <c r="K20" s="2" t="s">
        <v>825</v>
      </c>
      <c r="L20" s="2">
        <v>73</v>
      </c>
      <c r="M20" s="2">
        <v>1.47</v>
      </c>
      <c r="N20" s="2" t="s">
        <v>826</v>
      </c>
      <c r="O20" s="2">
        <v>-5.9</v>
      </c>
    </row>
    <row r="21" spans="1:15" ht="13">
      <c r="A21" s="2" t="s">
        <v>406</v>
      </c>
      <c r="B21" s="205" t="s">
        <v>332</v>
      </c>
      <c r="C21" s="9" t="s">
        <v>680</v>
      </c>
      <c r="D21" s="207" t="s">
        <v>680</v>
      </c>
      <c r="F21" s="2" t="s">
        <v>406</v>
      </c>
      <c r="G21" s="205" t="s">
        <v>680</v>
      </c>
      <c r="H21" s="9" t="s">
        <v>680</v>
      </c>
      <c r="I21" s="207" t="s">
        <v>680</v>
      </c>
      <c r="K21" s="2" t="s">
        <v>716</v>
      </c>
      <c r="L21" s="2">
        <v>78</v>
      </c>
      <c r="M21" s="2">
        <v>1.77</v>
      </c>
      <c r="N21" s="2" t="s">
        <v>827</v>
      </c>
      <c r="O21" s="2">
        <v>3.2</v>
      </c>
    </row>
    <row r="22" spans="1:15" ht="13">
      <c r="A22" s="2" t="s">
        <v>409</v>
      </c>
      <c r="B22" s="205" t="s">
        <v>332</v>
      </c>
      <c r="C22" s="2" t="s">
        <v>680</v>
      </c>
      <c r="D22" s="68" t="s">
        <v>680</v>
      </c>
      <c r="F22" s="2" t="s">
        <v>409</v>
      </c>
      <c r="G22" s="208" t="s">
        <v>680</v>
      </c>
      <c r="H22" s="197" t="s">
        <v>680</v>
      </c>
      <c r="I22" s="209" t="s">
        <v>680</v>
      </c>
      <c r="K22" s="2" t="s">
        <v>828</v>
      </c>
      <c r="L22" s="2">
        <v>82</v>
      </c>
      <c r="M22" s="2">
        <v>1.54</v>
      </c>
      <c r="N22" s="2" t="s">
        <v>829</v>
      </c>
      <c r="O22" s="2">
        <v>3.8</v>
      </c>
    </row>
    <row r="23" spans="1:15" ht="13">
      <c r="A23" s="2" t="s">
        <v>411</v>
      </c>
      <c r="B23" s="213" t="s">
        <v>332</v>
      </c>
      <c r="C23" s="210" t="s">
        <v>680</v>
      </c>
      <c r="D23" s="215" t="s">
        <v>680</v>
      </c>
      <c r="F23" s="2" t="s">
        <v>411</v>
      </c>
      <c r="G23" s="213" t="s">
        <v>680</v>
      </c>
      <c r="H23" s="210" t="s">
        <v>680</v>
      </c>
      <c r="I23" s="215" t="s">
        <v>680</v>
      </c>
      <c r="K23" s="2" t="s">
        <v>830</v>
      </c>
      <c r="L23" s="2">
        <v>86</v>
      </c>
      <c r="M23" s="2">
        <v>1.43</v>
      </c>
      <c r="N23" s="2" t="s">
        <v>831</v>
      </c>
      <c r="O23" s="2">
        <v>4.7</v>
      </c>
    </row>
    <row r="24" spans="1:15" ht="13">
      <c r="A24" s="2" t="s">
        <v>832</v>
      </c>
      <c r="F24" s="2" t="s">
        <v>833</v>
      </c>
      <c r="K24" s="2" t="s">
        <v>715</v>
      </c>
      <c r="L24" s="2">
        <v>116</v>
      </c>
      <c r="M24" s="2">
        <v>1.35</v>
      </c>
      <c r="N24" s="2" t="s">
        <v>834</v>
      </c>
      <c r="O24" s="2">
        <v>11</v>
      </c>
    </row>
    <row r="25" spans="1:15" ht="13">
      <c r="A25" s="1"/>
      <c r="M25" s="2"/>
      <c r="N25" s="2"/>
    </row>
    <row r="26" spans="1:15" ht="13">
      <c r="A26" s="221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3"/>
      <c r="N26" s="223"/>
    </row>
    <row r="27" spans="1:15" ht="13">
      <c r="A27" s="1"/>
      <c r="M27" s="2"/>
      <c r="N27" s="2"/>
    </row>
    <row r="28" spans="1:15" ht="13">
      <c r="A28" s="1" t="s">
        <v>835</v>
      </c>
      <c r="M28" s="2"/>
      <c r="N28" s="2"/>
    </row>
    <row r="29" spans="1:15" ht="13">
      <c r="A29" s="1" t="s">
        <v>811</v>
      </c>
      <c r="B29" s="2" t="s">
        <v>2</v>
      </c>
      <c r="C29" s="2" t="s">
        <v>317</v>
      </c>
      <c r="D29" s="2" t="s">
        <v>311</v>
      </c>
      <c r="F29" s="1" t="s">
        <v>425</v>
      </c>
      <c r="G29" s="2" t="s">
        <v>2</v>
      </c>
      <c r="H29" s="2" t="s">
        <v>317</v>
      </c>
      <c r="I29" s="2" t="s">
        <v>311</v>
      </c>
      <c r="K29" s="1" t="s">
        <v>400</v>
      </c>
      <c r="L29" s="2" t="s">
        <v>2</v>
      </c>
      <c r="M29" s="2" t="s">
        <v>317</v>
      </c>
      <c r="N29" s="2" t="s">
        <v>311</v>
      </c>
    </row>
    <row r="30" spans="1:15" ht="13">
      <c r="A30" s="224" t="s">
        <v>2</v>
      </c>
      <c r="B30" s="225"/>
      <c r="C30" s="226" t="s">
        <v>836</v>
      </c>
      <c r="D30" s="227"/>
      <c r="E30" s="228"/>
      <c r="F30" s="229" t="s">
        <v>2</v>
      </c>
      <c r="G30" s="225" t="s">
        <v>837</v>
      </c>
      <c r="H30" s="226"/>
      <c r="I30" s="227"/>
      <c r="J30" s="228"/>
      <c r="K30" s="229" t="s">
        <v>2</v>
      </c>
      <c r="L30" s="225" t="s">
        <v>838</v>
      </c>
      <c r="M30" s="226" t="s">
        <v>839</v>
      </c>
      <c r="N30" s="227" t="s">
        <v>840</v>
      </c>
    </row>
    <row r="31" spans="1:15" ht="26">
      <c r="A31" s="224" t="s">
        <v>404</v>
      </c>
      <c r="B31" s="230" t="s">
        <v>841</v>
      </c>
      <c r="C31" s="229"/>
      <c r="D31" s="231"/>
      <c r="E31" s="228"/>
      <c r="F31" s="229" t="s">
        <v>404</v>
      </c>
      <c r="G31" s="230" t="s">
        <v>842</v>
      </c>
      <c r="H31" s="229" t="s">
        <v>843</v>
      </c>
      <c r="I31" s="231" t="s">
        <v>844</v>
      </c>
      <c r="J31" s="228"/>
      <c r="K31" s="229" t="s">
        <v>404</v>
      </c>
      <c r="L31" s="230" t="s">
        <v>845</v>
      </c>
      <c r="M31" s="229" t="s">
        <v>846</v>
      </c>
      <c r="N31" s="231" t="s">
        <v>847</v>
      </c>
    </row>
    <row r="32" spans="1:15" ht="13">
      <c r="A32" s="224" t="s">
        <v>406</v>
      </c>
      <c r="B32" s="230"/>
      <c r="C32" s="229"/>
      <c r="D32" s="231"/>
      <c r="E32" s="228"/>
      <c r="F32" s="229" t="s">
        <v>406</v>
      </c>
      <c r="G32" s="230" t="s">
        <v>848</v>
      </c>
      <c r="H32" s="229"/>
      <c r="I32" s="231"/>
      <c r="J32" s="228"/>
      <c r="K32" s="229" t="s">
        <v>406</v>
      </c>
      <c r="L32" s="230"/>
      <c r="M32" s="229" t="s">
        <v>849</v>
      </c>
      <c r="N32" s="231" t="s">
        <v>850</v>
      </c>
    </row>
    <row r="33" spans="1:26" ht="13">
      <c r="A33" s="224" t="s">
        <v>409</v>
      </c>
      <c r="B33" s="230"/>
      <c r="C33" s="229"/>
      <c r="D33" s="231"/>
      <c r="E33" s="228"/>
      <c r="F33" s="229" t="s">
        <v>409</v>
      </c>
      <c r="G33" s="230"/>
      <c r="H33" s="229"/>
      <c r="I33" s="231"/>
      <c r="J33" s="228"/>
      <c r="K33" s="229" t="s">
        <v>409</v>
      </c>
      <c r="L33" s="230"/>
      <c r="M33" s="229"/>
      <c r="N33" s="231"/>
    </row>
    <row r="34" spans="1:26" ht="13">
      <c r="A34" s="224" t="s">
        <v>411</v>
      </c>
      <c r="B34" s="232"/>
      <c r="C34" s="233" t="s">
        <v>851</v>
      </c>
      <c r="D34" s="234"/>
      <c r="E34" s="228"/>
      <c r="F34" s="229" t="s">
        <v>411</v>
      </c>
      <c r="G34" s="232"/>
      <c r="H34" s="233"/>
      <c r="I34" s="234"/>
      <c r="J34" s="228"/>
      <c r="K34" s="229" t="s">
        <v>411</v>
      </c>
      <c r="L34" s="232"/>
      <c r="M34" s="233" t="s">
        <v>852</v>
      </c>
      <c r="N34" s="234" t="s">
        <v>853</v>
      </c>
    </row>
    <row r="35" spans="1:26" ht="13">
      <c r="A35" s="235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</row>
    <row r="36" spans="1:26" ht="13">
      <c r="A36" s="236" t="s">
        <v>812</v>
      </c>
      <c r="B36" s="229" t="s">
        <v>2</v>
      </c>
      <c r="C36" s="229" t="s">
        <v>317</v>
      </c>
      <c r="D36" s="229" t="s">
        <v>311</v>
      </c>
      <c r="E36" s="228"/>
      <c r="F36" s="237" t="s">
        <v>445</v>
      </c>
      <c r="G36" s="229" t="s">
        <v>2</v>
      </c>
      <c r="H36" s="229" t="s">
        <v>317</v>
      </c>
      <c r="I36" s="229" t="s">
        <v>311</v>
      </c>
      <c r="J36" s="228"/>
      <c r="K36" s="237" t="s">
        <v>813</v>
      </c>
      <c r="L36" s="229" t="s">
        <v>2</v>
      </c>
      <c r="M36" s="229" t="s">
        <v>317</v>
      </c>
      <c r="N36" s="229" t="s">
        <v>311</v>
      </c>
    </row>
    <row r="37" spans="1:26" ht="13">
      <c r="A37" s="224" t="s">
        <v>2</v>
      </c>
      <c r="B37" s="225"/>
      <c r="C37" s="226"/>
      <c r="D37" s="227"/>
      <c r="E37" s="228"/>
      <c r="F37" s="229" t="s">
        <v>2</v>
      </c>
      <c r="G37" s="225" t="s">
        <v>860</v>
      </c>
      <c r="H37" s="226"/>
      <c r="I37" s="227"/>
      <c r="J37" s="228"/>
      <c r="K37" s="229" t="s">
        <v>2</v>
      </c>
      <c r="L37" s="225"/>
      <c r="M37" s="226"/>
      <c r="N37" s="227"/>
    </row>
    <row r="38" spans="1:26" ht="27" customHeight="1">
      <c r="A38" s="224" t="s">
        <v>404</v>
      </c>
      <c r="B38" s="230" t="s">
        <v>861</v>
      </c>
      <c r="C38" s="229"/>
      <c r="D38" s="231"/>
      <c r="E38" s="228"/>
      <c r="F38" s="229" t="s">
        <v>404</v>
      </c>
      <c r="G38" s="230"/>
      <c r="H38" s="229"/>
      <c r="I38" s="231"/>
      <c r="J38" s="228"/>
      <c r="K38" s="229" t="s">
        <v>404</v>
      </c>
      <c r="L38" s="230" t="s">
        <v>862</v>
      </c>
      <c r="M38" s="229"/>
      <c r="N38" s="231"/>
    </row>
    <row r="39" spans="1:26" ht="13">
      <c r="A39" s="224" t="s">
        <v>406</v>
      </c>
      <c r="B39" s="230"/>
      <c r="C39" s="229"/>
      <c r="D39" s="231"/>
      <c r="E39" s="228"/>
      <c r="F39" s="229" t="s">
        <v>406</v>
      </c>
      <c r="G39" s="230" t="s">
        <v>863</v>
      </c>
      <c r="H39" s="229"/>
      <c r="I39" s="231" t="s">
        <v>864</v>
      </c>
      <c r="J39" s="228"/>
      <c r="K39" s="229" t="s">
        <v>406</v>
      </c>
      <c r="L39" s="230"/>
      <c r="M39" s="229"/>
      <c r="N39" s="231"/>
    </row>
    <row r="40" spans="1:26" ht="13">
      <c r="A40" s="224" t="s">
        <v>409</v>
      </c>
      <c r="B40" s="230"/>
      <c r="C40" s="229"/>
      <c r="D40" s="231"/>
      <c r="E40" s="228"/>
      <c r="F40" s="229" t="s">
        <v>409</v>
      </c>
      <c r="G40" s="230"/>
      <c r="H40" s="229"/>
      <c r="I40" s="231"/>
      <c r="J40" s="228"/>
      <c r="K40" s="229" t="s">
        <v>409</v>
      </c>
      <c r="L40" s="230"/>
      <c r="M40" s="229"/>
      <c r="N40" s="231"/>
    </row>
    <row r="41" spans="1:26" ht="13">
      <c r="A41" s="224" t="s">
        <v>411</v>
      </c>
      <c r="B41" s="232"/>
      <c r="C41" s="233"/>
      <c r="D41" s="234"/>
      <c r="E41" s="228"/>
      <c r="F41" s="229" t="s">
        <v>411</v>
      </c>
      <c r="G41" s="232" t="s">
        <v>865</v>
      </c>
      <c r="H41" s="233" t="s">
        <v>866</v>
      </c>
      <c r="I41" s="234" t="s">
        <v>867</v>
      </c>
      <c r="J41" s="228"/>
      <c r="K41" s="229" t="s">
        <v>411</v>
      </c>
      <c r="L41" s="232"/>
      <c r="M41" s="233"/>
      <c r="N41" s="234"/>
    </row>
    <row r="42" spans="1:26" ht="13">
      <c r="A42" s="235"/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</row>
    <row r="43" spans="1:26" ht="13">
      <c r="A43" s="236" t="s">
        <v>817</v>
      </c>
      <c r="B43" s="229" t="s">
        <v>2</v>
      </c>
      <c r="C43" s="229" t="s">
        <v>317</v>
      </c>
      <c r="D43" s="229" t="s">
        <v>311</v>
      </c>
      <c r="E43" s="228"/>
      <c r="F43" s="237" t="s">
        <v>698</v>
      </c>
      <c r="G43" s="229" t="s">
        <v>2</v>
      </c>
      <c r="H43" s="229" t="s">
        <v>317</v>
      </c>
      <c r="I43" s="229" t="s">
        <v>311</v>
      </c>
      <c r="J43" s="228"/>
      <c r="K43" s="237"/>
      <c r="L43" s="229"/>
      <c r="M43" s="228"/>
      <c r="N43" s="229"/>
    </row>
    <row r="44" spans="1:26" ht="26">
      <c r="A44" s="224" t="s">
        <v>2</v>
      </c>
      <c r="B44" s="225" t="s">
        <v>868</v>
      </c>
      <c r="C44" s="226"/>
      <c r="D44" s="227"/>
      <c r="E44" s="228"/>
      <c r="F44" s="229" t="s">
        <v>2</v>
      </c>
      <c r="G44" s="225" t="s">
        <v>869</v>
      </c>
      <c r="H44" s="226" t="s">
        <v>870</v>
      </c>
      <c r="I44" s="227" t="s">
        <v>871</v>
      </c>
      <c r="J44" s="228"/>
      <c r="K44" s="229"/>
      <c r="L44" s="229"/>
      <c r="M44" s="229"/>
      <c r="N44" s="229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26">
      <c r="A45" s="224" t="s">
        <v>404</v>
      </c>
      <c r="B45" s="230" t="s">
        <v>872</v>
      </c>
      <c r="C45" s="229"/>
      <c r="D45" s="231"/>
      <c r="E45" s="228"/>
      <c r="F45" s="229" t="s">
        <v>404</v>
      </c>
      <c r="G45" s="230"/>
      <c r="H45" s="229" t="s">
        <v>873</v>
      </c>
      <c r="I45" s="231" t="s">
        <v>874</v>
      </c>
      <c r="J45" s="228"/>
      <c r="K45" s="229"/>
      <c r="L45" s="229"/>
      <c r="M45" s="229"/>
      <c r="N45" s="229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26">
      <c r="A46" s="224" t="s">
        <v>406</v>
      </c>
      <c r="B46" s="230" t="s">
        <v>875</v>
      </c>
      <c r="C46" s="229"/>
      <c r="D46" s="231"/>
      <c r="E46" s="228"/>
      <c r="F46" s="229" t="s">
        <v>406</v>
      </c>
      <c r="G46" s="230" t="s">
        <v>876</v>
      </c>
      <c r="H46" s="229" t="s">
        <v>877</v>
      </c>
      <c r="I46" s="231"/>
      <c r="J46" s="228"/>
      <c r="K46" s="229"/>
      <c r="L46" s="229"/>
      <c r="M46" s="229"/>
      <c r="N46" s="229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26">
      <c r="A47" s="224" t="s">
        <v>409</v>
      </c>
      <c r="B47" s="230" t="s">
        <v>878</v>
      </c>
      <c r="C47" s="229"/>
      <c r="D47" s="231"/>
      <c r="E47" s="228"/>
      <c r="F47" s="229" t="s">
        <v>409</v>
      </c>
      <c r="G47" s="230" t="s">
        <v>879</v>
      </c>
      <c r="H47" s="229"/>
      <c r="I47" s="231"/>
      <c r="J47" s="228"/>
      <c r="K47" s="229"/>
      <c r="L47" s="229"/>
      <c r="M47" s="229"/>
      <c r="N47" s="229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26">
      <c r="A48" s="224" t="s">
        <v>411</v>
      </c>
      <c r="B48" s="232" t="s">
        <v>880</v>
      </c>
      <c r="C48" s="233"/>
      <c r="D48" s="234"/>
      <c r="E48" s="228"/>
      <c r="F48" s="229" t="s">
        <v>411</v>
      </c>
      <c r="G48" s="232" t="s">
        <v>881</v>
      </c>
      <c r="H48" s="233" t="s">
        <v>882</v>
      </c>
      <c r="I48" s="234" t="s">
        <v>883</v>
      </c>
      <c r="J48" s="228"/>
      <c r="K48" s="229"/>
      <c r="L48" s="229"/>
      <c r="M48" s="229"/>
      <c r="N48" s="229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14" ht="13">
      <c r="K49" s="2"/>
      <c r="L49" s="2"/>
      <c r="M49" s="2"/>
      <c r="N49" s="2"/>
    </row>
    <row r="50" spans="1:14" ht="13">
      <c r="A50" s="221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3"/>
      <c r="N50" s="223"/>
    </row>
    <row r="52" spans="1:14" ht="13">
      <c r="A52" s="1" t="s">
        <v>884</v>
      </c>
      <c r="F52" s="90"/>
      <c r="G52" s="90"/>
      <c r="H52" s="90"/>
      <c r="I52" s="90"/>
      <c r="M52" s="2"/>
      <c r="N52" s="2"/>
    </row>
    <row r="53" spans="1:14" ht="13">
      <c r="A53" s="1" t="s">
        <v>811</v>
      </c>
      <c r="B53" s="2" t="s">
        <v>2</v>
      </c>
      <c r="C53" s="2" t="s">
        <v>317</v>
      </c>
      <c r="D53" s="2" t="s">
        <v>311</v>
      </c>
      <c r="F53" s="238" t="s">
        <v>425</v>
      </c>
      <c r="G53" s="83" t="s">
        <v>2</v>
      </c>
      <c r="H53" s="83" t="s">
        <v>317</v>
      </c>
      <c r="I53" s="83" t="s">
        <v>311</v>
      </c>
      <c r="K53" s="1" t="s">
        <v>400</v>
      </c>
      <c r="L53" s="83" t="s">
        <v>2</v>
      </c>
      <c r="M53" s="83" t="s">
        <v>317</v>
      </c>
      <c r="N53" s="83" t="s">
        <v>311</v>
      </c>
    </row>
    <row r="54" spans="1:14" ht="13">
      <c r="A54" s="224" t="s">
        <v>2</v>
      </c>
      <c r="B54" s="239">
        <v>0</v>
      </c>
      <c r="C54" s="240">
        <v>-21.8</v>
      </c>
      <c r="D54" s="241">
        <v>-11.2</v>
      </c>
      <c r="E54" s="228"/>
      <c r="F54" s="242" t="s">
        <v>2</v>
      </c>
      <c r="G54" s="239">
        <v>0</v>
      </c>
      <c r="H54" s="240">
        <v>-24.1</v>
      </c>
      <c r="I54" s="241">
        <v>-18</v>
      </c>
      <c r="J54" s="228"/>
      <c r="K54" s="229" t="s">
        <v>2</v>
      </c>
      <c r="L54" s="239">
        <v>0</v>
      </c>
      <c r="M54" s="240">
        <v>-20.8</v>
      </c>
      <c r="N54" s="241">
        <v>-14</v>
      </c>
    </row>
    <row r="55" spans="1:14" ht="13">
      <c r="A55" s="224" t="s">
        <v>404</v>
      </c>
      <c r="B55" s="243">
        <v>-39.700000000000003</v>
      </c>
      <c r="C55" s="242">
        <v>-61.5</v>
      </c>
      <c r="D55" s="244">
        <v>-50.9</v>
      </c>
      <c r="E55" s="228"/>
      <c r="F55" s="242" t="s">
        <v>404</v>
      </c>
      <c r="G55" s="243">
        <v>-37.799999999999997</v>
      </c>
      <c r="H55" s="242">
        <v>-61.8</v>
      </c>
      <c r="I55" s="244">
        <v>-55.8</v>
      </c>
      <c r="J55" s="228"/>
      <c r="K55" s="229" t="s">
        <v>404</v>
      </c>
      <c r="L55" s="243">
        <v>-33.4</v>
      </c>
      <c r="M55" s="242">
        <v>-54.1</v>
      </c>
      <c r="N55" s="244">
        <v>-47.4</v>
      </c>
    </row>
    <row r="56" spans="1:14" ht="13">
      <c r="A56" s="224" t="s">
        <v>406</v>
      </c>
      <c r="B56" s="243">
        <v>-6.9</v>
      </c>
      <c r="C56" s="242">
        <v>-28.7</v>
      </c>
      <c r="D56" s="244">
        <v>-18.100000000000001</v>
      </c>
      <c r="E56" s="228"/>
      <c r="F56" s="242" t="s">
        <v>406</v>
      </c>
      <c r="G56" s="243">
        <v>-2</v>
      </c>
      <c r="H56" s="242">
        <v>-26.1</v>
      </c>
      <c r="I56" s="244">
        <v>-20</v>
      </c>
      <c r="J56" s="228"/>
      <c r="K56" s="229" t="s">
        <v>406</v>
      </c>
      <c r="L56" s="243">
        <v>-4.9000000000000004</v>
      </c>
      <c r="M56" s="242">
        <v>-25.7</v>
      </c>
      <c r="N56" s="244">
        <v>-19</v>
      </c>
    </row>
    <row r="57" spans="1:14" ht="13">
      <c r="A57" s="224" t="s">
        <v>409</v>
      </c>
      <c r="B57" s="243">
        <v>-74.7</v>
      </c>
      <c r="C57" s="242">
        <v>-96.5</v>
      </c>
      <c r="D57" s="244">
        <v>-85.9</v>
      </c>
      <c r="E57" s="228"/>
      <c r="F57" s="242" t="s">
        <v>409</v>
      </c>
      <c r="G57" s="243">
        <v>-64.599999999999994</v>
      </c>
      <c r="H57" s="242">
        <v>-88.7</v>
      </c>
      <c r="I57" s="244">
        <v>-82.7</v>
      </c>
      <c r="J57" s="228"/>
      <c r="K57" s="229" t="s">
        <v>409</v>
      </c>
      <c r="L57" s="243">
        <v>-63.6</v>
      </c>
      <c r="M57" s="242">
        <v>-84.3</v>
      </c>
      <c r="N57" s="244">
        <v>-77.599999999999994</v>
      </c>
    </row>
    <row r="58" spans="1:14" ht="13">
      <c r="A58" s="224" t="s">
        <v>411</v>
      </c>
      <c r="B58" s="245">
        <v>2.5</v>
      </c>
      <c r="C58" s="246">
        <v>-19.2</v>
      </c>
      <c r="D58" s="247">
        <v>-8.6</v>
      </c>
      <c r="E58" s="228"/>
      <c r="F58" s="242" t="s">
        <v>411</v>
      </c>
      <c r="G58" s="245">
        <v>4.3</v>
      </c>
      <c r="H58" s="246">
        <v>-19.8</v>
      </c>
      <c r="I58" s="247">
        <v>-13.7</v>
      </c>
      <c r="J58" s="228"/>
      <c r="K58" s="229" t="s">
        <v>411</v>
      </c>
      <c r="L58" s="245">
        <v>3.6</v>
      </c>
      <c r="M58" s="246">
        <v>-17.2</v>
      </c>
      <c r="N58" s="247">
        <v>-10.5</v>
      </c>
    </row>
    <row r="59" spans="1:14" ht="13">
      <c r="A59" s="235"/>
      <c r="B59" s="228"/>
      <c r="C59" s="228"/>
      <c r="D59" s="228"/>
      <c r="E59" s="228"/>
      <c r="F59" s="248"/>
      <c r="G59" s="248"/>
      <c r="H59" s="248"/>
      <c r="I59" s="248"/>
      <c r="J59" s="228"/>
      <c r="K59" s="228"/>
      <c r="L59" s="248"/>
      <c r="M59" s="248"/>
      <c r="N59" s="248"/>
    </row>
    <row r="60" spans="1:14" ht="13">
      <c r="A60" s="236" t="s">
        <v>812</v>
      </c>
      <c r="B60" s="229" t="s">
        <v>2</v>
      </c>
      <c r="C60" s="229" t="s">
        <v>317</v>
      </c>
      <c r="D60" s="229" t="s">
        <v>311</v>
      </c>
      <c r="E60" s="228"/>
      <c r="F60" s="249" t="s">
        <v>445</v>
      </c>
      <c r="G60" s="242" t="s">
        <v>2</v>
      </c>
      <c r="H60" s="242" t="s">
        <v>317</v>
      </c>
      <c r="I60" s="242" t="s">
        <v>311</v>
      </c>
      <c r="J60" s="228"/>
      <c r="K60" s="237" t="s">
        <v>813</v>
      </c>
      <c r="L60" s="242" t="s">
        <v>2</v>
      </c>
      <c r="M60" s="242" t="s">
        <v>317</v>
      </c>
      <c r="N60" s="242" t="s">
        <v>311</v>
      </c>
    </row>
    <row r="61" spans="1:14" ht="13">
      <c r="A61" s="224" t="s">
        <v>2</v>
      </c>
      <c r="B61" s="239">
        <v>0</v>
      </c>
      <c r="C61" s="240">
        <v>-21.6</v>
      </c>
      <c r="D61" s="241">
        <v>-12.7</v>
      </c>
      <c r="E61" s="228"/>
      <c r="F61" s="242" t="s">
        <v>2</v>
      </c>
      <c r="G61" s="239">
        <v>0</v>
      </c>
      <c r="H61" s="240">
        <v>-23.4</v>
      </c>
      <c r="I61" s="241">
        <v>-17.399999999999999</v>
      </c>
      <c r="J61" s="228"/>
      <c r="K61" s="229" t="s">
        <v>2</v>
      </c>
      <c r="L61" s="239">
        <v>0</v>
      </c>
      <c r="M61" s="240">
        <v>-21.1</v>
      </c>
      <c r="N61" s="241">
        <v>-12.7</v>
      </c>
    </row>
    <row r="62" spans="1:14" ht="13">
      <c r="A62" s="224" t="s">
        <v>404</v>
      </c>
      <c r="B62" s="243">
        <v>-42.4</v>
      </c>
      <c r="C62" s="242">
        <v>-64</v>
      </c>
      <c r="D62" s="244">
        <v>-55.1</v>
      </c>
      <c r="E62" s="228"/>
      <c r="F62" s="242" t="s">
        <v>404</v>
      </c>
      <c r="G62" s="243">
        <v>-39.9</v>
      </c>
      <c r="H62" s="242">
        <v>-63.3</v>
      </c>
      <c r="I62" s="244">
        <v>-57.3</v>
      </c>
      <c r="J62" s="228"/>
      <c r="K62" s="229" t="s">
        <v>404</v>
      </c>
      <c r="L62" s="243">
        <v>-38.1</v>
      </c>
      <c r="M62" s="242">
        <v>-59.1</v>
      </c>
      <c r="N62" s="244">
        <v>-50.8</v>
      </c>
    </row>
    <row r="63" spans="1:14" ht="13">
      <c r="A63" s="224" t="s">
        <v>406</v>
      </c>
      <c r="B63" s="243">
        <v>-7.3</v>
      </c>
      <c r="C63" s="242">
        <v>-28.9</v>
      </c>
      <c r="D63" s="244">
        <v>-20</v>
      </c>
      <c r="E63" s="228"/>
      <c r="F63" s="242" t="s">
        <v>406</v>
      </c>
      <c r="G63" s="243">
        <v>-2.9</v>
      </c>
      <c r="H63" s="242">
        <v>-26.3</v>
      </c>
      <c r="I63" s="244">
        <v>-20.3</v>
      </c>
      <c r="J63" s="228"/>
      <c r="K63" s="229" t="s">
        <v>406</v>
      </c>
      <c r="L63" s="243">
        <v>-5.5</v>
      </c>
      <c r="M63" s="242">
        <v>-26.5</v>
      </c>
      <c r="N63" s="244">
        <v>-18.2</v>
      </c>
    </row>
    <row r="64" spans="1:14" ht="13">
      <c r="A64" s="224" t="s">
        <v>409</v>
      </c>
      <c r="B64" s="243">
        <v>-73.599999999999994</v>
      </c>
      <c r="C64" s="242">
        <v>-95.1</v>
      </c>
      <c r="D64" s="244">
        <v>-86.3</v>
      </c>
      <c r="E64" s="228"/>
      <c r="F64" s="242" t="s">
        <v>409</v>
      </c>
      <c r="G64" s="243">
        <v>-68.2</v>
      </c>
      <c r="H64" s="242">
        <v>-91.5</v>
      </c>
      <c r="I64" s="244">
        <v>-85.6</v>
      </c>
      <c r="J64" s="228"/>
      <c r="K64" s="229" t="s">
        <v>409</v>
      </c>
      <c r="L64" s="243">
        <v>-67.7</v>
      </c>
      <c r="M64" s="242">
        <v>-88.7</v>
      </c>
      <c r="N64" s="244">
        <v>-80.400000000000006</v>
      </c>
    </row>
    <row r="65" spans="1:14" ht="13">
      <c r="A65" s="224" t="s">
        <v>411</v>
      </c>
      <c r="B65" s="245">
        <v>3.8</v>
      </c>
      <c r="C65" s="246">
        <v>-17.8</v>
      </c>
      <c r="D65" s="247">
        <v>-8.9</v>
      </c>
      <c r="E65" s="228"/>
      <c r="F65" s="242" t="s">
        <v>411</v>
      </c>
      <c r="G65" s="245">
        <v>4.2</v>
      </c>
      <c r="H65" s="246">
        <v>-19.100000000000001</v>
      </c>
      <c r="I65" s="247">
        <v>-13.2</v>
      </c>
      <c r="J65" s="228"/>
      <c r="K65" s="229" t="s">
        <v>411</v>
      </c>
      <c r="L65" s="245">
        <v>4</v>
      </c>
      <c r="M65" s="246">
        <v>-17</v>
      </c>
      <c r="N65" s="247">
        <v>-8.6</v>
      </c>
    </row>
    <row r="66" spans="1:14" ht="13">
      <c r="A66" s="235"/>
      <c r="B66" s="228"/>
      <c r="C66" s="228"/>
      <c r="D66" s="228"/>
      <c r="E66" s="228"/>
      <c r="F66" s="248"/>
      <c r="G66" s="248"/>
      <c r="H66" s="248"/>
      <c r="I66" s="248"/>
      <c r="J66" s="228"/>
      <c r="K66" s="228"/>
      <c r="L66" s="248"/>
      <c r="M66" s="248"/>
      <c r="N66" s="248"/>
    </row>
    <row r="67" spans="1:14" ht="13">
      <c r="A67" s="236" t="s">
        <v>817</v>
      </c>
      <c r="B67" s="229" t="s">
        <v>2</v>
      </c>
      <c r="C67" s="229" t="s">
        <v>317</v>
      </c>
      <c r="D67" s="229" t="s">
        <v>311</v>
      </c>
      <c r="E67" s="228"/>
      <c r="F67" s="249" t="s">
        <v>698</v>
      </c>
      <c r="G67" s="242" t="s">
        <v>2</v>
      </c>
      <c r="H67" s="242" t="s">
        <v>317</v>
      </c>
      <c r="I67" s="242" t="s">
        <v>311</v>
      </c>
      <c r="J67" s="228"/>
      <c r="K67" s="237"/>
      <c r="L67" s="229"/>
      <c r="M67" s="228"/>
      <c r="N67" s="229"/>
    </row>
    <row r="68" spans="1:14" ht="13">
      <c r="A68" s="224" t="s">
        <v>2</v>
      </c>
      <c r="B68" s="239">
        <v>0</v>
      </c>
      <c r="C68" s="240">
        <v>-21.2</v>
      </c>
      <c r="D68" s="241">
        <v>-13.2</v>
      </c>
      <c r="E68" s="228"/>
      <c r="F68" s="242" t="s">
        <v>2</v>
      </c>
      <c r="G68" s="239">
        <v>0</v>
      </c>
      <c r="H68" s="240">
        <v>-26.3</v>
      </c>
      <c r="I68" s="241">
        <v>-20.8</v>
      </c>
      <c r="J68" s="228"/>
      <c r="K68" s="229"/>
      <c r="L68" s="229"/>
      <c r="M68" s="229"/>
      <c r="N68" s="229"/>
    </row>
    <row r="69" spans="1:14" ht="13">
      <c r="A69" s="224" t="s">
        <v>404</v>
      </c>
      <c r="B69" s="243">
        <v>-28.1</v>
      </c>
      <c r="C69" s="242">
        <v>-49.3</v>
      </c>
      <c r="D69" s="244">
        <v>-41.3</v>
      </c>
      <c r="E69" s="228"/>
      <c r="F69" s="242" t="s">
        <v>404</v>
      </c>
      <c r="G69" s="243">
        <v>-39</v>
      </c>
      <c r="H69" s="242">
        <v>-65.3</v>
      </c>
      <c r="I69" s="244">
        <v>-59.8</v>
      </c>
      <c r="J69" s="228"/>
      <c r="K69" s="229"/>
      <c r="L69" s="229"/>
      <c r="M69" s="229"/>
      <c r="N69" s="229"/>
    </row>
    <row r="70" spans="1:14" ht="13">
      <c r="A70" s="224" t="s">
        <v>406</v>
      </c>
      <c r="B70" s="243">
        <v>-6</v>
      </c>
      <c r="C70" s="242">
        <v>-27.2</v>
      </c>
      <c r="D70" s="244">
        <v>-19.2</v>
      </c>
      <c r="E70" s="228"/>
      <c r="F70" s="242" t="s">
        <v>406</v>
      </c>
      <c r="G70" s="243">
        <v>-3.1</v>
      </c>
      <c r="H70" s="242">
        <v>-29.4</v>
      </c>
      <c r="I70" s="244">
        <v>-23.9</v>
      </c>
      <c r="J70" s="228"/>
      <c r="K70" s="229"/>
      <c r="L70" s="229"/>
      <c r="M70" s="229"/>
      <c r="N70" s="229"/>
    </row>
    <row r="71" spans="1:14" ht="13">
      <c r="A71" s="224" t="s">
        <v>409</v>
      </c>
      <c r="B71" s="243">
        <v>-71.3</v>
      </c>
      <c r="C71" s="242">
        <v>-92.5</v>
      </c>
      <c r="D71" s="244">
        <v>-84.6</v>
      </c>
      <c r="E71" s="228"/>
      <c r="F71" s="242" t="s">
        <v>409</v>
      </c>
      <c r="G71" s="243">
        <v>-68.2</v>
      </c>
      <c r="H71" s="242">
        <v>-94.5</v>
      </c>
      <c r="I71" s="244">
        <v>-89</v>
      </c>
      <c r="J71" s="228"/>
      <c r="K71" s="229"/>
      <c r="L71" s="229"/>
      <c r="M71" s="229"/>
      <c r="N71" s="229"/>
    </row>
    <row r="72" spans="1:14" ht="13">
      <c r="A72" s="224" t="s">
        <v>411</v>
      </c>
      <c r="B72" s="245">
        <v>4.4000000000000004</v>
      </c>
      <c r="C72" s="246">
        <v>-16.8</v>
      </c>
      <c r="D72" s="247">
        <v>-8.8000000000000007</v>
      </c>
      <c r="E72" s="228"/>
      <c r="F72" s="242" t="s">
        <v>411</v>
      </c>
      <c r="G72" s="245">
        <v>5.3</v>
      </c>
      <c r="H72" s="246">
        <v>-21</v>
      </c>
      <c r="I72" s="247">
        <v>-15.5</v>
      </c>
      <c r="J72" s="228"/>
      <c r="K72" s="229"/>
      <c r="L72" s="229"/>
      <c r="M72" s="229"/>
      <c r="N72" s="229"/>
    </row>
    <row r="73" spans="1:14" ht="13">
      <c r="F73" s="90"/>
      <c r="G73" s="90"/>
      <c r="H73" s="90"/>
      <c r="I73" s="90"/>
    </row>
  </sheetData>
  <conditionalFormatting sqref="B54:D5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61:D6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68:D7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54:I5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61:I6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68:I7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54:N58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61:N6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24"/>
  <sheetViews>
    <sheetView workbookViewId="0"/>
  </sheetViews>
  <sheetFormatPr baseColWidth="10" defaultColWidth="14.5" defaultRowHeight="15.75" customHeight="1"/>
  <cols>
    <col min="1" max="1" width="15.5" customWidth="1"/>
    <col min="5" max="5" width="4.5" customWidth="1"/>
    <col min="10" max="10" width="4.1640625" customWidth="1"/>
    <col min="11" max="11" width="16.5" customWidth="1"/>
  </cols>
  <sheetData>
    <row r="1" spans="1:14" ht="15.75" customHeight="1">
      <c r="A1" s="1" t="s">
        <v>801</v>
      </c>
      <c r="B1" s="2"/>
      <c r="C1" s="2" t="s">
        <v>802</v>
      </c>
      <c r="D1" s="2"/>
      <c r="F1" s="2"/>
      <c r="G1" s="2"/>
      <c r="H1" s="2"/>
      <c r="I1" s="2"/>
      <c r="K1" s="1"/>
      <c r="L1" s="2"/>
      <c r="M1" s="2"/>
      <c r="N1" s="2"/>
    </row>
    <row r="2" spans="1:14" ht="15.75" customHeight="1">
      <c r="A2" s="2"/>
      <c r="B2" s="2"/>
      <c r="D2" s="2"/>
      <c r="F2" s="2"/>
      <c r="G2" s="2"/>
      <c r="H2" s="2"/>
      <c r="I2" s="2"/>
      <c r="K2" s="1"/>
      <c r="L2" s="2"/>
      <c r="M2" s="2"/>
      <c r="N2" s="2"/>
    </row>
    <row r="3" spans="1:14" ht="15.75" customHeight="1">
      <c r="A3" s="1"/>
      <c r="B3" s="2"/>
      <c r="C3" s="2"/>
      <c r="D3" s="2"/>
      <c r="F3" s="1"/>
      <c r="G3" s="2"/>
      <c r="H3" s="2"/>
      <c r="I3" s="2"/>
      <c r="K3" s="1"/>
      <c r="L3" s="2"/>
      <c r="M3" s="2"/>
      <c r="N3" s="2"/>
    </row>
    <row r="4" spans="1:14" ht="15.75" customHeight="1">
      <c r="A4" s="1" t="s">
        <v>811</v>
      </c>
      <c r="B4" s="2" t="s">
        <v>2</v>
      </c>
      <c r="C4" s="2" t="s">
        <v>317</v>
      </c>
      <c r="D4" s="2" t="s">
        <v>311</v>
      </c>
      <c r="F4" s="1" t="s">
        <v>425</v>
      </c>
      <c r="G4" s="2" t="s">
        <v>2</v>
      </c>
      <c r="H4" s="2" t="s">
        <v>317</v>
      </c>
      <c r="I4" s="2" t="s">
        <v>311</v>
      </c>
      <c r="K4" s="1" t="s">
        <v>400</v>
      </c>
      <c r="L4" s="2" t="s">
        <v>2</v>
      </c>
      <c r="M4" s="2" t="s">
        <v>317</v>
      </c>
      <c r="N4" s="2" t="s">
        <v>311</v>
      </c>
    </row>
    <row r="5" spans="1:14" ht="15.75" customHeight="1">
      <c r="A5" s="2" t="s">
        <v>2</v>
      </c>
      <c r="B5" s="63"/>
      <c r="C5" s="65"/>
      <c r="D5" s="66"/>
      <c r="F5" s="2" t="s">
        <v>2</v>
      </c>
      <c r="G5" s="63"/>
      <c r="H5" s="65"/>
      <c r="I5" s="66"/>
      <c r="K5" s="2" t="s">
        <v>2</v>
      </c>
      <c r="L5" s="63"/>
      <c r="M5" s="65"/>
      <c r="N5" s="66"/>
    </row>
    <row r="6" spans="1:14" ht="15.75" customHeight="1">
      <c r="A6" s="2" t="s">
        <v>404</v>
      </c>
      <c r="B6" s="67"/>
      <c r="C6" s="2"/>
      <c r="D6" s="68"/>
      <c r="F6" s="2" t="s">
        <v>404</v>
      </c>
      <c r="G6" s="67"/>
      <c r="H6" s="2"/>
      <c r="I6" s="68"/>
      <c r="K6" s="2" t="s">
        <v>404</v>
      </c>
      <c r="L6" s="67"/>
      <c r="M6" s="2"/>
      <c r="N6" s="68"/>
    </row>
    <row r="7" spans="1:14" ht="15.75" customHeight="1">
      <c r="A7" s="2" t="s">
        <v>406</v>
      </c>
      <c r="B7" s="67"/>
      <c r="C7" s="2"/>
      <c r="D7" s="68"/>
      <c r="F7" s="2" t="s">
        <v>406</v>
      </c>
      <c r="G7" s="67"/>
      <c r="H7" s="2"/>
      <c r="I7" s="68"/>
      <c r="K7" s="2" t="s">
        <v>406</v>
      </c>
      <c r="L7" s="67"/>
      <c r="M7" s="2"/>
      <c r="N7" s="68"/>
    </row>
    <row r="8" spans="1:14" ht="15.75" customHeight="1">
      <c r="A8" s="2" t="s">
        <v>409</v>
      </c>
      <c r="B8" s="67"/>
      <c r="C8" s="2"/>
      <c r="D8" s="68"/>
      <c r="F8" s="2" t="s">
        <v>409</v>
      </c>
      <c r="G8" s="67"/>
      <c r="H8" s="2"/>
      <c r="I8" s="68"/>
      <c r="K8" s="2" t="s">
        <v>409</v>
      </c>
      <c r="L8" s="67"/>
      <c r="M8" s="2"/>
      <c r="N8" s="68"/>
    </row>
    <row r="9" spans="1:14" ht="15.75" customHeight="1">
      <c r="A9" s="2" t="s">
        <v>411</v>
      </c>
      <c r="B9" s="70"/>
      <c r="C9" s="71"/>
      <c r="D9" s="72"/>
      <c r="F9" s="2" t="s">
        <v>411</v>
      </c>
      <c r="G9" s="70"/>
      <c r="H9" s="71"/>
      <c r="I9" s="72"/>
      <c r="K9" s="2" t="s">
        <v>411</v>
      </c>
      <c r="L9" s="70"/>
      <c r="M9" s="71"/>
      <c r="N9" s="72"/>
    </row>
    <row r="10" spans="1:14" ht="15.75" customHeight="1">
      <c r="A10" s="2"/>
      <c r="F10" s="2"/>
      <c r="K10" s="2"/>
    </row>
    <row r="11" spans="1:14" ht="15.75" customHeight="1">
      <c r="A11" s="1" t="s">
        <v>812</v>
      </c>
      <c r="B11" s="2" t="s">
        <v>2</v>
      </c>
      <c r="C11" s="2" t="s">
        <v>317</v>
      </c>
      <c r="D11" s="2" t="s">
        <v>311</v>
      </c>
      <c r="F11" s="1" t="s">
        <v>445</v>
      </c>
      <c r="G11" s="2" t="s">
        <v>2</v>
      </c>
      <c r="H11" s="2" t="s">
        <v>317</v>
      </c>
      <c r="I11" s="2" t="s">
        <v>311</v>
      </c>
      <c r="K11" s="1" t="s">
        <v>813</v>
      </c>
      <c r="L11" s="2" t="s">
        <v>2</v>
      </c>
      <c r="M11" s="2" t="s">
        <v>317</v>
      </c>
      <c r="N11" s="2" t="s">
        <v>311</v>
      </c>
    </row>
    <row r="12" spans="1:14" ht="15.75" customHeight="1">
      <c r="A12" s="2" t="s">
        <v>2</v>
      </c>
      <c r="B12" s="63"/>
      <c r="C12" s="65"/>
      <c r="D12" s="66"/>
      <c r="F12" s="2" t="s">
        <v>2</v>
      </c>
      <c r="G12" s="63"/>
      <c r="H12" s="65"/>
      <c r="I12" s="66"/>
      <c r="K12" s="2" t="s">
        <v>2</v>
      </c>
      <c r="L12" s="63"/>
      <c r="M12" s="65"/>
      <c r="N12" s="66"/>
    </row>
    <row r="13" spans="1:14" ht="15.75" customHeight="1">
      <c r="A13" s="2" t="s">
        <v>404</v>
      </c>
      <c r="B13" s="67"/>
      <c r="C13" s="2"/>
      <c r="D13" s="68"/>
      <c r="F13" s="2" t="s">
        <v>404</v>
      </c>
      <c r="G13" s="67"/>
      <c r="H13" s="2"/>
      <c r="I13" s="68"/>
      <c r="K13" s="2" t="s">
        <v>404</v>
      </c>
      <c r="L13" s="67"/>
      <c r="M13" s="2"/>
      <c r="N13" s="68"/>
    </row>
    <row r="14" spans="1:14" ht="15.75" customHeight="1">
      <c r="A14" s="2" t="s">
        <v>406</v>
      </c>
      <c r="B14" s="67"/>
      <c r="C14" s="2"/>
      <c r="D14" s="68"/>
      <c r="F14" s="2" t="s">
        <v>406</v>
      </c>
      <c r="G14" s="67"/>
      <c r="H14" s="2"/>
      <c r="I14" s="68"/>
      <c r="K14" s="2" t="s">
        <v>406</v>
      </c>
      <c r="L14" s="67"/>
      <c r="M14" s="2"/>
      <c r="N14" s="68"/>
    </row>
    <row r="15" spans="1:14" ht="15.75" customHeight="1">
      <c r="A15" s="2" t="s">
        <v>409</v>
      </c>
      <c r="B15" s="67"/>
      <c r="C15" s="2"/>
      <c r="D15" s="68"/>
      <c r="F15" s="2" t="s">
        <v>409</v>
      </c>
      <c r="G15" s="67"/>
      <c r="H15" s="2"/>
      <c r="I15" s="68"/>
      <c r="K15" s="2" t="s">
        <v>409</v>
      </c>
      <c r="L15" s="67"/>
      <c r="M15" s="2"/>
      <c r="N15" s="68"/>
    </row>
    <row r="16" spans="1:14" ht="15.75" customHeight="1">
      <c r="A16" s="2" t="s">
        <v>411</v>
      </c>
      <c r="B16" s="70"/>
      <c r="C16" s="71"/>
      <c r="D16" s="72"/>
      <c r="F16" s="2" t="s">
        <v>411</v>
      </c>
      <c r="G16" s="70"/>
      <c r="H16" s="71"/>
      <c r="I16" s="72"/>
      <c r="K16" s="2" t="s">
        <v>411</v>
      </c>
      <c r="L16" s="70"/>
      <c r="M16" s="71"/>
      <c r="N16" s="72"/>
    </row>
    <row r="17" spans="1:15" ht="15.75" customHeight="1">
      <c r="A17" s="2"/>
      <c r="F17" s="2"/>
      <c r="K17" s="2"/>
    </row>
    <row r="18" spans="1:15" ht="15.75" customHeight="1">
      <c r="A18" s="1" t="s">
        <v>817</v>
      </c>
      <c r="B18" s="2" t="s">
        <v>2</v>
      </c>
      <c r="C18" s="2" t="s">
        <v>317</v>
      </c>
      <c r="D18" s="2" t="s">
        <v>311</v>
      </c>
      <c r="F18" s="1" t="s">
        <v>698</v>
      </c>
      <c r="G18" s="2" t="s">
        <v>2</v>
      </c>
      <c r="H18" s="2" t="s">
        <v>317</v>
      </c>
      <c r="I18" s="2" t="s">
        <v>311</v>
      </c>
      <c r="K18" s="1"/>
      <c r="L18" s="2" t="s">
        <v>821</v>
      </c>
      <c r="M18" s="2" t="s">
        <v>822</v>
      </c>
      <c r="O18" s="2" t="s">
        <v>823</v>
      </c>
    </row>
    <row r="19" spans="1:15" ht="15.75" customHeight="1">
      <c r="A19" s="2" t="s">
        <v>2</v>
      </c>
      <c r="B19" s="63"/>
      <c r="C19" s="65"/>
      <c r="D19" s="66"/>
      <c r="F19" s="2" t="s">
        <v>2</v>
      </c>
      <c r="G19" s="63"/>
      <c r="H19" s="65"/>
      <c r="I19" s="66"/>
      <c r="K19" s="2" t="s">
        <v>717</v>
      </c>
      <c r="L19" s="2">
        <v>68</v>
      </c>
      <c r="M19" s="2">
        <v>1.94</v>
      </c>
      <c r="N19" s="2" t="s">
        <v>824</v>
      </c>
      <c r="O19" s="2">
        <v>-8.8000000000000007</v>
      </c>
    </row>
    <row r="20" spans="1:15" ht="15.75" customHeight="1">
      <c r="A20" s="2" t="s">
        <v>404</v>
      </c>
      <c r="B20" s="67"/>
      <c r="C20" s="2"/>
      <c r="D20" s="68"/>
      <c r="F20" s="2" t="s">
        <v>404</v>
      </c>
      <c r="G20" s="67"/>
      <c r="H20" s="2"/>
      <c r="I20" s="68"/>
      <c r="K20" s="2" t="s">
        <v>825</v>
      </c>
      <c r="L20" s="2">
        <v>73</v>
      </c>
      <c r="M20" s="2">
        <v>1.47</v>
      </c>
      <c r="N20" s="2" t="s">
        <v>826</v>
      </c>
      <c r="O20" s="2">
        <v>-5.9</v>
      </c>
    </row>
    <row r="21" spans="1:15" ht="15.75" customHeight="1">
      <c r="A21" s="2" t="s">
        <v>406</v>
      </c>
      <c r="B21" s="67"/>
      <c r="C21" s="2"/>
      <c r="D21" s="68"/>
      <c r="F21" s="2" t="s">
        <v>406</v>
      </c>
      <c r="G21" s="67"/>
      <c r="H21" s="2"/>
      <c r="I21" s="68"/>
      <c r="K21" s="2" t="s">
        <v>716</v>
      </c>
      <c r="L21" s="2">
        <v>78</v>
      </c>
      <c r="M21" s="2">
        <v>1.77</v>
      </c>
      <c r="N21" s="2" t="s">
        <v>827</v>
      </c>
      <c r="O21" s="2">
        <v>3.2</v>
      </c>
    </row>
    <row r="22" spans="1:15" ht="15.75" customHeight="1">
      <c r="A22" s="2" t="s">
        <v>409</v>
      </c>
      <c r="B22" s="67"/>
      <c r="C22" s="2"/>
      <c r="D22" s="68"/>
      <c r="F22" s="2" t="s">
        <v>409</v>
      </c>
      <c r="G22" s="67"/>
      <c r="H22" s="2"/>
      <c r="I22" s="68"/>
      <c r="K22" s="2" t="s">
        <v>828</v>
      </c>
      <c r="L22" s="2">
        <v>82</v>
      </c>
      <c r="M22" s="2">
        <v>1.54</v>
      </c>
      <c r="N22" s="2" t="s">
        <v>829</v>
      </c>
      <c r="O22" s="2">
        <v>3.8</v>
      </c>
    </row>
    <row r="23" spans="1:15" ht="15.75" customHeight="1">
      <c r="A23" s="2" t="s">
        <v>411</v>
      </c>
      <c r="B23" s="70"/>
      <c r="C23" s="71"/>
      <c r="D23" s="72"/>
      <c r="F23" s="2" t="s">
        <v>411</v>
      </c>
      <c r="G23" s="70"/>
      <c r="H23" s="71"/>
      <c r="I23" s="72"/>
      <c r="K23" s="2" t="s">
        <v>830</v>
      </c>
      <c r="L23" s="2">
        <v>86</v>
      </c>
      <c r="M23" s="2">
        <v>1.43</v>
      </c>
      <c r="N23" s="2" t="s">
        <v>831</v>
      </c>
      <c r="O23" s="2">
        <v>4.7</v>
      </c>
    </row>
    <row r="24" spans="1:15" ht="15.75" customHeight="1">
      <c r="A24" s="2"/>
      <c r="F24" s="2"/>
      <c r="K24" s="2" t="s">
        <v>715</v>
      </c>
      <c r="L24" s="2">
        <v>116</v>
      </c>
      <c r="M24" s="2">
        <v>1.35</v>
      </c>
      <c r="N24" s="2" t="s">
        <v>834</v>
      </c>
      <c r="O24" s="2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998"/>
  <sheetViews>
    <sheetView workbookViewId="0"/>
  </sheetViews>
  <sheetFormatPr baseColWidth="10" defaultColWidth="14.5" defaultRowHeight="15.75" customHeight="1"/>
  <cols>
    <col min="1" max="1" width="58.5" customWidth="1"/>
  </cols>
  <sheetData>
    <row r="1" spans="1:9" ht="15.75" customHeight="1">
      <c r="A1" s="2"/>
      <c r="B1" s="2" t="s">
        <v>970</v>
      </c>
      <c r="C1" s="2" t="s">
        <v>971</v>
      </c>
      <c r="D1" s="2" t="s">
        <v>972</v>
      </c>
      <c r="E1" s="2" t="s">
        <v>973</v>
      </c>
      <c r="F1" s="2" t="s">
        <v>974</v>
      </c>
      <c r="G1" s="2" t="s">
        <v>975</v>
      </c>
      <c r="H1" s="3" t="s">
        <v>976</v>
      </c>
      <c r="I1" s="2" t="s">
        <v>0</v>
      </c>
    </row>
    <row r="2" spans="1:9" ht="15.75" customHeight="1">
      <c r="A2" s="2" t="s">
        <v>714</v>
      </c>
      <c r="B2" s="2">
        <v>2.06</v>
      </c>
      <c r="C2" s="2">
        <v>1.75</v>
      </c>
      <c r="D2" s="2">
        <v>1.43</v>
      </c>
      <c r="E2" s="2">
        <v>1.77</v>
      </c>
      <c r="F2" s="28">
        <f t="shared" ref="F2:G2" si="0">B2/D2</f>
        <v>1.4405594405594406</v>
      </c>
      <c r="G2" s="28">
        <f t="shared" si="0"/>
        <v>0.98870056497175141</v>
      </c>
      <c r="H2" s="28">
        <f t="shared" ref="H2:H15" si="1">F2+G2</f>
        <v>2.4292600055311921</v>
      </c>
      <c r="I2" s="2">
        <v>1.0339</v>
      </c>
    </row>
    <row r="3" spans="1:9" ht="15.75" customHeight="1">
      <c r="A3" s="2" t="s">
        <v>519</v>
      </c>
      <c r="B3" s="2">
        <v>2.02</v>
      </c>
      <c r="C3" s="2">
        <v>1.74</v>
      </c>
      <c r="D3" s="2">
        <v>1.35</v>
      </c>
      <c r="E3" s="2">
        <v>1.77</v>
      </c>
      <c r="F3" s="28">
        <f t="shared" ref="F3:G3" si="2">B3/D3</f>
        <v>1.4962962962962962</v>
      </c>
      <c r="G3" s="28">
        <f t="shared" si="2"/>
        <v>0.98305084745762705</v>
      </c>
      <c r="H3" s="28">
        <f t="shared" si="1"/>
        <v>2.4793471437539232</v>
      </c>
      <c r="I3" s="2">
        <v>1.0294000000000001</v>
      </c>
    </row>
    <row r="4" spans="1:9" ht="15.75" customHeight="1">
      <c r="A4" s="2" t="s">
        <v>478</v>
      </c>
      <c r="B4" s="2">
        <v>1.79</v>
      </c>
      <c r="C4" s="2">
        <v>2.08</v>
      </c>
      <c r="D4" s="2">
        <v>1.43</v>
      </c>
      <c r="E4" s="2">
        <v>1.94</v>
      </c>
      <c r="F4" s="28">
        <f t="shared" ref="F4:G4" si="3">B4/D4</f>
        <v>1.2517482517482519</v>
      </c>
      <c r="G4" s="28">
        <f t="shared" si="3"/>
        <v>1.0721649484536082</v>
      </c>
      <c r="H4" s="28">
        <f t="shared" si="1"/>
        <v>2.3239132002018601</v>
      </c>
      <c r="I4" s="2">
        <v>1.0608</v>
      </c>
    </row>
    <row r="5" spans="1:9" ht="15.75" customHeight="1">
      <c r="A5" s="2" t="s">
        <v>476</v>
      </c>
      <c r="B5" s="2">
        <v>1.72</v>
      </c>
      <c r="C5" s="2">
        <v>2</v>
      </c>
      <c r="D5" s="2">
        <v>1.35</v>
      </c>
      <c r="E5" s="2">
        <v>1.94</v>
      </c>
      <c r="F5" s="28">
        <f t="shared" ref="F5:G5" si="4">B5/D5</f>
        <v>1.2740740740740739</v>
      </c>
      <c r="G5" s="28">
        <f t="shared" si="4"/>
        <v>1.0309278350515465</v>
      </c>
      <c r="H5" s="28">
        <f t="shared" si="1"/>
        <v>2.3050019091256204</v>
      </c>
      <c r="I5" s="2">
        <v>1.0601</v>
      </c>
    </row>
    <row r="6" spans="1:9" ht="15.75" customHeight="1">
      <c r="A6" s="2" t="s">
        <v>477</v>
      </c>
      <c r="B6" s="2">
        <v>1.82</v>
      </c>
      <c r="C6" s="2">
        <v>2.0699999999999998</v>
      </c>
      <c r="D6" s="2">
        <v>1.47</v>
      </c>
      <c r="E6" s="2">
        <v>1.94</v>
      </c>
      <c r="F6" s="28">
        <f t="shared" ref="F6:G6" si="5">B6/D6</f>
        <v>1.2380952380952381</v>
      </c>
      <c r="G6" s="28">
        <f t="shared" si="5"/>
        <v>1.0670103092783505</v>
      </c>
      <c r="H6" s="28">
        <f t="shared" si="1"/>
        <v>2.3051055473735884</v>
      </c>
      <c r="I6" s="2">
        <v>1.0603</v>
      </c>
    </row>
    <row r="7" spans="1:9" ht="15.75" customHeight="1">
      <c r="A7" s="2" t="s">
        <v>475</v>
      </c>
      <c r="B7" s="2">
        <v>2.12</v>
      </c>
      <c r="C7" s="2">
        <v>1.95</v>
      </c>
      <c r="D7" s="2">
        <v>1.43</v>
      </c>
      <c r="E7" s="2">
        <v>1.94</v>
      </c>
      <c r="F7" s="28">
        <f t="shared" ref="F7:G7" si="6">B7/D7</f>
        <v>1.4825174825174827</v>
      </c>
      <c r="G7" s="28">
        <f t="shared" si="6"/>
        <v>1.0051546391752577</v>
      </c>
      <c r="H7" s="28">
        <f t="shared" si="1"/>
        <v>2.4876721216927402</v>
      </c>
      <c r="I7" s="2">
        <v>1.0465</v>
      </c>
    </row>
    <row r="8" spans="1:9" ht="15.75" customHeight="1">
      <c r="A8" s="2" t="s">
        <v>710</v>
      </c>
      <c r="B8" s="2">
        <v>1.77</v>
      </c>
      <c r="C8" s="2">
        <v>1.91</v>
      </c>
      <c r="D8" s="2">
        <v>1.43</v>
      </c>
      <c r="E8" s="2">
        <v>1.77</v>
      </c>
      <c r="F8" s="28">
        <f t="shared" ref="F8:G8" si="7">B8/D8</f>
        <v>1.2377622377622379</v>
      </c>
      <c r="G8" s="28">
        <f t="shared" si="7"/>
        <v>1.0790960451977401</v>
      </c>
      <c r="H8" s="28">
        <f t="shared" si="1"/>
        <v>2.316858282959978</v>
      </c>
      <c r="I8" s="2">
        <v>1.0509999999999999</v>
      </c>
    </row>
    <row r="9" spans="1:9" ht="15.75" customHeight="1">
      <c r="A9" s="2" t="s">
        <v>471</v>
      </c>
      <c r="B9" s="2">
        <v>1.73</v>
      </c>
      <c r="C9" s="2">
        <v>1.85</v>
      </c>
      <c r="D9" s="2">
        <v>1.35</v>
      </c>
      <c r="E9" s="2">
        <v>1.77</v>
      </c>
      <c r="F9" s="28">
        <f t="shared" ref="F9:G9" si="8">B9/D9</f>
        <v>1.2814814814814814</v>
      </c>
      <c r="G9" s="28">
        <f t="shared" si="8"/>
        <v>1.0451977401129944</v>
      </c>
      <c r="H9" s="28">
        <f t="shared" si="1"/>
        <v>2.3266792215944756</v>
      </c>
      <c r="I9" s="2">
        <v>1.0442</v>
      </c>
    </row>
    <row r="10" spans="1:9" ht="15.75" customHeight="1">
      <c r="A10" s="2" t="s">
        <v>472</v>
      </c>
      <c r="B10" s="2">
        <v>1.81</v>
      </c>
      <c r="C10" s="2">
        <v>1.9</v>
      </c>
      <c r="D10" s="2">
        <v>1.47</v>
      </c>
      <c r="E10" s="2">
        <v>1.77</v>
      </c>
      <c r="F10" s="28">
        <f t="shared" ref="F10:G10" si="9">B10/D10</f>
        <v>1.2312925170068028</v>
      </c>
      <c r="G10" s="28">
        <f t="shared" si="9"/>
        <v>1.0734463276836157</v>
      </c>
      <c r="H10" s="28">
        <f t="shared" si="1"/>
        <v>2.3047388446904185</v>
      </c>
      <c r="I10" s="2">
        <v>1.0508</v>
      </c>
    </row>
    <row r="11" spans="1:9" ht="15.75" customHeight="1">
      <c r="A11" s="2" t="s">
        <v>470</v>
      </c>
      <c r="B11" s="2">
        <v>2.13</v>
      </c>
      <c r="C11" s="2">
        <v>1.79</v>
      </c>
      <c r="D11" s="2">
        <v>1.43</v>
      </c>
      <c r="E11" s="2">
        <v>1.77</v>
      </c>
      <c r="F11" s="28">
        <f t="shared" ref="F11:G11" si="10">B11/D11</f>
        <v>1.4895104895104896</v>
      </c>
      <c r="G11" s="28">
        <f t="shared" si="10"/>
        <v>1.0112994350282487</v>
      </c>
      <c r="H11" s="28">
        <f t="shared" si="1"/>
        <v>2.5008099245387383</v>
      </c>
      <c r="I11" s="2">
        <v>1.0346</v>
      </c>
    </row>
    <row r="12" spans="1:9" ht="15.75" customHeight="1">
      <c r="A12" s="2" t="s">
        <v>494</v>
      </c>
      <c r="B12" s="2">
        <v>1.78</v>
      </c>
      <c r="C12" s="2">
        <v>2.0099999999999998</v>
      </c>
      <c r="D12" s="2">
        <v>1.43</v>
      </c>
      <c r="E12" s="2">
        <v>1.94</v>
      </c>
      <c r="F12" s="28">
        <f t="shared" ref="F12:G12" si="11">B12/D12</f>
        <v>1.2447552447552448</v>
      </c>
      <c r="G12" s="28">
        <f t="shared" si="11"/>
        <v>1.036082474226804</v>
      </c>
      <c r="H12" s="28">
        <f t="shared" si="1"/>
        <v>2.280837718982049</v>
      </c>
      <c r="I12" s="2">
        <v>1.0591999999999999</v>
      </c>
    </row>
    <row r="13" spans="1:9" ht="15.75" customHeight="1">
      <c r="A13" s="2" t="s">
        <v>492</v>
      </c>
      <c r="B13" s="2">
        <v>1.78</v>
      </c>
      <c r="C13" s="2">
        <v>1.95</v>
      </c>
      <c r="D13" s="2">
        <v>1.35</v>
      </c>
      <c r="E13" s="2">
        <v>1.94</v>
      </c>
      <c r="F13" s="28">
        <f t="shared" ref="F13:G13" si="12">B13/D13</f>
        <v>1.3185185185185184</v>
      </c>
      <c r="G13" s="28">
        <f t="shared" si="12"/>
        <v>1.0051546391752577</v>
      </c>
      <c r="H13" s="28">
        <f t="shared" si="1"/>
        <v>2.3236731576937761</v>
      </c>
      <c r="I13" s="2">
        <v>1.0573999999999999</v>
      </c>
    </row>
    <row r="14" spans="1:9" ht="15.75" customHeight="1">
      <c r="A14" s="2" t="s">
        <v>493</v>
      </c>
      <c r="B14" s="2">
        <v>1.86</v>
      </c>
      <c r="C14" s="2">
        <v>1.99</v>
      </c>
      <c r="D14" s="2">
        <v>1.47</v>
      </c>
      <c r="E14" s="2">
        <v>1.94</v>
      </c>
      <c r="F14" s="28">
        <f t="shared" ref="F14:G14" si="13">B14/D14</f>
        <v>1.2653061224489797</v>
      </c>
      <c r="G14" s="28">
        <f t="shared" si="13"/>
        <v>1.0257731958762888</v>
      </c>
      <c r="H14" s="28">
        <f t="shared" si="1"/>
        <v>2.2910793183252682</v>
      </c>
      <c r="I14" s="2">
        <v>1.0565</v>
      </c>
    </row>
    <row r="15" spans="1:9" ht="15.75" customHeight="1">
      <c r="A15" s="2" t="s">
        <v>491</v>
      </c>
      <c r="B15" s="2">
        <v>2.41</v>
      </c>
      <c r="C15" s="2">
        <v>1.91</v>
      </c>
      <c r="D15" s="2">
        <v>1.43</v>
      </c>
      <c r="E15" s="2">
        <v>1.94</v>
      </c>
      <c r="F15" s="28">
        <f t="shared" ref="F15:G15" si="14">B15/D15</f>
        <v>1.6853146853146854</v>
      </c>
      <c r="G15" s="28">
        <f t="shared" si="14"/>
        <v>0.98453608247422675</v>
      </c>
      <c r="H15" s="28">
        <f t="shared" si="1"/>
        <v>2.6698507677889123</v>
      </c>
      <c r="I15" s="2">
        <v>1.0268999999999999</v>
      </c>
    </row>
    <row r="16" spans="1:9" ht="15.75" customHeight="1">
      <c r="A16" s="2" t="s">
        <v>713</v>
      </c>
      <c r="B16" s="2">
        <v>1.78</v>
      </c>
      <c r="C16" s="2">
        <v>1.83</v>
      </c>
      <c r="D16" s="2">
        <v>1.43</v>
      </c>
      <c r="E16" s="2">
        <v>1.77</v>
      </c>
      <c r="F16" s="28">
        <f t="shared" ref="F16:G16" si="15">B16/D16</f>
        <v>1.2447552447552448</v>
      </c>
      <c r="G16" s="28">
        <f t="shared" si="15"/>
        <v>1.0338983050847459</v>
      </c>
      <c r="H16" s="28">
        <f t="shared" ref="H16:H82" si="16">F15+G15</f>
        <v>2.6698507677889123</v>
      </c>
      <c r="I16" s="2">
        <v>1.0490999999999999</v>
      </c>
    </row>
    <row r="17" spans="1:13" ht="15.75" customHeight="1">
      <c r="A17" s="2" t="s">
        <v>487</v>
      </c>
      <c r="B17" s="2">
        <v>1.81</v>
      </c>
      <c r="C17" s="2">
        <v>1.8</v>
      </c>
      <c r="D17" s="2">
        <v>1.35</v>
      </c>
      <c r="E17" s="2">
        <v>1.77</v>
      </c>
      <c r="F17" s="28">
        <f t="shared" ref="F17:G17" si="17">B17/D17</f>
        <v>1.3407407407407408</v>
      </c>
      <c r="G17" s="28">
        <f t="shared" si="17"/>
        <v>1.0169491525423728</v>
      </c>
      <c r="H17" s="28">
        <f t="shared" si="16"/>
        <v>2.2786535498399907</v>
      </c>
      <c r="I17" s="2">
        <v>1.0408999999999999</v>
      </c>
    </row>
    <row r="18" spans="1:13" ht="15.75" customHeight="1">
      <c r="A18" s="2" t="s">
        <v>712</v>
      </c>
      <c r="B18" s="2">
        <v>1.85</v>
      </c>
      <c r="C18" s="2">
        <v>1.83</v>
      </c>
      <c r="D18" s="2">
        <v>1.47</v>
      </c>
      <c r="E18" s="2">
        <v>1.77</v>
      </c>
      <c r="F18" s="28">
        <f t="shared" ref="F18:G18" si="18">B18/D18</f>
        <v>1.2585034013605443</v>
      </c>
      <c r="G18" s="28">
        <f t="shared" si="18"/>
        <v>1.0338983050847459</v>
      </c>
      <c r="H18" s="28">
        <f t="shared" si="16"/>
        <v>2.3576898932831138</v>
      </c>
      <c r="I18" s="2">
        <v>1.0472999999999999</v>
      </c>
    </row>
    <row r="19" spans="1:13" ht="15.75" customHeight="1">
      <c r="A19" s="2" t="s">
        <v>486</v>
      </c>
      <c r="B19" s="2">
        <v>2.38</v>
      </c>
      <c r="C19" s="2">
        <v>1.76</v>
      </c>
      <c r="D19" s="2">
        <v>1.43</v>
      </c>
      <c r="E19" s="2">
        <v>1.77</v>
      </c>
      <c r="F19" s="28">
        <f t="shared" ref="F19:G19" si="19">B19/D19</f>
        <v>1.6643356643356644</v>
      </c>
      <c r="G19" s="28">
        <f t="shared" si="19"/>
        <v>0.99435028248587565</v>
      </c>
      <c r="H19" s="28">
        <f t="shared" si="16"/>
        <v>2.2924017064452902</v>
      </c>
      <c r="I19" s="2">
        <v>1.0232000000000001</v>
      </c>
    </row>
    <row r="20" spans="1:13" ht="15.75" customHeight="1">
      <c r="A20" s="2" t="s">
        <v>423</v>
      </c>
      <c r="B20" s="2">
        <v>1.87</v>
      </c>
      <c r="C20" s="2">
        <v>2.2400000000000002</v>
      </c>
      <c r="D20" s="2">
        <v>1.43</v>
      </c>
      <c r="E20" s="2">
        <v>1.94</v>
      </c>
      <c r="F20" s="28">
        <f t="shared" ref="F20:G20" si="20">B20/D20</f>
        <v>1.3076923076923079</v>
      </c>
      <c r="G20" s="28">
        <f t="shared" si="20"/>
        <v>1.1546391752577321</v>
      </c>
      <c r="H20" s="28">
        <f t="shared" si="16"/>
        <v>2.65868594682154</v>
      </c>
      <c r="I20" s="2">
        <v>1.0530999999999999</v>
      </c>
    </row>
    <row r="21" spans="1:13" ht="15.75" customHeight="1">
      <c r="A21" s="2" t="s">
        <v>418</v>
      </c>
      <c r="B21" s="2">
        <v>1.71</v>
      </c>
      <c r="C21" s="2">
        <v>2.12</v>
      </c>
      <c r="D21" s="2">
        <v>1.35</v>
      </c>
      <c r="E21" s="2">
        <v>1.94</v>
      </c>
      <c r="F21" s="28">
        <f t="shared" ref="F21:G21" si="21">B21/D21</f>
        <v>1.2666666666666666</v>
      </c>
      <c r="G21" s="28">
        <f t="shared" si="21"/>
        <v>1.0927835051546393</v>
      </c>
      <c r="H21" s="28">
        <f t="shared" si="16"/>
        <v>2.4623314829500398</v>
      </c>
      <c r="I21" s="2">
        <v>1.0544</v>
      </c>
    </row>
    <row r="22" spans="1:13" ht="15.75" customHeight="1">
      <c r="A22" s="2" t="s">
        <v>421</v>
      </c>
      <c r="B22" s="2">
        <v>1.94</v>
      </c>
      <c r="C22" s="2">
        <v>2.2599999999999998</v>
      </c>
      <c r="D22" s="2">
        <v>1.47</v>
      </c>
      <c r="E22" s="2">
        <v>1.94</v>
      </c>
      <c r="F22" s="28">
        <f t="shared" ref="F22:G22" si="22">B22/D22</f>
        <v>1.3197278911564625</v>
      </c>
      <c r="G22" s="28">
        <f t="shared" si="22"/>
        <v>1.1649484536082473</v>
      </c>
      <c r="H22" s="28">
        <f t="shared" si="16"/>
        <v>2.3594501718213059</v>
      </c>
      <c r="I22" s="2">
        <v>1.0548999999999999</v>
      </c>
    </row>
    <row r="23" spans="1:13" ht="15.75" customHeight="1">
      <c r="A23" s="2" t="s">
        <v>420</v>
      </c>
      <c r="B23" s="2">
        <v>1.98</v>
      </c>
      <c r="C23" s="2">
        <v>2.0299999999999998</v>
      </c>
      <c r="D23" s="2">
        <v>1.43</v>
      </c>
      <c r="E23" s="2">
        <v>1.94</v>
      </c>
      <c r="F23" s="28">
        <f t="shared" ref="F23:G23" si="23">B23/D23</f>
        <v>1.3846153846153846</v>
      </c>
      <c r="G23" s="28">
        <f t="shared" si="23"/>
        <v>1.0463917525773194</v>
      </c>
      <c r="H23" s="28">
        <f t="shared" si="16"/>
        <v>2.4846763447647096</v>
      </c>
      <c r="I23" s="2">
        <v>1.0482</v>
      </c>
    </row>
    <row r="24" spans="1:13" ht="15.75" customHeight="1">
      <c r="A24" s="2" t="s">
        <v>417</v>
      </c>
      <c r="B24" s="2">
        <v>1.86</v>
      </c>
      <c r="C24" s="2">
        <v>2.1</v>
      </c>
      <c r="D24" s="2">
        <v>1.43</v>
      </c>
      <c r="E24" s="2">
        <v>1.77</v>
      </c>
      <c r="F24" s="28">
        <f t="shared" ref="F24:G24" si="24">B24/D24</f>
        <v>1.3006993006993008</v>
      </c>
      <c r="G24" s="28">
        <f t="shared" si="24"/>
        <v>1.1864406779661016</v>
      </c>
      <c r="H24" s="28">
        <f t="shared" si="16"/>
        <v>2.431007137192704</v>
      </c>
      <c r="I24" s="2">
        <v>1.0509999999999999</v>
      </c>
    </row>
    <row r="25" spans="1:13" ht="15.75" customHeight="1">
      <c r="A25" s="2" t="s">
        <v>412</v>
      </c>
      <c r="B25" s="2">
        <v>1.73</v>
      </c>
      <c r="C25" s="2">
        <v>1.96</v>
      </c>
      <c r="D25" s="2">
        <v>1.35</v>
      </c>
      <c r="E25" s="2">
        <v>1.77</v>
      </c>
      <c r="F25" s="28">
        <f t="shared" ref="F25:G25" si="25">B25/D25</f>
        <v>1.2814814814814814</v>
      </c>
      <c r="G25" s="28">
        <f t="shared" si="25"/>
        <v>1.1073446327683616</v>
      </c>
      <c r="H25" s="28">
        <f t="shared" si="16"/>
        <v>2.4871399786654025</v>
      </c>
      <c r="I25" s="2">
        <v>1.0482</v>
      </c>
      <c r="K25" s="1"/>
      <c r="L25" s="2"/>
      <c r="M25" s="3"/>
    </row>
    <row r="26" spans="1:13" ht="15.75" customHeight="1">
      <c r="A26" s="2" t="s">
        <v>415</v>
      </c>
      <c r="B26" s="2">
        <v>1.95</v>
      </c>
      <c r="C26" s="2">
        <v>2.12</v>
      </c>
      <c r="D26" s="2">
        <v>1.47</v>
      </c>
      <c r="E26" s="2">
        <v>1.77</v>
      </c>
      <c r="F26" s="28">
        <f t="shared" ref="F26:G26" si="26">B26/D26</f>
        <v>1.3265306122448979</v>
      </c>
      <c r="G26" s="28">
        <f t="shared" si="26"/>
        <v>1.1977401129943503</v>
      </c>
      <c r="H26" s="28">
        <f t="shared" si="16"/>
        <v>2.3888261142498433</v>
      </c>
      <c r="I26" s="2">
        <v>1.0517000000000001</v>
      </c>
      <c r="K26" s="2"/>
      <c r="L26" s="2"/>
      <c r="M26" s="3"/>
    </row>
    <row r="27" spans="1:13" ht="15.75" customHeight="1">
      <c r="A27" s="2" t="s">
        <v>414</v>
      </c>
      <c r="B27" s="2">
        <v>1.94</v>
      </c>
      <c r="C27" s="2">
        <v>1.87</v>
      </c>
      <c r="D27" s="2">
        <v>1.43</v>
      </c>
      <c r="E27" s="2">
        <v>1.77</v>
      </c>
      <c r="F27" s="28">
        <f t="shared" ref="F27:G27" si="27">B27/D27</f>
        <v>1.3566433566433567</v>
      </c>
      <c r="G27" s="28">
        <f t="shared" si="27"/>
        <v>1.0564971751412431</v>
      </c>
      <c r="H27" s="28">
        <f t="shared" si="16"/>
        <v>2.5242707252392482</v>
      </c>
      <c r="I27" s="2">
        <v>1.0438000000000001</v>
      </c>
      <c r="K27" s="2"/>
      <c r="L27" s="2"/>
      <c r="M27" s="3"/>
    </row>
    <row r="28" spans="1:13" ht="15.75" customHeight="1">
      <c r="A28" s="2" t="s">
        <v>410</v>
      </c>
      <c r="B28" s="2">
        <v>1.63</v>
      </c>
      <c r="C28" s="2">
        <v>1.52</v>
      </c>
      <c r="D28" s="2">
        <v>1.43</v>
      </c>
      <c r="E28" s="2">
        <v>1.35</v>
      </c>
      <c r="F28" s="28">
        <f t="shared" ref="F28:G28" si="28">B28/D28</f>
        <v>1.1398601398601398</v>
      </c>
      <c r="G28" s="28">
        <f t="shared" si="28"/>
        <v>1.1259259259259258</v>
      </c>
      <c r="H28" s="28">
        <f t="shared" si="16"/>
        <v>2.4131405317845998</v>
      </c>
      <c r="I28" s="2">
        <v>1.0548999999999999</v>
      </c>
      <c r="K28" s="2"/>
      <c r="L28" s="2"/>
      <c r="M28" s="3"/>
    </row>
    <row r="29" spans="1:13" ht="15.75" customHeight="1">
      <c r="A29" s="2" t="s">
        <v>399</v>
      </c>
      <c r="B29" s="2">
        <v>1.52</v>
      </c>
      <c r="C29" s="2">
        <v>1.52</v>
      </c>
      <c r="D29" s="2">
        <v>1.35</v>
      </c>
      <c r="E29" s="2">
        <v>1.35</v>
      </c>
      <c r="F29" s="28">
        <f t="shared" ref="F29:G29" si="29">B29/D29</f>
        <v>1.1259259259259258</v>
      </c>
      <c r="G29" s="28">
        <f t="shared" si="29"/>
        <v>1.1259259259259258</v>
      </c>
      <c r="H29" s="28">
        <f t="shared" si="16"/>
        <v>2.2657860657860658</v>
      </c>
      <c r="I29" s="2">
        <v>1.0443</v>
      </c>
      <c r="K29" s="2"/>
      <c r="L29" s="2"/>
      <c r="M29" s="3"/>
    </row>
    <row r="30" spans="1:13" ht="13">
      <c r="A30" s="2" t="s">
        <v>405</v>
      </c>
      <c r="B30" s="2">
        <v>1.66</v>
      </c>
      <c r="C30" s="2">
        <v>1.52</v>
      </c>
      <c r="D30" s="2">
        <v>1.47</v>
      </c>
      <c r="E30" s="2">
        <v>1.35</v>
      </c>
      <c r="F30" s="28">
        <f t="shared" ref="F30:G30" si="30">B30/D30</f>
        <v>1.129251700680272</v>
      </c>
      <c r="G30" s="28">
        <f t="shared" si="30"/>
        <v>1.1259259259259258</v>
      </c>
      <c r="H30" s="28">
        <f t="shared" si="16"/>
        <v>2.2518518518518515</v>
      </c>
      <c r="I30" s="2">
        <v>1.0551999999999999</v>
      </c>
      <c r="K30" s="2"/>
      <c r="L30" s="2"/>
      <c r="M30" s="3"/>
    </row>
    <row r="31" spans="1:13" ht="13">
      <c r="A31" s="2" t="s">
        <v>403</v>
      </c>
      <c r="B31" s="2">
        <v>1.9</v>
      </c>
      <c r="C31" s="2">
        <v>1.42</v>
      </c>
      <c r="D31" s="2">
        <v>1.43</v>
      </c>
      <c r="E31" s="2">
        <v>1.35</v>
      </c>
      <c r="F31" s="28">
        <f t="shared" ref="F31:G31" si="31">B31/D31</f>
        <v>1.3286713286713288</v>
      </c>
      <c r="G31" s="28">
        <f t="shared" si="31"/>
        <v>1.0518518518518518</v>
      </c>
      <c r="H31" s="28">
        <f t="shared" si="16"/>
        <v>2.2551776266061978</v>
      </c>
      <c r="I31" s="2">
        <v>1.0441</v>
      </c>
      <c r="K31" s="2"/>
      <c r="L31" s="2"/>
      <c r="M31" s="3"/>
    </row>
    <row r="32" spans="1:13" ht="13">
      <c r="A32" s="2" t="s">
        <v>462</v>
      </c>
      <c r="B32" s="2">
        <v>1.77</v>
      </c>
      <c r="C32" s="2">
        <v>2.12</v>
      </c>
      <c r="D32" s="2">
        <v>1.43</v>
      </c>
      <c r="E32" s="2">
        <v>1.94</v>
      </c>
      <c r="F32" s="28">
        <f t="shared" ref="F32:G32" si="32">B32/D32</f>
        <v>1.2377622377622379</v>
      </c>
      <c r="G32" s="28">
        <f t="shared" si="32"/>
        <v>1.0927835051546393</v>
      </c>
      <c r="H32" s="28">
        <f t="shared" si="16"/>
        <v>2.3805231805231806</v>
      </c>
      <c r="I32" s="2">
        <v>1.0523</v>
      </c>
    </row>
    <row r="33" spans="1:19" ht="13">
      <c r="A33" s="2" t="s">
        <v>457</v>
      </c>
      <c r="B33" s="2">
        <v>1.68</v>
      </c>
      <c r="C33" s="2">
        <v>2.04</v>
      </c>
      <c r="D33" s="2">
        <v>1.35</v>
      </c>
      <c r="E33" s="2">
        <v>1.94</v>
      </c>
      <c r="F33" s="28">
        <f t="shared" ref="F33:G33" si="33">B33/D33</f>
        <v>1.2444444444444442</v>
      </c>
      <c r="G33" s="28">
        <f t="shared" si="33"/>
        <v>1.0515463917525774</v>
      </c>
      <c r="H33" s="28">
        <f t="shared" si="16"/>
        <v>2.3305457429168772</v>
      </c>
      <c r="I33" s="2">
        <v>1.0533999999999999</v>
      </c>
      <c r="K33" s="2"/>
      <c r="L33" s="2"/>
      <c r="M33" s="2"/>
      <c r="N33" s="2"/>
      <c r="O33" s="2"/>
      <c r="P33" s="23"/>
      <c r="Q33" s="23"/>
      <c r="R33" s="14"/>
      <c r="S33" s="2"/>
    </row>
    <row r="34" spans="1:19" ht="13">
      <c r="A34" s="2" t="s">
        <v>460</v>
      </c>
      <c r="B34" s="2">
        <v>1.87</v>
      </c>
      <c r="C34" s="2">
        <v>2.12</v>
      </c>
      <c r="D34" s="2">
        <v>1.47</v>
      </c>
      <c r="E34" s="2">
        <v>1.94</v>
      </c>
      <c r="F34" s="28">
        <f t="shared" ref="F34:G34" si="34">B34/D34</f>
        <v>1.272108843537415</v>
      </c>
      <c r="G34" s="28">
        <f t="shared" si="34"/>
        <v>1.0927835051546393</v>
      </c>
      <c r="H34" s="28">
        <f t="shared" si="16"/>
        <v>2.2959908361970216</v>
      </c>
      <c r="I34" s="2">
        <v>1.0498000000000001</v>
      </c>
      <c r="K34" s="2"/>
      <c r="L34" s="2"/>
      <c r="M34" s="2"/>
      <c r="N34" s="2"/>
      <c r="O34" s="2"/>
      <c r="P34" s="23"/>
      <c r="Q34" s="23"/>
      <c r="R34" s="14"/>
      <c r="S34" s="2"/>
    </row>
    <row r="35" spans="1:19" ht="13">
      <c r="A35" s="2" t="s">
        <v>459</v>
      </c>
      <c r="B35" s="2">
        <v>2.2599999999999998</v>
      </c>
      <c r="C35" s="2">
        <v>1.93</v>
      </c>
      <c r="D35" s="2">
        <v>1.43</v>
      </c>
      <c r="E35" s="2">
        <v>1.94</v>
      </c>
      <c r="F35" s="28">
        <f t="shared" ref="F35:G35" si="35">B35/D35</f>
        <v>1.5804195804195804</v>
      </c>
      <c r="G35" s="28">
        <f t="shared" si="35"/>
        <v>0.99484536082474229</v>
      </c>
      <c r="H35" s="28">
        <f t="shared" si="16"/>
        <v>2.3648923486920541</v>
      </c>
      <c r="I35" s="2">
        <v>1.0267999999999999</v>
      </c>
      <c r="K35" s="2"/>
      <c r="L35" s="2"/>
      <c r="M35" s="2"/>
      <c r="N35" s="2"/>
      <c r="O35" s="2"/>
      <c r="P35" s="23"/>
      <c r="Q35" s="23"/>
      <c r="R35" s="14"/>
      <c r="S35" s="2"/>
    </row>
    <row r="36" spans="1:19" ht="13">
      <c r="A36" s="2" t="s">
        <v>456</v>
      </c>
      <c r="B36" s="2">
        <v>1.78</v>
      </c>
      <c r="C36" s="2">
        <v>1.96</v>
      </c>
      <c r="D36" s="2">
        <v>1.43</v>
      </c>
      <c r="E36" s="2">
        <v>1.77</v>
      </c>
      <c r="F36" s="28">
        <f t="shared" ref="F36:G36" si="36">B36/D36</f>
        <v>1.2447552447552448</v>
      </c>
      <c r="G36" s="28">
        <f t="shared" si="36"/>
        <v>1.1073446327683616</v>
      </c>
      <c r="H36" s="28">
        <f t="shared" si="16"/>
        <v>2.5752649412443227</v>
      </c>
      <c r="I36" s="2">
        <v>1.0475000000000001</v>
      </c>
      <c r="K36" s="2"/>
      <c r="L36" s="2"/>
      <c r="M36" s="2"/>
      <c r="N36" s="2"/>
      <c r="O36" s="2"/>
      <c r="P36" s="23"/>
      <c r="Q36" s="23"/>
      <c r="R36" s="14"/>
      <c r="S36" s="2"/>
    </row>
    <row r="37" spans="1:19" ht="13">
      <c r="A37" s="2" t="s">
        <v>451</v>
      </c>
      <c r="B37" s="2">
        <v>1.69</v>
      </c>
      <c r="C37" s="2">
        <v>1.87</v>
      </c>
      <c r="D37" s="2">
        <v>1.35</v>
      </c>
      <c r="E37" s="2">
        <v>1.77</v>
      </c>
      <c r="F37" s="28">
        <f t="shared" ref="F37:G37" si="37">B37/D37</f>
        <v>1.2518518518518518</v>
      </c>
      <c r="G37" s="28">
        <f t="shared" si="37"/>
        <v>1.0564971751412431</v>
      </c>
      <c r="H37" s="28">
        <f t="shared" si="16"/>
        <v>2.3520998775236066</v>
      </c>
      <c r="I37" s="2">
        <v>1.0437000000000001</v>
      </c>
      <c r="K37" s="2"/>
      <c r="L37" s="2"/>
      <c r="M37" s="2"/>
      <c r="N37" s="2"/>
      <c r="O37" s="2"/>
      <c r="P37" s="23"/>
      <c r="Q37" s="23"/>
      <c r="R37" s="14"/>
      <c r="S37" s="2"/>
    </row>
    <row r="38" spans="1:19" ht="13">
      <c r="A38" s="2" t="s">
        <v>454</v>
      </c>
      <c r="B38" s="2">
        <v>1.82</v>
      </c>
      <c r="C38" s="2">
        <v>1.96</v>
      </c>
      <c r="D38" s="2">
        <v>1.47</v>
      </c>
      <c r="E38" s="2">
        <v>1.77</v>
      </c>
      <c r="F38" s="28">
        <f t="shared" ref="F38:G38" si="38">B38/D38</f>
        <v>1.2380952380952381</v>
      </c>
      <c r="G38" s="28">
        <f t="shared" si="38"/>
        <v>1.1073446327683616</v>
      </c>
      <c r="H38" s="28">
        <f t="shared" si="16"/>
        <v>2.3083490269930946</v>
      </c>
      <c r="I38" s="2">
        <v>1.0533999999999999</v>
      </c>
      <c r="K38" s="2"/>
      <c r="L38" s="2"/>
      <c r="M38" s="2"/>
      <c r="N38" s="2"/>
      <c r="O38" s="2"/>
      <c r="P38" s="23"/>
      <c r="Q38" s="23"/>
      <c r="R38" s="14"/>
      <c r="S38" s="2"/>
    </row>
    <row r="39" spans="1:19" ht="13">
      <c r="A39" s="2" t="s">
        <v>453</v>
      </c>
      <c r="B39" s="2">
        <v>2.21</v>
      </c>
      <c r="C39" s="2">
        <v>1.79</v>
      </c>
      <c r="D39" s="2">
        <v>1.43</v>
      </c>
      <c r="E39" s="2">
        <v>1.77</v>
      </c>
      <c r="F39" s="28">
        <f t="shared" ref="F39:G39" si="39">B39/D39</f>
        <v>1.5454545454545454</v>
      </c>
      <c r="G39" s="28">
        <f t="shared" si="39"/>
        <v>1.0112994350282487</v>
      </c>
      <c r="H39" s="28">
        <f t="shared" si="16"/>
        <v>2.3454398708635997</v>
      </c>
      <c r="I39" s="2">
        <v>1.0296000000000001</v>
      </c>
      <c r="K39" s="2"/>
      <c r="L39" s="2"/>
      <c r="M39" s="2"/>
      <c r="N39" s="2"/>
      <c r="O39" s="2"/>
      <c r="P39" s="23"/>
      <c r="Q39" s="23"/>
      <c r="R39" s="14"/>
      <c r="S39" s="2"/>
    </row>
    <row r="40" spans="1:19" ht="13">
      <c r="A40" s="2" t="s">
        <v>450</v>
      </c>
      <c r="B40" s="2">
        <v>1.63</v>
      </c>
      <c r="C40" s="2">
        <v>1.44</v>
      </c>
      <c r="D40" s="2">
        <v>1.43</v>
      </c>
      <c r="E40" s="2">
        <v>1.35</v>
      </c>
      <c r="F40" s="28">
        <f t="shared" ref="F40:G40" si="40">B40/D40</f>
        <v>1.1398601398601398</v>
      </c>
      <c r="G40" s="28">
        <f t="shared" si="40"/>
        <v>1.0666666666666667</v>
      </c>
      <c r="H40" s="28">
        <f t="shared" si="16"/>
        <v>2.5567539804827941</v>
      </c>
      <c r="I40" s="2">
        <v>1.0475000000000001</v>
      </c>
      <c r="K40" s="2"/>
      <c r="L40" s="2"/>
      <c r="M40" s="2"/>
      <c r="N40" s="2"/>
      <c r="O40" s="2"/>
      <c r="P40" s="23"/>
      <c r="Q40" s="23"/>
      <c r="R40" s="14"/>
      <c r="S40" s="2"/>
    </row>
    <row r="41" spans="1:19" ht="13">
      <c r="A41" s="2" t="s">
        <v>444</v>
      </c>
      <c r="B41" s="2">
        <v>1.48</v>
      </c>
      <c r="C41" s="2">
        <v>1.48</v>
      </c>
      <c r="D41" s="2">
        <v>1.35</v>
      </c>
      <c r="E41" s="2">
        <v>1.35</v>
      </c>
      <c r="F41" s="28">
        <f t="shared" ref="F41:G41" si="41">B41/D41</f>
        <v>1.0962962962962961</v>
      </c>
      <c r="G41" s="28">
        <f t="shared" si="41"/>
        <v>1.0962962962962961</v>
      </c>
      <c r="H41" s="28">
        <f t="shared" si="16"/>
        <v>2.2065268065268064</v>
      </c>
      <c r="I41" s="2">
        <v>1.0301</v>
      </c>
      <c r="K41" s="2"/>
      <c r="L41" s="2"/>
      <c r="M41" s="2"/>
      <c r="N41" s="2"/>
      <c r="O41" s="2"/>
      <c r="P41" s="23"/>
      <c r="Q41" s="23"/>
      <c r="R41" s="14"/>
      <c r="S41" s="2"/>
    </row>
    <row r="42" spans="1:19" ht="13">
      <c r="A42" s="2" t="s">
        <v>448</v>
      </c>
      <c r="B42" s="2">
        <v>1.71</v>
      </c>
      <c r="C42" s="2">
        <v>1.43</v>
      </c>
      <c r="D42" s="2">
        <v>1.47</v>
      </c>
      <c r="E42" s="2">
        <v>1.35</v>
      </c>
      <c r="F42" s="28">
        <f t="shared" ref="F42:G42" si="42">B42/D42</f>
        <v>1.1632653061224489</v>
      </c>
      <c r="G42" s="28">
        <f t="shared" si="42"/>
        <v>1.0592592592592591</v>
      </c>
      <c r="H42" s="28">
        <f t="shared" si="16"/>
        <v>2.1925925925925922</v>
      </c>
      <c r="I42" s="2">
        <v>1.052</v>
      </c>
      <c r="K42" s="2"/>
      <c r="L42" s="2"/>
      <c r="M42" s="2"/>
      <c r="N42" s="2"/>
      <c r="O42" s="2"/>
      <c r="P42" s="23"/>
      <c r="Q42" s="23"/>
      <c r="R42" s="14"/>
      <c r="S42" s="2"/>
    </row>
    <row r="43" spans="1:19" ht="13">
      <c r="A43" s="2" t="s">
        <v>447</v>
      </c>
      <c r="B43" s="2">
        <v>2.2000000000000002</v>
      </c>
      <c r="C43" s="2">
        <v>1.36</v>
      </c>
      <c r="D43" s="2">
        <v>1.43</v>
      </c>
      <c r="E43" s="2">
        <v>1.35</v>
      </c>
      <c r="F43" s="28">
        <f t="shared" ref="F43:G43" si="43">B43/D43</f>
        <v>1.5384615384615385</v>
      </c>
      <c r="G43" s="28">
        <f t="shared" si="43"/>
        <v>1.0074074074074073</v>
      </c>
      <c r="H43" s="28">
        <f t="shared" si="16"/>
        <v>2.2225245653817081</v>
      </c>
      <c r="I43" s="2">
        <v>1.0295000000000001</v>
      </c>
      <c r="K43" s="2"/>
      <c r="L43" s="2"/>
      <c r="M43" s="2"/>
      <c r="N43" s="2"/>
      <c r="O43" s="2"/>
      <c r="P43" s="23"/>
      <c r="Q43" s="23"/>
      <c r="R43" s="14"/>
      <c r="S43" s="2"/>
    </row>
    <row r="44" spans="1:19" ht="13">
      <c r="A44" s="2" t="s">
        <v>443</v>
      </c>
      <c r="B44" s="2">
        <v>1.85</v>
      </c>
      <c r="C44" s="2">
        <v>2.2200000000000002</v>
      </c>
      <c r="D44" s="2">
        <v>1.43</v>
      </c>
      <c r="E44" s="2">
        <v>1.94</v>
      </c>
      <c r="F44" s="28">
        <f t="shared" ref="F44:G44" si="44">B44/D44</f>
        <v>1.2937062937062938</v>
      </c>
      <c r="G44" s="28">
        <f t="shared" si="44"/>
        <v>1.1443298969072166</v>
      </c>
      <c r="H44" s="28">
        <f t="shared" si="16"/>
        <v>2.5458689458689459</v>
      </c>
      <c r="I44" s="2">
        <v>1.0488</v>
      </c>
      <c r="K44" s="2"/>
      <c r="L44" s="2"/>
      <c r="M44" s="2"/>
      <c r="N44" s="2"/>
      <c r="O44" s="2"/>
      <c r="P44" s="23"/>
      <c r="Q44" s="23"/>
      <c r="R44" s="14"/>
      <c r="S44" s="2"/>
    </row>
    <row r="45" spans="1:19" ht="13">
      <c r="A45" s="2" t="s">
        <v>438</v>
      </c>
      <c r="B45" s="2">
        <v>1.72</v>
      </c>
      <c r="C45" s="2">
        <v>2.09</v>
      </c>
      <c r="D45" s="2">
        <v>1.35</v>
      </c>
      <c r="E45" s="2">
        <v>1.94</v>
      </c>
      <c r="F45" s="28">
        <f t="shared" ref="F45:G45" si="45">B45/D45</f>
        <v>1.2740740740740739</v>
      </c>
      <c r="G45" s="28">
        <f t="shared" si="45"/>
        <v>1.0773195876288659</v>
      </c>
      <c r="H45" s="28">
        <f t="shared" si="16"/>
        <v>2.4380361906135102</v>
      </c>
      <c r="I45" s="2">
        <v>1.0533999999999999</v>
      </c>
      <c r="K45" s="2"/>
      <c r="L45" s="2"/>
      <c r="M45" s="2"/>
      <c r="N45" s="2"/>
      <c r="O45" s="2"/>
      <c r="P45" s="23"/>
      <c r="Q45" s="23"/>
      <c r="R45" s="14"/>
      <c r="S45" s="2"/>
    </row>
    <row r="46" spans="1:19" ht="13">
      <c r="A46" s="2" t="s">
        <v>441</v>
      </c>
      <c r="B46" s="2">
        <v>1.92</v>
      </c>
      <c r="C46" s="2">
        <v>2.2000000000000002</v>
      </c>
      <c r="D46" s="2">
        <v>1.47</v>
      </c>
      <c r="E46" s="2">
        <v>1.94</v>
      </c>
      <c r="F46" s="28">
        <f t="shared" ref="F46:G46" si="46">B46/D46</f>
        <v>1.3061224489795917</v>
      </c>
      <c r="G46" s="28">
        <f t="shared" si="46"/>
        <v>1.1340206185567012</v>
      </c>
      <c r="H46" s="28">
        <f t="shared" si="16"/>
        <v>2.3513936617029398</v>
      </c>
      <c r="I46" s="2">
        <v>1.048</v>
      </c>
      <c r="K46" s="2"/>
      <c r="L46" s="2"/>
      <c r="M46" s="2"/>
      <c r="N46" s="2"/>
      <c r="O46" s="2"/>
      <c r="P46" s="23"/>
      <c r="Q46" s="23"/>
      <c r="R46" s="14"/>
      <c r="S46" s="2"/>
    </row>
    <row r="47" spans="1:19" ht="13">
      <c r="A47" s="2" t="s">
        <v>440</v>
      </c>
      <c r="B47" s="2">
        <v>2.62</v>
      </c>
      <c r="C47" s="2">
        <v>1.92</v>
      </c>
      <c r="D47" s="2">
        <v>1.43</v>
      </c>
      <c r="E47" s="2">
        <v>1.94</v>
      </c>
      <c r="F47" s="28">
        <f t="shared" ref="F47:G47" si="47">B47/D47</f>
        <v>1.8321678321678323</v>
      </c>
      <c r="G47" s="28">
        <f t="shared" si="47"/>
        <v>0.98969072164948457</v>
      </c>
      <c r="H47" s="28">
        <f t="shared" si="16"/>
        <v>2.440143067536293</v>
      </c>
      <c r="I47" s="2">
        <v>1.0075000000000001</v>
      </c>
      <c r="K47" s="2"/>
      <c r="L47" s="2"/>
      <c r="M47" s="2"/>
      <c r="N47" s="2"/>
      <c r="O47" s="2"/>
      <c r="P47" s="23"/>
      <c r="Q47" s="23"/>
      <c r="R47" s="14"/>
      <c r="S47" s="2"/>
    </row>
    <row r="48" spans="1:19" ht="13">
      <c r="A48" s="2" t="s">
        <v>437</v>
      </c>
      <c r="B48" s="2">
        <v>1.86</v>
      </c>
      <c r="C48" s="2">
        <v>2.06</v>
      </c>
      <c r="D48" s="2">
        <v>1.43</v>
      </c>
      <c r="E48" s="2">
        <v>1.77</v>
      </c>
      <c r="F48" s="28">
        <f t="shared" ref="F48:G48" si="48">B48/D48</f>
        <v>1.3006993006993008</v>
      </c>
      <c r="G48" s="28">
        <f t="shared" si="48"/>
        <v>1.1638418079096045</v>
      </c>
      <c r="H48" s="28">
        <f t="shared" si="16"/>
        <v>2.8218585538173171</v>
      </c>
      <c r="I48" s="2">
        <v>1.0464</v>
      </c>
      <c r="K48" s="2"/>
      <c r="L48" s="2"/>
      <c r="M48" s="2"/>
      <c r="N48" s="2"/>
      <c r="O48" s="2"/>
      <c r="P48" s="23"/>
      <c r="Q48" s="23"/>
      <c r="R48" s="14"/>
      <c r="S48" s="2"/>
    </row>
    <row r="49" spans="1:19" ht="13">
      <c r="A49" s="2" t="s">
        <v>431</v>
      </c>
      <c r="B49" s="2">
        <v>1.73</v>
      </c>
      <c r="C49" s="2">
        <v>1.92</v>
      </c>
      <c r="D49" s="2">
        <v>1.35</v>
      </c>
      <c r="E49" s="2">
        <v>1.77</v>
      </c>
      <c r="F49" s="28">
        <f t="shared" ref="F49:G49" si="49">B49/D49</f>
        <v>1.2814814814814814</v>
      </c>
      <c r="G49" s="28">
        <f t="shared" si="49"/>
        <v>1.0847457627118644</v>
      </c>
      <c r="H49" s="28">
        <f t="shared" si="16"/>
        <v>2.4645411086089055</v>
      </c>
      <c r="I49" s="2">
        <v>1.0446</v>
      </c>
      <c r="K49" s="2"/>
      <c r="L49" s="2"/>
      <c r="M49" s="2"/>
      <c r="N49" s="2"/>
      <c r="O49" s="2"/>
      <c r="P49" s="23"/>
      <c r="Q49" s="23"/>
      <c r="R49" s="14"/>
      <c r="S49" s="2"/>
    </row>
    <row r="50" spans="1:19" ht="13">
      <c r="A50" s="2" t="s">
        <v>435</v>
      </c>
      <c r="B50" s="2">
        <v>1.93</v>
      </c>
      <c r="C50" s="2">
        <v>2.0699999999999998</v>
      </c>
      <c r="D50" s="2">
        <v>1.47</v>
      </c>
      <c r="E50" s="2">
        <v>1.77</v>
      </c>
      <c r="F50" s="28">
        <f t="shared" ref="F50:G50" si="50">B50/D50</f>
        <v>1.3129251700680271</v>
      </c>
      <c r="G50" s="28">
        <f t="shared" si="50"/>
        <v>1.1694915254237288</v>
      </c>
      <c r="H50" s="28">
        <f t="shared" si="16"/>
        <v>2.3662272441933458</v>
      </c>
      <c r="I50" s="2">
        <v>1.0486</v>
      </c>
      <c r="K50" s="2"/>
      <c r="L50" s="2"/>
      <c r="M50" s="2"/>
      <c r="N50" s="2"/>
      <c r="O50" s="2"/>
      <c r="P50" s="23"/>
      <c r="Q50" s="23"/>
      <c r="R50" s="14"/>
      <c r="S50" s="2"/>
    </row>
    <row r="51" spans="1:19" ht="13">
      <c r="A51" s="2" t="s">
        <v>434</v>
      </c>
      <c r="B51" s="2">
        <v>2.1</v>
      </c>
      <c r="C51" s="2">
        <v>1.82</v>
      </c>
      <c r="D51" s="2">
        <v>1.43</v>
      </c>
      <c r="E51" s="2">
        <v>1.77</v>
      </c>
      <c r="F51" s="28">
        <f t="shared" ref="F51:G51" si="51">B51/D51</f>
        <v>1.4685314685314688</v>
      </c>
      <c r="G51" s="28">
        <f t="shared" si="51"/>
        <v>1.0282485875706215</v>
      </c>
      <c r="H51" s="28">
        <f t="shared" si="16"/>
        <v>2.4824166954917559</v>
      </c>
      <c r="I51" s="2">
        <v>1.0354000000000001</v>
      </c>
      <c r="K51" s="2"/>
      <c r="L51" s="2"/>
      <c r="M51" s="2"/>
      <c r="N51" s="2"/>
      <c r="O51" s="2"/>
      <c r="P51" s="23"/>
      <c r="Q51" s="23"/>
      <c r="R51" s="14"/>
      <c r="S51" s="2"/>
    </row>
    <row r="52" spans="1:19" ht="13">
      <c r="A52" s="2" t="s">
        <v>430</v>
      </c>
      <c r="B52" s="2">
        <v>1.61</v>
      </c>
      <c r="C52" s="2">
        <v>1.48</v>
      </c>
      <c r="D52" s="2">
        <v>1.43</v>
      </c>
      <c r="E52" s="2">
        <v>1.35</v>
      </c>
      <c r="F52" s="28">
        <f t="shared" ref="F52:G52" si="52">B52/D52</f>
        <v>1.1258741258741261</v>
      </c>
      <c r="G52" s="28">
        <f t="shared" si="52"/>
        <v>1.0962962962962961</v>
      </c>
      <c r="H52" s="28">
        <f t="shared" si="16"/>
        <v>2.4967800561020903</v>
      </c>
      <c r="I52" s="2">
        <v>1.0492999999999999</v>
      </c>
      <c r="K52" s="2"/>
      <c r="L52" s="2"/>
      <c r="M52" s="2"/>
      <c r="N52" s="2"/>
      <c r="O52" s="2"/>
      <c r="P52" s="23"/>
      <c r="Q52" s="23"/>
      <c r="R52" s="14"/>
      <c r="S52" s="2"/>
    </row>
    <row r="53" spans="1:19" ht="13">
      <c r="A53" s="2" t="s">
        <v>424</v>
      </c>
      <c r="B53" s="2">
        <v>1.49</v>
      </c>
      <c r="C53" s="2">
        <v>1.49</v>
      </c>
      <c r="D53" s="2">
        <v>1.35</v>
      </c>
      <c r="E53" s="2">
        <v>1.35</v>
      </c>
      <c r="F53" s="28">
        <f t="shared" ref="F53:G53" si="53">B53/D53</f>
        <v>1.1037037037037036</v>
      </c>
      <c r="G53" s="28">
        <f t="shared" si="53"/>
        <v>1.1037037037037036</v>
      </c>
      <c r="H53" s="28">
        <f t="shared" si="16"/>
        <v>2.2221704221704224</v>
      </c>
      <c r="I53" s="2">
        <v>1.0347</v>
      </c>
      <c r="K53" s="2"/>
      <c r="L53" s="2"/>
      <c r="M53" s="2"/>
      <c r="N53" s="2"/>
      <c r="O53" s="2"/>
      <c r="P53" s="23"/>
      <c r="Q53" s="23"/>
      <c r="R53" s="14"/>
      <c r="S53" s="2"/>
    </row>
    <row r="54" spans="1:19" ht="13">
      <c r="A54" s="2" t="s">
        <v>428</v>
      </c>
      <c r="B54" s="2">
        <v>1.66</v>
      </c>
      <c r="C54" s="2">
        <v>1.47</v>
      </c>
      <c r="D54" s="2">
        <v>1.47</v>
      </c>
      <c r="E54" s="2">
        <v>1.35</v>
      </c>
      <c r="F54" s="28">
        <f t="shared" ref="F54:G54" si="54">B54/D54</f>
        <v>1.129251700680272</v>
      </c>
      <c r="G54" s="28">
        <f t="shared" si="54"/>
        <v>1.0888888888888888</v>
      </c>
      <c r="H54" s="28">
        <f t="shared" si="16"/>
        <v>2.2074074074074073</v>
      </c>
      <c r="I54" s="2">
        <v>1.0511999999999999</v>
      </c>
      <c r="K54" s="2"/>
      <c r="L54" s="2"/>
      <c r="M54" s="2"/>
      <c r="N54" s="2"/>
      <c r="O54" s="2"/>
      <c r="P54" s="23"/>
      <c r="Q54" s="23"/>
      <c r="R54" s="14"/>
      <c r="S54" s="2"/>
    </row>
    <row r="55" spans="1:19" ht="13">
      <c r="A55" s="2" t="s">
        <v>427</v>
      </c>
      <c r="B55" s="2">
        <v>2.44</v>
      </c>
      <c r="C55" s="2">
        <v>1.36</v>
      </c>
      <c r="D55" s="2">
        <v>1.43</v>
      </c>
      <c r="E55" s="2">
        <v>1.35</v>
      </c>
      <c r="F55" s="28">
        <f t="shared" ref="F55:G55" si="55">B55/D55</f>
        <v>1.7062937062937062</v>
      </c>
      <c r="G55" s="28">
        <f t="shared" si="55"/>
        <v>1.0074074074074073</v>
      </c>
      <c r="H55" s="28">
        <f t="shared" si="16"/>
        <v>2.2181405895691606</v>
      </c>
      <c r="I55" s="2">
        <v>1.0094000000000001</v>
      </c>
      <c r="K55" s="2"/>
      <c r="L55" s="2"/>
      <c r="M55" s="2"/>
      <c r="N55" s="2"/>
      <c r="O55" s="2"/>
      <c r="P55" s="23"/>
      <c r="Q55" s="23"/>
      <c r="R55" s="14"/>
      <c r="S55" s="2"/>
    </row>
    <row r="56" spans="1:19" ht="13">
      <c r="A56" s="2" t="s">
        <v>709</v>
      </c>
      <c r="B56" s="2">
        <v>1.74</v>
      </c>
      <c r="C56" s="2">
        <v>2.08</v>
      </c>
      <c r="D56" s="2">
        <v>1.43</v>
      </c>
      <c r="E56" s="2">
        <v>1.94</v>
      </c>
      <c r="F56" s="28">
        <f t="shared" ref="F56:G56" si="56">B56/D56</f>
        <v>1.2167832167832169</v>
      </c>
      <c r="G56" s="28">
        <f t="shared" si="56"/>
        <v>1.0721649484536082</v>
      </c>
      <c r="H56" s="28">
        <f t="shared" si="16"/>
        <v>2.7137011137011138</v>
      </c>
      <c r="I56" s="2">
        <v>1.0579000000000001</v>
      </c>
      <c r="K56" s="2"/>
      <c r="L56" s="2"/>
      <c r="M56" s="2"/>
      <c r="N56" s="2"/>
      <c r="O56" s="2"/>
      <c r="P56" s="23"/>
      <c r="Q56" s="23"/>
      <c r="R56" s="14"/>
      <c r="S56" s="2"/>
    </row>
    <row r="57" spans="1:19" ht="13">
      <c r="A57" s="2" t="s">
        <v>706</v>
      </c>
      <c r="B57" s="2">
        <v>1.67</v>
      </c>
      <c r="C57" s="2">
        <v>2.0099999999999998</v>
      </c>
      <c r="D57" s="2">
        <v>1.35</v>
      </c>
      <c r="E57" s="2">
        <v>1.94</v>
      </c>
      <c r="F57" s="28">
        <f t="shared" ref="F57:G57" si="57">B57/D57</f>
        <v>1.2370370370370369</v>
      </c>
      <c r="G57" s="28">
        <f t="shared" si="57"/>
        <v>1.036082474226804</v>
      </c>
      <c r="H57" s="28">
        <f t="shared" si="16"/>
        <v>2.2889481652368251</v>
      </c>
      <c r="I57" s="2">
        <v>1.0553999999999999</v>
      </c>
      <c r="K57" s="2"/>
      <c r="L57" s="2"/>
      <c r="M57" s="2"/>
      <c r="N57" s="2"/>
      <c r="O57" s="2"/>
      <c r="P57" s="23"/>
      <c r="Q57" s="23"/>
      <c r="R57" s="14"/>
      <c r="S57" s="2"/>
    </row>
    <row r="58" spans="1:19" ht="13">
      <c r="A58" s="2" t="s">
        <v>708</v>
      </c>
      <c r="B58" s="2">
        <v>1.84</v>
      </c>
      <c r="C58" s="2">
        <v>2.0699999999999998</v>
      </c>
      <c r="D58" s="2">
        <v>1.47</v>
      </c>
      <c r="E58" s="2">
        <v>1.94</v>
      </c>
      <c r="F58" s="28">
        <f t="shared" ref="F58:G58" si="58">B58/D58</f>
        <v>1.2517006802721089</v>
      </c>
      <c r="G58" s="28">
        <f t="shared" si="58"/>
        <v>1.0670103092783505</v>
      </c>
      <c r="H58" s="28">
        <f t="shared" si="16"/>
        <v>2.2731195112638409</v>
      </c>
      <c r="I58" s="2">
        <v>1.0536000000000001</v>
      </c>
      <c r="K58" s="2"/>
      <c r="L58" s="2"/>
      <c r="M58" s="2"/>
      <c r="N58" s="2"/>
      <c r="O58" s="2"/>
      <c r="P58" s="23"/>
      <c r="Q58" s="23"/>
      <c r="R58" s="14"/>
      <c r="S58" s="2"/>
    </row>
    <row r="59" spans="1:19" ht="13">
      <c r="A59" s="2" t="s">
        <v>707</v>
      </c>
      <c r="B59" s="2">
        <v>2.4300000000000002</v>
      </c>
      <c r="C59" s="2">
        <v>1.92</v>
      </c>
      <c r="D59" s="2">
        <v>1.43</v>
      </c>
      <c r="E59" s="2">
        <v>1.94</v>
      </c>
      <c r="F59" s="28">
        <f t="shared" ref="F59:G59" si="59">B59/D59</f>
        <v>1.6993006993006994</v>
      </c>
      <c r="G59" s="28">
        <f t="shared" si="59"/>
        <v>0.98969072164948457</v>
      </c>
      <c r="H59" s="28">
        <f t="shared" si="16"/>
        <v>2.3187109895504596</v>
      </c>
      <c r="I59" s="2">
        <v>1.0216000000000001</v>
      </c>
      <c r="K59" s="2"/>
      <c r="L59" s="2"/>
      <c r="M59" s="2"/>
      <c r="N59" s="2"/>
      <c r="O59" s="2"/>
      <c r="P59" s="23"/>
      <c r="Q59" s="23"/>
      <c r="R59" s="14"/>
      <c r="S59" s="2"/>
    </row>
    <row r="60" spans="1:19" ht="13">
      <c r="A60" s="2" t="s">
        <v>705</v>
      </c>
      <c r="B60" s="2">
        <v>1.71</v>
      </c>
      <c r="C60" s="2">
        <v>1.92</v>
      </c>
      <c r="D60" s="2">
        <v>1.43</v>
      </c>
      <c r="E60" s="2">
        <v>1.77</v>
      </c>
      <c r="F60" s="28">
        <f t="shared" ref="F60:G60" si="60">B60/D60</f>
        <v>1.1958041958041958</v>
      </c>
      <c r="G60" s="28">
        <f t="shared" si="60"/>
        <v>1.0847457627118644</v>
      </c>
      <c r="H60" s="28">
        <f t="shared" si="16"/>
        <v>2.6889914209501837</v>
      </c>
      <c r="I60" s="2">
        <v>1.0541</v>
      </c>
      <c r="K60" s="2"/>
      <c r="L60" s="2"/>
      <c r="M60" s="2"/>
      <c r="N60" s="2"/>
      <c r="O60" s="2"/>
      <c r="P60" s="23"/>
      <c r="Q60" s="23"/>
      <c r="R60" s="14"/>
      <c r="S60" s="2"/>
    </row>
    <row r="61" spans="1:19" ht="13">
      <c r="A61" s="2" t="s">
        <v>702</v>
      </c>
      <c r="B61" s="2">
        <v>1.76</v>
      </c>
      <c r="C61" s="2">
        <v>1.84</v>
      </c>
      <c r="D61" s="2">
        <v>1.35</v>
      </c>
      <c r="E61" s="2">
        <v>1.77</v>
      </c>
      <c r="F61" s="28">
        <f t="shared" ref="F61:G61" si="61">B61/D61</f>
        <v>1.3037037037037036</v>
      </c>
      <c r="G61" s="28">
        <f t="shared" si="61"/>
        <v>1.03954802259887</v>
      </c>
      <c r="H61" s="28">
        <f t="shared" si="16"/>
        <v>2.28054995851606</v>
      </c>
      <c r="I61" s="2">
        <v>1.0449999999999999</v>
      </c>
      <c r="K61" s="2"/>
      <c r="L61" s="2"/>
      <c r="M61" s="2"/>
      <c r="N61" s="2"/>
      <c r="O61" s="2"/>
      <c r="P61" s="23"/>
      <c r="Q61" s="23"/>
      <c r="R61" s="14"/>
      <c r="S61" s="2"/>
    </row>
    <row r="62" spans="1:19" ht="13">
      <c r="A62" s="2" t="s">
        <v>704</v>
      </c>
      <c r="B62" s="2">
        <v>1.8</v>
      </c>
      <c r="C62" s="2">
        <v>1.92</v>
      </c>
      <c r="D62" s="2">
        <v>1.47</v>
      </c>
      <c r="E62" s="2">
        <v>1.77</v>
      </c>
      <c r="F62" s="28">
        <f t="shared" ref="F62:G62" si="62">B62/D62</f>
        <v>1.2244897959183674</v>
      </c>
      <c r="G62" s="28">
        <f t="shared" si="62"/>
        <v>1.0847457627118644</v>
      </c>
      <c r="H62" s="28">
        <f t="shared" si="16"/>
        <v>2.3432517263025736</v>
      </c>
      <c r="I62" s="2">
        <v>1.0561</v>
      </c>
    </row>
    <row r="63" spans="1:19" ht="13">
      <c r="A63" s="2" t="s">
        <v>703</v>
      </c>
      <c r="B63" s="2">
        <v>2.3199999999999998</v>
      </c>
      <c r="C63" s="2">
        <v>1.78</v>
      </c>
      <c r="D63" s="2">
        <v>1.43</v>
      </c>
      <c r="E63" s="2">
        <v>1.77</v>
      </c>
      <c r="F63" s="28">
        <f t="shared" ref="F63:G63" si="63">B63/D63</f>
        <v>1.6223776223776223</v>
      </c>
      <c r="G63" s="28">
        <f t="shared" si="63"/>
        <v>1.0056497175141244</v>
      </c>
      <c r="H63" s="28">
        <f t="shared" si="16"/>
        <v>2.309235558630232</v>
      </c>
      <c r="I63" s="2">
        <v>1.0265</v>
      </c>
    </row>
    <row r="64" spans="1:19" ht="13">
      <c r="A64" s="2" t="s">
        <v>701</v>
      </c>
      <c r="B64" s="2">
        <v>1.55</v>
      </c>
      <c r="C64" s="2">
        <v>1.45</v>
      </c>
      <c r="D64" s="2">
        <v>1.43</v>
      </c>
      <c r="E64" s="2">
        <v>1.35</v>
      </c>
      <c r="F64" s="28">
        <f t="shared" ref="F64:G64" si="64">B64/D64</f>
        <v>1.083916083916084</v>
      </c>
      <c r="G64" s="28">
        <f t="shared" si="64"/>
        <v>1.074074074074074</v>
      </c>
      <c r="H64" s="28">
        <f t="shared" si="16"/>
        <v>2.6280273398917466</v>
      </c>
      <c r="I64" s="2">
        <v>1.0402</v>
      </c>
    </row>
    <row r="65" spans="1:9" ht="13">
      <c r="A65" s="2" t="s">
        <v>697</v>
      </c>
      <c r="B65" s="2">
        <v>1.46</v>
      </c>
      <c r="C65" s="2">
        <v>1.46</v>
      </c>
      <c r="D65" s="2">
        <v>1.35</v>
      </c>
      <c r="E65" s="2">
        <v>1.35</v>
      </c>
      <c r="F65" s="28">
        <f t="shared" ref="F65:G65" si="65">B65/D65</f>
        <v>1.0814814814814815</v>
      </c>
      <c r="G65" s="28">
        <f t="shared" si="65"/>
        <v>1.0814814814814815</v>
      </c>
      <c r="H65" s="28">
        <f t="shared" si="16"/>
        <v>2.1579901579901577</v>
      </c>
      <c r="I65" s="2">
        <v>1.0345</v>
      </c>
    </row>
    <row r="66" spans="1:9" ht="13">
      <c r="A66" s="2" t="s">
        <v>700</v>
      </c>
      <c r="B66" s="2">
        <v>1.65</v>
      </c>
      <c r="C66" s="2">
        <v>1.43</v>
      </c>
      <c r="D66" s="2">
        <v>1.47</v>
      </c>
      <c r="E66" s="2">
        <v>1.35</v>
      </c>
      <c r="F66" s="28">
        <f t="shared" ref="F66:G66" si="66">B66/D66</f>
        <v>1.1224489795918366</v>
      </c>
      <c r="G66" s="28">
        <f t="shared" si="66"/>
        <v>1.0592592592592591</v>
      </c>
      <c r="H66" s="28">
        <f t="shared" si="16"/>
        <v>2.162962962962963</v>
      </c>
      <c r="I66" s="2">
        <v>1.0524</v>
      </c>
    </row>
    <row r="67" spans="1:9" ht="13">
      <c r="A67" s="2" t="s">
        <v>699</v>
      </c>
      <c r="B67" s="2">
        <v>2.4300000000000002</v>
      </c>
      <c r="C67" s="2">
        <v>1.35</v>
      </c>
      <c r="D67" s="2">
        <v>1.43</v>
      </c>
      <c r="E67" s="2">
        <v>1.35</v>
      </c>
      <c r="F67" s="28">
        <f t="shared" ref="F67:G67" si="67">B67/D67</f>
        <v>1.6993006993006994</v>
      </c>
      <c r="G67" s="28">
        <f t="shared" si="67"/>
        <v>1</v>
      </c>
      <c r="H67" s="28">
        <f t="shared" si="16"/>
        <v>2.1817082388510958</v>
      </c>
      <c r="I67" s="2">
        <v>1.0185</v>
      </c>
    </row>
    <row r="68" spans="1:9" ht="13">
      <c r="A68" s="2" t="s">
        <v>513</v>
      </c>
      <c r="B68" s="2">
        <v>2.6</v>
      </c>
      <c r="C68" s="2">
        <v>1.32</v>
      </c>
      <c r="D68" s="2">
        <v>1.43</v>
      </c>
      <c r="E68" s="2">
        <v>1.35</v>
      </c>
      <c r="F68" s="28">
        <f t="shared" ref="F68:G68" si="68">B68/D68</f>
        <v>1.8181818181818183</v>
      </c>
      <c r="G68" s="28">
        <f t="shared" si="68"/>
        <v>0.97777777777777775</v>
      </c>
      <c r="H68" s="28">
        <f t="shared" si="16"/>
        <v>2.6993006993006992</v>
      </c>
      <c r="I68" s="2">
        <v>1.0048999999999999</v>
      </c>
    </row>
    <row r="69" spans="1:9" ht="13">
      <c r="A69" s="2" t="s">
        <v>497</v>
      </c>
      <c r="B69" s="2">
        <v>1.33</v>
      </c>
      <c r="C69" s="2">
        <v>2.4300000000000002</v>
      </c>
      <c r="D69" s="2">
        <v>1.43</v>
      </c>
      <c r="E69" s="2">
        <v>1.35</v>
      </c>
      <c r="F69" s="28">
        <f t="shared" ref="F69:G69" si="69">B69/D69</f>
        <v>0.93006993006993011</v>
      </c>
      <c r="G69" s="28">
        <f t="shared" si="69"/>
        <v>1.8</v>
      </c>
      <c r="H69" s="28">
        <f t="shared" si="16"/>
        <v>2.7959595959595962</v>
      </c>
      <c r="I69" s="2">
        <v>1.0022</v>
      </c>
    </row>
    <row r="70" spans="1:9" ht="13">
      <c r="A70" s="2" t="s">
        <v>484</v>
      </c>
      <c r="B70" s="2">
        <v>1.89</v>
      </c>
      <c r="C70" s="2">
        <v>1.38</v>
      </c>
      <c r="D70" s="2">
        <v>1.43</v>
      </c>
      <c r="E70" s="2">
        <v>1.35</v>
      </c>
      <c r="F70" s="28">
        <f t="shared" ref="F70:G70" si="70">B70/D70</f>
        <v>1.3216783216783217</v>
      </c>
      <c r="G70" s="28">
        <f t="shared" si="70"/>
        <v>1.0222222222222221</v>
      </c>
      <c r="H70" s="28">
        <f t="shared" si="16"/>
        <v>2.7300699300699303</v>
      </c>
      <c r="I70" s="2">
        <v>1.0362</v>
      </c>
    </row>
    <row r="71" spans="1:9" ht="13">
      <c r="A71" s="2" t="s">
        <v>482</v>
      </c>
      <c r="B71" s="2">
        <v>1.35</v>
      </c>
      <c r="C71" s="2">
        <v>2.62</v>
      </c>
      <c r="D71" s="2">
        <v>1.35</v>
      </c>
      <c r="E71" s="2">
        <v>1.35</v>
      </c>
      <c r="F71" s="28">
        <f t="shared" ref="F71:G71" si="71">B71/D71</f>
        <v>1</v>
      </c>
      <c r="G71" s="28">
        <f t="shared" si="71"/>
        <v>1.9407407407407407</v>
      </c>
      <c r="H71" s="28">
        <f t="shared" si="16"/>
        <v>2.3439005439005438</v>
      </c>
      <c r="I71" s="2">
        <v>1.0025999999999999</v>
      </c>
    </row>
    <row r="72" spans="1:9" ht="13">
      <c r="A72" s="2" t="s">
        <v>483</v>
      </c>
      <c r="B72" s="2">
        <v>1.91</v>
      </c>
      <c r="C72" s="2">
        <v>1.39</v>
      </c>
      <c r="D72" s="2">
        <v>1.47</v>
      </c>
      <c r="E72" s="2">
        <v>1.35</v>
      </c>
      <c r="F72" s="28">
        <f t="shared" ref="F72:G72" si="72">B72/D72</f>
        <v>1.2993197278911564</v>
      </c>
      <c r="G72" s="28">
        <f t="shared" si="72"/>
        <v>1.0296296296296295</v>
      </c>
      <c r="H72" s="28">
        <f t="shared" si="16"/>
        <v>2.9407407407407407</v>
      </c>
      <c r="I72" s="2">
        <v>1.0421</v>
      </c>
    </row>
    <row r="73" spans="1:9" ht="13">
      <c r="A73" s="2" t="s">
        <v>479</v>
      </c>
      <c r="B73" s="2">
        <v>4.0599999999999996</v>
      </c>
      <c r="C73" s="2">
        <v>1.36</v>
      </c>
      <c r="D73" s="2">
        <v>1.47</v>
      </c>
      <c r="E73" s="2">
        <v>1.35</v>
      </c>
      <c r="F73" s="28">
        <f t="shared" ref="F73:G73" si="73">B73/D73</f>
        <v>2.7619047619047619</v>
      </c>
      <c r="G73" s="28">
        <f t="shared" si="73"/>
        <v>1.0074074074074073</v>
      </c>
      <c r="H73" s="28">
        <f t="shared" si="16"/>
        <v>2.328949357520786</v>
      </c>
      <c r="I73" s="2">
        <v>1.0022</v>
      </c>
    </row>
    <row r="74" spans="1:9" ht="13">
      <c r="A74" s="2" t="s">
        <v>481</v>
      </c>
      <c r="B74" s="2">
        <v>3.06</v>
      </c>
      <c r="C74" s="2">
        <v>1.37</v>
      </c>
      <c r="D74" s="2">
        <v>1.43</v>
      </c>
      <c r="E74" s="2">
        <v>1.35</v>
      </c>
      <c r="F74" s="28">
        <f t="shared" ref="F74:G74" si="74">B74/D74</f>
        <v>2.13986013986014</v>
      </c>
      <c r="G74" s="28">
        <f t="shared" si="74"/>
        <v>1.0148148148148148</v>
      </c>
      <c r="H74" s="28">
        <f t="shared" si="16"/>
        <v>3.7693121693121689</v>
      </c>
      <c r="I74" s="2">
        <v>1.0046999999999999</v>
      </c>
    </row>
    <row r="75" spans="1:9" ht="13">
      <c r="A75" s="2" t="s">
        <v>513</v>
      </c>
      <c r="B75" s="2">
        <v>1.33</v>
      </c>
      <c r="C75" s="2">
        <v>2.2200000000000002</v>
      </c>
      <c r="D75" s="2">
        <v>1.43</v>
      </c>
      <c r="E75" s="2">
        <v>1.35</v>
      </c>
      <c r="F75" s="28">
        <f t="shared" ref="F75:G75" si="75">B75/D75</f>
        <v>0.93006993006993011</v>
      </c>
      <c r="G75" s="28">
        <f t="shared" si="75"/>
        <v>1.6444444444444444</v>
      </c>
      <c r="H75" s="28">
        <f t="shared" si="16"/>
        <v>3.1546749546749551</v>
      </c>
      <c r="I75" s="2">
        <v>1.0201</v>
      </c>
    </row>
    <row r="76" spans="1:9" ht="13">
      <c r="A76" s="2" t="s">
        <v>497</v>
      </c>
      <c r="B76" s="2">
        <v>3.13</v>
      </c>
      <c r="C76" s="2">
        <v>1.33</v>
      </c>
      <c r="D76" s="2">
        <v>1.43</v>
      </c>
      <c r="E76" s="2">
        <v>1.35</v>
      </c>
      <c r="F76" s="28">
        <f t="shared" ref="F76:G76" si="76">B76/D76</f>
        <v>2.1888111888111887</v>
      </c>
      <c r="G76" s="28">
        <f t="shared" si="76"/>
        <v>0.98518518518518516</v>
      </c>
      <c r="H76" s="28">
        <f t="shared" si="16"/>
        <v>2.5745143745143744</v>
      </c>
      <c r="I76" s="2">
        <v>1.0017</v>
      </c>
    </row>
    <row r="77" spans="1:9" ht="13">
      <c r="A77" s="2" t="s">
        <v>465</v>
      </c>
      <c r="B77" s="2">
        <v>2.71</v>
      </c>
      <c r="C77" s="2">
        <v>1.35</v>
      </c>
      <c r="D77" s="2">
        <v>1.43</v>
      </c>
      <c r="E77" s="2">
        <v>1.35</v>
      </c>
      <c r="F77" s="28">
        <f t="shared" ref="F77:G77" si="77">B77/D77</f>
        <v>1.8951048951048952</v>
      </c>
      <c r="G77" s="28">
        <f t="shared" si="77"/>
        <v>1</v>
      </c>
      <c r="H77" s="28">
        <f t="shared" si="16"/>
        <v>3.1739963739963741</v>
      </c>
      <c r="I77" s="2">
        <v>1.0025999999999999</v>
      </c>
    </row>
    <row r="78" spans="1:9" ht="13">
      <c r="A78" s="2" t="s">
        <v>484</v>
      </c>
      <c r="B78" s="2">
        <v>1.39</v>
      </c>
      <c r="C78" s="2">
        <v>2.0699999999999998</v>
      </c>
      <c r="D78" s="2">
        <v>1.43</v>
      </c>
      <c r="E78" s="2">
        <v>1.35</v>
      </c>
      <c r="F78" s="28">
        <f t="shared" ref="F78:G78" si="78">B78/D78</f>
        <v>0.97202797202797198</v>
      </c>
      <c r="G78" s="28">
        <f t="shared" si="78"/>
        <v>1.5333333333333332</v>
      </c>
      <c r="H78" s="28">
        <f t="shared" si="16"/>
        <v>2.895104895104895</v>
      </c>
      <c r="I78" s="2">
        <v>1.0222</v>
      </c>
    </row>
    <row r="79" spans="1:9" ht="13">
      <c r="A79" s="2" t="s">
        <v>482</v>
      </c>
      <c r="B79" s="2">
        <v>2.62</v>
      </c>
      <c r="C79" s="2">
        <v>1.35</v>
      </c>
      <c r="D79" s="2">
        <v>1.35</v>
      </c>
      <c r="E79" s="2">
        <v>1.35</v>
      </c>
      <c r="F79" s="28">
        <f t="shared" ref="F79:G79" si="79">B79/D79</f>
        <v>1.9407407407407407</v>
      </c>
      <c r="G79" s="28">
        <f t="shared" si="79"/>
        <v>1</v>
      </c>
      <c r="H79" s="28">
        <f t="shared" si="16"/>
        <v>2.5053613053613053</v>
      </c>
      <c r="I79" s="2">
        <v>1.0025999999999999</v>
      </c>
    </row>
    <row r="80" spans="1:9" ht="13">
      <c r="A80" s="2" t="s">
        <v>483</v>
      </c>
      <c r="B80" s="2">
        <v>1.41</v>
      </c>
      <c r="C80" s="2">
        <v>2.3199999999999998</v>
      </c>
      <c r="D80" s="2">
        <v>1.47</v>
      </c>
      <c r="E80" s="2">
        <v>1.35</v>
      </c>
      <c r="F80" s="28">
        <f t="shared" ref="F80:G80" si="80">B80/D80</f>
        <v>0.95918367346938771</v>
      </c>
      <c r="G80" s="28">
        <f t="shared" si="80"/>
        <v>1.7185185185185183</v>
      </c>
      <c r="H80" s="28">
        <f t="shared" si="16"/>
        <v>2.9407407407407407</v>
      </c>
      <c r="I80" s="2">
        <v>1.0101</v>
      </c>
    </row>
    <row r="81" spans="1:9" ht="13">
      <c r="A81" s="2" t="s">
        <v>479</v>
      </c>
      <c r="B81" s="2">
        <v>1.41</v>
      </c>
      <c r="C81" s="2">
        <v>2.16</v>
      </c>
      <c r="D81" s="2">
        <v>1.47</v>
      </c>
      <c r="E81" s="2">
        <v>1.35</v>
      </c>
      <c r="F81" s="28">
        <f t="shared" ref="F81:G81" si="81">B81/D81</f>
        <v>0.95918367346938771</v>
      </c>
      <c r="G81" s="28">
        <f t="shared" si="81"/>
        <v>1.6</v>
      </c>
      <c r="H81" s="28">
        <f t="shared" si="16"/>
        <v>2.677702191987906</v>
      </c>
      <c r="I81" s="2">
        <v>1.0130999999999999</v>
      </c>
    </row>
    <row r="82" spans="1:9" ht="13">
      <c r="A82" s="2" t="s">
        <v>481</v>
      </c>
      <c r="B82" s="2">
        <v>1.36</v>
      </c>
      <c r="C82" s="2">
        <v>2.11</v>
      </c>
      <c r="D82" s="2">
        <v>1.43</v>
      </c>
      <c r="E82" s="2">
        <v>1.35</v>
      </c>
      <c r="F82" s="28">
        <f t="shared" ref="F82:G82" si="82">B82/D82</f>
        <v>0.95104895104895115</v>
      </c>
      <c r="G82" s="28">
        <f t="shared" si="82"/>
        <v>1.5629629629629627</v>
      </c>
      <c r="H82" s="28">
        <f t="shared" si="16"/>
        <v>2.5591836734693878</v>
      </c>
      <c r="I82" s="2">
        <v>1.0172000000000001</v>
      </c>
    </row>
    <row r="83" spans="1:9" ht="13">
      <c r="H83" s="14"/>
    </row>
    <row r="84" spans="1:9" ht="13">
      <c r="H84" s="14"/>
    </row>
    <row r="85" spans="1:9" ht="13">
      <c r="H85" s="14"/>
    </row>
    <row r="86" spans="1:9" ht="13">
      <c r="H86" s="14"/>
    </row>
    <row r="87" spans="1:9" ht="13">
      <c r="H87" s="14"/>
    </row>
    <row r="88" spans="1:9" ht="13">
      <c r="H88" s="14"/>
    </row>
    <row r="89" spans="1:9" ht="13">
      <c r="H89" s="14"/>
    </row>
    <row r="90" spans="1:9" ht="13">
      <c r="H90" s="14"/>
    </row>
    <row r="91" spans="1:9" ht="13">
      <c r="H91" s="14"/>
    </row>
    <row r="92" spans="1:9" ht="13">
      <c r="H92" s="14"/>
    </row>
    <row r="93" spans="1:9" ht="13">
      <c r="H93" s="14"/>
    </row>
    <row r="94" spans="1:9" ht="13">
      <c r="H94" s="14"/>
    </row>
    <row r="95" spans="1:9" ht="13">
      <c r="H95" s="14"/>
    </row>
    <row r="96" spans="1:9" ht="13">
      <c r="H96" s="14"/>
    </row>
    <row r="97" spans="8:8" ht="13">
      <c r="H97" s="14"/>
    </row>
    <row r="98" spans="8:8" ht="13">
      <c r="H98" s="14"/>
    </row>
    <row r="99" spans="8:8" ht="13">
      <c r="H99" s="14"/>
    </row>
    <row r="100" spans="8:8" ht="13">
      <c r="H100" s="14"/>
    </row>
    <row r="101" spans="8:8" ht="13">
      <c r="H101" s="14"/>
    </row>
    <row r="102" spans="8:8" ht="13">
      <c r="H102" s="14"/>
    </row>
    <row r="103" spans="8:8" ht="13">
      <c r="H103" s="14"/>
    </row>
    <row r="104" spans="8:8" ht="13">
      <c r="H104" s="14"/>
    </row>
    <row r="105" spans="8:8" ht="13">
      <c r="H105" s="14"/>
    </row>
    <row r="106" spans="8:8" ht="13">
      <c r="H106" s="14"/>
    </row>
    <row r="107" spans="8:8" ht="13">
      <c r="H107" s="14"/>
    </row>
    <row r="108" spans="8:8" ht="13">
      <c r="H108" s="14"/>
    </row>
    <row r="109" spans="8:8" ht="13">
      <c r="H109" s="14"/>
    </row>
    <row r="110" spans="8:8" ht="13">
      <c r="H110" s="14"/>
    </row>
    <row r="111" spans="8:8" ht="13">
      <c r="H111" s="14"/>
    </row>
    <row r="112" spans="8:8" ht="13">
      <c r="H112" s="14"/>
    </row>
    <row r="113" spans="8:8" ht="13">
      <c r="H113" s="14"/>
    </row>
    <row r="114" spans="8:8" ht="13">
      <c r="H114" s="14"/>
    </row>
    <row r="115" spans="8:8" ht="13">
      <c r="H115" s="14"/>
    </row>
    <row r="116" spans="8:8" ht="13">
      <c r="H116" s="14"/>
    </row>
    <row r="117" spans="8:8" ht="13">
      <c r="H117" s="14"/>
    </row>
    <row r="118" spans="8:8" ht="13">
      <c r="H118" s="14"/>
    </row>
    <row r="119" spans="8:8" ht="13">
      <c r="H119" s="14"/>
    </row>
    <row r="120" spans="8:8" ht="13">
      <c r="H120" s="14"/>
    </row>
    <row r="121" spans="8:8" ht="13">
      <c r="H121" s="14"/>
    </row>
    <row r="122" spans="8:8" ht="13">
      <c r="H122" s="14"/>
    </row>
    <row r="123" spans="8:8" ht="13">
      <c r="H123" s="14"/>
    </row>
    <row r="124" spans="8:8" ht="13">
      <c r="H124" s="14"/>
    </row>
    <row r="125" spans="8:8" ht="13">
      <c r="H125" s="14"/>
    </row>
    <row r="126" spans="8:8" ht="13">
      <c r="H126" s="14"/>
    </row>
    <row r="127" spans="8:8" ht="13">
      <c r="H127" s="14"/>
    </row>
    <row r="128" spans="8:8" ht="13">
      <c r="H128" s="14"/>
    </row>
    <row r="129" spans="8:8" ht="13">
      <c r="H129" s="14"/>
    </row>
    <row r="130" spans="8:8" ht="13">
      <c r="H130" s="14"/>
    </row>
    <row r="131" spans="8:8" ht="13">
      <c r="H131" s="14"/>
    </row>
    <row r="132" spans="8:8" ht="13">
      <c r="H132" s="14"/>
    </row>
    <row r="133" spans="8:8" ht="13">
      <c r="H133" s="14"/>
    </row>
    <row r="134" spans="8:8" ht="13">
      <c r="H134" s="14"/>
    </row>
    <row r="135" spans="8:8" ht="13">
      <c r="H135" s="14"/>
    </row>
    <row r="136" spans="8:8" ht="13">
      <c r="H136" s="14"/>
    </row>
    <row r="137" spans="8:8" ht="13">
      <c r="H137" s="14"/>
    </row>
    <row r="138" spans="8:8" ht="13">
      <c r="H138" s="14"/>
    </row>
    <row r="139" spans="8:8" ht="13">
      <c r="H139" s="14"/>
    </row>
    <row r="140" spans="8:8" ht="13">
      <c r="H140" s="14"/>
    </row>
    <row r="141" spans="8:8" ht="13">
      <c r="H141" s="14"/>
    </row>
    <row r="142" spans="8:8" ht="13">
      <c r="H142" s="14"/>
    </row>
    <row r="143" spans="8:8" ht="13">
      <c r="H143" s="14"/>
    </row>
    <row r="144" spans="8:8" ht="13">
      <c r="H144" s="14"/>
    </row>
    <row r="145" spans="8:8" ht="13">
      <c r="H145" s="14"/>
    </row>
    <row r="146" spans="8:8" ht="13">
      <c r="H146" s="14"/>
    </row>
    <row r="147" spans="8:8" ht="13">
      <c r="H147" s="14"/>
    </row>
    <row r="148" spans="8:8" ht="13">
      <c r="H148" s="14"/>
    </row>
    <row r="149" spans="8:8" ht="13">
      <c r="H149" s="14"/>
    </row>
    <row r="150" spans="8:8" ht="13">
      <c r="H150" s="14"/>
    </row>
    <row r="151" spans="8:8" ht="13">
      <c r="H151" s="14"/>
    </row>
    <row r="152" spans="8:8" ht="13">
      <c r="H152" s="14"/>
    </row>
    <row r="153" spans="8:8" ht="13">
      <c r="H153" s="14"/>
    </row>
    <row r="154" spans="8:8" ht="13">
      <c r="H154" s="14"/>
    </row>
    <row r="155" spans="8:8" ht="13">
      <c r="H155" s="14"/>
    </row>
    <row r="156" spans="8:8" ht="13">
      <c r="H156" s="14"/>
    </row>
    <row r="157" spans="8:8" ht="13">
      <c r="H157" s="14"/>
    </row>
    <row r="158" spans="8:8" ht="13">
      <c r="H158" s="14"/>
    </row>
    <row r="159" spans="8:8" ht="13">
      <c r="H159" s="14"/>
    </row>
    <row r="160" spans="8:8" ht="13">
      <c r="H160" s="14"/>
    </row>
    <row r="161" spans="8:8" ht="13">
      <c r="H161" s="14"/>
    </row>
    <row r="162" spans="8:8" ht="13">
      <c r="H162" s="14"/>
    </row>
    <row r="163" spans="8:8" ht="13">
      <c r="H163" s="14"/>
    </row>
    <row r="164" spans="8:8" ht="13">
      <c r="H164" s="14"/>
    </row>
    <row r="165" spans="8:8" ht="13">
      <c r="H165" s="14"/>
    </row>
    <row r="166" spans="8:8" ht="13">
      <c r="H166" s="14"/>
    </row>
    <row r="167" spans="8:8" ht="13">
      <c r="H167" s="14"/>
    </row>
    <row r="168" spans="8:8" ht="13">
      <c r="H168" s="14"/>
    </row>
    <row r="169" spans="8:8" ht="13">
      <c r="H169" s="14"/>
    </row>
    <row r="170" spans="8:8" ht="13">
      <c r="H170" s="14"/>
    </row>
    <row r="171" spans="8:8" ht="13">
      <c r="H171" s="14"/>
    </row>
    <row r="172" spans="8:8" ht="13">
      <c r="H172" s="14"/>
    </row>
    <row r="173" spans="8:8" ht="13">
      <c r="H173" s="14"/>
    </row>
    <row r="174" spans="8:8" ht="13">
      <c r="H174" s="14"/>
    </row>
    <row r="175" spans="8:8" ht="13">
      <c r="H175" s="14"/>
    </row>
    <row r="176" spans="8:8" ht="13">
      <c r="H176" s="14"/>
    </row>
    <row r="177" spans="8:8" ht="13">
      <c r="H177" s="14"/>
    </row>
    <row r="178" spans="8:8" ht="13">
      <c r="H178" s="14"/>
    </row>
    <row r="179" spans="8:8" ht="13">
      <c r="H179" s="14"/>
    </row>
    <row r="180" spans="8:8" ht="13">
      <c r="H180" s="14"/>
    </row>
    <row r="181" spans="8:8" ht="13">
      <c r="H181" s="14"/>
    </row>
    <row r="182" spans="8:8" ht="13">
      <c r="H182" s="14"/>
    </row>
    <row r="183" spans="8:8" ht="13">
      <c r="H183" s="14"/>
    </row>
    <row r="184" spans="8:8" ht="13">
      <c r="H184" s="14"/>
    </row>
    <row r="185" spans="8:8" ht="13">
      <c r="H185" s="14"/>
    </row>
    <row r="186" spans="8:8" ht="13">
      <c r="H186" s="14"/>
    </row>
    <row r="187" spans="8:8" ht="13">
      <c r="H187" s="14"/>
    </row>
    <row r="188" spans="8:8" ht="13">
      <c r="H188" s="14"/>
    </row>
    <row r="189" spans="8:8" ht="13">
      <c r="H189" s="14"/>
    </row>
    <row r="190" spans="8:8" ht="13">
      <c r="H190" s="14"/>
    </row>
    <row r="191" spans="8:8" ht="13">
      <c r="H191" s="14"/>
    </row>
    <row r="192" spans="8:8" ht="13">
      <c r="H192" s="14"/>
    </row>
    <row r="193" spans="8:8" ht="13">
      <c r="H193" s="14"/>
    </row>
    <row r="194" spans="8:8" ht="13">
      <c r="H194" s="14"/>
    </row>
    <row r="195" spans="8:8" ht="13">
      <c r="H195" s="14"/>
    </row>
    <row r="196" spans="8:8" ht="13">
      <c r="H196" s="14"/>
    </row>
    <row r="197" spans="8:8" ht="13">
      <c r="H197" s="14"/>
    </row>
    <row r="198" spans="8:8" ht="13">
      <c r="H198" s="14"/>
    </row>
    <row r="199" spans="8:8" ht="13">
      <c r="H199" s="14"/>
    </row>
    <row r="200" spans="8:8" ht="13">
      <c r="H200" s="14"/>
    </row>
    <row r="201" spans="8:8" ht="13">
      <c r="H201" s="14"/>
    </row>
    <row r="202" spans="8:8" ht="13">
      <c r="H202" s="14"/>
    </row>
    <row r="203" spans="8:8" ht="13">
      <c r="H203" s="14"/>
    </row>
    <row r="204" spans="8:8" ht="13">
      <c r="H204" s="14"/>
    </row>
    <row r="205" spans="8:8" ht="13">
      <c r="H205" s="14"/>
    </row>
    <row r="206" spans="8:8" ht="13">
      <c r="H206" s="14"/>
    </row>
    <row r="207" spans="8:8" ht="13">
      <c r="H207" s="14"/>
    </row>
    <row r="208" spans="8:8" ht="13">
      <c r="H208" s="14"/>
    </row>
    <row r="209" spans="8:8" ht="13">
      <c r="H209" s="14"/>
    </row>
    <row r="210" spans="8:8" ht="13">
      <c r="H210" s="14"/>
    </row>
    <row r="211" spans="8:8" ht="13">
      <c r="H211" s="14"/>
    </row>
    <row r="212" spans="8:8" ht="13">
      <c r="H212" s="14"/>
    </row>
    <row r="213" spans="8:8" ht="13">
      <c r="H213" s="14"/>
    </row>
    <row r="214" spans="8:8" ht="13">
      <c r="H214" s="14"/>
    </row>
    <row r="215" spans="8:8" ht="13">
      <c r="H215" s="14"/>
    </row>
    <row r="216" spans="8:8" ht="13">
      <c r="H216" s="14"/>
    </row>
    <row r="217" spans="8:8" ht="13">
      <c r="H217" s="14"/>
    </row>
    <row r="218" spans="8:8" ht="13">
      <c r="H218" s="14"/>
    </row>
    <row r="219" spans="8:8" ht="13">
      <c r="H219" s="14"/>
    </row>
    <row r="220" spans="8:8" ht="13">
      <c r="H220" s="14"/>
    </row>
    <row r="221" spans="8:8" ht="13">
      <c r="H221" s="14"/>
    </row>
    <row r="222" spans="8:8" ht="13">
      <c r="H222" s="14"/>
    </row>
    <row r="223" spans="8:8" ht="13">
      <c r="H223" s="14"/>
    </row>
    <row r="224" spans="8:8" ht="13">
      <c r="H224" s="14"/>
    </row>
    <row r="225" spans="8:8" ht="13">
      <c r="H225" s="14"/>
    </row>
    <row r="226" spans="8:8" ht="13">
      <c r="H226" s="14"/>
    </row>
    <row r="227" spans="8:8" ht="13">
      <c r="H227" s="14"/>
    </row>
    <row r="228" spans="8:8" ht="13">
      <c r="H228" s="14"/>
    </row>
    <row r="229" spans="8:8" ht="13">
      <c r="H229" s="14"/>
    </row>
    <row r="230" spans="8:8" ht="13">
      <c r="H230" s="14"/>
    </row>
    <row r="231" spans="8:8" ht="13">
      <c r="H231" s="14"/>
    </row>
    <row r="232" spans="8:8" ht="13">
      <c r="H232" s="14"/>
    </row>
    <row r="233" spans="8:8" ht="13">
      <c r="H233" s="14"/>
    </row>
    <row r="234" spans="8:8" ht="13">
      <c r="H234" s="14"/>
    </row>
    <row r="235" spans="8:8" ht="13">
      <c r="H235" s="14"/>
    </row>
    <row r="236" spans="8:8" ht="13">
      <c r="H236" s="14"/>
    </row>
    <row r="237" spans="8:8" ht="13">
      <c r="H237" s="14"/>
    </row>
    <row r="238" spans="8:8" ht="13">
      <c r="H238" s="14"/>
    </row>
    <row r="239" spans="8:8" ht="13">
      <c r="H239" s="14"/>
    </row>
    <row r="240" spans="8:8" ht="13">
      <c r="H240" s="14"/>
    </row>
    <row r="241" spans="8:8" ht="13">
      <c r="H241" s="14"/>
    </row>
    <row r="242" spans="8:8" ht="13">
      <c r="H242" s="14"/>
    </row>
    <row r="243" spans="8:8" ht="13">
      <c r="H243" s="14"/>
    </row>
    <row r="244" spans="8:8" ht="13">
      <c r="H244" s="14"/>
    </row>
    <row r="245" spans="8:8" ht="13">
      <c r="H245" s="14"/>
    </row>
    <row r="246" spans="8:8" ht="13">
      <c r="H246" s="14"/>
    </row>
    <row r="247" spans="8:8" ht="13">
      <c r="H247" s="14"/>
    </row>
    <row r="248" spans="8:8" ht="13">
      <c r="H248" s="14"/>
    </row>
    <row r="249" spans="8:8" ht="13">
      <c r="H249" s="14"/>
    </row>
    <row r="250" spans="8:8" ht="13">
      <c r="H250" s="14"/>
    </row>
    <row r="251" spans="8:8" ht="13">
      <c r="H251" s="14"/>
    </row>
    <row r="252" spans="8:8" ht="13">
      <c r="H252" s="14"/>
    </row>
    <row r="253" spans="8:8" ht="13">
      <c r="H253" s="14"/>
    </row>
    <row r="254" spans="8:8" ht="13">
      <c r="H254" s="14"/>
    </row>
    <row r="255" spans="8:8" ht="13">
      <c r="H255" s="14"/>
    </row>
    <row r="256" spans="8:8" ht="13">
      <c r="H256" s="14"/>
    </row>
    <row r="257" spans="8:8" ht="13">
      <c r="H257" s="14"/>
    </row>
    <row r="258" spans="8:8" ht="13">
      <c r="H258" s="14"/>
    </row>
    <row r="259" spans="8:8" ht="13">
      <c r="H259" s="14"/>
    </row>
    <row r="260" spans="8:8" ht="13">
      <c r="H260" s="14"/>
    </row>
    <row r="261" spans="8:8" ht="13">
      <c r="H261" s="14"/>
    </row>
    <row r="262" spans="8:8" ht="13">
      <c r="H262" s="14"/>
    </row>
    <row r="263" spans="8:8" ht="13">
      <c r="H263" s="14"/>
    </row>
    <row r="264" spans="8:8" ht="13">
      <c r="H264" s="14"/>
    </row>
    <row r="265" spans="8:8" ht="13">
      <c r="H265" s="14"/>
    </row>
    <row r="266" spans="8:8" ht="13">
      <c r="H266" s="14"/>
    </row>
    <row r="267" spans="8:8" ht="13">
      <c r="H267" s="14"/>
    </row>
    <row r="268" spans="8:8" ht="13">
      <c r="H268" s="14"/>
    </row>
    <row r="269" spans="8:8" ht="13">
      <c r="H269" s="14"/>
    </row>
    <row r="270" spans="8:8" ht="13">
      <c r="H270" s="14"/>
    </row>
    <row r="271" spans="8:8" ht="13">
      <c r="H271" s="14"/>
    </row>
    <row r="272" spans="8:8" ht="13">
      <c r="H272" s="14"/>
    </row>
    <row r="273" spans="8:8" ht="13">
      <c r="H273" s="14"/>
    </row>
    <row r="274" spans="8:8" ht="13">
      <c r="H274" s="14"/>
    </row>
    <row r="275" spans="8:8" ht="13">
      <c r="H275" s="14"/>
    </row>
    <row r="276" spans="8:8" ht="13">
      <c r="H276" s="14"/>
    </row>
    <row r="277" spans="8:8" ht="13">
      <c r="H277" s="14"/>
    </row>
    <row r="278" spans="8:8" ht="13">
      <c r="H278" s="14"/>
    </row>
    <row r="279" spans="8:8" ht="13">
      <c r="H279" s="14"/>
    </row>
    <row r="280" spans="8:8" ht="13">
      <c r="H280" s="14"/>
    </row>
    <row r="281" spans="8:8" ht="13">
      <c r="H281" s="14"/>
    </row>
    <row r="282" spans="8:8" ht="13">
      <c r="H282" s="14"/>
    </row>
    <row r="283" spans="8:8" ht="13">
      <c r="H283" s="14"/>
    </row>
    <row r="284" spans="8:8" ht="13">
      <c r="H284" s="14"/>
    </row>
    <row r="285" spans="8:8" ht="13">
      <c r="H285" s="14"/>
    </row>
    <row r="286" spans="8:8" ht="13">
      <c r="H286" s="14"/>
    </row>
    <row r="287" spans="8:8" ht="13">
      <c r="H287" s="14"/>
    </row>
    <row r="288" spans="8:8" ht="13">
      <c r="H288" s="14"/>
    </row>
    <row r="289" spans="8:8" ht="13">
      <c r="H289" s="14"/>
    </row>
    <row r="290" spans="8:8" ht="13">
      <c r="H290" s="14"/>
    </row>
    <row r="291" spans="8:8" ht="13">
      <c r="H291" s="14"/>
    </row>
    <row r="292" spans="8:8" ht="13">
      <c r="H292" s="14"/>
    </row>
    <row r="293" spans="8:8" ht="13">
      <c r="H293" s="14"/>
    </row>
    <row r="294" spans="8:8" ht="13">
      <c r="H294" s="14"/>
    </row>
    <row r="295" spans="8:8" ht="13">
      <c r="H295" s="14"/>
    </row>
    <row r="296" spans="8:8" ht="13">
      <c r="H296" s="14"/>
    </row>
    <row r="297" spans="8:8" ht="13">
      <c r="H297" s="14"/>
    </row>
    <row r="298" spans="8:8" ht="13">
      <c r="H298" s="14"/>
    </row>
    <row r="299" spans="8:8" ht="13">
      <c r="H299" s="14"/>
    </row>
    <row r="300" spans="8:8" ht="13">
      <c r="H300" s="14"/>
    </row>
    <row r="301" spans="8:8" ht="13">
      <c r="H301" s="14"/>
    </row>
    <row r="302" spans="8:8" ht="13">
      <c r="H302" s="14"/>
    </row>
    <row r="303" spans="8:8" ht="13">
      <c r="H303" s="14"/>
    </row>
    <row r="304" spans="8:8" ht="13">
      <c r="H304" s="14"/>
    </row>
    <row r="305" spans="8:8" ht="13">
      <c r="H305" s="14"/>
    </row>
    <row r="306" spans="8:8" ht="13">
      <c r="H306" s="14"/>
    </row>
    <row r="307" spans="8:8" ht="13">
      <c r="H307" s="14"/>
    </row>
    <row r="308" spans="8:8" ht="13">
      <c r="H308" s="14"/>
    </row>
    <row r="309" spans="8:8" ht="13">
      <c r="H309" s="14"/>
    </row>
    <row r="310" spans="8:8" ht="13">
      <c r="H310" s="14"/>
    </row>
    <row r="311" spans="8:8" ht="13">
      <c r="H311" s="14"/>
    </row>
    <row r="312" spans="8:8" ht="13">
      <c r="H312" s="14"/>
    </row>
    <row r="313" spans="8:8" ht="13">
      <c r="H313" s="14"/>
    </row>
    <row r="314" spans="8:8" ht="13">
      <c r="H314" s="14"/>
    </row>
    <row r="315" spans="8:8" ht="13">
      <c r="H315" s="14"/>
    </row>
    <row r="316" spans="8:8" ht="13">
      <c r="H316" s="14"/>
    </row>
    <row r="317" spans="8:8" ht="13">
      <c r="H317" s="14"/>
    </row>
    <row r="318" spans="8:8" ht="13">
      <c r="H318" s="14"/>
    </row>
    <row r="319" spans="8:8" ht="13">
      <c r="H319" s="14"/>
    </row>
    <row r="320" spans="8:8" ht="13">
      <c r="H320" s="14"/>
    </row>
    <row r="321" spans="8:8" ht="13">
      <c r="H321" s="14"/>
    </row>
    <row r="322" spans="8:8" ht="13">
      <c r="H322" s="14"/>
    </row>
    <row r="323" spans="8:8" ht="13">
      <c r="H323" s="14"/>
    </row>
    <row r="324" spans="8:8" ht="13">
      <c r="H324" s="14"/>
    </row>
    <row r="325" spans="8:8" ht="13">
      <c r="H325" s="14"/>
    </row>
    <row r="326" spans="8:8" ht="13">
      <c r="H326" s="14"/>
    </row>
    <row r="327" spans="8:8" ht="13">
      <c r="H327" s="14"/>
    </row>
    <row r="328" spans="8:8" ht="13">
      <c r="H328" s="14"/>
    </row>
    <row r="329" spans="8:8" ht="13">
      <c r="H329" s="14"/>
    </row>
    <row r="330" spans="8:8" ht="13">
      <c r="H330" s="14"/>
    </row>
    <row r="331" spans="8:8" ht="13">
      <c r="H331" s="14"/>
    </row>
    <row r="332" spans="8:8" ht="13">
      <c r="H332" s="14"/>
    </row>
    <row r="333" spans="8:8" ht="13">
      <c r="H333" s="14"/>
    </row>
    <row r="334" spans="8:8" ht="13">
      <c r="H334" s="14"/>
    </row>
    <row r="335" spans="8:8" ht="13">
      <c r="H335" s="14"/>
    </row>
    <row r="336" spans="8:8" ht="13">
      <c r="H336" s="14"/>
    </row>
    <row r="337" spans="8:8" ht="13">
      <c r="H337" s="14"/>
    </row>
    <row r="338" spans="8:8" ht="13">
      <c r="H338" s="14"/>
    </row>
    <row r="339" spans="8:8" ht="13">
      <c r="H339" s="14"/>
    </row>
    <row r="340" spans="8:8" ht="13">
      <c r="H340" s="14"/>
    </row>
    <row r="341" spans="8:8" ht="13">
      <c r="H341" s="14"/>
    </row>
    <row r="342" spans="8:8" ht="13">
      <c r="H342" s="14"/>
    </row>
    <row r="343" spans="8:8" ht="13">
      <c r="H343" s="14"/>
    </row>
    <row r="344" spans="8:8" ht="13">
      <c r="H344" s="14"/>
    </row>
    <row r="345" spans="8:8" ht="13">
      <c r="H345" s="14"/>
    </row>
    <row r="346" spans="8:8" ht="13">
      <c r="H346" s="14"/>
    </row>
    <row r="347" spans="8:8" ht="13">
      <c r="H347" s="14"/>
    </row>
    <row r="348" spans="8:8" ht="13">
      <c r="H348" s="14"/>
    </row>
    <row r="349" spans="8:8" ht="13">
      <c r="H349" s="14"/>
    </row>
    <row r="350" spans="8:8" ht="13">
      <c r="H350" s="14"/>
    </row>
    <row r="351" spans="8:8" ht="13">
      <c r="H351" s="14"/>
    </row>
    <row r="352" spans="8:8" ht="13">
      <c r="H352" s="14"/>
    </row>
    <row r="353" spans="8:8" ht="13">
      <c r="H353" s="14"/>
    </row>
    <row r="354" spans="8:8" ht="13">
      <c r="H354" s="14"/>
    </row>
    <row r="355" spans="8:8" ht="13">
      <c r="H355" s="14"/>
    </row>
    <row r="356" spans="8:8" ht="13">
      <c r="H356" s="14"/>
    </row>
    <row r="357" spans="8:8" ht="13">
      <c r="H357" s="14"/>
    </row>
    <row r="358" spans="8:8" ht="13">
      <c r="H358" s="14"/>
    </row>
    <row r="359" spans="8:8" ht="13">
      <c r="H359" s="14"/>
    </row>
    <row r="360" spans="8:8" ht="13">
      <c r="H360" s="14"/>
    </row>
    <row r="361" spans="8:8" ht="13">
      <c r="H361" s="14"/>
    </row>
    <row r="362" spans="8:8" ht="13">
      <c r="H362" s="14"/>
    </row>
    <row r="363" spans="8:8" ht="13">
      <c r="H363" s="14"/>
    </row>
    <row r="364" spans="8:8" ht="13">
      <c r="H364" s="14"/>
    </row>
    <row r="365" spans="8:8" ht="13">
      <c r="H365" s="14"/>
    </row>
    <row r="366" spans="8:8" ht="13">
      <c r="H366" s="14"/>
    </row>
    <row r="367" spans="8:8" ht="13">
      <c r="H367" s="14"/>
    </row>
    <row r="368" spans="8:8" ht="13">
      <c r="H368" s="14"/>
    </row>
    <row r="369" spans="8:8" ht="13">
      <c r="H369" s="14"/>
    </row>
    <row r="370" spans="8:8" ht="13">
      <c r="H370" s="14"/>
    </row>
    <row r="371" spans="8:8" ht="13">
      <c r="H371" s="14"/>
    </row>
    <row r="372" spans="8:8" ht="13">
      <c r="H372" s="14"/>
    </row>
    <row r="373" spans="8:8" ht="13">
      <c r="H373" s="14"/>
    </row>
    <row r="374" spans="8:8" ht="13">
      <c r="H374" s="14"/>
    </row>
    <row r="375" spans="8:8" ht="13">
      <c r="H375" s="14"/>
    </row>
    <row r="376" spans="8:8" ht="13">
      <c r="H376" s="14"/>
    </row>
    <row r="377" spans="8:8" ht="13">
      <c r="H377" s="14"/>
    </row>
    <row r="378" spans="8:8" ht="13">
      <c r="H378" s="14"/>
    </row>
    <row r="379" spans="8:8" ht="13">
      <c r="H379" s="14"/>
    </row>
    <row r="380" spans="8:8" ht="13">
      <c r="H380" s="14"/>
    </row>
    <row r="381" spans="8:8" ht="13">
      <c r="H381" s="14"/>
    </row>
    <row r="382" spans="8:8" ht="13">
      <c r="H382" s="14"/>
    </row>
    <row r="383" spans="8:8" ht="13">
      <c r="H383" s="14"/>
    </row>
    <row r="384" spans="8:8" ht="13">
      <c r="H384" s="14"/>
    </row>
    <row r="385" spans="8:8" ht="13">
      <c r="H385" s="14"/>
    </row>
    <row r="386" spans="8:8" ht="13">
      <c r="H386" s="14"/>
    </row>
    <row r="387" spans="8:8" ht="13">
      <c r="H387" s="14"/>
    </row>
    <row r="388" spans="8:8" ht="13">
      <c r="H388" s="14"/>
    </row>
    <row r="389" spans="8:8" ht="13">
      <c r="H389" s="14"/>
    </row>
    <row r="390" spans="8:8" ht="13">
      <c r="H390" s="14"/>
    </row>
    <row r="391" spans="8:8" ht="13">
      <c r="H391" s="14"/>
    </row>
    <row r="392" spans="8:8" ht="13">
      <c r="H392" s="14"/>
    </row>
    <row r="393" spans="8:8" ht="13">
      <c r="H393" s="14"/>
    </row>
    <row r="394" spans="8:8" ht="13">
      <c r="H394" s="14"/>
    </row>
    <row r="395" spans="8:8" ht="13">
      <c r="H395" s="14"/>
    </row>
    <row r="396" spans="8:8" ht="13">
      <c r="H396" s="14"/>
    </row>
    <row r="397" spans="8:8" ht="13">
      <c r="H397" s="14"/>
    </row>
    <row r="398" spans="8:8" ht="13">
      <c r="H398" s="14"/>
    </row>
    <row r="399" spans="8:8" ht="13">
      <c r="H399" s="14"/>
    </row>
    <row r="400" spans="8:8" ht="13">
      <c r="H400" s="14"/>
    </row>
    <row r="401" spans="8:8" ht="13">
      <c r="H401" s="14"/>
    </row>
    <row r="402" spans="8:8" ht="13">
      <c r="H402" s="14"/>
    </row>
    <row r="403" spans="8:8" ht="13">
      <c r="H403" s="14"/>
    </row>
    <row r="404" spans="8:8" ht="13">
      <c r="H404" s="14"/>
    </row>
    <row r="405" spans="8:8" ht="13">
      <c r="H405" s="14"/>
    </row>
    <row r="406" spans="8:8" ht="13">
      <c r="H406" s="14"/>
    </row>
    <row r="407" spans="8:8" ht="13">
      <c r="H407" s="14"/>
    </row>
    <row r="408" spans="8:8" ht="13">
      <c r="H408" s="14"/>
    </row>
    <row r="409" spans="8:8" ht="13">
      <c r="H409" s="14"/>
    </row>
    <row r="410" spans="8:8" ht="13">
      <c r="H410" s="14"/>
    </row>
    <row r="411" spans="8:8" ht="13">
      <c r="H411" s="14"/>
    </row>
    <row r="412" spans="8:8" ht="13">
      <c r="H412" s="14"/>
    </row>
    <row r="413" spans="8:8" ht="13">
      <c r="H413" s="14"/>
    </row>
    <row r="414" spans="8:8" ht="13">
      <c r="H414" s="14"/>
    </row>
    <row r="415" spans="8:8" ht="13">
      <c r="H415" s="14"/>
    </row>
    <row r="416" spans="8:8" ht="13">
      <c r="H416" s="14"/>
    </row>
    <row r="417" spans="8:8" ht="13">
      <c r="H417" s="14"/>
    </row>
    <row r="418" spans="8:8" ht="13">
      <c r="H418" s="14"/>
    </row>
    <row r="419" spans="8:8" ht="13">
      <c r="H419" s="14"/>
    </row>
    <row r="420" spans="8:8" ht="13">
      <c r="H420" s="14"/>
    </row>
    <row r="421" spans="8:8" ht="13">
      <c r="H421" s="14"/>
    </row>
    <row r="422" spans="8:8" ht="13">
      <c r="H422" s="14"/>
    </row>
    <row r="423" spans="8:8" ht="13">
      <c r="H423" s="14"/>
    </row>
    <row r="424" spans="8:8" ht="13">
      <c r="H424" s="14"/>
    </row>
    <row r="425" spans="8:8" ht="13">
      <c r="H425" s="14"/>
    </row>
    <row r="426" spans="8:8" ht="13">
      <c r="H426" s="14"/>
    </row>
    <row r="427" spans="8:8" ht="13">
      <c r="H427" s="14"/>
    </row>
    <row r="428" spans="8:8" ht="13">
      <c r="H428" s="14"/>
    </row>
    <row r="429" spans="8:8" ht="13">
      <c r="H429" s="14"/>
    </row>
    <row r="430" spans="8:8" ht="13">
      <c r="H430" s="14"/>
    </row>
    <row r="431" spans="8:8" ht="13">
      <c r="H431" s="14"/>
    </row>
    <row r="432" spans="8:8" ht="13">
      <c r="H432" s="14"/>
    </row>
    <row r="433" spans="8:8" ht="13">
      <c r="H433" s="14"/>
    </row>
    <row r="434" spans="8:8" ht="13">
      <c r="H434" s="14"/>
    </row>
    <row r="435" spans="8:8" ht="13">
      <c r="H435" s="14"/>
    </row>
    <row r="436" spans="8:8" ht="13">
      <c r="H436" s="14"/>
    </row>
    <row r="437" spans="8:8" ht="13">
      <c r="H437" s="14"/>
    </row>
    <row r="438" spans="8:8" ht="13">
      <c r="H438" s="14"/>
    </row>
    <row r="439" spans="8:8" ht="13">
      <c r="H439" s="14"/>
    </row>
    <row r="440" spans="8:8" ht="13">
      <c r="H440" s="14"/>
    </row>
    <row r="441" spans="8:8" ht="13">
      <c r="H441" s="14"/>
    </row>
    <row r="442" spans="8:8" ht="13">
      <c r="H442" s="14"/>
    </row>
    <row r="443" spans="8:8" ht="13">
      <c r="H443" s="14"/>
    </row>
    <row r="444" spans="8:8" ht="13">
      <c r="H444" s="14"/>
    </row>
    <row r="445" spans="8:8" ht="13">
      <c r="H445" s="14"/>
    </row>
    <row r="446" spans="8:8" ht="13">
      <c r="H446" s="14"/>
    </row>
    <row r="447" spans="8:8" ht="13">
      <c r="H447" s="14"/>
    </row>
    <row r="448" spans="8:8" ht="13">
      <c r="H448" s="14"/>
    </row>
    <row r="449" spans="8:8" ht="13">
      <c r="H449" s="14"/>
    </row>
    <row r="450" spans="8:8" ht="13">
      <c r="H450" s="14"/>
    </row>
    <row r="451" spans="8:8" ht="13">
      <c r="H451" s="14"/>
    </row>
    <row r="452" spans="8:8" ht="13">
      <c r="H452" s="14"/>
    </row>
    <row r="453" spans="8:8" ht="13">
      <c r="H453" s="14"/>
    </row>
    <row r="454" spans="8:8" ht="13">
      <c r="H454" s="14"/>
    </row>
    <row r="455" spans="8:8" ht="13">
      <c r="H455" s="14"/>
    </row>
    <row r="456" spans="8:8" ht="13">
      <c r="H456" s="14"/>
    </row>
    <row r="457" spans="8:8" ht="13">
      <c r="H457" s="14"/>
    </row>
    <row r="458" spans="8:8" ht="13">
      <c r="H458" s="14"/>
    </row>
    <row r="459" spans="8:8" ht="13">
      <c r="H459" s="14"/>
    </row>
    <row r="460" spans="8:8" ht="13">
      <c r="H460" s="14"/>
    </row>
    <row r="461" spans="8:8" ht="13">
      <c r="H461" s="14"/>
    </row>
    <row r="462" spans="8:8" ht="13">
      <c r="H462" s="14"/>
    </row>
    <row r="463" spans="8:8" ht="13">
      <c r="H463" s="14"/>
    </row>
    <row r="464" spans="8:8" ht="13">
      <c r="H464" s="14"/>
    </row>
    <row r="465" spans="8:8" ht="13">
      <c r="H465" s="14"/>
    </row>
    <row r="466" spans="8:8" ht="13">
      <c r="H466" s="14"/>
    </row>
    <row r="467" spans="8:8" ht="13">
      <c r="H467" s="14"/>
    </row>
    <row r="468" spans="8:8" ht="13">
      <c r="H468" s="14"/>
    </row>
    <row r="469" spans="8:8" ht="13">
      <c r="H469" s="14"/>
    </row>
    <row r="470" spans="8:8" ht="13">
      <c r="H470" s="14"/>
    </row>
    <row r="471" spans="8:8" ht="13">
      <c r="H471" s="14"/>
    </row>
    <row r="472" spans="8:8" ht="13">
      <c r="H472" s="14"/>
    </row>
    <row r="473" spans="8:8" ht="13">
      <c r="H473" s="14"/>
    </row>
    <row r="474" spans="8:8" ht="13">
      <c r="H474" s="14"/>
    </row>
    <row r="475" spans="8:8" ht="13">
      <c r="H475" s="14"/>
    </row>
    <row r="476" spans="8:8" ht="13">
      <c r="H476" s="14"/>
    </row>
    <row r="477" spans="8:8" ht="13">
      <c r="H477" s="14"/>
    </row>
    <row r="478" spans="8:8" ht="13">
      <c r="H478" s="14"/>
    </row>
    <row r="479" spans="8:8" ht="13">
      <c r="H479" s="14"/>
    </row>
    <row r="480" spans="8:8" ht="13">
      <c r="H480" s="14"/>
    </row>
    <row r="481" spans="8:8" ht="13">
      <c r="H481" s="14"/>
    </row>
    <row r="482" spans="8:8" ht="13">
      <c r="H482" s="14"/>
    </row>
    <row r="483" spans="8:8" ht="13">
      <c r="H483" s="14"/>
    </row>
    <row r="484" spans="8:8" ht="13">
      <c r="H484" s="14"/>
    </row>
    <row r="485" spans="8:8" ht="13">
      <c r="H485" s="14"/>
    </row>
    <row r="486" spans="8:8" ht="13">
      <c r="H486" s="14"/>
    </row>
    <row r="487" spans="8:8" ht="13">
      <c r="H487" s="14"/>
    </row>
    <row r="488" spans="8:8" ht="13">
      <c r="H488" s="14"/>
    </row>
    <row r="489" spans="8:8" ht="13">
      <c r="H489" s="14"/>
    </row>
    <row r="490" spans="8:8" ht="13">
      <c r="H490" s="14"/>
    </row>
    <row r="491" spans="8:8" ht="13">
      <c r="H491" s="14"/>
    </row>
    <row r="492" spans="8:8" ht="13">
      <c r="H492" s="14"/>
    </row>
    <row r="493" spans="8:8" ht="13">
      <c r="H493" s="14"/>
    </row>
    <row r="494" spans="8:8" ht="13">
      <c r="H494" s="14"/>
    </row>
    <row r="495" spans="8:8" ht="13">
      <c r="H495" s="14"/>
    </row>
    <row r="496" spans="8:8" ht="13">
      <c r="H496" s="14"/>
    </row>
    <row r="497" spans="8:8" ht="13">
      <c r="H497" s="14"/>
    </row>
    <row r="498" spans="8:8" ht="13">
      <c r="H498" s="14"/>
    </row>
    <row r="499" spans="8:8" ht="13">
      <c r="H499" s="14"/>
    </row>
    <row r="500" spans="8:8" ht="13">
      <c r="H500" s="14"/>
    </row>
    <row r="501" spans="8:8" ht="13">
      <c r="H501" s="14"/>
    </row>
    <row r="502" spans="8:8" ht="13">
      <c r="H502" s="14"/>
    </row>
    <row r="503" spans="8:8" ht="13">
      <c r="H503" s="14"/>
    </row>
    <row r="504" spans="8:8" ht="13">
      <c r="H504" s="14"/>
    </row>
    <row r="505" spans="8:8" ht="13">
      <c r="H505" s="14"/>
    </row>
    <row r="506" spans="8:8" ht="13">
      <c r="H506" s="14"/>
    </row>
    <row r="507" spans="8:8" ht="13">
      <c r="H507" s="14"/>
    </row>
    <row r="508" spans="8:8" ht="13">
      <c r="H508" s="14"/>
    </row>
    <row r="509" spans="8:8" ht="13">
      <c r="H509" s="14"/>
    </row>
    <row r="510" spans="8:8" ht="13">
      <c r="H510" s="14"/>
    </row>
    <row r="511" spans="8:8" ht="13">
      <c r="H511" s="14"/>
    </row>
    <row r="512" spans="8:8" ht="13">
      <c r="H512" s="14"/>
    </row>
    <row r="513" spans="8:8" ht="13">
      <c r="H513" s="14"/>
    </row>
    <row r="514" spans="8:8" ht="13">
      <c r="H514" s="14"/>
    </row>
    <row r="515" spans="8:8" ht="13">
      <c r="H515" s="14"/>
    </row>
    <row r="516" spans="8:8" ht="13">
      <c r="H516" s="14"/>
    </row>
    <row r="517" spans="8:8" ht="13">
      <c r="H517" s="14"/>
    </row>
    <row r="518" spans="8:8" ht="13">
      <c r="H518" s="14"/>
    </row>
    <row r="519" spans="8:8" ht="13">
      <c r="H519" s="14"/>
    </row>
    <row r="520" spans="8:8" ht="13">
      <c r="H520" s="14"/>
    </row>
    <row r="521" spans="8:8" ht="13">
      <c r="H521" s="14"/>
    </row>
    <row r="522" spans="8:8" ht="13">
      <c r="H522" s="14"/>
    </row>
    <row r="523" spans="8:8" ht="13">
      <c r="H523" s="14"/>
    </row>
    <row r="524" spans="8:8" ht="13">
      <c r="H524" s="14"/>
    </row>
    <row r="525" spans="8:8" ht="13">
      <c r="H525" s="14"/>
    </row>
    <row r="526" spans="8:8" ht="13">
      <c r="H526" s="14"/>
    </row>
    <row r="527" spans="8:8" ht="13">
      <c r="H527" s="14"/>
    </row>
    <row r="528" spans="8:8" ht="13">
      <c r="H528" s="14"/>
    </row>
    <row r="529" spans="8:8" ht="13">
      <c r="H529" s="14"/>
    </row>
    <row r="530" spans="8:8" ht="13">
      <c r="H530" s="14"/>
    </row>
    <row r="531" spans="8:8" ht="13">
      <c r="H531" s="14"/>
    </row>
    <row r="532" spans="8:8" ht="13">
      <c r="H532" s="14"/>
    </row>
    <row r="533" spans="8:8" ht="13">
      <c r="H533" s="14"/>
    </row>
    <row r="534" spans="8:8" ht="13">
      <c r="H534" s="14"/>
    </row>
    <row r="535" spans="8:8" ht="13">
      <c r="H535" s="14"/>
    </row>
    <row r="536" spans="8:8" ht="13">
      <c r="H536" s="14"/>
    </row>
    <row r="537" spans="8:8" ht="13">
      <c r="H537" s="14"/>
    </row>
    <row r="538" spans="8:8" ht="13">
      <c r="H538" s="14"/>
    </row>
    <row r="539" spans="8:8" ht="13">
      <c r="H539" s="14"/>
    </row>
    <row r="540" spans="8:8" ht="13">
      <c r="H540" s="14"/>
    </row>
    <row r="541" spans="8:8" ht="13">
      <c r="H541" s="14"/>
    </row>
    <row r="542" spans="8:8" ht="13">
      <c r="H542" s="14"/>
    </row>
    <row r="543" spans="8:8" ht="13">
      <c r="H543" s="14"/>
    </row>
    <row r="544" spans="8:8" ht="13">
      <c r="H544" s="14"/>
    </row>
    <row r="545" spans="8:8" ht="13">
      <c r="H545" s="14"/>
    </row>
    <row r="546" spans="8:8" ht="13">
      <c r="H546" s="14"/>
    </row>
    <row r="547" spans="8:8" ht="13">
      <c r="H547" s="14"/>
    </row>
    <row r="548" spans="8:8" ht="13">
      <c r="H548" s="14"/>
    </row>
    <row r="549" spans="8:8" ht="13">
      <c r="H549" s="14"/>
    </row>
    <row r="550" spans="8:8" ht="13">
      <c r="H550" s="14"/>
    </row>
    <row r="551" spans="8:8" ht="13">
      <c r="H551" s="14"/>
    </row>
    <row r="552" spans="8:8" ht="13">
      <c r="H552" s="14"/>
    </row>
    <row r="553" spans="8:8" ht="13">
      <c r="H553" s="14"/>
    </row>
    <row r="554" spans="8:8" ht="13">
      <c r="H554" s="14"/>
    </row>
    <row r="555" spans="8:8" ht="13">
      <c r="H555" s="14"/>
    </row>
    <row r="556" spans="8:8" ht="13">
      <c r="H556" s="14"/>
    </row>
    <row r="557" spans="8:8" ht="13">
      <c r="H557" s="14"/>
    </row>
    <row r="558" spans="8:8" ht="13">
      <c r="H558" s="14"/>
    </row>
    <row r="559" spans="8:8" ht="13">
      <c r="H559" s="14"/>
    </row>
    <row r="560" spans="8:8" ht="13">
      <c r="H560" s="14"/>
    </row>
    <row r="561" spans="8:8" ht="13">
      <c r="H561" s="14"/>
    </row>
    <row r="562" spans="8:8" ht="13">
      <c r="H562" s="14"/>
    </row>
    <row r="563" spans="8:8" ht="13">
      <c r="H563" s="14"/>
    </row>
    <row r="564" spans="8:8" ht="13">
      <c r="H564" s="14"/>
    </row>
    <row r="565" spans="8:8" ht="13">
      <c r="H565" s="14"/>
    </row>
    <row r="566" spans="8:8" ht="13">
      <c r="H566" s="14"/>
    </row>
    <row r="567" spans="8:8" ht="13">
      <c r="H567" s="14"/>
    </row>
    <row r="568" spans="8:8" ht="13">
      <c r="H568" s="14"/>
    </row>
    <row r="569" spans="8:8" ht="13">
      <c r="H569" s="14"/>
    </row>
    <row r="570" spans="8:8" ht="13">
      <c r="H570" s="14"/>
    </row>
    <row r="571" spans="8:8" ht="13">
      <c r="H571" s="14"/>
    </row>
    <row r="572" spans="8:8" ht="13">
      <c r="H572" s="14"/>
    </row>
    <row r="573" spans="8:8" ht="13">
      <c r="H573" s="14"/>
    </row>
    <row r="574" spans="8:8" ht="13">
      <c r="H574" s="14"/>
    </row>
    <row r="575" spans="8:8" ht="13">
      <c r="H575" s="14"/>
    </row>
    <row r="576" spans="8:8" ht="13">
      <c r="H576" s="14"/>
    </row>
    <row r="577" spans="8:8" ht="13">
      <c r="H577" s="14"/>
    </row>
    <row r="578" spans="8:8" ht="13">
      <c r="H578" s="14"/>
    </row>
    <row r="579" spans="8:8" ht="13">
      <c r="H579" s="14"/>
    </row>
    <row r="580" spans="8:8" ht="13">
      <c r="H580" s="14"/>
    </row>
    <row r="581" spans="8:8" ht="13">
      <c r="H581" s="14"/>
    </row>
    <row r="582" spans="8:8" ht="13">
      <c r="H582" s="14"/>
    </row>
    <row r="583" spans="8:8" ht="13">
      <c r="H583" s="14"/>
    </row>
    <row r="584" spans="8:8" ht="13">
      <c r="H584" s="14"/>
    </row>
    <row r="585" spans="8:8" ht="13">
      <c r="H585" s="14"/>
    </row>
    <row r="586" spans="8:8" ht="13">
      <c r="H586" s="14"/>
    </row>
    <row r="587" spans="8:8" ht="13">
      <c r="H587" s="14"/>
    </row>
    <row r="588" spans="8:8" ht="13">
      <c r="H588" s="14"/>
    </row>
    <row r="589" spans="8:8" ht="13">
      <c r="H589" s="14"/>
    </row>
    <row r="590" spans="8:8" ht="13">
      <c r="H590" s="14"/>
    </row>
    <row r="591" spans="8:8" ht="13">
      <c r="H591" s="14"/>
    </row>
    <row r="592" spans="8:8" ht="13">
      <c r="H592" s="14"/>
    </row>
    <row r="593" spans="8:8" ht="13">
      <c r="H593" s="14"/>
    </row>
    <row r="594" spans="8:8" ht="13">
      <c r="H594" s="14"/>
    </row>
    <row r="595" spans="8:8" ht="13">
      <c r="H595" s="14"/>
    </row>
    <row r="596" spans="8:8" ht="13">
      <c r="H596" s="14"/>
    </row>
    <row r="597" spans="8:8" ht="13">
      <c r="H597" s="14"/>
    </row>
    <row r="598" spans="8:8" ht="13">
      <c r="H598" s="14"/>
    </row>
    <row r="599" spans="8:8" ht="13">
      <c r="H599" s="14"/>
    </row>
    <row r="600" spans="8:8" ht="13">
      <c r="H600" s="14"/>
    </row>
    <row r="601" spans="8:8" ht="13">
      <c r="H601" s="14"/>
    </row>
    <row r="602" spans="8:8" ht="13">
      <c r="H602" s="14"/>
    </row>
    <row r="603" spans="8:8" ht="13">
      <c r="H603" s="14"/>
    </row>
    <row r="604" spans="8:8" ht="13">
      <c r="H604" s="14"/>
    </row>
    <row r="605" spans="8:8" ht="13">
      <c r="H605" s="14"/>
    </row>
    <row r="606" spans="8:8" ht="13">
      <c r="H606" s="14"/>
    </row>
    <row r="607" spans="8:8" ht="13">
      <c r="H607" s="14"/>
    </row>
    <row r="608" spans="8:8" ht="13">
      <c r="H608" s="14"/>
    </row>
    <row r="609" spans="8:8" ht="13">
      <c r="H609" s="14"/>
    </row>
    <row r="610" spans="8:8" ht="13">
      <c r="H610" s="14"/>
    </row>
    <row r="611" spans="8:8" ht="13">
      <c r="H611" s="14"/>
    </row>
    <row r="612" spans="8:8" ht="13">
      <c r="H612" s="14"/>
    </row>
    <row r="613" spans="8:8" ht="13">
      <c r="H613" s="14"/>
    </row>
    <row r="614" spans="8:8" ht="13">
      <c r="H614" s="14"/>
    </row>
    <row r="615" spans="8:8" ht="13">
      <c r="H615" s="14"/>
    </row>
    <row r="616" spans="8:8" ht="13">
      <c r="H616" s="14"/>
    </row>
    <row r="617" spans="8:8" ht="13">
      <c r="H617" s="14"/>
    </row>
    <row r="618" spans="8:8" ht="13">
      <c r="H618" s="14"/>
    </row>
    <row r="619" spans="8:8" ht="13">
      <c r="H619" s="14"/>
    </row>
    <row r="620" spans="8:8" ht="13">
      <c r="H620" s="14"/>
    </row>
    <row r="621" spans="8:8" ht="13">
      <c r="H621" s="14"/>
    </row>
    <row r="622" spans="8:8" ht="13">
      <c r="H622" s="14"/>
    </row>
    <row r="623" spans="8:8" ht="13">
      <c r="H623" s="14"/>
    </row>
    <row r="624" spans="8:8" ht="13">
      <c r="H624" s="14"/>
    </row>
    <row r="625" spans="8:8" ht="13">
      <c r="H625" s="14"/>
    </row>
    <row r="626" spans="8:8" ht="13">
      <c r="H626" s="14"/>
    </row>
    <row r="627" spans="8:8" ht="13">
      <c r="H627" s="14"/>
    </row>
    <row r="628" spans="8:8" ht="13">
      <c r="H628" s="14"/>
    </row>
    <row r="629" spans="8:8" ht="13">
      <c r="H629" s="14"/>
    </row>
    <row r="630" spans="8:8" ht="13">
      <c r="H630" s="14"/>
    </row>
    <row r="631" spans="8:8" ht="13">
      <c r="H631" s="14"/>
    </row>
    <row r="632" spans="8:8" ht="13">
      <c r="H632" s="14"/>
    </row>
    <row r="633" spans="8:8" ht="13">
      <c r="H633" s="14"/>
    </row>
    <row r="634" spans="8:8" ht="13">
      <c r="H634" s="14"/>
    </row>
    <row r="635" spans="8:8" ht="13">
      <c r="H635" s="14"/>
    </row>
    <row r="636" spans="8:8" ht="13">
      <c r="H636" s="14"/>
    </row>
    <row r="637" spans="8:8" ht="13">
      <c r="H637" s="14"/>
    </row>
    <row r="638" spans="8:8" ht="13">
      <c r="H638" s="14"/>
    </row>
    <row r="639" spans="8:8" ht="13">
      <c r="H639" s="14"/>
    </row>
    <row r="640" spans="8:8" ht="13">
      <c r="H640" s="14"/>
    </row>
    <row r="641" spans="8:8" ht="13">
      <c r="H641" s="14"/>
    </row>
    <row r="642" spans="8:8" ht="13">
      <c r="H642" s="14"/>
    </row>
    <row r="643" spans="8:8" ht="13">
      <c r="H643" s="14"/>
    </row>
    <row r="644" spans="8:8" ht="13">
      <c r="H644" s="14"/>
    </row>
    <row r="645" spans="8:8" ht="13">
      <c r="H645" s="14"/>
    </row>
    <row r="646" spans="8:8" ht="13">
      <c r="H646" s="14"/>
    </row>
    <row r="647" spans="8:8" ht="13">
      <c r="H647" s="14"/>
    </row>
    <row r="648" spans="8:8" ht="13">
      <c r="H648" s="14"/>
    </row>
    <row r="649" spans="8:8" ht="13">
      <c r="H649" s="14"/>
    </row>
    <row r="650" spans="8:8" ht="13">
      <c r="H650" s="14"/>
    </row>
    <row r="651" spans="8:8" ht="13">
      <c r="H651" s="14"/>
    </row>
    <row r="652" spans="8:8" ht="13">
      <c r="H652" s="14"/>
    </row>
    <row r="653" spans="8:8" ht="13">
      <c r="H653" s="14"/>
    </row>
    <row r="654" spans="8:8" ht="13">
      <c r="H654" s="14"/>
    </row>
    <row r="655" spans="8:8" ht="13">
      <c r="H655" s="14"/>
    </row>
    <row r="656" spans="8:8" ht="13">
      <c r="H656" s="14"/>
    </row>
    <row r="657" spans="8:8" ht="13">
      <c r="H657" s="14"/>
    </row>
    <row r="658" spans="8:8" ht="13">
      <c r="H658" s="14"/>
    </row>
    <row r="659" spans="8:8" ht="13">
      <c r="H659" s="14"/>
    </row>
    <row r="660" spans="8:8" ht="13">
      <c r="H660" s="14"/>
    </row>
    <row r="661" spans="8:8" ht="13">
      <c r="H661" s="14"/>
    </row>
    <row r="662" spans="8:8" ht="13">
      <c r="H662" s="14"/>
    </row>
    <row r="663" spans="8:8" ht="13">
      <c r="H663" s="14"/>
    </row>
    <row r="664" spans="8:8" ht="13">
      <c r="H664" s="14"/>
    </row>
    <row r="665" spans="8:8" ht="13">
      <c r="H665" s="14"/>
    </row>
    <row r="666" spans="8:8" ht="13">
      <c r="H666" s="14"/>
    </row>
    <row r="667" spans="8:8" ht="13">
      <c r="H667" s="14"/>
    </row>
    <row r="668" spans="8:8" ht="13">
      <c r="H668" s="14"/>
    </row>
    <row r="669" spans="8:8" ht="13">
      <c r="H669" s="14"/>
    </row>
    <row r="670" spans="8:8" ht="13">
      <c r="H670" s="14"/>
    </row>
    <row r="671" spans="8:8" ht="13">
      <c r="H671" s="14"/>
    </row>
    <row r="672" spans="8:8" ht="13">
      <c r="H672" s="14"/>
    </row>
    <row r="673" spans="8:8" ht="13">
      <c r="H673" s="14"/>
    </row>
    <row r="674" spans="8:8" ht="13">
      <c r="H674" s="14"/>
    </row>
    <row r="675" spans="8:8" ht="13">
      <c r="H675" s="14"/>
    </row>
    <row r="676" spans="8:8" ht="13">
      <c r="H676" s="14"/>
    </row>
    <row r="677" spans="8:8" ht="13">
      <c r="H677" s="14"/>
    </row>
    <row r="678" spans="8:8" ht="13">
      <c r="H678" s="14"/>
    </row>
    <row r="679" spans="8:8" ht="13">
      <c r="H679" s="14"/>
    </row>
    <row r="680" spans="8:8" ht="13">
      <c r="H680" s="14"/>
    </row>
    <row r="681" spans="8:8" ht="13">
      <c r="H681" s="14"/>
    </row>
    <row r="682" spans="8:8" ht="13">
      <c r="H682" s="14"/>
    </row>
    <row r="683" spans="8:8" ht="13">
      <c r="H683" s="14"/>
    </row>
    <row r="684" spans="8:8" ht="13">
      <c r="H684" s="14"/>
    </row>
    <row r="685" spans="8:8" ht="13">
      <c r="H685" s="14"/>
    </row>
    <row r="686" spans="8:8" ht="13">
      <c r="H686" s="14"/>
    </row>
    <row r="687" spans="8:8" ht="13">
      <c r="H687" s="14"/>
    </row>
    <row r="688" spans="8:8" ht="13">
      <c r="H688" s="14"/>
    </row>
    <row r="689" spans="8:8" ht="13">
      <c r="H689" s="14"/>
    </row>
    <row r="690" spans="8:8" ht="13">
      <c r="H690" s="14"/>
    </row>
    <row r="691" spans="8:8" ht="13">
      <c r="H691" s="14"/>
    </row>
    <row r="692" spans="8:8" ht="13">
      <c r="H692" s="14"/>
    </row>
    <row r="693" spans="8:8" ht="13">
      <c r="H693" s="14"/>
    </row>
    <row r="694" spans="8:8" ht="13">
      <c r="H694" s="14"/>
    </row>
    <row r="695" spans="8:8" ht="13">
      <c r="H695" s="14"/>
    </row>
    <row r="696" spans="8:8" ht="13">
      <c r="H696" s="14"/>
    </row>
    <row r="697" spans="8:8" ht="13">
      <c r="H697" s="14"/>
    </row>
    <row r="698" spans="8:8" ht="13">
      <c r="H698" s="14"/>
    </row>
    <row r="699" spans="8:8" ht="13">
      <c r="H699" s="14"/>
    </row>
    <row r="700" spans="8:8" ht="13">
      <c r="H700" s="14"/>
    </row>
    <row r="701" spans="8:8" ht="13">
      <c r="H701" s="14"/>
    </row>
    <row r="702" spans="8:8" ht="13">
      <c r="H702" s="14"/>
    </row>
    <row r="703" spans="8:8" ht="13">
      <c r="H703" s="14"/>
    </row>
    <row r="704" spans="8:8" ht="13">
      <c r="H704" s="14"/>
    </row>
    <row r="705" spans="8:8" ht="13">
      <c r="H705" s="14"/>
    </row>
    <row r="706" spans="8:8" ht="13">
      <c r="H706" s="14"/>
    </row>
    <row r="707" spans="8:8" ht="13">
      <c r="H707" s="14"/>
    </row>
    <row r="708" spans="8:8" ht="13">
      <c r="H708" s="14"/>
    </row>
    <row r="709" spans="8:8" ht="13">
      <c r="H709" s="14"/>
    </row>
    <row r="710" spans="8:8" ht="13">
      <c r="H710" s="14"/>
    </row>
    <row r="711" spans="8:8" ht="13">
      <c r="H711" s="14"/>
    </row>
    <row r="712" spans="8:8" ht="13">
      <c r="H712" s="14"/>
    </row>
    <row r="713" spans="8:8" ht="13">
      <c r="H713" s="14"/>
    </row>
    <row r="714" spans="8:8" ht="13">
      <c r="H714" s="14"/>
    </row>
    <row r="715" spans="8:8" ht="13">
      <c r="H715" s="14"/>
    </row>
    <row r="716" spans="8:8" ht="13">
      <c r="H716" s="14"/>
    </row>
    <row r="717" spans="8:8" ht="13">
      <c r="H717" s="14"/>
    </row>
    <row r="718" spans="8:8" ht="13">
      <c r="H718" s="14"/>
    </row>
    <row r="719" spans="8:8" ht="13">
      <c r="H719" s="14"/>
    </row>
    <row r="720" spans="8:8" ht="13">
      <c r="H720" s="14"/>
    </row>
    <row r="721" spans="8:8" ht="13">
      <c r="H721" s="14"/>
    </row>
    <row r="722" spans="8:8" ht="13">
      <c r="H722" s="14"/>
    </row>
    <row r="723" spans="8:8" ht="13">
      <c r="H723" s="14"/>
    </row>
    <row r="724" spans="8:8" ht="13">
      <c r="H724" s="14"/>
    </row>
    <row r="725" spans="8:8" ht="13">
      <c r="H725" s="14"/>
    </row>
    <row r="726" spans="8:8" ht="13">
      <c r="H726" s="14"/>
    </row>
    <row r="727" spans="8:8" ht="13">
      <c r="H727" s="14"/>
    </row>
    <row r="728" spans="8:8" ht="13">
      <c r="H728" s="14"/>
    </row>
    <row r="729" spans="8:8" ht="13">
      <c r="H729" s="14"/>
    </row>
    <row r="730" spans="8:8" ht="13">
      <c r="H730" s="14"/>
    </row>
    <row r="731" spans="8:8" ht="13">
      <c r="H731" s="14"/>
    </row>
    <row r="732" spans="8:8" ht="13">
      <c r="H732" s="14"/>
    </row>
    <row r="733" spans="8:8" ht="13">
      <c r="H733" s="14"/>
    </row>
    <row r="734" spans="8:8" ht="13">
      <c r="H734" s="14"/>
    </row>
    <row r="735" spans="8:8" ht="13">
      <c r="H735" s="14"/>
    </row>
    <row r="736" spans="8:8" ht="13">
      <c r="H736" s="14"/>
    </row>
    <row r="737" spans="8:8" ht="13">
      <c r="H737" s="14"/>
    </row>
    <row r="738" spans="8:8" ht="13">
      <c r="H738" s="14"/>
    </row>
    <row r="739" spans="8:8" ht="13">
      <c r="H739" s="14"/>
    </row>
    <row r="740" spans="8:8" ht="13">
      <c r="H740" s="14"/>
    </row>
    <row r="741" spans="8:8" ht="13">
      <c r="H741" s="14"/>
    </row>
    <row r="742" spans="8:8" ht="13">
      <c r="H742" s="14"/>
    </row>
    <row r="743" spans="8:8" ht="13">
      <c r="H743" s="14"/>
    </row>
    <row r="744" spans="8:8" ht="13">
      <c r="H744" s="14"/>
    </row>
    <row r="745" spans="8:8" ht="13">
      <c r="H745" s="14"/>
    </row>
    <row r="746" spans="8:8" ht="13">
      <c r="H746" s="14"/>
    </row>
    <row r="747" spans="8:8" ht="13">
      <c r="H747" s="14"/>
    </row>
    <row r="748" spans="8:8" ht="13">
      <c r="H748" s="14"/>
    </row>
    <row r="749" spans="8:8" ht="13">
      <c r="H749" s="14"/>
    </row>
    <row r="750" spans="8:8" ht="13">
      <c r="H750" s="14"/>
    </row>
    <row r="751" spans="8:8" ht="13">
      <c r="H751" s="14"/>
    </row>
    <row r="752" spans="8:8" ht="13">
      <c r="H752" s="14"/>
    </row>
    <row r="753" spans="8:8" ht="13">
      <c r="H753" s="14"/>
    </row>
    <row r="754" spans="8:8" ht="13">
      <c r="H754" s="14"/>
    </row>
    <row r="755" spans="8:8" ht="13">
      <c r="H755" s="14"/>
    </row>
    <row r="756" spans="8:8" ht="13">
      <c r="H756" s="14"/>
    </row>
    <row r="757" spans="8:8" ht="13">
      <c r="H757" s="14"/>
    </row>
    <row r="758" spans="8:8" ht="13">
      <c r="H758" s="14"/>
    </row>
    <row r="759" spans="8:8" ht="13">
      <c r="H759" s="14"/>
    </row>
    <row r="760" spans="8:8" ht="13">
      <c r="H760" s="14"/>
    </row>
    <row r="761" spans="8:8" ht="13">
      <c r="H761" s="14"/>
    </row>
    <row r="762" spans="8:8" ht="13">
      <c r="H762" s="14"/>
    </row>
    <row r="763" spans="8:8" ht="13">
      <c r="H763" s="14"/>
    </row>
    <row r="764" spans="8:8" ht="13">
      <c r="H764" s="14"/>
    </row>
    <row r="765" spans="8:8" ht="13">
      <c r="H765" s="14"/>
    </row>
    <row r="766" spans="8:8" ht="13">
      <c r="H766" s="14"/>
    </row>
    <row r="767" spans="8:8" ht="13">
      <c r="H767" s="14"/>
    </row>
    <row r="768" spans="8:8" ht="13">
      <c r="H768" s="14"/>
    </row>
    <row r="769" spans="8:8" ht="13">
      <c r="H769" s="14"/>
    </row>
    <row r="770" spans="8:8" ht="13">
      <c r="H770" s="14"/>
    </row>
    <row r="771" spans="8:8" ht="13">
      <c r="H771" s="14"/>
    </row>
    <row r="772" spans="8:8" ht="13">
      <c r="H772" s="14"/>
    </row>
    <row r="773" spans="8:8" ht="13">
      <c r="H773" s="14"/>
    </row>
    <row r="774" spans="8:8" ht="13">
      <c r="H774" s="14"/>
    </row>
    <row r="775" spans="8:8" ht="13">
      <c r="H775" s="14"/>
    </row>
    <row r="776" spans="8:8" ht="13">
      <c r="H776" s="14"/>
    </row>
    <row r="777" spans="8:8" ht="13">
      <c r="H777" s="14"/>
    </row>
    <row r="778" spans="8:8" ht="13">
      <c r="H778" s="14"/>
    </row>
    <row r="779" spans="8:8" ht="13">
      <c r="H779" s="14"/>
    </row>
    <row r="780" spans="8:8" ht="13">
      <c r="H780" s="14"/>
    </row>
    <row r="781" spans="8:8" ht="13">
      <c r="H781" s="14"/>
    </row>
    <row r="782" spans="8:8" ht="13">
      <c r="H782" s="14"/>
    </row>
    <row r="783" spans="8:8" ht="13">
      <c r="H783" s="14"/>
    </row>
    <row r="784" spans="8:8" ht="13">
      <c r="H784" s="14"/>
    </row>
    <row r="785" spans="8:8" ht="13">
      <c r="H785" s="14"/>
    </row>
    <row r="786" spans="8:8" ht="13">
      <c r="H786" s="14"/>
    </row>
    <row r="787" spans="8:8" ht="13">
      <c r="H787" s="14"/>
    </row>
    <row r="788" spans="8:8" ht="13">
      <c r="H788" s="14"/>
    </row>
    <row r="789" spans="8:8" ht="13">
      <c r="H789" s="14"/>
    </row>
    <row r="790" spans="8:8" ht="13">
      <c r="H790" s="14"/>
    </row>
    <row r="791" spans="8:8" ht="13">
      <c r="H791" s="14"/>
    </row>
    <row r="792" spans="8:8" ht="13">
      <c r="H792" s="14"/>
    </row>
    <row r="793" spans="8:8" ht="13">
      <c r="H793" s="14"/>
    </row>
    <row r="794" spans="8:8" ht="13">
      <c r="H794" s="14"/>
    </row>
    <row r="795" spans="8:8" ht="13">
      <c r="H795" s="14"/>
    </row>
    <row r="796" spans="8:8" ht="13">
      <c r="H796" s="14"/>
    </row>
    <row r="797" spans="8:8" ht="13">
      <c r="H797" s="14"/>
    </row>
    <row r="798" spans="8:8" ht="13">
      <c r="H798" s="14"/>
    </row>
    <row r="799" spans="8:8" ht="13">
      <c r="H799" s="14"/>
    </row>
    <row r="800" spans="8:8" ht="13">
      <c r="H800" s="14"/>
    </row>
    <row r="801" spans="8:8" ht="13">
      <c r="H801" s="14"/>
    </row>
    <row r="802" spans="8:8" ht="13">
      <c r="H802" s="14"/>
    </row>
    <row r="803" spans="8:8" ht="13">
      <c r="H803" s="14"/>
    </row>
    <row r="804" spans="8:8" ht="13">
      <c r="H804" s="14"/>
    </row>
    <row r="805" spans="8:8" ht="13">
      <c r="H805" s="14"/>
    </row>
    <row r="806" spans="8:8" ht="13">
      <c r="H806" s="14"/>
    </row>
    <row r="807" spans="8:8" ht="13">
      <c r="H807" s="14"/>
    </row>
    <row r="808" spans="8:8" ht="13">
      <c r="H808" s="14"/>
    </row>
    <row r="809" spans="8:8" ht="13">
      <c r="H809" s="14"/>
    </row>
    <row r="810" spans="8:8" ht="13">
      <c r="H810" s="14"/>
    </row>
    <row r="811" spans="8:8" ht="13">
      <c r="H811" s="14"/>
    </row>
    <row r="812" spans="8:8" ht="13">
      <c r="H812" s="14"/>
    </row>
    <row r="813" spans="8:8" ht="13">
      <c r="H813" s="14"/>
    </row>
    <row r="814" spans="8:8" ht="13">
      <c r="H814" s="14"/>
    </row>
    <row r="815" spans="8:8" ht="13">
      <c r="H815" s="14"/>
    </row>
    <row r="816" spans="8:8" ht="13">
      <c r="H816" s="14"/>
    </row>
    <row r="817" spans="8:8" ht="13">
      <c r="H817" s="14"/>
    </row>
    <row r="818" spans="8:8" ht="13">
      <c r="H818" s="14"/>
    </row>
    <row r="819" spans="8:8" ht="13">
      <c r="H819" s="14"/>
    </row>
    <row r="820" spans="8:8" ht="13">
      <c r="H820" s="14"/>
    </row>
    <row r="821" spans="8:8" ht="13">
      <c r="H821" s="14"/>
    </row>
    <row r="822" spans="8:8" ht="13">
      <c r="H822" s="14"/>
    </row>
    <row r="823" spans="8:8" ht="13">
      <c r="H823" s="14"/>
    </row>
    <row r="824" spans="8:8" ht="13">
      <c r="H824" s="14"/>
    </row>
    <row r="825" spans="8:8" ht="13">
      <c r="H825" s="14"/>
    </row>
    <row r="826" spans="8:8" ht="13">
      <c r="H826" s="14"/>
    </row>
    <row r="827" spans="8:8" ht="13">
      <c r="H827" s="14"/>
    </row>
    <row r="828" spans="8:8" ht="13">
      <c r="H828" s="14"/>
    </row>
    <row r="829" spans="8:8" ht="13">
      <c r="H829" s="14"/>
    </row>
    <row r="830" spans="8:8" ht="13">
      <c r="H830" s="14"/>
    </row>
    <row r="831" spans="8:8" ht="13">
      <c r="H831" s="14"/>
    </row>
    <row r="832" spans="8:8" ht="13">
      <c r="H832" s="14"/>
    </row>
    <row r="833" spans="8:8" ht="13">
      <c r="H833" s="14"/>
    </row>
    <row r="834" spans="8:8" ht="13">
      <c r="H834" s="14"/>
    </row>
    <row r="835" spans="8:8" ht="13">
      <c r="H835" s="14"/>
    </row>
    <row r="836" spans="8:8" ht="13">
      <c r="H836" s="14"/>
    </row>
    <row r="837" spans="8:8" ht="13">
      <c r="H837" s="14"/>
    </row>
    <row r="838" spans="8:8" ht="13">
      <c r="H838" s="14"/>
    </row>
    <row r="839" spans="8:8" ht="13">
      <c r="H839" s="14"/>
    </row>
    <row r="840" spans="8:8" ht="13">
      <c r="H840" s="14"/>
    </row>
    <row r="841" spans="8:8" ht="13">
      <c r="H841" s="14"/>
    </row>
    <row r="842" spans="8:8" ht="13">
      <c r="H842" s="14"/>
    </row>
    <row r="843" spans="8:8" ht="13">
      <c r="H843" s="14"/>
    </row>
    <row r="844" spans="8:8" ht="13">
      <c r="H844" s="14"/>
    </row>
    <row r="845" spans="8:8" ht="13">
      <c r="H845" s="14"/>
    </row>
    <row r="846" spans="8:8" ht="13">
      <c r="H846" s="14"/>
    </row>
    <row r="847" spans="8:8" ht="13">
      <c r="H847" s="14"/>
    </row>
    <row r="848" spans="8:8" ht="13">
      <c r="H848" s="14"/>
    </row>
    <row r="849" spans="8:8" ht="13">
      <c r="H849" s="14"/>
    </row>
    <row r="850" spans="8:8" ht="13">
      <c r="H850" s="14"/>
    </row>
    <row r="851" spans="8:8" ht="13">
      <c r="H851" s="14"/>
    </row>
    <row r="852" spans="8:8" ht="13">
      <c r="H852" s="14"/>
    </row>
    <row r="853" spans="8:8" ht="13">
      <c r="H853" s="14"/>
    </row>
    <row r="854" spans="8:8" ht="13">
      <c r="H854" s="14"/>
    </row>
    <row r="855" spans="8:8" ht="13">
      <c r="H855" s="14"/>
    </row>
    <row r="856" spans="8:8" ht="13">
      <c r="H856" s="14"/>
    </row>
    <row r="857" spans="8:8" ht="13">
      <c r="H857" s="14"/>
    </row>
    <row r="858" spans="8:8" ht="13">
      <c r="H858" s="14"/>
    </row>
    <row r="859" spans="8:8" ht="13">
      <c r="H859" s="14"/>
    </row>
    <row r="860" spans="8:8" ht="13">
      <c r="H860" s="14"/>
    </row>
    <row r="861" spans="8:8" ht="13">
      <c r="H861" s="14"/>
    </row>
    <row r="862" spans="8:8" ht="13">
      <c r="H862" s="14"/>
    </row>
    <row r="863" spans="8:8" ht="13">
      <c r="H863" s="14"/>
    </row>
    <row r="864" spans="8:8" ht="13">
      <c r="H864" s="14"/>
    </row>
    <row r="865" spans="8:8" ht="13">
      <c r="H865" s="14"/>
    </row>
    <row r="866" spans="8:8" ht="13">
      <c r="H866" s="14"/>
    </row>
    <row r="867" spans="8:8" ht="13">
      <c r="H867" s="14"/>
    </row>
    <row r="868" spans="8:8" ht="13">
      <c r="H868" s="14"/>
    </row>
    <row r="869" spans="8:8" ht="13">
      <c r="H869" s="14"/>
    </row>
    <row r="870" spans="8:8" ht="13">
      <c r="H870" s="14"/>
    </row>
    <row r="871" spans="8:8" ht="13">
      <c r="H871" s="14"/>
    </row>
    <row r="872" spans="8:8" ht="13">
      <c r="H872" s="14"/>
    </row>
    <row r="873" spans="8:8" ht="13">
      <c r="H873" s="14"/>
    </row>
    <row r="874" spans="8:8" ht="13">
      <c r="H874" s="14"/>
    </row>
    <row r="875" spans="8:8" ht="13">
      <c r="H875" s="14"/>
    </row>
    <row r="876" spans="8:8" ht="13">
      <c r="H876" s="14"/>
    </row>
    <row r="877" spans="8:8" ht="13">
      <c r="H877" s="14"/>
    </row>
    <row r="878" spans="8:8" ht="13">
      <c r="H878" s="14"/>
    </row>
    <row r="879" spans="8:8" ht="13">
      <c r="H879" s="14"/>
    </row>
    <row r="880" spans="8:8" ht="13">
      <c r="H880" s="14"/>
    </row>
    <row r="881" spans="8:8" ht="13">
      <c r="H881" s="14"/>
    </row>
    <row r="882" spans="8:8" ht="13">
      <c r="H882" s="14"/>
    </row>
    <row r="883" spans="8:8" ht="13">
      <c r="H883" s="14"/>
    </row>
    <row r="884" spans="8:8" ht="13">
      <c r="H884" s="14"/>
    </row>
    <row r="885" spans="8:8" ht="13">
      <c r="H885" s="14"/>
    </row>
    <row r="886" spans="8:8" ht="13">
      <c r="H886" s="14"/>
    </row>
    <row r="887" spans="8:8" ht="13">
      <c r="H887" s="14"/>
    </row>
    <row r="888" spans="8:8" ht="13">
      <c r="H888" s="14"/>
    </row>
    <row r="889" spans="8:8" ht="13">
      <c r="H889" s="14"/>
    </row>
    <row r="890" spans="8:8" ht="13">
      <c r="H890" s="14"/>
    </row>
    <row r="891" spans="8:8" ht="13">
      <c r="H891" s="14"/>
    </row>
    <row r="892" spans="8:8" ht="13">
      <c r="H892" s="14"/>
    </row>
    <row r="893" spans="8:8" ht="13">
      <c r="H893" s="14"/>
    </row>
    <row r="894" spans="8:8" ht="13">
      <c r="H894" s="14"/>
    </row>
    <row r="895" spans="8:8" ht="13">
      <c r="H895" s="14"/>
    </row>
    <row r="896" spans="8:8" ht="13">
      <c r="H896" s="14"/>
    </row>
    <row r="897" spans="8:8" ht="13">
      <c r="H897" s="14"/>
    </row>
    <row r="898" spans="8:8" ht="13">
      <c r="H898" s="14"/>
    </row>
    <row r="899" spans="8:8" ht="13">
      <c r="H899" s="14"/>
    </row>
    <row r="900" spans="8:8" ht="13">
      <c r="H900" s="14"/>
    </row>
    <row r="901" spans="8:8" ht="13">
      <c r="H901" s="14"/>
    </row>
    <row r="902" spans="8:8" ht="13">
      <c r="H902" s="14"/>
    </row>
    <row r="903" spans="8:8" ht="13">
      <c r="H903" s="14"/>
    </row>
    <row r="904" spans="8:8" ht="13">
      <c r="H904" s="14"/>
    </row>
    <row r="905" spans="8:8" ht="13">
      <c r="H905" s="14"/>
    </row>
    <row r="906" spans="8:8" ht="13">
      <c r="H906" s="14"/>
    </row>
    <row r="907" spans="8:8" ht="13">
      <c r="H907" s="14"/>
    </row>
    <row r="908" spans="8:8" ht="13">
      <c r="H908" s="14"/>
    </row>
    <row r="909" spans="8:8" ht="13">
      <c r="H909" s="14"/>
    </row>
    <row r="910" spans="8:8" ht="13">
      <c r="H910" s="14"/>
    </row>
    <row r="911" spans="8:8" ht="13">
      <c r="H911" s="14"/>
    </row>
    <row r="912" spans="8:8" ht="13">
      <c r="H912" s="14"/>
    </row>
    <row r="913" spans="8:8" ht="13">
      <c r="H913" s="14"/>
    </row>
    <row r="914" spans="8:8" ht="13">
      <c r="H914" s="14"/>
    </row>
    <row r="915" spans="8:8" ht="13">
      <c r="H915" s="14"/>
    </row>
    <row r="916" spans="8:8" ht="13">
      <c r="H916" s="14"/>
    </row>
    <row r="917" spans="8:8" ht="13">
      <c r="H917" s="14"/>
    </row>
    <row r="918" spans="8:8" ht="13">
      <c r="H918" s="14"/>
    </row>
    <row r="919" spans="8:8" ht="13">
      <c r="H919" s="14"/>
    </row>
    <row r="920" spans="8:8" ht="13">
      <c r="H920" s="14"/>
    </row>
    <row r="921" spans="8:8" ht="13">
      <c r="H921" s="14"/>
    </row>
    <row r="922" spans="8:8" ht="13">
      <c r="H922" s="14"/>
    </row>
    <row r="923" spans="8:8" ht="13">
      <c r="H923" s="14"/>
    </row>
    <row r="924" spans="8:8" ht="13">
      <c r="H924" s="14"/>
    </row>
    <row r="925" spans="8:8" ht="13">
      <c r="H925" s="14"/>
    </row>
    <row r="926" spans="8:8" ht="13">
      <c r="H926" s="14"/>
    </row>
    <row r="927" spans="8:8" ht="13">
      <c r="H927" s="14"/>
    </row>
    <row r="928" spans="8:8" ht="13">
      <c r="H928" s="14"/>
    </row>
    <row r="929" spans="8:8" ht="13">
      <c r="H929" s="14"/>
    </row>
    <row r="930" spans="8:8" ht="13">
      <c r="H930" s="14"/>
    </row>
    <row r="931" spans="8:8" ht="13">
      <c r="H931" s="14"/>
    </row>
    <row r="932" spans="8:8" ht="13">
      <c r="H932" s="14"/>
    </row>
    <row r="933" spans="8:8" ht="13">
      <c r="H933" s="14"/>
    </row>
    <row r="934" spans="8:8" ht="13">
      <c r="H934" s="14"/>
    </row>
    <row r="935" spans="8:8" ht="13">
      <c r="H935" s="14"/>
    </row>
    <row r="936" spans="8:8" ht="13">
      <c r="H936" s="14"/>
    </row>
    <row r="937" spans="8:8" ht="13">
      <c r="H937" s="14"/>
    </row>
    <row r="938" spans="8:8" ht="13">
      <c r="H938" s="14"/>
    </row>
    <row r="939" spans="8:8" ht="13">
      <c r="H939" s="14"/>
    </row>
    <row r="940" spans="8:8" ht="13">
      <c r="H940" s="14"/>
    </row>
    <row r="941" spans="8:8" ht="13">
      <c r="H941" s="14"/>
    </row>
    <row r="942" spans="8:8" ht="13">
      <c r="H942" s="14"/>
    </row>
    <row r="943" spans="8:8" ht="13">
      <c r="H943" s="14"/>
    </row>
    <row r="944" spans="8:8" ht="13">
      <c r="H944" s="14"/>
    </row>
    <row r="945" spans="8:8" ht="13">
      <c r="H945" s="14"/>
    </row>
    <row r="946" spans="8:8" ht="13">
      <c r="H946" s="14"/>
    </row>
    <row r="947" spans="8:8" ht="13">
      <c r="H947" s="14"/>
    </row>
    <row r="948" spans="8:8" ht="13">
      <c r="H948" s="14"/>
    </row>
    <row r="949" spans="8:8" ht="13">
      <c r="H949" s="14"/>
    </row>
    <row r="950" spans="8:8" ht="13">
      <c r="H950" s="14"/>
    </row>
    <row r="951" spans="8:8" ht="13">
      <c r="H951" s="14"/>
    </row>
    <row r="952" spans="8:8" ht="13">
      <c r="H952" s="14"/>
    </row>
    <row r="953" spans="8:8" ht="13">
      <c r="H953" s="14"/>
    </row>
    <row r="954" spans="8:8" ht="13">
      <c r="H954" s="14"/>
    </row>
    <row r="955" spans="8:8" ht="13">
      <c r="H955" s="14"/>
    </row>
    <row r="956" spans="8:8" ht="13">
      <c r="H956" s="14"/>
    </row>
    <row r="957" spans="8:8" ht="13">
      <c r="H957" s="14"/>
    </row>
    <row r="958" spans="8:8" ht="13">
      <c r="H958" s="14"/>
    </row>
    <row r="959" spans="8:8" ht="13">
      <c r="H959" s="14"/>
    </row>
    <row r="960" spans="8:8" ht="13">
      <c r="H960" s="14"/>
    </row>
    <row r="961" spans="8:8" ht="13">
      <c r="H961" s="14"/>
    </row>
    <row r="962" spans="8:8" ht="13">
      <c r="H962" s="14"/>
    </row>
    <row r="963" spans="8:8" ht="13">
      <c r="H963" s="14"/>
    </row>
    <row r="964" spans="8:8" ht="13">
      <c r="H964" s="14"/>
    </row>
    <row r="965" spans="8:8" ht="13">
      <c r="H965" s="14"/>
    </row>
    <row r="966" spans="8:8" ht="13">
      <c r="H966" s="14"/>
    </row>
    <row r="967" spans="8:8" ht="13">
      <c r="H967" s="14"/>
    </row>
    <row r="968" spans="8:8" ht="13">
      <c r="H968" s="14"/>
    </row>
    <row r="969" spans="8:8" ht="13">
      <c r="H969" s="14"/>
    </row>
    <row r="970" spans="8:8" ht="13">
      <c r="H970" s="14"/>
    </row>
    <row r="971" spans="8:8" ht="13">
      <c r="H971" s="14"/>
    </row>
    <row r="972" spans="8:8" ht="13">
      <c r="H972" s="14"/>
    </row>
    <row r="973" spans="8:8" ht="13">
      <c r="H973" s="14"/>
    </row>
    <row r="974" spans="8:8" ht="13">
      <c r="H974" s="14"/>
    </row>
    <row r="975" spans="8:8" ht="13">
      <c r="H975" s="14"/>
    </row>
    <row r="976" spans="8:8" ht="13">
      <c r="H976" s="14"/>
    </row>
    <row r="977" spans="8:8" ht="13">
      <c r="H977" s="14"/>
    </row>
    <row r="978" spans="8:8" ht="13">
      <c r="H978" s="14"/>
    </row>
    <row r="979" spans="8:8" ht="13">
      <c r="H979" s="14"/>
    </row>
    <row r="980" spans="8:8" ht="13">
      <c r="H980" s="14"/>
    </row>
    <row r="981" spans="8:8" ht="13">
      <c r="H981" s="14"/>
    </row>
    <row r="982" spans="8:8" ht="13">
      <c r="H982" s="14"/>
    </row>
    <row r="983" spans="8:8" ht="13">
      <c r="H983" s="14"/>
    </row>
    <row r="984" spans="8:8" ht="13">
      <c r="H984" s="14"/>
    </row>
    <row r="985" spans="8:8" ht="13">
      <c r="H985" s="14"/>
    </row>
    <row r="986" spans="8:8" ht="13">
      <c r="H986" s="14"/>
    </row>
    <row r="987" spans="8:8" ht="13">
      <c r="H987" s="14"/>
    </row>
    <row r="988" spans="8:8" ht="13">
      <c r="H988" s="14"/>
    </row>
    <row r="989" spans="8:8" ht="13">
      <c r="H989" s="14"/>
    </row>
    <row r="990" spans="8:8" ht="13">
      <c r="H990" s="14"/>
    </row>
    <row r="991" spans="8:8" ht="13">
      <c r="H991" s="14"/>
    </row>
    <row r="992" spans="8:8" ht="13">
      <c r="H992" s="14"/>
    </row>
    <row r="993" spans="8:8" ht="13">
      <c r="H993" s="14"/>
    </row>
    <row r="994" spans="8:8" ht="13">
      <c r="H994" s="14"/>
    </row>
    <row r="995" spans="8:8" ht="13">
      <c r="H995" s="14"/>
    </row>
    <row r="996" spans="8:8" ht="13">
      <c r="H996" s="14"/>
    </row>
    <row r="997" spans="8:8" ht="13">
      <c r="H997" s="14"/>
    </row>
    <row r="998" spans="8:8" ht="13">
      <c r="H998" s="1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8"/>
  <sheetViews>
    <sheetView workbookViewId="0"/>
  </sheetViews>
  <sheetFormatPr baseColWidth="10" defaultColWidth="14.5" defaultRowHeight="15.75" customHeight="1"/>
  <sheetData>
    <row r="1" spans="1:10" ht="15.75" customHeight="1">
      <c r="A1" s="2" t="s">
        <v>854</v>
      </c>
    </row>
    <row r="3" spans="1:10" ht="15.75" customHeight="1">
      <c r="A3" s="2" t="s">
        <v>855</v>
      </c>
      <c r="B3" s="2" t="s">
        <v>856</v>
      </c>
      <c r="C3" s="2" t="s">
        <v>857</v>
      </c>
      <c r="D3" s="2" t="s">
        <v>858</v>
      </c>
      <c r="E3" s="2" t="s">
        <v>859</v>
      </c>
    </row>
    <row r="4" spans="1:10" ht="15.75" customHeight="1">
      <c r="A4" s="2"/>
      <c r="B4" s="3">
        <v>-78.5</v>
      </c>
      <c r="C4" s="2">
        <v>-79</v>
      </c>
      <c r="D4" s="14">
        <f t="shared" ref="D4:D15" si="0">E4-B4</f>
        <v>-0.32672006068807491</v>
      </c>
      <c r="E4" s="14">
        <f t="shared" ref="E4:E15" si="1">(C4-$G$7)/$G$6</f>
        <v>-78.826720060688075</v>
      </c>
      <c r="F4" s="2"/>
      <c r="G4" s="11"/>
      <c r="I4" s="83">
        <v>-78.2</v>
      </c>
      <c r="J4" s="83">
        <v>-79</v>
      </c>
    </row>
    <row r="5" spans="1:10" ht="15.75" customHeight="1">
      <c r="A5" s="2"/>
      <c r="B5" s="3">
        <v>0</v>
      </c>
      <c r="C5" s="2">
        <v>0.4</v>
      </c>
      <c r="D5" s="14">
        <f t="shared" si="0"/>
        <v>0.55716974903627159</v>
      </c>
      <c r="E5" s="14">
        <f t="shared" si="1"/>
        <v>0.55716974903627159</v>
      </c>
      <c r="F5" s="2"/>
      <c r="G5" s="11"/>
      <c r="I5" s="83">
        <v>0</v>
      </c>
      <c r="J5" s="83">
        <v>0.4</v>
      </c>
    </row>
    <row r="6" spans="1:10" ht="15.75" customHeight="1">
      <c r="A6" s="2">
        <v>80</v>
      </c>
      <c r="B6" s="14">
        <f t="shared" ref="B6:B15" si="2">(A6-32)*5/9</f>
        <v>26.666666666666668</v>
      </c>
      <c r="C6" s="2">
        <v>26.7</v>
      </c>
      <c r="D6" s="14">
        <f t="shared" si="0"/>
        <v>0.18516683546469537</v>
      </c>
      <c r="E6" s="14">
        <f t="shared" si="1"/>
        <v>26.851833502131363</v>
      </c>
      <c r="F6" s="2" t="s">
        <v>66</v>
      </c>
      <c r="G6" s="11">
        <f>SLOPE(C4:C16,B4:B16)</f>
        <v>1.000202940298268</v>
      </c>
      <c r="I6" s="90">
        <v>26.666666666666668</v>
      </c>
      <c r="J6" s="83">
        <v>26.7</v>
      </c>
    </row>
    <row r="7" spans="1:10" ht="15.75" customHeight="1">
      <c r="A7" s="2">
        <v>85</v>
      </c>
      <c r="B7" s="14">
        <f t="shared" si="2"/>
        <v>29.444444444444443</v>
      </c>
      <c r="C7" s="2">
        <v>29.5</v>
      </c>
      <c r="D7" s="14">
        <f t="shared" si="0"/>
        <v>0.20682094014571462</v>
      </c>
      <c r="E7" s="14">
        <f t="shared" si="1"/>
        <v>29.651265384590157</v>
      </c>
      <c r="F7" s="2" t="s">
        <v>67</v>
      </c>
      <c r="G7" s="11">
        <f>INTERCEPT(C4:C16,B4:B16)</f>
        <v>-0.15728282123132686</v>
      </c>
      <c r="I7" s="90">
        <v>29.444444444444443</v>
      </c>
      <c r="J7" s="83">
        <v>29.5</v>
      </c>
    </row>
    <row r="8" spans="1:10" ht="15.75" customHeight="1">
      <c r="A8" s="2">
        <v>100</v>
      </c>
      <c r="B8" s="14">
        <f t="shared" si="2"/>
        <v>37.777777777777779</v>
      </c>
      <c r="C8" s="2">
        <v>37.5</v>
      </c>
      <c r="D8" s="14">
        <f t="shared" si="0"/>
        <v>-0.1281355861625002</v>
      </c>
      <c r="E8" s="14">
        <f t="shared" si="1"/>
        <v>37.649642191615278</v>
      </c>
      <c r="F8" s="2" t="s">
        <v>885</v>
      </c>
      <c r="G8" s="11">
        <f>CORREL(C6:C16,B6:B16)^2</f>
        <v>0.99995087356926693</v>
      </c>
      <c r="I8" s="90">
        <v>37.777777777777779</v>
      </c>
      <c r="J8" s="83">
        <v>37.5</v>
      </c>
    </row>
    <row r="9" spans="1:10" ht="15.75" customHeight="1">
      <c r="A9" s="2">
        <v>110</v>
      </c>
      <c r="B9" s="14">
        <f t="shared" si="2"/>
        <v>43.333333333333336</v>
      </c>
      <c r="C9" s="2">
        <v>43</v>
      </c>
      <c r="D9" s="14">
        <f t="shared" si="0"/>
        <v>-0.18480708688828429</v>
      </c>
      <c r="E9" s="14">
        <f t="shared" si="1"/>
        <v>43.148526246445051</v>
      </c>
      <c r="I9" s="90">
        <v>43.333333333333336</v>
      </c>
      <c r="J9" s="83">
        <v>43</v>
      </c>
    </row>
    <row r="10" spans="1:10" ht="15.75" customHeight="1">
      <c r="A10" s="2">
        <v>120</v>
      </c>
      <c r="B10" s="14">
        <f t="shared" si="2"/>
        <v>48.888888888888886</v>
      </c>
      <c r="C10" s="2">
        <v>48.8</v>
      </c>
      <c r="D10" s="14">
        <f t="shared" si="0"/>
        <v>5.8460542649378056E-2</v>
      </c>
      <c r="E10" s="14">
        <f t="shared" si="1"/>
        <v>48.947349431538264</v>
      </c>
      <c r="I10" s="90">
        <v>48.888888888888886</v>
      </c>
      <c r="J10" s="83">
        <v>48.8</v>
      </c>
    </row>
    <row r="11" spans="1:10" ht="15.75" customHeight="1">
      <c r="A11" s="2">
        <v>140</v>
      </c>
      <c r="B11" s="14">
        <f t="shared" si="2"/>
        <v>60</v>
      </c>
      <c r="C11" s="2">
        <v>59.8</v>
      </c>
      <c r="D11" s="14">
        <f t="shared" si="0"/>
        <v>-5.488245880219722E-2</v>
      </c>
      <c r="E11" s="14">
        <f t="shared" si="1"/>
        <v>59.945117541197803</v>
      </c>
      <c r="I11" s="90">
        <v>60</v>
      </c>
      <c r="J11" s="83">
        <v>59.8</v>
      </c>
    </row>
    <row r="12" spans="1:10" ht="15.75" customHeight="1">
      <c r="A12" s="2">
        <v>160</v>
      </c>
      <c r="B12" s="14">
        <f t="shared" si="2"/>
        <v>71.111111111111114</v>
      </c>
      <c r="C12" s="2">
        <v>70.900000000000006</v>
      </c>
      <c r="D12" s="14">
        <f t="shared" si="0"/>
        <v>-6.8245750165942809E-2</v>
      </c>
      <c r="E12" s="14">
        <f t="shared" si="1"/>
        <v>71.042865360945171</v>
      </c>
      <c r="I12" s="90">
        <v>71.111111111111114</v>
      </c>
      <c r="J12" s="83">
        <v>70.900000000000006</v>
      </c>
    </row>
    <row r="13" spans="1:10" ht="15.75" customHeight="1">
      <c r="A13" s="2">
        <v>170</v>
      </c>
      <c r="B13" s="14">
        <f t="shared" si="2"/>
        <v>76.666666666666671</v>
      </c>
      <c r="C13" s="2">
        <v>76.400000000000006</v>
      </c>
      <c r="D13" s="14">
        <f t="shared" si="0"/>
        <v>-0.12491725089174111</v>
      </c>
      <c r="E13" s="14">
        <f t="shared" si="1"/>
        <v>76.54174941577493</v>
      </c>
      <c r="I13" s="90">
        <v>76.666666666666671</v>
      </c>
      <c r="J13" s="83">
        <v>76.400000000000006</v>
      </c>
    </row>
    <row r="14" spans="1:10" ht="15.75" customHeight="1">
      <c r="A14" s="2">
        <v>180</v>
      </c>
      <c r="B14" s="14">
        <f t="shared" si="2"/>
        <v>82.222222222222229</v>
      </c>
      <c r="C14" s="2">
        <v>81.8</v>
      </c>
      <c r="D14" s="14">
        <f t="shared" si="0"/>
        <v>-0.28156846170533356</v>
      </c>
      <c r="E14" s="14">
        <f t="shared" si="1"/>
        <v>81.940653760516895</v>
      </c>
      <c r="I14" s="90">
        <v>82.222222222222229</v>
      </c>
      <c r="J14" s="83">
        <v>81.8</v>
      </c>
    </row>
    <row r="15" spans="1:10" ht="15.75" customHeight="1">
      <c r="A15" s="2">
        <v>190</v>
      </c>
      <c r="B15" s="14">
        <f t="shared" si="2"/>
        <v>87.777777777777771</v>
      </c>
      <c r="C15" s="2">
        <v>87.8</v>
      </c>
      <c r="D15" s="14">
        <f t="shared" si="0"/>
        <v>0.16165858800796684</v>
      </c>
      <c r="E15" s="14">
        <f t="shared" si="1"/>
        <v>87.939436365785738</v>
      </c>
      <c r="I15" s="90">
        <v>87.777777777777771</v>
      </c>
      <c r="J15" s="83">
        <v>87.8</v>
      </c>
    </row>
    <row r="16" spans="1:10" ht="15.75" customHeight="1">
      <c r="A16" s="2"/>
      <c r="B16" s="14"/>
      <c r="C16" s="2"/>
      <c r="D16" s="2"/>
    </row>
    <row r="18" spans="1:4" ht="15.75" customHeight="1">
      <c r="A18" s="2"/>
      <c r="B18" s="3">
        <v>-78</v>
      </c>
      <c r="C18" s="2"/>
      <c r="D18" s="14">
        <f>B18*G6+G7</f>
        <v>-78.173112164496217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7"/>
  <sheetViews>
    <sheetView workbookViewId="0"/>
  </sheetViews>
  <sheetFormatPr baseColWidth="10" defaultColWidth="14.5" defaultRowHeight="15.75" customHeight="1"/>
  <cols>
    <col min="1" max="1" width="31.6640625" customWidth="1"/>
  </cols>
  <sheetData>
    <row r="1" spans="1:6" ht="15.75" customHeight="1">
      <c r="A1" s="1" t="s">
        <v>886</v>
      </c>
      <c r="B1" s="1" t="s">
        <v>887</v>
      </c>
      <c r="C1" s="1" t="s">
        <v>888</v>
      </c>
      <c r="D1" s="1" t="s">
        <v>889</v>
      </c>
      <c r="E1" s="1" t="s">
        <v>890</v>
      </c>
    </row>
    <row r="2" spans="1:6" ht="15.75" customHeight="1">
      <c r="A2" s="2" t="s">
        <v>891</v>
      </c>
      <c r="B2" s="2" t="s">
        <v>892</v>
      </c>
      <c r="C2" s="2">
        <v>36150</v>
      </c>
      <c r="D2" s="2">
        <v>337845</v>
      </c>
      <c r="E2" s="2" t="s">
        <v>89</v>
      </c>
    </row>
    <row r="3" spans="1:6" ht="15.75" customHeight="1">
      <c r="A3" s="2" t="s">
        <v>893</v>
      </c>
      <c r="C3" s="2" t="s">
        <v>894</v>
      </c>
      <c r="D3" s="2">
        <v>339663</v>
      </c>
      <c r="E3" s="2" t="s">
        <v>89</v>
      </c>
    </row>
    <row r="4" spans="1:6" ht="15.75" customHeight="1">
      <c r="A4" s="2" t="s">
        <v>895</v>
      </c>
      <c r="C4" s="2" t="s">
        <v>896</v>
      </c>
      <c r="E4" s="2" t="s">
        <v>897</v>
      </c>
    </row>
    <row r="5" spans="1:6" ht="15.75" customHeight="1">
      <c r="A5" s="2" t="s">
        <v>898</v>
      </c>
      <c r="C5" s="2" t="s">
        <v>899</v>
      </c>
      <c r="E5" s="2" t="s">
        <v>89</v>
      </c>
    </row>
    <row r="6" spans="1:6" ht="15.75" customHeight="1">
      <c r="A6" s="2" t="s">
        <v>900</v>
      </c>
      <c r="C6" s="2" t="s">
        <v>901</v>
      </c>
      <c r="E6" s="2" t="s">
        <v>89</v>
      </c>
    </row>
    <row r="7" spans="1:6" ht="15.75" customHeight="1">
      <c r="A7" s="2" t="s">
        <v>902</v>
      </c>
      <c r="C7" s="2" t="s">
        <v>903</v>
      </c>
      <c r="E7" s="2" t="s">
        <v>904</v>
      </c>
    </row>
    <row r="8" spans="1:6" ht="17">
      <c r="A8" s="2" t="s">
        <v>905</v>
      </c>
      <c r="B8" s="2" t="s">
        <v>906</v>
      </c>
      <c r="D8" s="250">
        <v>8351260016</v>
      </c>
      <c r="E8" s="2" t="s">
        <v>907</v>
      </c>
    </row>
    <row r="12" spans="1:6" ht="15.75" customHeight="1">
      <c r="A12" s="2" t="s">
        <v>908</v>
      </c>
      <c r="B12" s="2" t="s">
        <v>909</v>
      </c>
      <c r="C12" s="2" t="s">
        <v>910</v>
      </c>
      <c r="E12" s="2" t="s">
        <v>911</v>
      </c>
      <c r="F12" s="251">
        <v>3018335589</v>
      </c>
    </row>
    <row r="13" spans="1:6" ht="15.75" customHeight="1">
      <c r="A13" s="2" t="s">
        <v>912</v>
      </c>
      <c r="B13" s="2" t="s">
        <v>906</v>
      </c>
      <c r="C13" s="2" t="s">
        <v>913</v>
      </c>
      <c r="E13" s="2" t="s">
        <v>911</v>
      </c>
    </row>
    <row r="14" spans="1:6" ht="15.75" customHeight="1">
      <c r="A14" s="2" t="s">
        <v>914</v>
      </c>
      <c r="B14" s="2" t="s">
        <v>909</v>
      </c>
      <c r="C14" s="2" t="s">
        <v>915</v>
      </c>
      <c r="E14" s="2" t="s">
        <v>911</v>
      </c>
    </row>
    <row r="15" spans="1:6" ht="15.75" customHeight="1">
      <c r="A15" s="2" t="s">
        <v>916</v>
      </c>
      <c r="B15" s="2" t="s">
        <v>909</v>
      </c>
      <c r="C15" s="2" t="s">
        <v>917</v>
      </c>
      <c r="E15" s="2" t="s">
        <v>911</v>
      </c>
    </row>
    <row r="16" spans="1:6" ht="15.75" customHeight="1">
      <c r="A16" s="2" t="s">
        <v>918</v>
      </c>
      <c r="B16" s="2" t="s">
        <v>909</v>
      </c>
      <c r="C16" s="2" t="s">
        <v>919</v>
      </c>
      <c r="E16" s="2" t="s">
        <v>911</v>
      </c>
    </row>
    <row r="17" spans="1:6" ht="15.75" customHeight="1">
      <c r="A17" s="2" t="s">
        <v>920</v>
      </c>
      <c r="B17" s="2" t="s">
        <v>909</v>
      </c>
      <c r="C17" s="2" t="s">
        <v>921</v>
      </c>
      <c r="E17" s="2" t="s">
        <v>911</v>
      </c>
    </row>
    <row r="18" spans="1:6" ht="15.75" customHeight="1">
      <c r="A18" s="2" t="s">
        <v>922</v>
      </c>
      <c r="B18" s="2" t="s">
        <v>909</v>
      </c>
      <c r="C18" s="2" t="s">
        <v>923</v>
      </c>
      <c r="E18" s="2" t="s">
        <v>911</v>
      </c>
    </row>
    <row r="19" spans="1:6" ht="15.75" customHeight="1">
      <c r="A19" s="2" t="s">
        <v>924</v>
      </c>
      <c r="B19" s="2" t="s">
        <v>909</v>
      </c>
      <c r="C19" s="2" t="s">
        <v>925</v>
      </c>
      <c r="E19" s="2" t="s">
        <v>911</v>
      </c>
    </row>
    <row r="20" spans="1:6" ht="15.75" customHeight="1">
      <c r="A20" s="2" t="s">
        <v>926</v>
      </c>
      <c r="B20" s="2" t="s">
        <v>909</v>
      </c>
      <c r="C20" s="2" t="s">
        <v>927</v>
      </c>
      <c r="E20" s="2" t="s">
        <v>911</v>
      </c>
    </row>
    <row r="21" spans="1:6" ht="15.75" customHeight="1">
      <c r="A21" s="2" t="s">
        <v>928</v>
      </c>
      <c r="B21" s="2" t="s">
        <v>909</v>
      </c>
      <c r="C21" s="2" t="s">
        <v>929</v>
      </c>
      <c r="E21" s="2" t="s">
        <v>911</v>
      </c>
    </row>
    <row r="22" spans="1:6" ht="15.75" customHeight="1">
      <c r="A22" s="2" t="s">
        <v>930</v>
      </c>
      <c r="B22" s="2" t="s">
        <v>909</v>
      </c>
      <c r="C22" s="2" t="s">
        <v>931</v>
      </c>
      <c r="E22" s="2" t="s">
        <v>911</v>
      </c>
    </row>
    <row r="23" spans="1:6" ht="15.75" customHeight="1">
      <c r="B23" s="2"/>
      <c r="E23" s="2"/>
    </row>
    <row r="24" spans="1:6" ht="15.75" customHeight="1">
      <c r="A24" s="2" t="s">
        <v>932</v>
      </c>
      <c r="B24" s="2" t="s">
        <v>933</v>
      </c>
      <c r="C24" s="2" t="s">
        <v>934</v>
      </c>
      <c r="E24" s="2" t="s">
        <v>911</v>
      </c>
    </row>
    <row r="25" spans="1:6" ht="15.75" customHeight="1">
      <c r="A25" s="2" t="s">
        <v>905</v>
      </c>
      <c r="B25" s="2" t="s">
        <v>892</v>
      </c>
      <c r="C25" s="2" t="s">
        <v>934</v>
      </c>
      <c r="E25" s="2" t="s">
        <v>911</v>
      </c>
      <c r="F25" s="2" t="s">
        <v>935</v>
      </c>
    </row>
    <row r="26" spans="1:6" ht="15.75" customHeight="1">
      <c r="A26" s="2" t="s">
        <v>936</v>
      </c>
      <c r="B26" s="2" t="s">
        <v>892</v>
      </c>
      <c r="C26" s="2" t="s">
        <v>937</v>
      </c>
      <c r="E26" s="2" t="s">
        <v>911</v>
      </c>
      <c r="F26" s="2" t="s">
        <v>935</v>
      </c>
    </row>
    <row r="27" spans="1:6" ht="15.75" customHeight="1">
      <c r="A27" s="2" t="s">
        <v>938</v>
      </c>
      <c r="B27" s="2" t="s">
        <v>892</v>
      </c>
      <c r="C27" s="2" t="s">
        <v>934</v>
      </c>
      <c r="E27" s="2" t="s">
        <v>911</v>
      </c>
      <c r="F27" s="2" t="s">
        <v>939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1"/>
  <sheetViews>
    <sheetView workbookViewId="0"/>
  </sheetViews>
  <sheetFormatPr baseColWidth="10" defaultColWidth="14.5" defaultRowHeight="15.75" customHeight="1"/>
  <cols>
    <col min="1" max="1" width="15" customWidth="1"/>
  </cols>
  <sheetData>
    <row r="1" spans="1:9" ht="15.75" customHeight="1">
      <c r="A1" s="1" t="s">
        <v>566</v>
      </c>
      <c r="B1" s="1" t="s">
        <v>9</v>
      </c>
      <c r="C1" s="1" t="s">
        <v>940</v>
      </c>
      <c r="D1" s="1" t="s">
        <v>941</v>
      </c>
      <c r="E1" s="1" t="s">
        <v>942</v>
      </c>
      <c r="F1" s="1" t="s">
        <v>941</v>
      </c>
      <c r="G1" s="1" t="s">
        <v>943</v>
      </c>
      <c r="I1" s="2" t="s">
        <v>944</v>
      </c>
    </row>
    <row r="2" spans="1:9" ht="15.75" customHeight="1">
      <c r="A2" s="2" t="s">
        <v>945</v>
      </c>
      <c r="B2" s="252">
        <v>100</v>
      </c>
      <c r="C2" s="2" t="s">
        <v>273</v>
      </c>
      <c r="D2" s="2" t="s">
        <v>946</v>
      </c>
      <c r="E2" s="253">
        <v>0.80833333333333335</v>
      </c>
      <c r="F2" s="2" t="s">
        <v>947</v>
      </c>
      <c r="G2" s="254">
        <v>2.6388888888888889E-2</v>
      </c>
    </row>
    <row r="3" spans="1:9" ht="15.75" customHeight="1">
      <c r="A3" s="2" t="s">
        <v>948</v>
      </c>
      <c r="B3" s="252">
        <v>9.1999999999999993</v>
      </c>
      <c r="C3" s="2" t="s">
        <v>949</v>
      </c>
      <c r="G3" s="253">
        <v>0.25</v>
      </c>
    </row>
    <row r="4" spans="1:9" ht="15.75" customHeight="1">
      <c r="A4" s="2" t="s">
        <v>950</v>
      </c>
      <c r="B4" s="252">
        <v>10</v>
      </c>
      <c r="C4" s="2" t="s">
        <v>273</v>
      </c>
      <c r="G4" s="253">
        <v>0.47916666666666669</v>
      </c>
    </row>
    <row r="5" spans="1:9" ht="15.75" customHeight="1">
      <c r="A5" s="2" t="s">
        <v>951</v>
      </c>
      <c r="B5" s="252">
        <v>10.8</v>
      </c>
      <c r="C5" s="2" t="s">
        <v>949</v>
      </c>
      <c r="G5" s="253">
        <v>0.71875</v>
      </c>
    </row>
    <row r="6" spans="1:9" ht="15.75" customHeight="1">
      <c r="A6" s="2" t="s">
        <v>952</v>
      </c>
      <c r="B6" s="252">
        <v>100</v>
      </c>
      <c r="C6" s="2" t="s">
        <v>273</v>
      </c>
      <c r="G6" s="253">
        <v>0.94791666666666663</v>
      </c>
    </row>
    <row r="7" spans="1:9" ht="15.75" customHeight="1">
      <c r="A7" s="2" t="s">
        <v>953</v>
      </c>
      <c r="B7" s="252">
        <v>12.7</v>
      </c>
      <c r="C7" s="2" t="s">
        <v>949</v>
      </c>
      <c r="G7" s="253">
        <v>0.17708333333333334</v>
      </c>
    </row>
    <row r="8" spans="1:9" ht="15.75" customHeight="1">
      <c r="A8" s="2" t="s">
        <v>954</v>
      </c>
      <c r="B8" s="252">
        <v>13.3</v>
      </c>
      <c r="C8" s="2" t="s">
        <v>273</v>
      </c>
      <c r="G8" s="253">
        <v>0.41666666666666669</v>
      </c>
    </row>
    <row r="9" spans="1:9" ht="15.75" customHeight="1">
      <c r="A9" s="2" t="s">
        <v>955</v>
      </c>
      <c r="B9" s="252">
        <v>100</v>
      </c>
      <c r="C9" s="2" t="s">
        <v>949</v>
      </c>
      <c r="G9" s="253">
        <v>0.64583333333333337</v>
      </c>
    </row>
    <row r="10" spans="1:9" ht="15.75" customHeight="1">
      <c r="A10" s="2" t="s">
        <v>956</v>
      </c>
      <c r="B10" s="252">
        <v>14.7</v>
      </c>
      <c r="C10" s="2" t="s">
        <v>273</v>
      </c>
      <c r="G10" s="253">
        <v>0.88541666666666663</v>
      </c>
    </row>
    <row r="11" spans="1:9" ht="15.75" customHeight="1">
      <c r="A11" s="2" t="s">
        <v>957</v>
      </c>
      <c r="B11" s="252">
        <v>12.3</v>
      </c>
      <c r="C11" s="2" t="s">
        <v>958</v>
      </c>
      <c r="G11" s="253">
        <v>0.41666666666666669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21"/>
  <sheetViews>
    <sheetView workbookViewId="0"/>
  </sheetViews>
  <sheetFormatPr baseColWidth="10" defaultColWidth="14.5" defaultRowHeight="15.75" customHeight="1"/>
  <sheetData>
    <row r="1" spans="1:15" ht="15.75" customHeight="1">
      <c r="B1" s="2"/>
      <c r="C1" s="2" t="s">
        <v>959</v>
      </c>
    </row>
    <row r="2" spans="1:15" ht="15.75" customHeight="1">
      <c r="B2" s="1" t="s">
        <v>960</v>
      </c>
      <c r="C2" s="1" t="s">
        <v>961</v>
      </c>
      <c r="D2" s="13"/>
      <c r="F2" s="1" t="s">
        <v>962</v>
      </c>
      <c r="G2" s="13"/>
      <c r="I2" s="13"/>
      <c r="J2" s="1" t="s">
        <v>963</v>
      </c>
      <c r="N2" s="1" t="s">
        <v>964</v>
      </c>
    </row>
    <row r="3" spans="1:15" ht="15.75" customHeight="1">
      <c r="A3" s="1" t="s">
        <v>185</v>
      </c>
      <c r="B3" s="255">
        <v>0.94652777777777775</v>
      </c>
      <c r="C3" s="255">
        <v>0.20833333333333334</v>
      </c>
      <c r="D3" s="2" t="s">
        <v>965</v>
      </c>
    </row>
    <row r="4" spans="1:15" ht="15.75" customHeight="1">
      <c r="A4" s="1" t="s">
        <v>187</v>
      </c>
      <c r="B4" s="2" t="s">
        <v>966</v>
      </c>
      <c r="C4" s="255">
        <v>0.22916666666666666</v>
      </c>
      <c r="D4" s="255">
        <v>0.47916666666666669</v>
      </c>
      <c r="E4" s="2" t="s">
        <v>967</v>
      </c>
    </row>
    <row r="5" spans="1:15" ht="15.75" customHeight="1">
      <c r="A5" s="1" t="s">
        <v>186</v>
      </c>
      <c r="C5" s="2" t="s">
        <v>968</v>
      </c>
      <c r="D5" s="255">
        <v>0.47916666666666669</v>
      </c>
      <c r="E5" s="256">
        <v>0.72569444444444442</v>
      </c>
      <c r="F5" s="2" t="s">
        <v>965</v>
      </c>
      <c r="G5" s="253"/>
    </row>
    <row r="6" spans="1:15" ht="15.75" customHeight="1">
      <c r="A6" s="1" t="s">
        <v>188</v>
      </c>
      <c r="D6" s="2" t="s">
        <v>966</v>
      </c>
      <c r="E6" s="256">
        <v>0.77083333333333337</v>
      </c>
      <c r="F6" s="256">
        <v>2.0833333333333332E-2</v>
      </c>
      <c r="G6" s="2" t="s">
        <v>967</v>
      </c>
    </row>
    <row r="7" spans="1:15" ht="15.75" customHeight="1">
      <c r="A7" s="13"/>
    </row>
    <row r="8" spans="1:15" ht="15.75" customHeight="1">
      <c r="A8" s="1" t="s">
        <v>187</v>
      </c>
      <c r="E8" s="2" t="s">
        <v>968</v>
      </c>
      <c r="F8" s="256">
        <v>4.1666666666666664E-2</v>
      </c>
      <c r="G8" s="256">
        <v>0.29166666666666669</v>
      </c>
      <c r="H8" s="2" t="s">
        <v>965</v>
      </c>
    </row>
    <row r="9" spans="1:15" ht="15.75" customHeight="1">
      <c r="A9" s="1" t="s">
        <v>185</v>
      </c>
      <c r="F9" s="2" t="s">
        <v>966</v>
      </c>
      <c r="G9" s="256">
        <v>0.3125</v>
      </c>
      <c r="H9" s="256">
        <v>0.5625</v>
      </c>
      <c r="I9" s="2" t="s">
        <v>967</v>
      </c>
    </row>
    <row r="10" spans="1:15" ht="15.75" customHeight="1">
      <c r="A10" s="1" t="s">
        <v>188</v>
      </c>
      <c r="H10" s="256">
        <v>0.58333333333333337</v>
      </c>
      <c r="I10" s="256">
        <v>0.83333333333333337</v>
      </c>
      <c r="J10" s="2" t="s">
        <v>965</v>
      </c>
    </row>
    <row r="11" spans="1:15" ht="15.75" customHeight="1">
      <c r="A11" s="1" t="s">
        <v>186</v>
      </c>
      <c r="I11" s="256">
        <v>0.85416666666666663</v>
      </c>
      <c r="J11" s="256">
        <v>0.10416666666666667</v>
      </c>
      <c r="K11" s="2" t="s">
        <v>967</v>
      </c>
      <c r="L11" s="253"/>
    </row>
    <row r="12" spans="1:15" ht="15.75" customHeight="1">
      <c r="A12" s="13"/>
    </row>
    <row r="13" spans="1:15" ht="15.75" customHeight="1">
      <c r="A13" s="1" t="s">
        <v>188</v>
      </c>
      <c r="J13" s="256">
        <v>0.125</v>
      </c>
      <c r="K13" s="256">
        <v>0.375</v>
      </c>
      <c r="L13" s="2" t="s">
        <v>965</v>
      </c>
      <c r="M13" s="253"/>
    </row>
    <row r="14" spans="1:15" ht="15.75" customHeight="1">
      <c r="A14" s="1" t="s">
        <v>186</v>
      </c>
      <c r="K14" s="256">
        <v>0.39583333333333331</v>
      </c>
      <c r="L14" s="256">
        <v>0.64583333333333337</v>
      </c>
      <c r="M14" s="2" t="s">
        <v>967</v>
      </c>
    </row>
    <row r="15" spans="1:15" ht="15.75" customHeight="1">
      <c r="A15" s="1" t="s">
        <v>187</v>
      </c>
      <c r="L15" s="256">
        <v>0.66666666666666663</v>
      </c>
      <c r="M15" s="256">
        <v>0.91666666666666663</v>
      </c>
      <c r="N15" s="2" t="s">
        <v>965</v>
      </c>
    </row>
    <row r="16" spans="1:15" ht="15.75" customHeight="1">
      <c r="A16" s="1" t="s">
        <v>185</v>
      </c>
      <c r="M16" s="256">
        <v>0.9375</v>
      </c>
      <c r="N16" s="256">
        <v>0.1875</v>
      </c>
      <c r="O16" s="2" t="s">
        <v>967</v>
      </c>
    </row>
    <row r="18" spans="1:2" ht="15.75" customHeight="1">
      <c r="A18" s="257">
        <v>42833</v>
      </c>
      <c r="B18" s="2" t="s">
        <v>162</v>
      </c>
    </row>
    <row r="19" spans="1:2" ht="15.75" customHeight="1">
      <c r="A19" s="257">
        <v>42864</v>
      </c>
      <c r="B19" s="2" t="s">
        <v>14</v>
      </c>
    </row>
    <row r="20" spans="1:2" ht="15.75" customHeight="1">
      <c r="A20" s="257">
        <v>42896</v>
      </c>
      <c r="B20" s="2" t="s">
        <v>24</v>
      </c>
    </row>
    <row r="21" spans="1:2" ht="15.75" customHeight="1">
      <c r="A21" s="2">
        <v>7</v>
      </c>
      <c r="B21" s="2" t="s">
        <v>969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workbookViewId="0"/>
  </sheetViews>
  <sheetFormatPr baseColWidth="10" defaultColWidth="14.5" defaultRowHeight="15.75" customHeight="1"/>
  <cols>
    <col min="2" max="2" width="17.5" customWidth="1"/>
    <col min="3" max="4" width="16.5" customWidth="1"/>
    <col min="5" max="5" width="17.6640625" customWidth="1"/>
    <col min="6" max="6" width="14.6640625" customWidth="1"/>
    <col min="8" max="9" width="15.33203125" customWidth="1"/>
    <col min="10" max="10" width="15" customWidth="1"/>
  </cols>
  <sheetData>
    <row r="1" spans="1:22" ht="15.75" customHeight="1">
      <c r="A1" s="1" t="s">
        <v>3</v>
      </c>
      <c r="B1" s="2"/>
      <c r="C1" s="2"/>
      <c r="D1" s="2"/>
    </row>
    <row r="2" spans="1:22" ht="15.75" customHeight="1">
      <c r="A2" s="2" t="s">
        <v>152</v>
      </c>
      <c r="B2" s="2"/>
      <c r="C2" s="2"/>
      <c r="D2" s="2"/>
      <c r="G2" s="1" t="s">
        <v>9</v>
      </c>
      <c r="H2" s="2">
        <v>0.09</v>
      </c>
    </row>
    <row r="3" spans="1:22" ht="15.75" customHeight="1">
      <c r="A3" s="2"/>
      <c r="B3" s="2"/>
      <c r="C3" s="2"/>
      <c r="D3" s="2"/>
      <c r="L3" s="2"/>
    </row>
    <row r="4" spans="1:22" ht="15.75" customHeight="1">
      <c r="A4" s="2"/>
      <c r="B4" s="2" t="s">
        <v>153</v>
      </c>
      <c r="C4" s="2" t="s">
        <v>154</v>
      </c>
      <c r="D4" s="2" t="s">
        <v>155</v>
      </c>
      <c r="E4" s="2" t="s">
        <v>156</v>
      </c>
      <c r="F4" s="2" t="s">
        <v>154</v>
      </c>
      <c r="L4" s="2" t="s">
        <v>157</v>
      </c>
      <c r="Q4" s="2" t="s">
        <v>158</v>
      </c>
      <c r="R4" s="2" t="s">
        <v>159</v>
      </c>
      <c r="S4" s="2" t="s">
        <v>160</v>
      </c>
      <c r="T4" s="2" t="s">
        <v>161</v>
      </c>
    </row>
    <row r="5" spans="1:22" ht="15.75" customHeight="1">
      <c r="A5" s="13"/>
      <c r="B5" s="1" t="s">
        <v>162</v>
      </c>
      <c r="C5" s="1" t="s">
        <v>162</v>
      </c>
      <c r="D5" s="1" t="s">
        <v>14</v>
      </c>
      <c r="E5" s="1" t="s">
        <v>24</v>
      </c>
      <c r="F5" s="1" t="s">
        <v>24</v>
      </c>
      <c r="H5" s="1" t="s">
        <v>163</v>
      </c>
      <c r="I5" s="13"/>
      <c r="J5" s="13"/>
      <c r="L5" s="1" t="s">
        <v>24</v>
      </c>
      <c r="Q5" s="1" t="s">
        <v>164</v>
      </c>
    </row>
    <row r="6" spans="1:22" ht="15.75" customHeight="1">
      <c r="A6" s="1" t="s">
        <v>68</v>
      </c>
      <c r="B6" s="1" t="s">
        <v>69</v>
      </c>
      <c r="C6" s="1" t="s">
        <v>70</v>
      </c>
      <c r="D6" s="1" t="s">
        <v>71</v>
      </c>
      <c r="E6" s="1" t="s">
        <v>69</v>
      </c>
      <c r="F6" s="1" t="s">
        <v>70</v>
      </c>
      <c r="H6" s="1" t="s">
        <v>165</v>
      </c>
      <c r="I6" s="1" t="s">
        <v>166</v>
      </c>
      <c r="J6" s="1" t="s">
        <v>167</v>
      </c>
      <c r="L6" s="2" t="s">
        <v>168</v>
      </c>
      <c r="M6" s="2" t="s">
        <v>155</v>
      </c>
      <c r="N6" s="2" t="s">
        <v>153</v>
      </c>
      <c r="O6" s="2" t="s">
        <v>169</v>
      </c>
      <c r="P6" s="2"/>
      <c r="Q6" s="2" t="s">
        <v>168</v>
      </c>
      <c r="R6" s="2" t="s">
        <v>155</v>
      </c>
      <c r="S6" s="2" t="s">
        <v>153</v>
      </c>
      <c r="T6" s="2" t="s">
        <v>169</v>
      </c>
      <c r="V6" s="2"/>
    </row>
    <row r="7" spans="1:22" ht="15.75" customHeight="1">
      <c r="A7" s="2" t="s">
        <v>170</v>
      </c>
      <c r="B7" s="11">
        <v>12.8653</v>
      </c>
      <c r="C7" s="11">
        <v>6.0321999999999996</v>
      </c>
      <c r="D7" s="11">
        <v>45.463200000000001</v>
      </c>
      <c r="E7" s="11">
        <v>35.992800000000003</v>
      </c>
      <c r="F7" s="11">
        <v>42.326500000000003</v>
      </c>
      <c r="G7" s="11"/>
      <c r="H7" s="11">
        <f t="shared" ref="H7:H10" si="0">C7/B7</f>
        <v>0.46887363683707334</v>
      </c>
      <c r="I7" s="11">
        <f t="shared" ref="I7:I10" si="1">C7/D7</f>
        <v>0.1326831371306903</v>
      </c>
      <c r="J7" s="11">
        <f t="shared" ref="J7:J10" si="2">F7/N7</f>
        <v>0.43645285960585045</v>
      </c>
      <c r="K7" s="11"/>
      <c r="L7" s="29">
        <v>47.546999999999997</v>
      </c>
      <c r="M7" s="29">
        <v>47.829700000000003</v>
      </c>
      <c r="N7" s="29">
        <v>96.978399999999993</v>
      </c>
      <c r="O7" s="29">
        <v>98.540599999999998</v>
      </c>
      <c r="P7" s="11"/>
      <c r="Q7" s="11">
        <f t="shared" ref="Q7:T7" si="3">L7/$N7</f>
        <v>0.49028443447200615</v>
      </c>
      <c r="R7" s="11">
        <f t="shared" si="3"/>
        <v>0.49319951659338579</v>
      </c>
      <c r="S7" s="11">
        <f t="shared" si="3"/>
        <v>1</v>
      </c>
      <c r="T7" s="11">
        <f t="shared" si="3"/>
        <v>1.0161087417404289</v>
      </c>
      <c r="V7" s="11"/>
    </row>
    <row r="8" spans="1:22" ht="15.75" customHeight="1">
      <c r="A8" s="2" t="s">
        <v>174</v>
      </c>
      <c r="B8" s="11">
        <v>12.958600000000001</v>
      </c>
      <c r="C8" s="11">
        <v>6.1516000000000002</v>
      </c>
      <c r="D8" s="11">
        <v>46.585299999999997</v>
      </c>
      <c r="E8" s="11">
        <v>36.947400000000002</v>
      </c>
      <c r="F8" s="11">
        <v>43.665900000000001</v>
      </c>
      <c r="G8" s="11"/>
      <c r="H8" s="11">
        <f t="shared" si="0"/>
        <v>0.47471177442007623</v>
      </c>
      <c r="I8" s="11">
        <f t="shared" si="1"/>
        <v>0.13205023902389812</v>
      </c>
      <c r="J8" s="11">
        <f t="shared" si="2"/>
        <v>0.4391776840178423</v>
      </c>
      <c r="K8" s="11"/>
      <c r="L8" s="29">
        <v>48.444200000000002</v>
      </c>
      <c r="M8" s="29">
        <v>48.311100000000003</v>
      </c>
      <c r="N8" s="29">
        <v>99.426500000000004</v>
      </c>
      <c r="O8" s="29">
        <v>101.0087</v>
      </c>
      <c r="P8" s="11"/>
      <c r="Q8" s="11">
        <f t="shared" ref="Q8:T8" si="4">L8/$N8</f>
        <v>0.48723630018154113</v>
      </c>
      <c r="R8" s="11">
        <f t="shared" si="4"/>
        <v>0.48589762286714305</v>
      </c>
      <c r="S8" s="11">
        <f t="shared" si="4"/>
        <v>1</v>
      </c>
      <c r="T8" s="11">
        <f t="shared" si="4"/>
        <v>1.0159132625607861</v>
      </c>
    </row>
    <row r="9" spans="1:22" ht="15.75" customHeight="1">
      <c r="A9" s="2" t="s">
        <v>176</v>
      </c>
      <c r="B9" s="11">
        <v>12.8148</v>
      </c>
      <c r="C9" s="11">
        <v>5.7015000000000002</v>
      </c>
      <c r="D9" s="11">
        <v>45.647300000000001</v>
      </c>
      <c r="E9" s="11">
        <v>36.491100000000003</v>
      </c>
      <c r="F9" s="11">
        <v>40.509</v>
      </c>
      <c r="G9" s="11"/>
      <c r="H9" s="11">
        <f t="shared" si="0"/>
        <v>0.44491525423728817</v>
      </c>
      <c r="I9" s="11">
        <f t="shared" si="1"/>
        <v>0.12490333491794696</v>
      </c>
      <c r="J9" s="11">
        <f t="shared" si="2"/>
        <v>0.41378739730393133</v>
      </c>
      <c r="K9" s="11"/>
      <c r="L9" s="29">
        <v>47.358199999999997</v>
      </c>
      <c r="M9" s="29">
        <v>48.299900000000001</v>
      </c>
      <c r="N9" s="29">
        <v>97.898099999999999</v>
      </c>
      <c r="O9" s="29">
        <v>99.590999999999994</v>
      </c>
      <c r="P9" s="11"/>
      <c r="Q9" s="11">
        <f t="shared" ref="Q9:T9" si="5">L9/$N9</f>
        <v>0.48374993998862081</v>
      </c>
      <c r="R9" s="11">
        <f t="shared" si="5"/>
        <v>0.49336912565208113</v>
      </c>
      <c r="S9" s="11">
        <f t="shared" si="5"/>
        <v>1</v>
      </c>
      <c r="T9" s="11">
        <f t="shared" si="5"/>
        <v>1.0172924704360962</v>
      </c>
      <c r="V9" s="11"/>
    </row>
    <row r="10" spans="1:22" ht="15.75" customHeight="1">
      <c r="A10" s="2" t="s">
        <v>177</v>
      </c>
      <c r="B10" s="10">
        <v>12.0855</v>
      </c>
      <c r="C10" s="10">
        <v>5.3643000000000001</v>
      </c>
      <c r="D10" s="10">
        <v>42.742600000000003</v>
      </c>
      <c r="E10" s="10">
        <v>33.637700000000002</v>
      </c>
      <c r="F10" s="10">
        <v>37.807499999999997</v>
      </c>
      <c r="H10" s="11">
        <f t="shared" si="0"/>
        <v>0.44386247983120269</v>
      </c>
      <c r="I10" s="11">
        <f t="shared" si="1"/>
        <v>0.12550242615095947</v>
      </c>
      <c r="J10" s="11">
        <f t="shared" si="2"/>
        <v>0.41096716828049795</v>
      </c>
      <c r="L10" s="31">
        <v>44.734900000000003</v>
      </c>
      <c r="M10" s="31">
        <v>44.9343</v>
      </c>
      <c r="N10" s="31">
        <v>91.996399999999994</v>
      </c>
      <c r="O10" s="31">
        <v>93.425899999999999</v>
      </c>
      <c r="Q10" s="11">
        <f t="shared" ref="Q10:T10" si="6">L10/$N10</f>
        <v>0.48626794091942732</v>
      </c>
      <c r="R10" s="11">
        <f t="shared" si="6"/>
        <v>0.48843541703805804</v>
      </c>
      <c r="S10" s="11">
        <f t="shared" si="6"/>
        <v>1</v>
      </c>
      <c r="T10" s="11">
        <f t="shared" si="6"/>
        <v>1.0155386515124505</v>
      </c>
    </row>
    <row r="11" spans="1:22" ht="15.75" customHeight="1">
      <c r="G11" s="2"/>
      <c r="P11" s="2"/>
    </row>
    <row r="12" spans="1:22" ht="15.75" customHeight="1">
      <c r="G12" s="1" t="s">
        <v>179</v>
      </c>
      <c r="H12" s="11">
        <f t="shared" ref="H12:J12" si="7">AVERAGE(H9:H10)</f>
        <v>0.44438886703424541</v>
      </c>
      <c r="I12" s="11">
        <f t="shared" si="7"/>
        <v>0.12520288053445322</v>
      </c>
      <c r="J12" s="11">
        <f t="shared" si="7"/>
        <v>0.41237728279221464</v>
      </c>
      <c r="P12" s="1" t="s">
        <v>179</v>
      </c>
      <c r="Q12" s="11">
        <f t="shared" ref="Q12:T12" si="8">AVERAGE(Q7:T8)</f>
        <v>0.74857998480191135</v>
      </c>
      <c r="R12" s="11">
        <f t="shared" si="8"/>
        <v>0.83518652396029058</v>
      </c>
      <c r="S12" s="11">
        <f t="shared" si="8"/>
        <v>1.0080055010753037</v>
      </c>
      <c r="T12" s="11">
        <f t="shared" si="8"/>
        <v>1.0160110021506075</v>
      </c>
    </row>
    <row r="13" spans="1:22" ht="15.75" customHeight="1">
      <c r="G13" s="1" t="s">
        <v>181</v>
      </c>
      <c r="H13" s="11">
        <f t="shared" ref="H13:J13" si="9">AVERAGE(H7:H8)</f>
        <v>0.47179270562857478</v>
      </c>
      <c r="I13" s="11">
        <f t="shared" si="9"/>
        <v>0.13236668807729421</v>
      </c>
      <c r="J13" s="11">
        <f t="shared" si="9"/>
        <v>0.43781527181184637</v>
      </c>
      <c r="P13" s="1" t="s">
        <v>181</v>
      </c>
      <c r="Q13" s="11">
        <f t="shared" ref="Q13:T13" si="10">AVERAGE(Q9:T10)</f>
        <v>0.74808169319334172</v>
      </c>
      <c r="R13" s="11">
        <f t="shared" si="10"/>
        <v>0.83577261077311427</v>
      </c>
      <c r="S13" s="11">
        <f t="shared" si="10"/>
        <v>1.0082077804871368</v>
      </c>
      <c r="T13" s="11">
        <f t="shared" si="10"/>
        <v>1.0164155609742733</v>
      </c>
      <c r="V13" s="11"/>
    </row>
    <row r="14" spans="1:22" ht="15.75" customHeight="1">
      <c r="G14" s="1" t="s">
        <v>31</v>
      </c>
      <c r="H14" s="11">
        <f t="shared" ref="H14:J14" si="11">H12/H13</f>
        <v>0.94191551020735065</v>
      </c>
      <c r="I14" s="11">
        <f t="shared" si="11"/>
        <v>0.9458790754161821</v>
      </c>
      <c r="J14" s="11">
        <f t="shared" si="11"/>
        <v>0.94189789471171337</v>
      </c>
      <c r="P14" s="1" t="s">
        <v>31</v>
      </c>
      <c r="Q14" s="11">
        <f t="shared" ref="Q14:T14" si="12">Q12/Q13</f>
        <v>1.000666092504473</v>
      </c>
      <c r="R14" s="11">
        <f t="shared" si="12"/>
        <v>0.9992987484810234</v>
      </c>
      <c r="S14" s="11">
        <f t="shared" si="12"/>
        <v>0.99979936733702324</v>
      </c>
      <c r="T14" s="11">
        <f t="shared" si="12"/>
        <v>0.99960197498031411</v>
      </c>
    </row>
    <row r="15" spans="1:22" ht="15.75" customHeight="1">
      <c r="G15" s="1" t="s">
        <v>0</v>
      </c>
      <c r="H15" s="5">
        <f t="shared" ref="H15:J15" si="13">LN(1-$H$2)/LN(1-$H$2*H14)</f>
        <v>1.0646649468612295</v>
      </c>
      <c r="I15" s="5">
        <f t="shared" si="13"/>
        <v>1.060000050239928</v>
      </c>
      <c r="J15" s="5">
        <f t="shared" si="13"/>
        <v>1.0646857668945482</v>
      </c>
      <c r="P15" s="1" t="s">
        <v>0</v>
      </c>
      <c r="Q15" s="11">
        <f t="shared" ref="Q15:T15" si="14">LN(1-$H$2)/LN(1-$H$2*Q14)</f>
        <v>0.9993019511262321</v>
      </c>
      <c r="R15" s="11">
        <f t="shared" si="14"/>
        <v>1.0007358994496591</v>
      </c>
      <c r="S15" s="11">
        <f t="shared" si="14"/>
        <v>1.0002104403209831</v>
      </c>
      <c r="T15" s="11">
        <f t="shared" si="14"/>
        <v>1.0004175643141848</v>
      </c>
    </row>
    <row r="17" spans="1:20" ht="15.75" customHeight="1">
      <c r="A17" s="2" t="s">
        <v>182</v>
      </c>
    </row>
    <row r="18" spans="1:20" ht="15.75" customHeight="1">
      <c r="A18" s="2"/>
      <c r="B18" s="2" t="s">
        <v>153</v>
      </c>
      <c r="C18" s="2" t="s">
        <v>154</v>
      </c>
      <c r="D18" s="2" t="s">
        <v>155</v>
      </c>
      <c r="E18" s="2" t="s">
        <v>156</v>
      </c>
      <c r="F18" s="2" t="s">
        <v>154</v>
      </c>
      <c r="L18" s="2" t="s">
        <v>157</v>
      </c>
      <c r="Q18" s="2" t="s">
        <v>158</v>
      </c>
      <c r="R18" s="2" t="s">
        <v>159</v>
      </c>
      <c r="S18" s="2" t="s">
        <v>160</v>
      </c>
      <c r="T18" s="2" t="s">
        <v>161</v>
      </c>
    </row>
    <row r="19" spans="1:20" ht="15.75" customHeight="1">
      <c r="A19" s="13"/>
      <c r="B19" s="1" t="s">
        <v>162</v>
      </c>
      <c r="C19" s="1" t="s">
        <v>162</v>
      </c>
      <c r="D19" s="1" t="s">
        <v>14</v>
      </c>
      <c r="E19" s="1" t="s">
        <v>24</v>
      </c>
      <c r="F19" s="1" t="s">
        <v>24</v>
      </c>
      <c r="H19" s="1" t="s">
        <v>163</v>
      </c>
      <c r="I19" s="13"/>
      <c r="J19" s="13"/>
      <c r="L19" s="1" t="s">
        <v>24</v>
      </c>
      <c r="Q19" s="1" t="s">
        <v>164</v>
      </c>
    </row>
    <row r="20" spans="1:20" ht="15.75" customHeight="1">
      <c r="A20" s="1" t="s">
        <v>68</v>
      </c>
      <c r="B20" s="1" t="s">
        <v>69</v>
      </c>
      <c r="C20" s="1" t="s">
        <v>70</v>
      </c>
      <c r="D20" s="1" t="s">
        <v>71</v>
      </c>
      <c r="E20" s="1" t="s">
        <v>69</v>
      </c>
      <c r="F20" s="1" t="s">
        <v>70</v>
      </c>
      <c r="H20" s="1" t="s">
        <v>165</v>
      </c>
      <c r="I20" s="1" t="s">
        <v>166</v>
      </c>
      <c r="J20" s="1" t="s">
        <v>167</v>
      </c>
      <c r="L20" s="2" t="s">
        <v>168</v>
      </c>
      <c r="M20" s="2" t="s">
        <v>155</v>
      </c>
      <c r="N20" s="2" t="s">
        <v>153</v>
      </c>
      <c r="O20" s="2" t="s">
        <v>169</v>
      </c>
      <c r="P20" s="2"/>
      <c r="Q20" s="2" t="s">
        <v>168</v>
      </c>
      <c r="R20" s="2" t="s">
        <v>155</v>
      </c>
      <c r="S20" s="2" t="s">
        <v>153</v>
      </c>
      <c r="T20" s="2" t="s">
        <v>169</v>
      </c>
    </row>
    <row r="21" spans="1:20" ht="15.75" customHeight="1">
      <c r="A21" s="2" t="s">
        <v>170</v>
      </c>
      <c r="B21" s="22">
        <v>12.870799999999999</v>
      </c>
      <c r="C21" s="22">
        <v>6.0647000000000002</v>
      </c>
      <c r="D21" s="22">
        <v>45.252699999999997</v>
      </c>
      <c r="E21" s="22">
        <v>36.010800000000003</v>
      </c>
      <c r="F21" s="22">
        <v>42.326500000000003</v>
      </c>
      <c r="G21" s="11"/>
      <c r="H21" s="11">
        <f t="shared" ref="H21:H24" si="15">C21/B21</f>
        <v>0.47119837150759863</v>
      </c>
      <c r="I21" s="11">
        <f t="shared" ref="I21:I24" si="16">C21/D21</f>
        <v>0.13401852265168709</v>
      </c>
      <c r="J21" s="11">
        <f t="shared" ref="J21:J24" si="17">F21/E21</f>
        <v>1.1753834960622924</v>
      </c>
      <c r="K21" s="11"/>
      <c r="L21" s="29">
        <v>47.576300000000003</v>
      </c>
      <c r="M21" s="29">
        <v>47.813299999999998</v>
      </c>
      <c r="N21" s="29">
        <v>97.072500000000005</v>
      </c>
      <c r="O21" s="29">
        <v>98.589299999999994</v>
      </c>
      <c r="P21" s="11"/>
      <c r="Q21" s="11">
        <f t="shared" ref="Q21:T21" si="18">L21/$N21</f>
        <v>0.49011099951067499</v>
      </c>
      <c r="R21" s="11">
        <f t="shared" si="18"/>
        <v>0.49255247366658939</v>
      </c>
      <c r="S21" s="11">
        <f t="shared" si="18"/>
        <v>1</v>
      </c>
      <c r="T21" s="11">
        <f t="shared" si="18"/>
        <v>1.0156254345978519</v>
      </c>
    </row>
    <row r="22" spans="1:20" ht="15.75" customHeight="1">
      <c r="A22" s="2" t="s">
        <v>174</v>
      </c>
      <c r="B22" s="22">
        <v>12.829499999999999</v>
      </c>
      <c r="C22" s="22">
        <v>6.0580999999999996</v>
      </c>
      <c r="D22" s="22">
        <v>46.407899999999998</v>
      </c>
      <c r="E22" s="22">
        <v>36.960099999999997</v>
      </c>
      <c r="F22" s="22">
        <v>43.6462</v>
      </c>
      <c r="G22" s="11"/>
      <c r="H22" s="11">
        <f t="shared" si="15"/>
        <v>0.47220078724813902</v>
      </c>
      <c r="I22" s="11">
        <f t="shared" si="16"/>
        <v>0.13054027439293742</v>
      </c>
      <c r="J22" s="11">
        <f t="shared" si="17"/>
        <v>1.1809004845766111</v>
      </c>
      <c r="K22" s="11"/>
      <c r="L22" s="29">
        <v>48.444200000000002</v>
      </c>
      <c r="M22" s="29">
        <v>48.621299999999998</v>
      </c>
      <c r="N22" s="29">
        <v>99.412400000000005</v>
      </c>
      <c r="O22" s="29">
        <v>101.105</v>
      </c>
      <c r="P22" s="11"/>
      <c r="Q22" s="11">
        <f t="shared" ref="Q22:T22" si="19">L22/$N22</f>
        <v>0.48730540656899946</v>
      </c>
      <c r="R22" s="11">
        <f t="shared" si="19"/>
        <v>0.48908687447441157</v>
      </c>
      <c r="S22" s="11">
        <f t="shared" si="19"/>
        <v>1</v>
      </c>
      <c r="T22" s="11">
        <f t="shared" si="19"/>
        <v>1.017026045040659</v>
      </c>
    </row>
    <row r="23" spans="1:20" ht="15.75" customHeight="1">
      <c r="A23" s="2" t="s">
        <v>176</v>
      </c>
      <c r="B23" s="32">
        <v>12.843</v>
      </c>
      <c r="C23" s="32">
        <v>5.7549999999999999</v>
      </c>
      <c r="D23" s="22">
        <v>45.692700000000002</v>
      </c>
      <c r="E23" s="22">
        <v>36.453800000000001</v>
      </c>
      <c r="F23" s="22">
        <v>40.559100000000001</v>
      </c>
      <c r="G23" s="11"/>
      <c r="H23" s="11">
        <f t="shared" si="15"/>
        <v>0.44810402553920425</v>
      </c>
      <c r="I23" s="11">
        <f t="shared" si="16"/>
        <v>0.12595009706145621</v>
      </c>
      <c r="J23" s="11">
        <f t="shared" si="17"/>
        <v>1.1126165173452425</v>
      </c>
      <c r="K23" s="11"/>
      <c r="L23" s="29">
        <v>47.396599999999999</v>
      </c>
      <c r="M23" s="29">
        <v>48.227400000000003</v>
      </c>
      <c r="N23" s="29">
        <v>98.048000000000002</v>
      </c>
      <c r="O23" s="29">
        <v>99.590999999999994</v>
      </c>
      <c r="P23" s="11"/>
      <c r="Q23" s="11">
        <f t="shared" ref="Q23:T23" si="20">L23/$N23</f>
        <v>0.48340200718015663</v>
      </c>
      <c r="R23" s="11">
        <f t="shared" si="20"/>
        <v>0.49187540796344648</v>
      </c>
      <c r="S23" s="11">
        <f t="shared" si="20"/>
        <v>1</v>
      </c>
      <c r="T23" s="11">
        <f t="shared" si="20"/>
        <v>1.0157371899477805</v>
      </c>
    </row>
    <row r="24" spans="1:20" ht="15.75" customHeight="1">
      <c r="A24" s="2" t="s">
        <v>177</v>
      </c>
      <c r="B24" s="32">
        <v>12.112299999999999</v>
      </c>
      <c r="C24" s="32">
        <v>5.4126000000000003</v>
      </c>
      <c r="D24" s="32">
        <v>42.753700000000002</v>
      </c>
      <c r="E24" s="32">
        <v>33.637700000000002</v>
      </c>
      <c r="F24" s="32">
        <v>37.788600000000002</v>
      </c>
      <c r="G24" s="1"/>
      <c r="H24" s="11">
        <f t="shared" si="15"/>
        <v>0.44686805974092458</v>
      </c>
      <c r="I24" s="11">
        <f t="shared" si="16"/>
        <v>0.1265995691600961</v>
      </c>
      <c r="J24" s="11">
        <f t="shared" si="17"/>
        <v>1.1234002324772503</v>
      </c>
      <c r="L24" s="31">
        <v>44.892600000000002</v>
      </c>
      <c r="M24" s="31">
        <v>44.9343</v>
      </c>
      <c r="N24" s="31">
        <v>91.688299999999998</v>
      </c>
      <c r="O24" s="31">
        <v>93.393299999999996</v>
      </c>
      <c r="Q24" s="11">
        <f t="shared" ref="Q24:T24" si="21">L24/$N24</f>
        <v>0.48962190377616338</v>
      </c>
      <c r="R24" s="11">
        <f t="shared" si="21"/>
        <v>0.49007670553385768</v>
      </c>
      <c r="S24" s="11">
        <f t="shared" si="21"/>
        <v>1</v>
      </c>
      <c r="T24" s="11">
        <f t="shared" si="21"/>
        <v>1.0185956114357011</v>
      </c>
    </row>
    <row r="25" spans="1:20" ht="15.75" customHeight="1">
      <c r="G25" s="1"/>
      <c r="H25" s="5"/>
      <c r="I25" s="5"/>
      <c r="J25" s="5"/>
      <c r="P25" s="1" t="s">
        <v>179</v>
      </c>
      <c r="Q25">
        <f t="shared" ref="Q25:T25" si="22">AVERAGE(Q20:T22)</f>
        <v>0.74896340423239827</v>
      </c>
      <c r="R25">
        <f t="shared" si="22"/>
        <v>0.83571513796325192</v>
      </c>
      <c r="S25">
        <f t="shared" si="22"/>
        <v>1.0081628699096277</v>
      </c>
      <c r="T25">
        <f t="shared" si="22"/>
        <v>1.0163257398192553</v>
      </c>
    </row>
    <row r="26" spans="1:20" ht="15.75" customHeight="1">
      <c r="G26" s="1" t="s">
        <v>179</v>
      </c>
      <c r="H26" s="11">
        <f t="shared" ref="H26:J26" si="23">AVERAGE(H23:H24)</f>
        <v>0.44748604264006442</v>
      </c>
      <c r="I26" s="11">
        <f t="shared" si="23"/>
        <v>0.12627483311077614</v>
      </c>
      <c r="J26" s="11">
        <f t="shared" si="23"/>
        <v>1.1180083749112464</v>
      </c>
      <c r="P26" s="1" t="s">
        <v>181</v>
      </c>
      <c r="Q26" s="11">
        <f t="shared" ref="Q26:T26" si="24">AVERAGE(Q23:T24)</f>
        <v>0.74866360322963832</v>
      </c>
      <c r="R26" s="11">
        <f t="shared" si="24"/>
        <v>0.83604748581346433</v>
      </c>
      <c r="S26" s="11">
        <f t="shared" si="24"/>
        <v>1.0085832003458703</v>
      </c>
      <c r="T26" s="11">
        <f t="shared" si="24"/>
        <v>1.0171664006917407</v>
      </c>
    </row>
    <row r="27" spans="1:20" ht="15.75" customHeight="1">
      <c r="G27" s="1" t="s">
        <v>181</v>
      </c>
      <c r="H27" s="11">
        <f t="shared" ref="H27:J27" si="25">AVERAGE(H21:H22)</f>
        <v>0.47169957937786883</v>
      </c>
      <c r="I27" s="11">
        <f t="shared" si="25"/>
        <v>0.13227939852231224</v>
      </c>
      <c r="J27" s="11">
        <f t="shared" si="25"/>
        <v>1.1781419903194519</v>
      </c>
      <c r="P27" s="1" t="s">
        <v>31</v>
      </c>
      <c r="Q27" s="11">
        <f t="shared" ref="Q27:T27" si="26">Q25/Q26</f>
        <v>1.0004004482139464</v>
      </c>
      <c r="R27" s="11">
        <f t="shared" si="26"/>
        <v>0.99960247730439733</v>
      </c>
      <c r="S27" s="11">
        <f t="shared" si="26"/>
        <v>0.99958324664132958</v>
      </c>
      <c r="T27" s="11">
        <f t="shared" si="26"/>
        <v>0.99917352669935455</v>
      </c>
    </row>
    <row r="28" spans="1:20" ht="15.75" customHeight="1">
      <c r="G28" s="1" t="s">
        <v>31</v>
      </c>
      <c r="H28" s="11">
        <f t="shared" ref="H28:J28" si="27">H26/H27</f>
        <v>0.94866746167181237</v>
      </c>
      <c r="I28" s="11">
        <f t="shared" si="27"/>
        <v>0.9546069495430668</v>
      </c>
      <c r="J28" s="11">
        <f t="shared" si="27"/>
        <v>0.9489589405162443</v>
      </c>
      <c r="P28" s="1" t="s">
        <v>0</v>
      </c>
      <c r="Q28" s="11">
        <f t="shared" ref="Q28:T28" si="28">LN(1-$H$2)/LN(1-$H$2*Q27)</f>
        <v>0.99958022858445206</v>
      </c>
      <c r="R28" s="11">
        <f t="shared" si="28"/>
        <v>1.000417037121293</v>
      </c>
      <c r="S28" s="11">
        <f t="shared" si="28"/>
        <v>1.0004372202242242</v>
      </c>
      <c r="T28" s="11">
        <f t="shared" si="28"/>
        <v>1.0008674168889333</v>
      </c>
    </row>
    <row r="29" spans="1:20" ht="15.75" customHeight="1">
      <c r="G29" s="1" t="s">
        <v>0</v>
      </c>
      <c r="H29" s="33">
        <f t="shared" ref="H29:J29" si="29">LN(1-$H$2)/LN(1-$H$2*H28)</f>
        <v>1.0567416154704401</v>
      </c>
      <c r="I29" s="5">
        <f t="shared" si="29"/>
        <v>1.0498643007620745</v>
      </c>
      <c r="J29" s="33">
        <f t="shared" si="29"/>
        <v>1.0564021056725958</v>
      </c>
    </row>
    <row r="30" spans="1:20" ht="13">
      <c r="G30" s="1" t="s">
        <v>34</v>
      </c>
      <c r="H30" s="33">
        <f t="shared" ref="H30:I30" si="30">B52/SQRT(3)</f>
        <v>4.7451058620873636E-3</v>
      </c>
      <c r="I30" s="33">
        <f t="shared" si="30"/>
        <v>2.0110316452801565E-3</v>
      </c>
      <c r="J30" s="33">
        <f>D52/SQRT(6)</f>
        <v>5.1858882121572827E-3</v>
      </c>
    </row>
    <row r="32" spans="1:20" ht="13">
      <c r="A32" s="2" t="s">
        <v>183</v>
      </c>
    </row>
    <row r="33" spans="1:6" ht="13">
      <c r="A33" s="2"/>
      <c r="B33" s="2" t="s">
        <v>153</v>
      </c>
      <c r="C33" s="2" t="s">
        <v>154</v>
      </c>
      <c r="D33" s="2" t="s">
        <v>155</v>
      </c>
      <c r="E33" s="2" t="s">
        <v>156</v>
      </c>
      <c r="F33" s="2" t="s">
        <v>154</v>
      </c>
    </row>
    <row r="34" spans="1:6" ht="13">
      <c r="B34" s="1" t="s">
        <v>162</v>
      </c>
      <c r="C34" s="1" t="s">
        <v>162</v>
      </c>
      <c r="D34" s="1" t="s">
        <v>14</v>
      </c>
      <c r="E34" s="1" t="s">
        <v>24</v>
      </c>
      <c r="F34" s="1" t="s">
        <v>24</v>
      </c>
    </row>
    <row r="35" spans="1:6" ht="13">
      <c r="B35" s="1" t="s">
        <v>184</v>
      </c>
      <c r="C35" s="1" t="s">
        <v>184</v>
      </c>
      <c r="D35" s="1" t="s">
        <v>184</v>
      </c>
      <c r="E35" s="1" t="s">
        <v>184</v>
      </c>
      <c r="F35" s="1" t="s">
        <v>184</v>
      </c>
    </row>
    <row r="36" spans="1:6" ht="14">
      <c r="A36" s="2" t="s">
        <v>185</v>
      </c>
      <c r="B36" s="32">
        <v>0.10539999999999999</v>
      </c>
      <c r="C36" s="32">
        <v>3.04E-2</v>
      </c>
      <c r="D36" s="32">
        <v>2.1700000000000001E-2</v>
      </c>
      <c r="E36" s="32">
        <v>0.4516</v>
      </c>
      <c r="F36" s="32">
        <v>0.3271</v>
      </c>
    </row>
    <row r="37" spans="1:6" ht="14">
      <c r="A37" s="2" t="s">
        <v>186</v>
      </c>
      <c r="B37" s="32">
        <v>0.15210000000000001</v>
      </c>
      <c r="C37" s="32">
        <v>2.6200000000000001E-2</v>
      </c>
      <c r="D37" s="32">
        <v>2.2700000000000001E-2</v>
      </c>
      <c r="E37" s="32">
        <v>0.40510000000000002</v>
      </c>
      <c r="F37" s="32">
        <v>0.2429</v>
      </c>
    </row>
    <row r="38" spans="1:6" ht="14">
      <c r="A38" s="2" t="s">
        <v>187</v>
      </c>
      <c r="B38" s="32">
        <v>6.4199999999999993E-2</v>
      </c>
      <c r="C38" s="32">
        <v>1.14E-2</v>
      </c>
      <c r="D38" s="32">
        <v>2.9600000000000001E-2</v>
      </c>
      <c r="E38" s="32">
        <v>0.36799999999999999</v>
      </c>
      <c r="F38" s="32">
        <v>0.3362</v>
      </c>
    </row>
    <row r="39" spans="1:6" ht="14">
      <c r="A39" s="2" t="s">
        <v>188</v>
      </c>
      <c r="B39" s="32">
        <v>9.0899999999999995E-2</v>
      </c>
      <c r="C39" s="32">
        <v>2.0299999999999999E-2</v>
      </c>
      <c r="D39" s="32">
        <v>2.4199999999999999E-2</v>
      </c>
      <c r="E39" s="32">
        <v>0.43020000000000003</v>
      </c>
      <c r="F39" s="32">
        <v>0.27629999999999999</v>
      </c>
    </row>
    <row r="42" spans="1:6" ht="13">
      <c r="B42" s="2" t="s">
        <v>189</v>
      </c>
      <c r="C42" s="2" t="s">
        <v>190</v>
      </c>
      <c r="D42" s="2" t="s">
        <v>24</v>
      </c>
    </row>
    <row r="43" spans="1:6" ht="13">
      <c r="A43" s="2" t="s">
        <v>171</v>
      </c>
      <c r="B43" s="2" t="s">
        <v>172</v>
      </c>
      <c r="C43" s="2" t="s">
        <v>172</v>
      </c>
      <c r="D43" s="2" t="s">
        <v>172</v>
      </c>
    </row>
    <row r="44" spans="1:6" ht="13">
      <c r="A44" s="2" t="s">
        <v>185</v>
      </c>
      <c r="B44">
        <f t="shared" ref="B44:C44" si="31">SQRT((B36/B21)^2+(C36/C21)^2)</f>
        <v>9.6014226199530959E-3</v>
      </c>
      <c r="C44">
        <f t="shared" si="31"/>
        <v>5.0354987189775791E-3</v>
      </c>
      <c r="D44">
        <f t="shared" ref="D44:D47" si="32">SQRT((E36/E21)^2+(F36/F21)^2)</f>
        <v>1.4730614043197419E-2</v>
      </c>
    </row>
    <row r="45" spans="1:6" ht="13">
      <c r="A45" s="2" t="s">
        <v>186</v>
      </c>
      <c r="B45">
        <f t="shared" ref="B45:C45" si="33">SQRT((B37/B22)^2+(C37/C22)^2)</f>
        <v>1.2619683848231237E-2</v>
      </c>
      <c r="C45">
        <f t="shared" si="33"/>
        <v>4.3523617287569306E-3</v>
      </c>
      <c r="D45">
        <f t="shared" si="32"/>
        <v>1.2292410526746778E-2</v>
      </c>
    </row>
    <row r="46" spans="1:6" ht="13">
      <c r="A46" s="2" t="s">
        <v>187</v>
      </c>
      <c r="B46">
        <f t="shared" ref="B46:C46" si="34">SQRT((B38/B23)^2+(C38/C23)^2)</f>
        <v>5.377009571459577E-3</v>
      </c>
      <c r="C46">
        <f t="shared" si="34"/>
        <v>2.0841215289231071E-3</v>
      </c>
      <c r="D46">
        <f t="shared" si="32"/>
        <v>1.3062091250370438E-2</v>
      </c>
    </row>
    <row r="47" spans="1:6" ht="13">
      <c r="A47" s="2" t="s">
        <v>188</v>
      </c>
      <c r="B47">
        <f t="shared" ref="B47:C47" si="35">SQRT((B39/B24)^2+(C39/C24)^2)</f>
        <v>8.389746822922664E-3</v>
      </c>
      <c r="C47">
        <f t="shared" si="35"/>
        <v>3.7929808902865121E-3</v>
      </c>
      <c r="D47">
        <f t="shared" si="32"/>
        <v>1.4731787725369748E-2</v>
      </c>
    </row>
    <row r="49" spans="1:4" ht="13">
      <c r="A49" s="2" t="s">
        <v>175</v>
      </c>
      <c r="B49">
        <f t="shared" ref="B49:D49" si="36">SQRT((B44^2+B45^2)/2)</f>
        <v>1.1212576348820447E-2</v>
      </c>
      <c r="C49">
        <f t="shared" si="36"/>
        <v>4.7063414648096276E-3</v>
      </c>
      <c r="D49">
        <f t="shared" si="36"/>
        <v>1.3566398686602867E-2</v>
      </c>
    </row>
    <row r="50" spans="1:4" ht="13">
      <c r="A50" s="2" t="s">
        <v>172</v>
      </c>
      <c r="B50">
        <f t="shared" ref="B50:D50" si="37">SQRT((B46^2+B47^2)/2)</f>
        <v>7.0462785810777038E-3</v>
      </c>
      <c r="C50">
        <f t="shared" si="37"/>
        <v>3.060250527440478E-3</v>
      </c>
      <c r="D50">
        <f t="shared" si="37"/>
        <v>1.3921993345393444E-2</v>
      </c>
    </row>
    <row r="51" spans="1:4" ht="13">
      <c r="A51" s="2" t="s">
        <v>191</v>
      </c>
      <c r="B51">
        <f t="shared" ref="B51:D51" si="38">B57^2*(B49*B50)</f>
        <v>6.0488866325718588E-5</v>
      </c>
      <c r="C51">
        <f t="shared" si="38"/>
        <v>1.1007602223171867E-5</v>
      </c>
      <c r="D51">
        <f t="shared" si="38"/>
        <v>1.4459025898681886E-4</v>
      </c>
    </row>
    <row r="52" spans="1:4" ht="13">
      <c r="A52" s="2" t="s">
        <v>180</v>
      </c>
      <c r="B52">
        <f t="shared" ref="B52:D52" si="39">SQRT(B51)*H29</f>
        <v>8.218764440428232E-3</v>
      </c>
      <c r="C52">
        <f t="shared" si="39"/>
        <v>3.483208985254063E-3</v>
      </c>
      <c r="D52">
        <f t="shared" si="39"/>
        <v>1.2702779982899457E-2</v>
      </c>
    </row>
    <row r="53" spans="1:4" ht="13">
      <c r="B53" s="2" t="s">
        <v>189</v>
      </c>
      <c r="C53" s="2" t="s">
        <v>190</v>
      </c>
      <c r="D53" s="2" t="s">
        <v>24</v>
      </c>
    </row>
    <row r="54" spans="1:4" ht="13">
      <c r="A54" s="7" t="s">
        <v>149</v>
      </c>
      <c r="B54" s="16">
        <f t="shared" ref="B54:D54" si="40">$H$2/LN(1-$H$2)</f>
        <v>-0.95429277473760776</v>
      </c>
      <c r="C54" s="16">
        <f t="shared" si="40"/>
        <v>-0.95429277473760776</v>
      </c>
      <c r="D54" s="16">
        <f t="shared" si="40"/>
        <v>-0.95429277473760776</v>
      </c>
    </row>
    <row r="55" spans="1:4" ht="13">
      <c r="A55" s="7" t="s">
        <v>150</v>
      </c>
      <c r="B55" s="16">
        <f t="shared" ref="B55:D55" si="41">H28*H29</f>
        <v>1.0024963859913127</v>
      </c>
      <c r="C55" s="16">
        <f t="shared" si="41"/>
        <v>1.0022077575846486</v>
      </c>
      <c r="D55" s="16">
        <f t="shared" si="41"/>
        <v>1.002482222958196</v>
      </c>
    </row>
    <row r="56" spans="1:4" ht="13">
      <c r="A56" s="7" t="s">
        <v>151</v>
      </c>
      <c r="B56" s="16">
        <f t="shared" ref="B56:D56" si="42">1-$H$2*H28</f>
        <v>0.91461992844953688</v>
      </c>
      <c r="C56" s="16">
        <f t="shared" si="42"/>
        <v>0.91408537454112393</v>
      </c>
      <c r="D56" s="16">
        <f t="shared" si="42"/>
        <v>0.91459369535353807</v>
      </c>
    </row>
    <row r="57" spans="1:4" ht="13">
      <c r="A57" s="7" t="s">
        <v>54</v>
      </c>
      <c r="B57" s="16">
        <f t="shared" ref="B57:D57" si="43">B54*B55*B56</f>
        <v>-0.87499407296212028</v>
      </c>
      <c r="C57" s="16">
        <f t="shared" si="43"/>
        <v>-0.87423090654884161</v>
      </c>
      <c r="D57" s="16">
        <f t="shared" si="43"/>
        <v>-0.87495661505761446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9" ht="15.75" customHeight="1">
      <c r="A1" s="1" t="s">
        <v>3</v>
      </c>
      <c r="B1" s="2"/>
      <c r="C1" s="2"/>
      <c r="D1" s="2"/>
      <c r="G1" s="2"/>
      <c r="H1" s="2"/>
    </row>
    <row r="2" spans="1:9" ht="15.75" customHeight="1">
      <c r="A2" s="2" t="s">
        <v>192</v>
      </c>
      <c r="B2" s="2"/>
      <c r="C2" s="2"/>
      <c r="D2" s="2"/>
      <c r="E2" s="6" t="s">
        <v>5</v>
      </c>
      <c r="F2" s="2">
        <v>0.25</v>
      </c>
      <c r="G2" s="2"/>
      <c r="H2" s="2"/>
    </row>
    <row r="3" spans="1:9" ht="15.75" customHeight="1">
      <c r="E3" s="1" t="s">
        <v>7</v>
      </c>
      <c r="F3" s="2">
        <v>22</v>
      </c>
    </row>
    <row r="4" spans="1:9" ht="15.75" customHeight="1">
      <c r="A4" s="6" t="s">
        <v>141</v>
      </c>
      <c r="B4" s="7">
        <v>0.1</v>
      </c>
      <c r="D4" s="8"/>
      <c r="E4" s="6" t="s">
        <v>10</v>
      </c>
      <c r="F4" s="7">
        <v>8</v>
      </c>
      <c r="G4" s="8"/>
      <c r="H4" s="8"/>
      <c r="I4" s="8"/>
    </row>
    <row r="5" spans="1:9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9" ht="15.75" customHeight="1">
      <c r="A6" s="17" t="s">
        <v>15</v>
      </c>
      <c r="B6" s="8"/>
      <c r="C6" s="8"/>
      <c r="D6" s="8"/>
      <c r="E6" s="8"/>
      <c r="F6" s="8"/>
      <c r="G6" s="8"/>
      <c r="H6" s="8"/>
      <c r="I6" s="8"/>
    </row>
    <row r="7" spans="1:9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8"/>
      <c r="F7" s="8"/>
      <c r="G7" s="6" t="s">
        <v>193</v>
      </c>
      <c r="H7" s="6" t="s">
        <v>194</v>
      </c>
      <c r="I7" s="8"/>
    </row>
    <row r="8" spans="1:9" ht="15.75" customHeight="1">
      <c r="A8" s="7" t="s">
        <v>195</v>
      </c>
      <c r="B8" s="22">
        <v>42.798699999999997</v>
      </c>
      <c r="C8" s="22">
        <v>20.504799999999999</v>
      </c>
      <c r="D8" s="22">
        <v>147.8289</v>
      </c>
      <c r="E8" s="8"/>
      <c r="F8" s="6" t="s">
        <v>27</v>
      </c>
      <c r="G8" s="16">
        <f t="shared" ref="G8:G9" si="0">C8/B8</f>
        <v>0.47909866421176345</v>
      </c>
      <c r="H8" s="16">
        <f t="shared" ref="H8:H9" si="1">C8/D8</f>
        <v>0.1387063016771416</v>
      </c>
      <c r="I8" s="8"/>
    </row>
    <row r="9" spans="1:9" ht="15.75" customHeight="1">
      <c r="A9" s="7" t="s">
        <v>196</v>
      </c>
      <c r="B9" s="22">
        <v>41.215899999999998</v>
      </c>
      <c r="C9" s="22">
        <v>18.796199999999999</v>
      </c>
      <c r="D9" s="22">
        <v>144.07589999999999</v>
      </c>
      <c r="E9" s="8"/>
      <c r="F9" s="6" t="s">
        <v>30</v>
      </c>
      <c r="G9" s="16">
        <f t="shared" si="0"/>
        <v>0.45604244963715457</v>
      </c>
      <c r="H9" s="16">
        <f t="shared" si="1"/>
        <v>0.13046040316249977</v>
      </c>
      <c r="I9" s="8"/>
    </row>
    <row r="10" spans="1:9" ht="15.75" customHeight="1">
      <c r="A10" s="8"/>
      <c r="B10" s="8"/>
      <c r="C10" s="8"/>
      <c r="D10" s="8"/>
      <c r="E10" s="8"/>
      <c r="F10" s="6" t="s">
        <v>31</v>
      </c>
      <c r="G10" s="16">
        <f t="shared" ref="G10:H10" si="2">G9/G8</f>
        <v>0.95187585293617527</v>
      </c>
      <c r="H10" s="16">
        <f t="shared" si="2"/>
        <v>0.94055137787585663</v>
      </c>
      <c r="I10" s="8"/>
    </row>
    <row r="11" spans="1:9" ht="15.75" customHeight="1">
      <c r="A11" s="17" t="s">
        <v>19</v>
      </c>
      <c r="B11" s="8"/>
      <c r="C11" s="8"/>
      <c r="D11" s="8"/>
      <c r="E11" s="8"/>
      <c r="I11" s="8"/>
    </row>
    <row r="12" spans="1:9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8"/>
      <c r="I12" s="8"/>
    </row>
    <row r="13" spans="1:9" ht="15.75" customHeight="1">
      <c r="A13" s="7" t="s">
        <v>195</v>
      </c>
      <c r="B13" s="22">
        <v>0.46610000000000001</v>
      </c>
      <c r="C13" s="22">
        <v>0.1903</v>
      </c>
      <c r="D13" s="22">
        <v>7.0599999999999996E-2</v>
      </c>
      <c r="E13" s="8"/>
    </row>
    <row r="14" spans="1:9" ht="15.75" customHeight="1">
      <c r="A14" s="7" t="s">
        <v>196</v>
      </c>
      <c r="B14" s="22">
        <v>0.51970000000000005</v>
      </c>
      <c r="C14" s="22">
        <v>0.1409</v>
      </c>
      <c r="D14" s="22">
        <v>6.7699999999999996E-2</v>
      </c>
      <c r="E14" s="8"/>
      <c r="I14" s="8"/>
    </row>
    <row r="15" spans="1:9" ht="15.75" customHeight="1">
      <c r="A15" s="7"/>
      <c r="B15" s="11"/>
      <c r="C15" s="11"/>
      <c r="D15" s="11"/>
      <c r="E15" s="8"/>
      <c r="G15" s="6" t="s">
        <v>193</v>
      </c>
      <c r="H15" s="6" t="s">
        <v>194</v>
      </c>
      <c r="I15" s="8"/>
    </row>
    <row r="16" spans="1:9" ht="15.75" customHeight="1">
      <c r="A16" s="7" t="s">
        <v>197</v>
      </c>
      <c r="B16" s="11">
        <f t="shared" ref="B16:C16" si="3">B13/SQRT($F$3)</f>
        <v>9.9372853893350016E-2</v>
      </c>
      <c r="C16" s="11">
        <f t="shared" si="3"/>
        <v>4.0572096322472662E-2</v>
      </c>
      <c r="D16" s="11">
        <f t="shared" ref="D16:D17" si="4">D13/SQRT($F$4)</f>
        <v>2.4960869375885125E-2</v>
      </c>
      <c r="E16" s="8"/>
      <c r="F16" s="6" t="s">
        <v>44</v>
      </c>
      <c r="G16" s="34">
        <f t="shared" ref="G16:G17" si="5">(B16/B8)^2+(C16/C8)^2</f>
        <v>9.3061712026643401E-6</v>
      </c>
      <c r="H16" s="34">
        <f>(D16/D8)^2+(C16/C8)^2</f>
        <v>3.9436188951029707E-6</v>
      </c>
      <c r="I16" s="8"/>
    </row>
    <row r="17" spans="1:10" ht="15.75" customHeight="1">
      <c r="A17" s="7" t="s">
        <v>198</v>
      </c>
      <c r="B17" s="11">
        <f t="shared" ref="B17:C17" si="6">B14/SQRT($F$3)</f>
        <v>0.11080041229001075</v>
      </c>
      <c r="C17" s="11">
        <f t="shared" si="6"/>
        <v>3.0039980934505509E-2</v>
      </c>
      <c r="D17" s="11">
        <f t="shared" si="4"/>
        <v>2.3935564543164631E-2</v>
      </c>
      <c r="E17" s="8"/>
      <c r="F17" s="6" t="s">
        <v>42</v>
      </c>
      <c r="G17" s="34">
        <f t="shared" si="5"/>
        <v>9.7811440706997486E-6</v>
      </c>
      <c r="H17" s="34">
        <f>(C17/C9)^2+(D17/D9)^2</f>
        <v>2.5818249496878447E-6</v>
      </c>
      <c r="I17" s="8"/>
    </row>
    <row r="18" spans="1:10" ht="15.75" customHeight="1">
      <c r="A18" s="7" t="s">
        <v>208</v>
      </c>
      <c r="B18" s="8"/>
      <c r="C18" s="8"/>
      <c r="D18" s="8"/>
      <c r="E18" s="8"/>
      <c r="F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8"/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-0.9491221581029905</v>
      </c>
      <c r="C23" s="16"/>
      <c r="D23" s="16">
        <f>$B$4/LN(1-$B$4)</f>
        <v>-0.9491221581029905</v>
      </c>
      <c r="E23" s="8"/>
      <c r="F23" s="7" t="s">
        <v>217</v>
      </c>
      <c r="G23" s="8"/>
    </row>
    <row r="24" spans="1:10" ht="15.75" customHeight="1">
      <c r="A24" s="7" t="s">
        <v>150</v>
      </c>
      <c r="B24" s="16">
        <f>G10*B28</f>
        <v>1.0026242485634957</v>
      </c>
      <c r="C24" s="16"/>
      <c r="D24" s="16">
        <f>H10*D28</f>
        <v>1.0032410929643731</v>
      </c>
      <c r="E24" s="8"/>
      <c r="F24" s="7" t="s">
        <v>220</v>
      </c>
      <c r="G24" s="8"/>
    </row>
    <row r="25" spans="1:10" ht="15.75" customHeight="1">
      <c r="A25" s="7" t="s">
        <v>151</v>
      </c>
      <c r="B25" s="16">
        <f>1-$B$4*G10</f>
        <v>0.90481241470638252</v>
      </c>
      <c r="C25" s="16"/>
      <c r="D25" s="16">
        <f>1-$B$4*H10</f>
        <v>0.90594486221241433</v>
      </c>
      <c r="E25" s="8"/>
      <c r="F25" s="7" t="s">
        <v>221</v>
      </c>
      <c r="G25" s="8"/>
    </row>
    <row r="26" spans="1:10" ht="15.75" customHeight="1">
      <c r="A26" s="7" t="s">
        <v>54</v>
      </c>
      <c r="B26" s="16">
        <f>B23*B24*B25</f>
        <v>-0.86103115737600533</v>
      </c>
      <c r="C26" s="16"/>
      <c r="D26" s="16">
        <f>D23*D24*D25</f>
        <v>-0.86263920412383477</v>
      </c>
      <c r="E26" s="8"/>
      <c r="F26" s="2" t="s">
        <v>225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8" spans="1:10" ht="15.75" customHeight="1">
      <c r="A28" s="37" t="s">
        <v>0</v>
      </c>
      <c r="B28" s="16">
        <f>LN(1-0.1)/LN(1-0.1*G10)</f>
        <v>1.0533140907722167</v>
      </c>
      <c r="D28" s="16">
        <f>LN(1-$B$4)/LN(1-0.1*H10)</f>
        <v>1.0666520900007559</v>
      </c>
      <c r="E28" s="2"/>
      <c r="F28" s="2" t="s">
        <v>39</v>
      </c>
    </row>
    <row r="29" spans="1:10" ht="15.75" customHeight="1">
      <c r="A29" s="39" t="s">
        <v>38</v>
      </c>
      <c r="B29" s="11">
        <f>B28*SQRT(B26^2*(G16+G17))</f>
        <v>3.9623166983239035E-3</v>
      </c>
      <c r="C29" s="11">
        <f>D34</f>
        <v>0</v>
      </c>
      <c r="D29" s="11">
        <f>D28*SQRT(D26^2*(H16+H17))</f>
        <v>2.3504824264740562E-3</v>
      </c>
      <c r="E29" s="2"/>
      <c r="F29" s="27" t="s">
        <v>226</v>
      </c>
    </row>
    <row r="30" spans="1:10" ht="13">
      <c r="A30" s="30"/>
      <c r="B30" s="28"/>
      <c r="C30" s="30"/>
      <c r="D30" s="28"/>
      <c r="F30" s="2" t="s">
        <v>227</v>
      </c>
    </row>
    <row r="31" spans="1:10" ht="13">
      <c r="A31" s="1"/>
      <c r="B31" s="28"/>
      <c r="D31" s="28"/>
      <c r="F31" s="2" t="s">
        <v>228</v>
      </c>
    </row>
    <row r="32" spans="1:10" ht="13">
      <c r="A32" s="2"/>
      <c r="B32" s="28"/>
      <c r="C32" s="28"/>
      <c r="D32" s="28"/>
    </row>
    <row r="33" spans="1:4" ht="13">
      <c r="A33" s="2"/>
      <c r="B33" s="11"/>
      <c r="D33" s="11"/>
    </row>
    <row r="34" spans="1:4" ht="13">
      <c r="A34" s="2"/>
      <c r="B34" s="12"/>
      <c r="D3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4"/>
  <sheetViews>
    <sheetView workbookViewId="0"/>
  </sheetViews>
  <sheetFormatPr baseColWidth="10" defaultColWidth="14.5" defaultRowHeight="15.75" customHeight="1"/>
  <cols>
    <col min="2" max="2" width="23.33203125" customWidth="1"/>
    <col min="3" max="3" width="21.83203125" customWidth="1"/>
    <col min="4" max="4" width="22.6640625" customWidth="1"/>
    <col min="10" max="10" width="27" customWidth="1"/>
    <col min="12" max="12" width="27.1640625" customWidth="1"/>
    <col min="13" max="13" width="15.1640625" customWidth="1"/>
  </cols>
  <sheetData>
    <row r="1" spans="1:13" ht="15.75" customHeight="1">
      <c r="A1" s="1" t="s">
        <v>199</v>
      </c>
    </row>
    <row r="2" spans="1:13" ht="15.75" customHeight="1">
      <c r="A2" s="2" t="s">
        <v>200</v>
      </c>
      <c r="B2" s="2" t="s">
        <v>201</v>
      </c>
    </row>
    <row r="3" spans="1:13" ht="15.75" customHeight="1">
      <c r="A3" s="2" t="s">
        <v>202</v>
      </c>
      <c r="B3" s="2" t="s">
        <v>203</v>
      </c>
    </row>
    <row r="4" spans="1:13" ht="15.75" customHeight="1">
      <c r="A4" s="2" t="s">
        <v>204</v>
      </c>
      <c r="B4" s="2" t="s">
        <v>205</v>
      </c>
    </row>
    <row r="5" spans="1:13" ht="15.75" customHeight="1">
      <c r="A5" s="2" t="s">
        <v>206</v>
      </c>
    </row>
    <row r="6" spans="1:13" ht="15.75" customHeight="1">
      <c r="A6" s="7"/>
      <c r="B6" s="6" t="s">
        <v>9</v>
      </c>
      <c r="C6" s="6">
        <v>0.1</v>
      </c>
      <c r="D6" s="8"/>
      <c r="E6" s="7" t="s">
        <v>142</v>
      </c>
      <c r="F6" s="7">
        <v>8</v>
      </c>
      <c r="G6" s="8"/>
      <c r="H6" s="8"/>
    </row>
    <row r="7" spans="1:13" ht="15.75" customHeight="1">
      <c r="A7" s="24" t="s">
        <v>15</v>
      </c>
      <c r="B7" s="8"/>
      <c r="C7" s="8"/>
      <c r="D7" s="8"/>
      <c r="E7" s="8"/>
      <c r="F7" s="8"/>
      <c r="G7" s="8"/>
      <c r="H7" s="8"/>
      <c r="J7" s="35" t="s">
        <v>207</v>
      </c>
    </row>
    <row r="8" spans="1:13" ht="15.75" customHeight="1">
      <c r="A8" s="7" t="s">
        <v>68</v>
      </c>
      <c r="B8" s="7" t="s">
        <v>211</v>
      </c>
      <c r="C8" s="7" t="s">
        <v>212</v>
      </c>
      <c r="D8" s="7" t="s">
        <v>213</v>
      </c>
      <c r="E8" s="8"/>
      <c r="F8" s="8"/>
      <c r="G8" s="7" t="s">
        <v>72</v>
      </c>
      <c r="H8" s="7" t="s">
        <v>73</v>
      </c>
      <c r="J8" s="7" t="s">
        <v>214</v>
      </c>
      <c r="K8" s="2">
        <v>0.25</v>
      </c>
    </row>
    <row r="9" spans="1:13" ht="15.75" customHeight="1">
      <c r="A9" s="7" t="s">
        <v>21</v>
      </c>
      <c r="B9" s="25">
        <v>18.357299999999999</v>
      </c>
      <c r="C9" s="25">
        <v>8.7547999999999995</v>
      </c>
      <c r="D9" s="25">
        <v>16.8035</v>
      </c>
      <c r="E9" s="8"/>
      <c r="F9" s="8"/>
      <c r="G9" s="16">
        <f t="shared" ref="G9:G12" si="0">C9/B9</f>
        <v>0.47691109258986891</v>
      </c>
      <c r="H9" s="16">
        <f t="shared" ref="H9:H12" si="1">C9/D9</f>
        <v>0.52101050376409674</v>
      </c>
      <c r="J9" s="2" t="s">
        <v>216</v>
      </c>
      <c r="K9" s="2">
        <v>0.1</v>
      </c>
    </row>
    <row r="10" spans="1:13" ht="15.75" customHeight="1">
      <c r="A10" s="7" t="s">
        <v>22</v>
      </c>
      <c r="B10" s="25">
        <v>18.258099999999999</v>
      </c>
      <c r="C10" s="25">
        <v>8.6791</v>
      </c>
      <c r="D10" s="25">
        <v>16.706499999999998</v>
      </c>
      <c r="E10" s="8"/>
      <c r="F10" s="8"/>
      <c r="G10" s="16">
        <f t="shared" si="0"/>
        <v>0.47535614330078158</v>
      </c>
      <c r="H10" s="16">
        <f t="shared" si="1"/>
        <v>0.5195043845209949</v>
      </c>
      <c r="J10" s="2" t="s">
        <v>218</v>
      </c>
      <c r="K10" s="2">
        <v>0.05</v>
      </c>
    </row>
    <row r="11" spans="1:13" ht="15.75" customHeight="1">
      <c r="A11" s="7" t="s">
        <v>25</v>
      </c>
      <c r="B11" s="25">
        <v>18.738</v>
      </c>
      <c r="C11" s="25">
        <v>8.4694000000000003</v>
      </c>
      <c r="D11" s="25">
        <v>17.144600000000001</v>
      </c>
      <c r="E11" s="8"/>
      <c r="F11" s="8"/>
      <c r="G11" s="16">
        <f t="shared" si="0"/>
        <v>0.45199060732201946</v>
      </c>
      <c r="H11" s="16">
        <f t="shared" si="1"/>
        <v>0.49399811019213047</v>
      </c>
      <c r="J11" s="2" t="s">
        <v>219</v>
      </c>
      <c r="K11" s="2">
        <v>0.04</v>
      </c>
    </row>
    <row r="12" spans="1:13" ht="15.75" customHeight="1">
      <c r="A12" s="7" t="s">
        <v>74</v>
      </c>
      <c r="B12" s="25">
        <v>18.5227</v>
      </c>
      <c r="C12" s="25">
        <v>8.3512000000000004</v>
      </c>
      <c r="D12" s="25">
        <v>17.035399999999999</v>
      </c>
      <c r="E12" s="8"/>
      <c r="F12" s="8"/>
      <c r="G12" s="16">
        <f t="shared" si="0"/>
        <v>0.45086299513569839</v>
      </c>
      <c r="H12" s="16">
        <f t="shared" si="1"/>
        <v>0.49022623478168992</v>
      </c>
    </row>
    <row r="13" spans="1:13" ht="15.75" customHeight="1">
      <c r="A13" s="8"/>
      <c r="B13" s="8"/>
      <c r="C13" s="8"/>
      <c r="D13" s="8"/>
      <c r="E13" s="8"/>
      <c r="F13" s="8"/>
      <c r="G13" s="8"/>
      <c r="H13" s="8"/>
    </row>
    <row r="14" spans="1:13" ht="15.75" customHeight="1">
      <c r="A14" s="24" t="s">
        <v>19</v>
      </c>
      <c r="B14" s="8"/>
      <c r="C14" s="8"/>
      <c r="D14" s="8"/>
      <c r="E14" s="8"/>
      <c r="F14" s="6" t="s">
        <v>31</v>
      </c>
      <c r="G14" s="36">
        <f t="shared" ref="G14:H14" si="2">AVERAGE(G11:G12)/AVERAGE(G9:G10)</f>
        <v>0.94810948904829595</v>
      </c>
      <c r="H14" s="36">
        <f t="shared" si="2"/>
        <v>0.94590126105351013</v>
      </c>
      <c r="J14" s="2" t="s">
        <v>222</v>
      </c>
      <c r="L14" s="2" t="s">
        <v>223</v>
      </c>
      <c r="M14" s="2" t="s">
        <v>224</v>
      </c>
    </row>
    <row r="15" spans="1:13" ht="15.75" customHeight="1">
      <c r="A15" s="7" t="s">
        <v>68</v>
      </c>
      <c r="B15" s="7" t="s">
        <v>143</v>
      </c>
      <c r="C15" s="7" t="s">
        <v>144</v>
      </c>
      <c r="D15" s="7" t="s">
        <v>145</v>
      </c>
      <c r="E15" s="8"/>
      <c r="F15" s="6" t="s">
        <v>0</v>
      </c>
      <c r="G15" s="36">
        <f t="shared" ref="G15:H15" si="3">LN(1-0.1)/LN(1-0.1*G14)</f>
        <v>1.0577147925343469</v>
      </c>
      <c r="H15" s="36">
        <f t="shared" si="3"/>
        <v>1.0603112170282436</v>
      </c>
      <c r="J15" s="2" t="s">
        <v>21</v>
      </c>
      <c r="K15" s="2" t="s">
        <v>14</v>
      </c>
      <c r="L15" s="2">
        <v>150</v>
      </c>
      <c r="M15" s="2">
        <v>5</v>
      </c>
    </row>
    <row r="16" spans="1:13" ht="15.75" customHeight="1">
      <c r="A16" s="7" t="s">
        <v>21</v>
      </c>
      <c r="B16" s="25">
        <v>0.1358</v>
      </c>
      <c r="C16" s="25">
        <v>5.2699999999999997E-2</v>
      </c>
      <c r="D16" s="25">
        <v>2.2000000000000001E-3</v>
      </c>
      <c r="E16" s="8"/>
      <c r="F16" s="1" t="s">
        <v>38</v>
      </c>
      <c r="G16" s="38">
        <f>B36/SQRT(F6)</f>
        <v>3.2444813130163628E-3</v>
      </c>
      <c r="H16" s="38">
        <f>D36/SQRT(F6)</f>
        <v>1.8699474543694475E-3</v>
      </c>
      <c r="K16" s="2" t="s">
        <v>13</v>
      </c>
      <c r="L16" s="2">
        <v>20</v>
      </c>
      <c r="M16" s="2">
        <v>0</v>
      </c>
    </row>
    <row r="17" spans="1:13" ht="15.75" customHeight="1">
      <c r="A17" s="7" t="s">
        <v>22</v>
      </c>
      <c r="B17" s="25">
        <v>0.1678</v>
      </c>
      <c r="C17" s="25">
        <v>4.6300000000000001E-2</v>
      </c>
      <c r="D17" s="25">
        <v>5.7999999999999996E-3</v>
      </c>
      <c r="E17" s="8"/>
      <c r="F17" s="7"/>
      <c r="G17" s="26"/>
      <c r="H17" s="26"/>
      <c r="J17" s="2" t="s">
        <v>22</v>
      </c>
      <c r="K17" s="2" t="s">
        <v>14</v>
      </c>
      <c r="L17" s="2">
        <v>149</v>
      </c>
      <c r="M17" s="2">
        <v>0</v>
      </c>
    </row>
    <row r="18" spans="1:13" ht="15.75" customHeight="1">
      <c r="A18" s="7" t="s">
        <v>25</v>
      </c>
      <c r="B18" s="25">
        <v>0.10299999999999999</v>
      </c>
      <c r="C18" s="25">
        <v>2.0799999999999999E-2</v>
      </c>
      <c r="D18" s="25">
        <v>3.3999999999999998E-3</v>
      </c>
      <c r="E18" s="8"/>
      <c r="F18" s="8"/>
      <c r="G18" s="8"/>
      <c r="H18" s="8"/>
      <c r="K18" s="2" t="s">
        <v>13</v>
      </c>
      <c r="L18" s="2">
        <v>20</v>
      </c>
      <c r="M18" s="2">
        <v>0</v>
      </c>
    </row>
    <row r="19" spans="1:13" ht="15.75" customHeight="1">
      <c r="A19" s="7" t="s">
        <v>74</v>
      </c>
      <c r="B19" s="25">
        <v>0.14199999999999999</v>
      </c>
      <c r="C19" s="25">
        <v>5.3100000000000001E-2</v>
      </c>
      <c r="D19" s="25">
        <v>2.3999999999999998E-3</v>
      </c>
      <c r="E19" s="8"/>
      <c r="F19" s="8"/>
      <c r="G19" s="8"/>
      <c r="H19" s="8"/>
      <c r="J19" s="2" t="s">
        <v>25</v>
      </c>
      <c r="K19" s="2" t="s">
        <v>14</v>
      </c>
      <c r="L19" s="2">
        <v>150</v>
      </c>
      <c r="M19" s="2">
        <v>0</v>
      </c>
    </row>
    <row r="20" spans="1:13" ht="15.75" customHeight="1">
      <c r="A20" s="7"/>
      <c r="B20" s="8"/>
      <c r="C20" s="8"/>
      <c r="D20" s="8"/>
      <c r="E20" s="8"/>
      <c r="F20" s="8"/>
      <c r="K20" s="2" t="s">
        <v>13</v>
      </c>
      <c r="L20" s="2">
        <v>20</v>
      </c>
      <c r="M20" s="2">
        <v>0</v>
      </c>
    </row>
    <row r="21" spans="1:13" ht="15.75" customHeight="1">
      <c r="A21" s="24" t="s">
        <v>148</v>
      </c>
      <c r="B21" s="8"/>
      <c r="C21" s="8"/>
      <c r="D21" s="8"/>
      <c r="E21" s="8"/>
      <c r="F21" s="8"/>
      <c r="G21" s="8"/>
      <c r="H21" s="8"/>
      <c r="J21" s="2" t="s">
        <v>28</v>
      </c>
      <c r="K21" s="2" t="s">
        <v>14</v>
      </c>
      <c r="L21" s="2">
        <v>149</v>
      </c>
      <c r="M21" s="2">
        <v>-1</v>
      </c>
    </row>
    <row r="22" spans="1:13" ht="15.75" customHeight="1">
      <c r="A22" s="7" t="s">
        <v>149</v>
      </c>
      <c r="B22" s="16">
        <f>$C$6/LN(1-$C$6)</f>
        <v>-0.9491221581029905</v>
      </c>
      <c r="C22" s="16"/>
      <c r="D22" s="16">
        <f>$C$6/LN(1-$C$6)</f>
        <v>-0.9491221581029905</v>
      </c>
      <c r="E22" s="8"/>
      <c r="F22" s="8"/>
      <c r="G22" s="8"/>
      <c r="H22" s="8"/>
      <c r="K22" s="2" t="s">
        <v>13</v>
      </c>
      <c r="L22" s="2">
        <v>20</v>
      </c>
      <c r="M22" s="2">
        <v>0</v>
      </c>
    </row>
    <row r="23" spans="1:13" ht="15.75" customHeight="1">
      <c r="A23" s="7" t="s">
        <v>150</v>
      </c>
      <c r="B23" s="16">
        <f>G14*G15</f>
        <v>1.002829431508564</v>
      </c>
      <c r="C23" s="16"/>
      <c r="D23" s="16">
        <f>H14*H15</f>
        <v>1.0029497172961976</v>
      </c>
      <c r="E23" s="8"/>
      <c r="F23" s="8"/>
      <c r="G23" s="8"/>
      <c r="H23" s="8"/>
    </row>
    <row r="24" spans="1:13" ht="15.75" customHeight="1">
      <c r="A24" s="7" t="s">
        <v>151</v>
      </c>
      <c r="B24" s="16">
        <f>1-$C$32*G14</f>
        <v>1</v>
      </c>
      <c r="C24" s="16"/>
      <c r="D24" s="16">
        <f>1-$C$32*H14</f>
        <v>1</v>
      </c>
      <c r="E24" s="8"/>
      <c r="F24" s="8"/>
      <c r="G24" s="8"/>
      <c r="H24" s="8"/>
    </row>
    <row r="25" spans="1:13" ht="15.75" customHeight="1">
      <c r="A25" s="7" t="s">
        <v>54</v>
      </c>
      <c r="B25" s="16">
        <f>B22*B23*B24</f>
        <v>-0.95180763424260328</v>
      </c>
      <c r="C25" s="16"/>
      <c r="D25" s="16">
        <f>D22*D23*D24</f>
        <v>-0.95192180014895134</v>
      </c>
      <c r="E25" s="8"/>
      <c r="F25" s="8"/>
      <c r="G25" s="8"/>
      <c r="H25" s="8"/>
    </row>
    <row r="26" spans="1:13" ht="15.75" customHeight="1">
      <c r="A26" s="8"/>
      <c r="B26" s="8"/>
      <c r="C26" s="8"/>
      <c r="D26" s="8"/>
      <c r="E26" s="8"/>
      <c r="F26" s="8"/>
      <c r="G26" s="8"/>
      <c r="H26" s="8"/>
    </row>
    <row r="27" spans="1:13" ht="15.75" customHeight="1">
      <c r="A27" s="2" t="s">
        <v>171</v>
      </c>
      <c r="B27" s="2" t="s">
        <v>172</v>
      </c>
      <c r="C27" s="27" t="s">
        <v>173</v>
      </c>
      <c r="D27" s="2" t="s">
        <v>172</v>
      </c>
    </row>
    <row r="28" spans="1:13" ht="15.75" customHeight="1">
      <c r="A28" s="2" t="s">
        <v>21</v>
      </c>
      <c r="B28" s="28">
        <f t="shared" ref="B28:B31" si="4">SQRT((B16/B9)^2+(C16/C9)^2)</f>
        <v>9.5372720544598492E-3</v>
      </c>
      <c r="C28" s="2" t="s">
        <v>21</v>
      </c>
      <c r="D28" s="28">
        <f t="shared" ref="D28:D31" si="5">SQRT((D16/D9)^2+(C16/C9)^2)</f>
        <v>6.020978626797205E-3</v>
      </c>
    </row>
    <row r="29" spans="1:13" ht="15.75" customHeight="1">
      <c r="A29" s="2" t="s">
        <v>22</v>
      </c>
      <c r="B29" s="28">
        <f t="shared" si="4"/>
        <v>1.0626511836304213E-2</v>
      </c>
      <c r="C29" s="2" t="s">
        <v>22</v>
      </c>
      <c r="D29" s="28">
        <f t="shared" si="5"/>
        <v>5.3459392050951848E-3</v>
      </c>
    </row>
    <row r="30" spans="1:13" ht="13">
      <c r="A30" s="30" t="s">
        <v>25</v>
      </c>
      <c r="B30" s="28">
        <f t="shared" si="4"/>
        <v>6.0205331605527298E-3</v>
      </c>
      <c r="C30" s="30" t="s">
        <v>25</v>
      </c>
      <c r="D30" s="28">
        <f t="shared" si="5"/>
        <v>2.4638939175945229E-3</v>
      </c>
    </row>
    <row r="31" spans="1:13" ht="13">
      <c r="A31" s="30" t="s">
        <v>28</v>
      </c>
      <c r="B31" s="28">
        <f t="shared" si="4"/>
        <v>9.9599457332520611E-3</v>
      </c>
      <c r="C31" s="30" t="s">
        <v>28</v>
      </c>
      <c r="D31" s="28">
        <f t="shared" si="5"/>
        <v>6.3599282499800618E-3</v>
      </c>
    </row>
    <row r="33" spans="1:20" ht="13">
      <c r="A33" s="27" t="s">
        <v>175</v>
      </c>
      <c r="B33" s="28">
        <f>SQRT((B28^2+B29^2)/2)</f>
        <v>1.0096591307166353E-2</v>
      </c>
      <c r="D33" s="28">
        <f>SQRT((D28^2+D29^2)/2)</f>
        <v>5.6934721220412814E-3</v>
      </c>
    </row>
    <row r="34" spans="1:20" ht="13">
      <c r="A34" s="2" t="s">
        <v>172</v>
      </c>
      <c r="B34" s="28">
        <f>SQRT((B30^2+B31^2)/2)</f>
        <v>8.2294391834025048E-3</v>
      </c>
      <c r="C34" s="28"/>
      <c r="D34" s="28">
        <f>SQRT((D30^2+D31^2)/2)</f>
        <v>4.8228342591288441E-3</v>
      </c>
    </row>
    <row r="35" spans="1:20" ht="13">
      <c r="A35" s="2" t="s">
        <v>178</v>
      </c>
      <c r="B35" s="11">
        <f>B25^2*(B33*B34)</f>
        <v>7.5273720984617341E-5</v>
      </c>
      <c r="D35" s="11">
        <f>D25^2*D33*D34</f>
        <v>2.4881816411134919E-5</v>
      </c>
    </row>
    <row r="36" spans="1:20" ht="13">
      <c r="A36" s="2" t="s">
        <v>180</v>
      </c>
      <c r="B36" s="12">
        <f>SQRT(B35)*G15</f>
        <v>9.1767789514676148E-3</v>
      </c>
      <c r="D36" s="11">
        <f>SQRT(D35)*H15</f>
        <v>5.2890101017886342E-3</v>
      </c>
    </row>
    <row r="39" spans="1:20" ht="13">
      <c r="A39" s="1" t="s">
        <v>229</v>
      </c>
    </row>
    <row r="40" spans="1:20" ht="13">
      <c r="A40" s="2" t="s">
        <v>200</v>
      </c>
      <c r="B40" s="2" t="s">
        <v>230</v>
      </c>
    </row>
    <row r="41" spans="1:20" ht="13">
      <c r="A41" s="2" t="s">
        <v>202</v>
      </c>
      <c r="B41" s="2" t="s">
        <v>231</v>
      </c>
    </row>
    <row r="42" spans="1:20" ht="13">
      <c r="A42" s="2" t="s">
        <v>204</v>
      </c>
      <c r="B42" s="2" t="s">
        <v>232</v>
      </c>
    </row>
    <row r="43" spans="1:20" ht="13">
      <c r="A43" s="2" t="s">
        <v>233</v>
      </c>
      <c r="I43" s="2" t="s">
        <v>234</v>
      </c>
    </row>
    <row r="44" spans="1:20" ht="13">
      <c r="H44" s="1" t="s">
        <v>9</v>
      </c>
      <c r="I44" s="2">
        <v>0.09</v>
      </c>
    </row>
    <row r="45" spans="1:20" ht="13">
      <c r="A45" s="35" t="s">
        <v>15</v>
      </c>
      <c r="B45" s="2" t="s">
        <v>153</v>
      </c>
      <c r="C45" s="2" t="s">
        <v>154</v>
      </c>
      <c r="D45" s="2" t="s">
        <v>155</v>
      </c>
      <c r="E45" s="2" t="s">
        <v>156</v>
      </c>
      <c r="F45" s="2" t="s">
        <v>154</v>
      </c>
      <c r="L45" s="2" t="s">
        <v>157</v>
      </c>
      <c r="Q45" s="2" t="s">
        <v>158</v>
      </c>
      <c r="R45" s="2" t="s">
        <v>159</v>
      </c>
      <c r="S45" s="2" t="s">
        <v>160</v>
      </c>
      <c r="T45" s="2" t="s">
        <v>161</v>
      </c>
    </row>
    <row r="46" spans="1:20" ht="13">
      <c r="A46" s="13"/>
      <c r="B46" s="1" t="s">
        <v>162</v>
      </c>
      <c r="C46" s="1" t="s">
        <v>162</v>
      </c>
      <c r="D46" s="1" t="s">
        <v>14</v>
      </c>
      <c r="E46" s="1" t="s">
        <v>24</v>
      </c>
      <c r="F46" s="1" t="s">
        <v>24</v>
      </c>
      <c r="H46" s="1" t="s">
        <v>163</v>
      </c>
      <c r="I46" s="13"/>
      <c r="J46" s="13"/>
      <c r="L46" s="1" t="s">
        <v>24</v>
      </c>
      <c r="Q46" s="1" t="s">
        <v>164</v>
      </c>
    </row>
    <row r="47" spans="1:20" ht="13">
      <c r="A47" s="1" t="s">
        <v>68</v>
      </c>
      <c r="B47" s="1" t="s">
        <v>69</v>
      </c>
      <c r="C47" s="1" t="s">
        <v>70</v>
      </c>
      <c r="D47" s="1" t="s">
        <v>71</v>
      </c>
      <c r="E47" s="1" t="s">
        <v>69</v>
      </c>
      <c r="F47" s="1" t="s">
        <v>70</v>
      </c>
      <c r="H47" s="1" t="s">
        <v>165</v>
      </c>
      <c r="I47" s="1" t="s">
        <v>166</v>
      </c>
      <c r="J47" s="1" t="s">
        <v>167</v>
      </c>
      <c r="L47" s="2" t="s">
        <v>168</v>
      </c>
      <c r="M47" s="2" t="s">
        <v>155</v>
      </c>
      <c r="N47" s="2" t="s">
        <v>153</v>
      </c>
      <c r="O47" s="2" t="s">
        <v>169</v>
      </c>
      <c r="P47" s="2"/>
      <c r="Q47" s="2" t="s">
        <v>168</v>
      </c>
      <c r="R47" s="2" t="s">
        <v>155</v>
      </c>
      <c r="S47" s="2" t="s">
        <v>153</v>
      </c>
      <c r="T47" s="2" t="s">
        <v>169</v>
      </c>
    </row>
    <row r="48" spans="1:20" ht="13">
      <c r="A48" s="2" t="s">
        <v>170</v>
      </c>
      <c r="B48" s="11">
        <v>12.870799999999999</v>
      </c>
      <c r="C48" s="11">
        <v>6.0647000000000002</v>
      </c>
      <c r="D48" s="11">
        <v>45.252699999999997</v>
      </c>
      <c r="E48" s="11">
        <v>36.010800000000003</v>
      </c>
      <c r="F48" s="11">
        <v>42.326500000000003</v>
      </c>
      <c r="G48" s="11"/>
      <c r="H48" s="11">
        <f t="shared" ref="H48:H51" si="6">C48/B48</f>
        <v>0.47119837150759863</v>
      </c>
      <c r="I48" s="11">
        <f t="shared" ref="I48:I51" si="7">C48/D48</f>
        <v>0.13401852265168709</v>
      </c>
      <c r="J48" s="11">
        <f t="shared" ref="J48:J51" si="8">F48/N48</f>
        <v>0.43602977156249195</v>
      </c>
      <c r="K48" s="11"/>
      <c r="L48" s="11">
        <v>47.576300000000003</v>
      </c>
      <c r="M48" s="11">
        <v>47.813299999999998</v>
      </c>
      <c r="N48" s="11">
        <v>97.072500000000005</v>
      </c>
      <c r="O48" s="11">
        <v>98.589299999999994</v>
      </c>
      <c r="P48" s="11"/>
      <c r="Q48" s="11">
        <f t="shared" ref="Q48:T48" si="9">L48/$N48</f>
        <v>0.49011099951067499</v>
      </c>
      <c r="R48" s="11">
        <f t="shared" si="9"/>
        <v>0.49255247366658939</v>
      </c>
      <c r="S48" s="11">
        <f t="shared" si="9"/>
        <v>1</v>
      </c>
      <c r="T48" s="11">
        <f t="shared" si="9"/>
        <v>1.0156254345978519</v>
      </c>
    </row>
    <row r="49" spans="1:20" ht="13">
      <c r="A49" s="2" t="s">
        <v>174</v>
      </c>
      <c r="B49" s="11">
        <v>12.829499999999999</v>
      </c>
      <c r="C49" s="11">
        <v>6.0580999999999996</v>
      </c>
      <c r="D49" s="11">
        <v>46.407899999999998</v>
      </c>
      <c r="E49" s="11">
        <v>36.960099999999997</v>
      </c>
      <c r="F49" s="11">
        <v>43.6462</v>
      </c>
      <c r="G49" s="11"/>
      <c r="H49" s="11">
        <f t="shared" si="6"/>
        <v>0.47220078724813902</v>
      </c>
      <c r="I49" s="11">
        <f t="shared" si="7"/>
        <v>0.13054027439293742</v>
      </c>
      <c r="J49" s="11">
        <f t="shared" si="8"/>
        <v>0.43904180967364231</v>
      </c>
      <c r="K49" s="11"/>
      <c r="L49" s="11">
        <v>48.444200000000002</v>
      </c>
      <c r="M49" s="11">
        <v>48.621299999999998</v>
      </c>
      <c r="N49" s="11">
        <v>99.412400000000005</v>
      </c>
      <c r="O49" s="11">
        <v>101.105</v>
      </c>
      <c r="P49" s="11"/>
      <c r="Q49" s="11">
        <f t="shared" ref="Q49:T49" si="10">L49/$N49</f>
        <v>0.48730540656899946</v>
      </c>
      <c r="R49" s="11">
        <f t="shared" si="10"/>
        <v>0.48908687447441157</v>
      </c>
      <c r="S49" s="11">
        <f t="shared" si="10"/>
        <v>1</v>
      </c>
      <c r="T49" s="11">
        <f t="shared" si="10"/>
        <v>1.017026045040659</v>
      </c>
    </row>
    <row r="50" spans="1:20" ht="13">
      <c r="A50" s="2" t="s">
        <v>176</v>
      </c>
      <c r="B50" s="11">
        <v>12.843</v>
      </c>
      <c r="C50" s="11">
        <v>5.7549999999999999</v>
      </c>
      <c r="D50" s="11">
        <v>45.692700000000002</v>
      </c>
      <c r="E50" s="11">
        <v>36.453800000000001</v>
      </c>
      <c r="F50" s="11">
        <v>40.559100000000001</v>
      </c>
      <c r="G50" s="11"/>
      <c r="H50" s="11">
        <f t="shared" si="6"/>
        <v>0.44810402553920425</v>
      </c>
      <c r="I50" s="11">
        <f t="shared" si="7"/>
        <v>0.12595009706145621</v>
      </c>
      <c r="J50" s="11">
        <f t="shared" si="8"/>
        <v>0.41366575554830287</v>
      </c>
      <c r="K50" s="11"/>
      <c r="L50" s="11">
        <v>47.396599999999999</v>
      </c>
      <c r="M50" s="11">
        <v>48.227400000000003</v>
      </c>
      <c r="N50" s="11">
        <v>98.048000000000002</v>
      </c>
      <c r="O50" s="11">
        <v>99.590999999999994</v>
      </c>
      <c r="P50" s="11"/>
      <c r="Q50" s="11">
        <f t="shared" ref="Q50:T50" si="11">L50/$N50</f>
        <v>0.48340200718015663</v>
      </c>
      <c r="R50" s="11">
        <f t="shared" si="11"/>
        <v>0.49187540796344648</v>
      </c>
      <c r="S50" s="11">
        <f t="shared" si="11"/>
        <v>1</v>
      </c>
      <c r="T50" s="11">
        <f t="shared" si="11"/>
        <v>1.0157371899477805</v>
      </c>
    </row>
    <row r="51" spans="1:20" ht="13">
      <c r="A51" s="2" t="s">
        <v>177</v>
      </c>
      <c r="B51" s="11">
        <v>12.112299999999999</v>
      </c>
      <c r="C51" s="11">
        <v>5.4126000000000003</v>
      </c>
      <c r="D51" s="11">
        <v>42.753700000000002</v>
      </c>
      <c r="E51" s="11">
        <v>33.637700000000002</v>
      </c>
      <c r="F51" s="11">
        <v>37.788600000000002</v>
      </c>
      <c r="G51" s="1"/>
      <c r="H51" s="11">
        <f t="shared" si="6"/>
        <v>0.44686805974092458</v>
      </c>
      <c r="I51" s="11">
        <f t="shared" si="7"/>
        <v>0.1265995691600961</v>
      </c>
      <c r="J51" s="11">
        <f t="shared" si="8"/>
        <v>0.41214200721357036</v>
      </c>
      <c r="L51" s="10">
        <v>44.892600000000002</v>
      </c>
      <c r="M51" s="10">
        <v>44.9343</v>
      </c>
      <c r="N51" s="10">
        <v>91.688299999999998</v>
      </c>
      <c r="O51" s="10">
        <v>93.393299999999996</v>
      </c>
      <c r="Q51" s="11">
        <f t="shared" ref="Q51:T51" si="12">L51/$N51</f>
        <v>0.48962190377616338</v>
      </c>
      <c r="R51" s="11">
        <f t="shared" si="12"/>
        <v>0.49007670553385768</v>
      </c>
      <c r="S51" s="11">
        <f t="shared" si="12"/>
        <v>1</v>
      </c>
      <c r="T51" s="11">
        <f t="shared" si="12"/>
        <v>1.0185956114357011</v>
      </c>
    </row>
    <row r="52" spans="1:20" ht="13">
      <c r="G52" s="1"/>
      <c r="H52" s="5"/>
      <c r="I52" s="5"/>
      <c r="J52" s="5"/>
    </row>
    <row r="53" spans="1:20" ht="13">
      <c r="G53" s="1" t="s">
        <v>179</v>
      </c>
      <c r="H53" s="11">
        <f t="shared" ref="H53:J53" si="13">AVERAGE(H50:H51)</f>
        <v>0.44748604264006442</v>
      </c>
      <c r="I53" s="11">
        <f t="shared" si="13"/>
        <v>0.12627483311077614</v>
      </c>
      <c r="J53" s="11">
        <f t="shared" si="13"/>
        <v>0.41290388138093659</v>
      </c>
      <c r="P53" s="1" t="s">
        <v>179</v>
      </c>
      <c r="Q53" s="11">
        <f t="shared" ref="Q53:T53" si="14">AVERAGE(Q47:T49)</f>
        <v>0.74896340423239827</v>
      </c>
      <c r="R53" s="11">
        <f t="shared" si="14"/>
        <v>0.83571513796325192</v>
      </c>
      <c r="S53" s="11">
        <f t="shared" si="14"/>
        <v>1.0081628699096277</v>
      </c>
      <c r="T53" s="11">
        <f t="shared" si="14"/>
        <v>1.0163257398192553</v>
      </c>
    </row>
    <row r="54" spans="1:20" ht="13">
      <c r="G54" s="1" t="s">
        <v>181</v>
      </c>
      <c r="H54" s="11">
        <f t="shared" ref="H54:J54" si="15">AVERAGE(H48:H49)</f>
        <v>0.47169957937786883</v>
      </c>
      <c r="I54" s="11">
        <f t="shared" si="15"/>
        <v>0.13227939852231224</v>
      </c>
      <c r="J54" s="11">
        <f t="shared" si="15"/>
        <v>0.43753579061806713</v>
      </c>
      <c r="P54" s="1" t="s">
        <v>181</v>
      </c>
      <c r="Q54" s="11">
        <f t="shared" ref="Q54:T54" si="16">AVERAGE(Q50:T51)</f>
        <v>0.74866360322963832</v>
      </c>
      <c r="R54" s="11">
        <f t="shared" si="16"/>
        <v>0.83604748581346433</v>
      </c>
      <c r="S54" s="11">
        <f t="shared" si="16"/>
        <v>1.0085832003458703</v>
      </c>
      <c r="T54" s="11">
        <f t="shared" si="16"/>
        <v>1.0171664006917407</v>
      </c>
    </row>
    <row r="55" spans="1:20" ht="13">
      <c r="G55" s="1" t="s">
        <v>31</v>
      </c>
      <c r="H55" s="11">
        <f t="shared" ref="H55:J55" si="17">H53/H54</f>
        <v>0.94866746167181237</v>
      </c>
      <c r="I55" s="11">
        <f t="shared" si="17"/>
        <v>0.9546069495430668</v>
      </c>
      <c r="J55" s="11">
        <f t="shared" si="17"/>
        <v>0.94370309866003121</v>
      </c>
      <c r="P55" s="1" t="s">
        <v>31</v>
      </c>
      <c r="Q55" s="11">
        <f t="shared" ref="Q55:T55" si="18">Q53/Q54</f>
        <v>1.0004004482139464</v>
      </c>
      <c r="R55" s="11">
        <f t="shared" si="18"/>
        <v>0.99960247730439733</v>
      </c>
      <c r="S55" s="11">
        <f t="shared" si="18"/>
        <v>0.99958324664132958</v>
      </c>
      <c r="T55" s="11">
        <f t="shared" si="18"/>
        <v>0.99917352669935455</v>
      </c>
    </row>
    <row r="56" spans="1:20" ht="13">
      <c r="G56" s="40" t="s">
        <v>0</v>
      </c>
      <c r="H56" s="33">
        <f t="shared" ref="H56:J56" si="19">LN(1-$I$44)/LN(1-$I$44*H55)</f>
        <v>1.0567416154704401</v>
      </c>
      <c r="I56" s="5">
        <f t="shared" si="19"/>
        <v>1.0498643007620745</v>
      </c>
      <c r="J56" s="33">
        <f t="shared" si="19"/>
        <v>1.0625562065132588</v>
      </c>
      <c r="P56" s="1" t="s">
        <v>0</v>
      </c>
      <c r="Q56" s="11">
        <f t="shared" ref="Q56:T56" si="20">LN(1-$I$44)/LN(1-$I$44*Q55)</f>
        <v>0.99958022858445206</v>
      </c>
      <c r="R56" s="11">
        <f t="shared" si="20"/>
        <v>1.000417037121293</v>
      </c>
      <c r="S56" s="11">
        <f t="shared" si="20"/>
        <v>1.0004372202242242</v>
      </c>
      <c r="T56" s="11">
        <f t="shared" si="20"/>
        <v>1.0008674168889333</v>
      </c>
    </row>
    <row r="57" spans="1:20" ht="13">
      <c r="G57" s="1" t="s">
        <v>34</v>
      </c>
      <c r="H57" s="33">
        <f t="shared" ref="H57:I57" si="21">B79/SQRT(3)</f>
        <v>4.7451058620873636E-3</v>
      </c>
      <c r="I57" s="33">
        <f t="shared" si="21"/>
        <v>2.0110316452801565E-3</v>
      </c>
      <c r="J57" s="33">
        <f>D79/SQRT(6)</f>
        <v>5.2201258879444271E-3</v>
      </c>
    </row>
    <row r="59" spans="1:20" ht="13">
      <c r="A59" s="35" t="s">
        <v>148</v>
      </c>
    </row>
    <row r="60" spans="1:20" ht="13">
      <c r="A60" s="2"/>
      <c r="B60" s="2" t="s">
        <v>153</v>
      </c>
      <c r="C60" s="2" t="s">
        <v>154</v>
      </c>
      <c r="D60" s="2" t="s">
        <v>155</v>
      </c>
      <c r="E60" s="2" t="s">
        <v>156</v>
      </c>
      <c r="F60" s="2" t="s">
        <v>154</v>
      </c>
      <c r="L60" s="35" t="s">
        <v>207</v>
      </c>
    </row>
    <row r="61" spans="1:20" ht="13">
      <c r="B61" s="1" t="s">
        <v>162</v>
      </c>
      <c r="C61" s="1" t="s">
        <v>162</v>
      </c>
      <c r="D61" s="1" t="s">
        <v>14</v>
      </c>
      <c r="E61" s="1" t="s">
        <v>24</v>
      </c>
      <c r="F61" s="1" t="s">
        <v>24</v>
      </c>
      <c r="L61" s="7" t="s">
        <v>214</v>
      </c>
      <c r="M61" s="2">
        <v>0.25</v>
      </c>
    </row>
    <row r="62" spans="1:20" ht="13">
      <c r="B62" s="1" t="s">
        <v>184</v>
      </c>
      <c r="C62" s="1" t="s">
        <v>184</v>
      </c>
      <c r="D62" s="1" t="s">
        <v>184</v>
      </c>
      <c r="E62" s="1" t="s">
        <v>184</v>
      </c>
      <c r="F62" s="1" t="s">
        <v>184</v>
      </c>
      <c r="L62" s="2" t="s">
        <v>216</v>
      </c>
      <c r="M62" s="2">
        <v>0.15</v>
      </c>
    </row>
    <row r="63" spans="1:20" ht="14">
      <c r="A63" s="2" t="s">
        <v>185</v>
      </c>
      <c r="B63" s="32">
        <v>0.10539999999999999</v>
      </c>
      <c r="C63" s="32">
        <v>3.04E-2</v>
      </c>
      <c r="D63" s="32">
        <v>2.1700000000000001E-2</v>
      </c>
      <c r="E63" s="32">
        <v>0.4516</v>
      </c>
      <c r="F63" s="32">
        <v>0.3271</v>
      </c>
      <c r="L63" s="2" t="s">
        <v>218</v>
      </c>
      <c r="M63" s="2">
        <v>0.5</v>
      </c>
    </row>
    <row r="64" spans="1:20" ht="14">
      <c r="A64" s="2" t="s">
        <v>186</v>
      </c>
      <c r="B64" s="32">
        <v>0.15210000000000001</v>
      </c>
      <c r="C64" s="32">
        <v>2.6200000000000001E-2</v>
      </c>
      <c r="D64" s="32">
        <v>2.2700000000000001E-2</v>
      </c>
      <c r="E64" s="32">
        <v>0.40510000000000002</v>
      </c>
      <c r="F64" s="32">
        <v>0.2429</v>
      </c>
      <c r="L64" s="2" t="s">
        <v>219</v>
      </c>
      <c r="M64" s="2">
        <v>0.04</v>
      </c>
    </row>
    <row r="65" spans="1:15" ht="14">
      <c r="A65" s="2" t="s">
        <v>187</v>
      </c>
      <c r="B65" s="32">
        <v>6.4199999999999993E-2</v>
      </c>
      <c r="C65" s="32">
        <v>1.14E-2</v>
      </c>
      <c r="D65" s="32">
        <v>2.9600000000000001E-2</v>
      </c>
      <c r="E65" s="32">
        <v>0.36799999999999999</v>
      </c>
      <c r="F65" s="32">
        <v>0.3362</v>
      </c>
      <c r="L65" s="2" t="s">
        <v>236</v>
      </c>
      <c r="M65" s="2">
        <v>0.12</v>
      </c>
    </row>
    <row r="66" spans="1:15" ht="14">
      <c r="A66" s="2" t="s">
        <v>188</v>
      </c>
      <c r="B66" s="32">
        <v>9.0899999999999995E-2</v>
      </c>
      <c r="C66" s="32">
        <v>2.0299999999999999E-2</v>
      </c>
      <c r="D66" s="32">
        <v>2.4199999999999999E-2</v>
      </c>
      <c r="E66" s="32">
        <v>0.43020000000000003</v>
      </c>
      <c r="F66" s="32">
        <v>0.27629999999999999</v>
      </c>
      <c r="L66" s="2" t="s">
        <v>237</v>
      </c>
      <c r="M66" s="2">
        <v>0.14000000000000001</v>
      </c>
    </row>
    <row r="68" spans="1:15" ht="13">
      <c r="L68" s="2" t="s">
        <v>222</v>
      </c>
      <c r="N68" s="2" t="s">
        <v>223</v>
      </c>
      <c r="O68" s="2" t="s">
        <v>224</v>
      </c>
    </row>
    <row r="69" spans="1:15" ht="13">
      <c r="B69" s="2" t="s">
        <v>189</v>
      </c>
      <c r="C69" s="2" t="s">
        <v>190</v>
      </c>
      <c r="D69" s="2" t="s">
        <v>24</v>
      </c>
      <c r="L69" s="2" t="s">
        <v>185</v>
      </c>
      <c r="M69" s="2" t="s">
        <v>14</v>
      </c>
      <c r="N69" s="2">
        <v>58.25</v>
      </c>
      <c r="O69" s="2">
        <v>0</v>
      </c>
    </row>
    <row r="70" spans="1:15" ht="13">
      <c r="A70" s="2" t="s">
        <v>171</v>
      </c>
      <c r="B70" s="2" t="s">
        <v>172</v>
      </c>
      <c r="C70" s="2" t="s">
        <v>172</v>
      </c>
      <c r="D70" s="2" t="s">
        <v>172</v>
      </c>
      <c r="M70" s="2" t="s">
        <v>13</v>
      </c>
      <c r="N70" s="2">
        <v>5</v>
      </c>
      <c r="O70" s="2">
        <v>0</v>
      </c>
    </row>
    <row r="71" spans="1:15" ht="13">
      <c r="A71" s="2" t="s">
        <v>185</v>
      </c>
      <c r="B71" s="11">
        <f t="shared" ref="B71:C71" si="22">SQRT((B63/B48)^2+(C63/C48)^2)</f>
        <v>9.6014226199530959E-3</v>
      </c>
      <c r="C71" s="11">
        <f t="shared" si="22"/>
        <v>5.0354987189775791E-3</v>
      </c>
      <c r="D71" s="11">
        <f t="shared" ref="D71:D74" si="23">SQRT((E63/E48)^2+(F63/F48)^2)</f>
        <v>1.4730614043197419E-2</v>
      </c>
      <c r="L71" s="2"/>
      <c r="M71" s="2" t="s">
        <v>24</v>
      </c>
      <c r="N71" s="2">
        <v>68</v>
      </c>
      <c r="O71" s="2">
        <v>15</v>
      </c>
    </row>
    <row r="72" spans="1:15" ht="13">
      <c r="A72" s="2" t="s">
        <v>186</v>
      </c>
      <c r="B72" s="11">
        <f t="shared" ref="B72:C72" si="24">SQRT((B64/B49)^2+(C64/C49)^2)</f>
        <v>1.2619683848231237E-2</v>
      </c>
      <c r="C72" s="11">
        <f t="shared" si="24"/>
        <v>4.3523617287569306E-3</v>
      </c>
      <c r="D72" s="11">
        <f t="shared" si="23"/>
        <v>1.2292410526746778E-2</v>
      </c>
      <c r="L72" s="2" t="s">
        <v>186</v>
      </c>
      <c r="M72" s="2" t="s">
        <v>14</v>
      </c>
      <c r="N72" s="2">
        <v>57.8</v>
      </c>
      <c r="O72" s="2">
        <v>0</v>
      </c>
    </row>
    <row r="73" spans="1:15" ht="13">
      <c r="A73" s="2" t="s">
        <v>187</v>
      </c>
      <c r="B73" s="11">
        <f t="shared" ref="B73:C73" si="25">SQRT((B65/B50)^2+(C65/C50)^2)</f>
        <v>5.377009571459577E-3</v>
      </c>
      <c r="C73" s="11">
        <f t="shared" si="25"/>
        <v>2.0841215289231071E-3</v>
      </c>
      <c r="D73" s="11">
        <f t="shared" si="23"/>
        <v>1.3062091250370438E-2</v>
      </c>
      <c r="L73" s="2"/>
      <c r="M73" s="2" t="s">
        <v>13</v>
      </c>
      <c r="N73" s="2">
        <v>5</v>
      </c>
      <c r="O73" s="2">
        <v>0</v>
      </c>
    </row>
    <row r="74" spans="1:15" ht="13">
      <c r="A74" s="2" t="s">
        <v>188</v>
      </c>
      <c r="B74" s="11">
        <f t="shared" ref="B74:C74" si="26">SQRT((B66/B51)^2+(C66/C51)^2)</f>
        <v>8.389746822922664E-3</v>
      </c>
      <c r="C74" s="11">
        <f t="shared" si="26"/>
        <v>3.7929808902865121E-3</v>
      </c>
      <c r="D74" s="11">
        <f t="shared" si="23"/>
        <v>1.4731787725369748E-2</v>
      </c>
      <c r="M74" s="2" t="s">
        <v>24</v>
      </c>
      <c r="N74" s="2">
        <v>70</v>
      </c>
      <c r="O74" s="2">
        <v>12</v>
      </c>
    </row>
    <row r="75" spans="1:15" ht="13">
      <c r="B75" s="11"/>
      <c r="C75" s="11"/>
      <c r="D75" s="11"/>
      <c r="L75" s="2" t="s">
        <v>187</v>
      </c>
      <c r="M75" s="2" t="s">
        <v>14</v>
      </c>
      <c r="N75" s="2">
        <v>57.8</v>
      </c>
      <c r="O75" s="2">
        <v>0</v>
      </c>
    </row>
    <row r="76" spans="1:15" ht="13">
      <c r="A76" s="2" t="s">
        <v>175</v>
      </c>
      <c r="B76" s="11">
        <f t="shared" ref="B76:D76" si="27">SQRT((B71^2+B72^2)/2)</f>
        <v>1.1212576348820447E-2</v>
      </c>
      <c r="C76" s="11">
        <f t="shared" si="27"/>
        <v>4.7063414648096276E-3</v>
      </c>
      <c r="D76" s="11">
        <f t="shared" si="27"/>
        <v>1.3566398686602867E-2</v>
      </c>
      <c r="M76" s="2" t="s">
        <v>13</v>
      </c>
      <c r="N76" s="2">
        <v>5</v>
      </c>
      <c r="O76" s="2">
        <v>0</v>
      </c>
    </row>
    <row r="77" spans="1:15" ht="13">
      <c r="A77" s="2" t="s">
        <v>172</v>
      </c>
      <c r="B77" s="11">
        <f t="shared" ref="B77:D77" si="28">SQRT((B73^2+B74^2)/2)</f>
        <v>7.0462785810777038E-3</v>
      </c>
      <c r="C77" s="11">
        <f t="shared" si="28"/>
        <v>3.060250527440478E-3</v>
      </c>
      <c r="D77" s="11">
        <f t="shared" si="28"/>
        <v>1.3921993345393444E-2</v>
      </c>
      <c r="M77" s="2" t="s">
        <v>24</v>
      </c>
      <c r="N77" s="2">
        <v>67</v>
      </c>
      <c r="O77" s="2">
        <v>14</v>
      </c>
    </row>
    <row r="78" spans="1:15" ht="13">
      <c r="A78" s="2" t="s">
        <v>191</v>
      </c>
      <c r="B78" s="11">
        <f t="shared" ref="B78:D78" si="29">B84^2*(B76*B77)</f>
        <v>6.0488866325718588E-5</v>
      </c>
      <c r="C78" s="11">
        <f t="shared" si="29"/>
        <v>1.1007602223171867E-5</v>
      </c>
      <c r="D78" s="11">
        <f t="shared" si="29"/>
        <v>1.4481360953471346E-4</v>
      </c>
      <c r="L78" s="2" t="s">
        <v>188</v>
      </c>
      <c r="M78" s="2" t="s">
        <v>14</v>
      </c>
      <c r="N78" s="2">
        <v>57.8</v>
      </c>
      <c r="O78" s="2">
        <v>0</v>
      </c>
    </row>
    <row r="79" spans="1:15" ht="13">
      <c r="A79" s="2" t="s">
        <v>180</v>
      </c>
      <c r="B79" s="11">
        <f t="shared" ref="B79:D79" si="30">SQRT(B78)*H56</f>
        <v>8.218764440428232E-3</v>
      </c>
      <c r="C79" s="11">
        <f t="shared" si="30"/>
        <v>3.483208985254063E-3</v>
      </c>
      <c r="D79" s="11">
        <f t="shared" si="30"/>
        <v>1.2786644818556802E-2</v>
      </c>
      <c r="M79" s="2" t="s">
        <v>13</v>
      </c>
      <c r="N79" s="2">
        <v>5</v>
      </c>
      <c r="O79" s="2">
        <v>0</v>
      </c>
    </row>
    <row r="80" spans="1:15" ht="13">
      <c r="B80" s="2" t="s">
        <v>189</v>
      </c>
      <c r="C80" s="2" t="s">
        <v>190</v>
      </c>
      <c r="D80" s="2" t="s">
        <v>24</v>
      </c>
      <c r="M80" s="2" t="s">
        <v>24</v>
      </c>
      <c r="N80" s="2">
        <v>67</v>
      </c>
      <c r="O80" s="2">
        <v>14</v>
      </c>
    </row>
    <row r="81" spans="1:4" ht="13">
      <c r="A81" s="7" t="s">
        <v>149</v>
      </c>
      <c r="B81" s="16">
        <f t="shared" ref="B81:D81" si="31">$I$44/LN(1-$I$44)</f>
        <v>-0.95429277473760776</v>
      </c>
      <c r="C81" s="16">
        <f t="shared" si="31"/>
        <v>-0.95429277473760776</v>
      </c>
      <c r="D81" s="16">
        <f t="shared" si="31"/>
        <v>-0.95429277473760776</v>
      </c>
    </row>
    <row r="82" spans="1:4" ht="13">
      <c r="A82" s="7" t="s">
        <v>150</v>
      </c>
      <c r="B82" s="16">
        <f t="shared" ref="B82:D82" si="32">H55*H56</f>
        <v>1.0024963859913127</v>
      </c>
      <c r="C82" s="16">
        <f t="shared" si="32"/>
        <v>1.0022077575846486</v>
      </c>
      <c r="D82" s="16">
        <f t="shared" si="32"/>
        <v>1.0027375845870103</v>
      </c>
    </row>
    <row r="83" spans="1:4" ht="13">
      <c r="A83" s="7" t="s">
        <v>151</v>
      </c>
      <c r="B83" s="16">
        <f t="shared" ref="B83:D83" si="33">1-$I$44*H55</f>
        <v>0.91461992844953688</v>
      </c>
      <c r="C83" s="16">
        <f t="shared" si="33"/>
        <v>0.91408537454112393</v>
      </c>
      <c r="D83" s="16">
        <f t="shared" si="33"/>
        <v>0.91506672112059717</v>
      </c>
    </row>
    <row r="84" spans="1:4" ht="13">
      <c r="A84" s="7" t="s">
        <v>54</v>
      </c>
      <c r="B84" s="16">
        <f t="shared" ref="B84:D84" si="34">B81*B82*B83</f>
        <v>-0.87499407296212028</v>
      </c>
      <c r="C84" s="16">
        <f t="shared" si="34"/>
        <v>-0.87423090654884161</v>
      </c>
      <c r="D84" s="16">
        <f t="shared" si="34"/>
        <v>-0.87563213300462028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/>
  </sheetViews>
  <sheetFormatPr baseColWidth="10" defaultColWidth="14.5" defaultRowHeight="15.75" customHeight="1"/>
  <cols>
    <col min="1" max="1" width="20.83203125" customWidth="1"/>
    <col min="2" max="3" width="15.1640625" customWidth="1"/>
  </cols>
  <sheetData>
    <row r="1" spans="1:13" ht="15.75" customHeight="1">
      <c r="A1" s="1" t="s">
        <v>3</v>
      </c>
      <c r="B1" s="2"/>
      <c r="C1" s="2"/>
      <c r="D1" s="2"/>
      <c r="G1" s="2"/>
      <c r="H1" s="2"/>
    </row>
    <row r="2" spans="1:13" ht="15.75" customHeight="1">
      <c r="A2" s="2" t="s">
        <v>4</v>
      </c>
      <c r="B2" s="2"/>
      <c r="C2" s="2"/>
      <c r="D2" s="2"/>
      <c r="G2" s="2"/>
      <c r="H2" s="2"/>
    </row>
    <row r="3" spans="1:13" ht="15.75" customHeight="1">
      <c r="A3" s="2"/>
      <c r="B3" s="2"/>
      <c r="C3" s="2"/>
      <c r="D3" s="2"/>
      <c r="G3" s="2"/>
      <c r="H3" s="2"/>
    </row>
    <row r="4" spans="1:13" ht="15.75" customHeight="1">
      <c r="A4" s="2" t="s">
        <v>68</v>
      </c>
      <c r="B4" s="2" t="s">
        <v>69</v>
      </c>
      <c r="C4" s="2" t="s">
        <v>70</v>
      </c>
      <c r="D4" s="2" t="s">
        <v>71</v>
      </c>
      <c r="G4" s="2" t="s">
        <v>72</v>
      </c>
      <c r="H4" s="2" t="s">
        <v>73</v>
      </c>
    </row>
    <row r="5" spans="1:13" ht="15.75" customHeight="1">
      <c r="A5" s="2" t="s">
        <v>21</v>
      </c>
      <c r="B5" s="22">
        <v>18.357299999999999</v>
      </c>
      <c r="C5" s="22">
        <v>8.7650000000000006</v>
      </c>
      <c r="D5" s="22">
        <v>16.8033</v>
      </c>
      <c r="G5" s="11">
        <f t="shared" ref="G5:G8" si="0">C5/B5</f>
        <v>0.47746672985678729</v>
      </c>
      <c r="H5" s="11">
        <f t="shared" ref="H5:H8" si="1">C5/D5</f>
        <v>0.52162372867234419</v>
      </c>
    </row>
    <row r="6" spans="1:13" ht="15.75" customHeight="1">
      <c r="A6" s="2" t="s">
        <v>22</v>
      </c>
      <c r="B6" s="22">
        <v>18.221699999999998</v>
      </c>
      <c r="C6" s="22">
        <v>8.6641999999999992</v>
      </c>
      <c r="D6" s="22">
        <v>16.7133</v>
      </c>
      <c r="G6" s="11">
        <f t="shared" si="0"/>
        <v>0.4754880170346345</v>
      </c>
      <c r="H6" s="11">
        <f t="shared" si="1"/>
        <v>0.51840151256783518</v>
      </c>
      <c r="J6" s="23">
        <f t="shared" ref="J6:K6" si="2">(G6-G5)/G6</f>
        <v>-4.1614357276403341E-3</v>
      </c>
      <c r="K6" s="23">
        <f t="shared" si="2"/>
        <v>-6.215676510178722E-3</v>
      </c>
    </row>
    <row r="7" spans="1:13" ht="15.75" customHeight="1">
      <c r="A7" s="2" t="s">
        <v>25</v>
      </c>
      <c r="B7" s="22">
        <v>18.738</v>
      </c>
      <c r="C7" s="22">
        <v>8.4694000000000003</v>
      </c>
      <c r="D7" s="22">
        <v>17.144600000000001</v>
      </c>
      <c r="G7" s="11">
        <f t="shared" si="0"/>
        <v>0.45199060732201946</v>
      </c>
      <c r="H7" s="11">
        <f t="shared" si="1"/>
        <v>0.49399811019213047</v>
      </c>
    </row>
    <row r="8" spans="1:13" ht="15.75" customHeight="1">
      <c r="A8" s="2" t="s">
        <v>74</v>
      </c>
      <c r="B8" s="22">
        <v>18.465</v>
      </c>
      <c r="C8" s="22">
        <v>8.3574999999999999</v>
      </c>
      <c r="D8" s="22">
        <v>17.036100000000001</v>
      </c>
      <c r="G8" s="11">
        <f t="shared" si="0"/>
        <v>0.45261305171946925</v>
      </c>
      <c r="H8" s="11">
        <f t="shared" si="1"/>
        <v>0.4905758947176877</v>
      </c>
      <c r="J8" s="23">
        <f t="shared" ref="J8:K8" si="3">(G8-G7)/G8</f>
        <v>1.3752241458463016E-3</v>
      </c>
      <c r="K8" s="23">
        <f t="shared" si="3"/>
        <v>-6.9759144533837227E-3</v>
      </c>
      <c r="M8" s="23">
        <f>AVERAGE(J6:K8)</f>
        <v>-3.9944506363391195E-3</v>
      </c>
    </row>
    <row r="10" spans="1:13" ht="15.75" customHeight="1">
      <c r="A10" s="2" t="s">
        <v>95</v>
      </c>
      <c r="F10" s="2" t="s">
        <v>31</v>
      </c>
      <c r="G10" s="11">
        <f t="shared" ref="G10:H10" si="4">AVERAGE(G7:G8)/AVERAGE(G5:G6)</f>
        <v>0.94926192664693021</v>
      </c>
      <c r="H10" s="11">
        <f t="shared" si="4"/>
        <v>0.94668279755956852</v>
      </c>
    </row>
    <row r="11" spans="1:13" ht="15.75" customHeight="1">
      <c r="A11" s="2" t="s">
        <v>103</v>
      </c>
      <c r="B11" s="2">
        <v>12</v>
      </c>
      <c r="C11" s="2">
        <v>31</v>
      </c>
      <c r="F11" s="2" t="s">
        <v>0</v>
      </c>
      <c r="G11" s="11">
        <f t="shared" ref="G11:H11" si="5">LN(1-0.1)/LN(1-0.1*G10)</f>
        <v>1.0563645546620075</v>
      </c>
      <c r="H11" s="11">
        <f t="shared" si="5"/>
        <v>1.0593909062757667</v>
      </c>
    </row>
    <row r="12" spans="1:13" ht="15.75" customHeight="1">
      <c r="A12" s="2" t="s">
        <v>114</v>
      </c>
      <c r="B12" s="2">
        <v>462</v>
      </c>
      <c r="C12" s="2">
        <v>128</v>
      </c>
      <c r="I12" s="11"/>
    </row>
    <row r="13" spans="1:13" ht="15.75" customHeight="1">
      <c r="B13" s="2"/>
      <c r="C13" s="2"/>
      <c r="I13" s="11"/>
    </row>
    <row r="15" spans="1:13" ht="15.75" customHeight="1">
      <c r="A15" s="2" t="s">
        <v>115</v>
      </c>
    </row>
    <row r="16" spans="1:13" ht="15.75" customHeight="1">
      <c r="A16" s="2" t="s">
        <v>103</v>
      </c>
      <c r="B16" s="2">
        <v>13</v>
      </c>
      <c r="C16" s="2">
        <v>31</v>
      </c>
    </row>
    <row r="17" spans="1:6" ht="15.75" customHeight="1">
      <c r="A17" s="2" t="s">
        <v>114</v>
      </c>
      <c r="B17" s="2">
        <v>785</v>
      </c>
      <c r="C17" s="2">
        <v>228</v>
      </c>
    </row>
    <row r="18" spans="1:6" ht="15.75" customHeight="1">
      <c r="D18" s="22"/>
      <c r="E18" s="2"/>
    </row>
    <row r="20" spans="1:6" ht="15.75" customHeight="1">
      <c r="A20" s="2" t="s">
        <v>117</v>
      </c>
    </row>
    <row r="21" spans="1:6" ht="15.75" customHeight="1">
      <c r="A21" s="2" t="s">
        <v>103</v>
      </c>
      <c r="B21" s="2">
        <v>13</v>
      </c>
      <c r="C21" s="2">
        <v>27</v>
      </c>
    </row>
    <row r="22" spans="1:6" ht="15.75" customHeight="1">
      <c r="A22" s="2" t="s">
        <v>114</v>
      </c>
      <c r="B22" s="2">
        <v>1009</v>
      </c>
      <c r="C22" s="2">
        <v>341</v>
      </c>
    </row>
    <row r="24" spans="1:6" ht="15.75" customHeight="1">
      <c r="A24" s="2" t="s">
        <v>120</v>
      </c>
    </row>
    <row r="25" spans="1:6" ht="15.75" customHeight="1">
      <c r="A25" s="2" t="s">
        <v>103</v>
      </c>
      <c r="B25" s="2">
        <v>12</v>
      </c>
      <c r="C25" s="2">
        <v>22</v>
      </c>
    </row>
    <row r="26" spans="1:6" ht="15.75" customHeight="1">
      <c r="A26" s="2" t="s">
        <v>114</v>
      </c>
      <c r="B26" s="2">
        <v>942</v>
      </c>
      <c r="C26" s="2">
        <v>361</v>
      </c>
    </row>
    <row r="28" spans="1:6" ht="15.75" customHeight="1">
      <c r="B28" s="2" t="s">
        <v>123</v>
      </c>
      <c r="C28" s="2" t="s">
        <v>123</v>
      </c>
    </row>
    <row r="29" spans="1:6" ht="15.75" customHeight="1">
      <c r="A29" s="2" t="s">
        <v>103</v>
      </c>
      <c r="B29" s="2">
        <v>13</v>
      </c>
      <c r="C29" s="2">
        <v>31</v>
      </c>
      <c r="E29" s="2" t="s">
        <v>125</v>
      </c>
      <c r="F29" s="2">
        <v>40.052</v>
      </c>
    </row>
    <row r="30" spans="1:6" ht="13">
      <c r="A30" s="2" t="s">
        <v>114</v>
      </c>
      <c r="B30" s="2">
        <v>1009</v>
      </c>
      <c r="C30" s="2">
        <v>341</v>
      </c>
      <c r="E30" s="2" t="s">
        <v>126</v>
      </c>
      <c r="F30" s="2">
        <v>10.705</v>
      </c>
    </row>
    <row r="31" spans="1:6" ht="13">
      <c r="A31" s="2" t="s">
        <v>129</v>
      </c>
      <c r="B31" s="14">
        <f t="shared" ref="B31:C31" si="6">B30/B29</f>
        <v>77.615384615384613</v>
      </c>
      <c r="C31" s="14">
        <f t="shared" si="6"/>
        <v>11</v>
      </c>
      <c r="E31" s="2" t="s">
        <v>138</v>
      </c>
      <c r="F31">
        <f>(F29/F30)^2.5</f>
        <v>27.076581947023637</v>
      </c>
    </row>
    <row r="32" spans="1:6" ht="13">
      <c r="A32" s="2" t="s">
        <v>139</v>
      </c>
      <c r="B32" s="2">
        <f>F31*F32*3/2</f>
        <v>101.53718230133863</v>
      </c>
      <c r="C32" s="2">
        <f>F31*F32/2</f>
        <v>33.845727433779544</v>
      </c>
      <c r="E32" s="2" t="s">
        <v>140</v>
      </c>
      <c r="F32" s="2">
        <v>2.5</v>
      </c>
    </row>
    <row r="35" spans="1:9" ht="13">
      <c r="A35" s="7" t="s">
        <v>115</v>
      </c>
      <c r="B35" s="7" t="s">
        <v>141</v>
      </c>
      <c r="C35" s="7">
        <v>0.1</v>
      </c>
      <c r="D35" s="8"/>
      <c r="E35" s="7" t="s">
        <v>142</v>
      </c>
      <c r="F35" s="7">
        <v>8</v>
      </c>
      <c r="G35" s="8"/>
      <c r="H35" s="8"/>
      <c r="I35" s="8"/>
    </row>
    <row r="36" spans="1:9" ht="13">
      <c r="A36" s="24" t="s">
        <v>15</v>
      </c>
      <c r="B36" s="8"/>
      <c r="C36" s="8"/>
      <c r="D36" s="8"/>
      <c r="E36" s="8"/>
      <c r="F36" s="8"/>
      <c r="G36" s="8"/>
      <c r="H36" s="8"/>
      <c r="I36" s="8"/>
    </row>
    <row r="37" spans="1:9" ht="13">
      <c r="A37" s="7" t="s">
        <v>68</v>
      </c>
      <c r="B37" s="7" t="s">
        <v>69</v>
      </c>
      <c r="C37" s="7" t="s">
        <v>70</v>
      </c>
      <c r="D37" s="7" t="s">
        <v>71</v>
      </c>
      <c r="E37" s="8"/>
      <c r="F37" s="8"/>
      <c r="G37" s="7" t="s">
        <v>72</v>
      </c>
      <c r="H37" s="7" t="s">
        <v>73</v>
      </c>
      <c r="I37" s="8"/>
    </row>
    <row r="38" spans="1:9" ht="14">
      <c r="A38" s="7" t="s">
        <v>21</v>
      </c>
      <c r="B38" s="25">
        <v>18.357299999999999</v>
      </c>
      <c r="C38" s="25">
        <v>8.7547999999999995</v>
      </c>
      <c r="D38" s="25">
        <v>16.8035</v>
      </c>
      <c r="E38" s="8"/>
      <c r="F38" s="8"/>
      <c r="G38" s="16">
        <f t="shared" ref="G38:G41" si="7">C38/B38</f>
        <v>0.47691109258986891</v>
      </c>
      <c r="H38" s="16">
        <f t="shared" ref="H38:H41" si="8">C38/D38</f>
        <v>0.52101050376409674</v>
      </c>
      <c r="I38" s="8"/>
    </row>
    <row r="39" spans="1:9" ht="14">
      <c r="A39" s="7" t="s">
        <v>22</v>
      </c>
      <c r="B39" s="25">
        <v>18.258099999999999</v>
      </c>
      <c r="C39" s="25">
        <v>8.6791</v>
      </c>
      <c r="D39" s="25">
        <v>16.706499999999998</v>
      </c>
      <c r="E39" s="8"/>
      <c r="F39" s="8"/>
      <c r="G39" s="16">
        <f t="shared" si="7"/>
        <v>0.47535614330078158</v>
      </c>
      <c r="H39" s="16">
        <f t="shared" si="8"/>
        <v>0.5195043845209949</v>
      </c>
      <c r="I39" s="8"/>
    </row>
    <row r="40" spans="1:9" ht="14">
      <c r="A40" s="7" t="s">
        <v>25</v>
      </c>
      <c r="B40" s="25">
        <v>18.738</v>
      </c>
      <c r="C40" s="25">
        <v>8.4694000000000003</v>
      </c>
      <c r="D40" s="25">
        <v>17.144600000000001</v>
      </c>
      <c r="E40" s="8"/>
      <c r="F40" s="8"/>
      <c r="G40" s="16">
        <f t="shared" si="7"/>
        <v>0.45199060732201946</v>
      </c>
      <c r="H40" s="16">
        <f t="shared" si="8"/>
        <v>0.49399811019213047</v>
      </c>
      <c r="I40" s="8"/>
    </row>
    <row r="41" spans="1:9" ht="14">
      <c r="A41" s="7" t="s">
        <v>74</v>
      </c>
      <c r="B41" s="25">
        <v>18.5227</v>
      </c>
      <c r="C41" s="25">
        <v>8.3512000000000004</v>
      </c>
      <c r="D41" s="25">
        <v>17.035399999999999</v>
      </c>
      <c r="E41" s="8"/>
      <c r="F41" s="8"/>
      <c r="G41" s="16">
        <f t="shared" si="7"/>
        <v>0.45086299513569839</v>
      </c>
      <c r="H41" s="16">
        <f t="shared" si="8"/>
        <v>0.49022623478168992</v>
      </c>
      <c r="I41" s="8"/>
    </row>
    <row r="42" spans="1:9" ht="13">
      <c r="A42" s="8"/>
      <c r="B42" s="8"/>
      <c r="C42" s="8"/>
      <c r="D42" s="8"/>
      <c r="E42" s="8"/>
      <c r="F42" s="8"/>
      <c r="G42" s="8"/>
      <c r="H42" s="8"/>
      <c r="I42" s="8"/>
    </row>
    <row r="43" spans="1:9" ht="13">
      <c r="A43" s="24" t="s">
        <v>19</v>
      </c>
      <c r="B43" s="8"/>
      <c r="C43" s="8"/>
      <c r="D43" s="8"/>
      <c r="E43" s="8"/>
      <c r="F43" s="6" t="s">
        <v>31</v>
      </c>
      <c r="G43" s="16">
        <f t="shared" ref="G43:H43" si="9">AVERAGE(G40:G41)/AVERAGE(G38:G39)</f>
        <v>0.94810948904829595</v>
      </c>
      <c r="H43" s="16">
        <f t="shared" si="9"/>
        <v>0.94590126105351013</v>
      </c>
      <c r="I43" s="8"/>
    </row>
    <row r="44" spans="1:9" ht="13">
      <c r="A44" s="7" t="s">
        <v>68</v>
      </c>
      <c r="B44" s="7" t="s">
        <v>143</v>
      </c>
      <c r="C44" s="7" t="s">
        <v>144</v>
      </c>
      <c r="D44" s="7" t="s">
        <v>145</v>
      </c>
      <c r="E44" s="8"/>
      <c r="F44" s="6" t="s">
        <v>0</v>
      </c>
      <c r="G44" s="16">
        <f t="shared" ref="G44:H44" si="10">LN(1-0.1)/LN(1-0.1*G43)</f>
        <v>1.0577147925343469</v>
      </c>
      <c r="H44" s="16">
        <f t="shared" si="10"/>
        <v>1.0603112170282436</v>
      </c>
      <c r="I44" s="8"/>
    </row>
    <row r="45" spans="1:9" ht="14">
      <c r="A45" s="7" t="s">
        <v>21</v>
      </c>
      <c r="B45" s="25">
        <v>0.1358</v>
      </c>
      <c r="C45" s="25">
        <v>5.2699999999999997E-2</v>
      </c>
      <c r="D45" s="25">
        <v>2.2000000000000001E-3</v>
      </c>
      <c r="E45" s="8"/>
      <c r="F45" s="1" t="s">
        <v>38</v>
      </c>
      <c r="G45" s="11">
        <f>B68/SQRT(F35)</f>
        <v>2.9368689610252937E-3</v>
      </c>
      <c r="H45" s="11">
        <f>D68/SQRT(F35)</f>
        <v>1.693068888850261E-3</v>
      </c>
    </row>
    <row r="46" spans="1:9" ht="14">
      <c r="A46" s="7" t="s">
        <v>22</v>
      </c>
      <c r="B46" s="25">
        <v>0.1678</v>
      </c>
      <c r="C46" s="25">
        <v>4.6300000000000001E-2</v>
      </c>
      <c r="D46" s="25">
        <v>5.7999999999999996E-3</v>
      </c>
      <c r="E46" s="8"/>
      <c r="F46" s="7"/>
      <c r="G46" s="26"/>
      <c r="H46" s="26"/>
      <c r="I46" s="8"/>
    </row>
    <row r="47" spans="1:9" ht="14">
      <c r="A47" s="7" t="s">
        <v>25</v>
      </c>
      <c r="B47" s="25">
        <v>0.10299999999999999</v>
      </c>
      <c r="C47" s="25">
        <v>2.0799999999999999E-2</v>
      </c>
      <c r="D47" s="25">
        <v>3.3999999999999998E-3</v>
      </c>
      <c r="E47" s="8"/>
      <c r="F47" s="8"/>
      <c r="G47" s="8"/>
      <c r="H47" s="8"/>
      <c r="I47" s="8"/>
    </row>
    <row r="48" spans="1:9" ht="14">
      <c r="A48" s="7" t="s">
        <v>74</v>
      </c>
      <c r="B48" s="25">
        <v>0.14199999999999999</v>
      </c>
      <c r="C48" s="25">
        <v>5.3100000000000001E-2</v>
      </c>
      <c r="D48" s="25">
        <v>2.3999999999999998E-3</v>
      </c>
      <c r="E48" s="8"/>
      <c r="F48" s="8"/>
      <c r="G48" s="8"/>
      <c r="H48" s="8"/>
      <c r="I48" s="8"/>
    </row>
    <row r="49" spans="1:9" ht="14">
      <c r="A49" s="7"/>
      <c r="B49" s="25"/>
      <c r="C49" s="25"/>
      <c r="D49" s="25"/>
      <c r="E49" s="8"/>
      <c r="F49" s="8"/>
      <c r="G49" s="8"/>
      <c r="H49" s="8"/>
      <c r="I49" s="8"/>
    </row>
    <row r="50" spans="1:9" ht="14">
      <c r="A50" s="7" t="s">
        <v>146</v>
      </c>
      <c r="B50" s="25">
        <f t="shared" ref="B50:D50" si="11">SQRT((B45^2+B46^2)/2)</f>
        <v>0.1526408857416649</v>
      </c>
      <c r="C50" s="25">
        <f t="shared" si="11"/>
        <v>4.9603326501354725E-2</v>
      </c>
      <c r="D50" s="25">
        <f t="shared" si="11"/>
        <v>4.386342439892262E-3</v>
      </c>
      <c r="E50" s="8"/>
      <c r="F50" s="8"/>
      <c r="G50" s="8"/>
      <c r="H50" s="8"/>
      <c r="I50" s="8"/>
    </row>
    <row r="51" spans="1:9" ht="14">
      <c r="A51" s="7" t="s">
        <v>147</v>
      </c>
      <c r="B51" s="25">
        <f t="shared" ref="B51:D51" si="12">SQRT((B46^2+B47^2)/2)</f>
        <v>0.13922255564383237</v>
      </c>
      <c r="C51" s="25">
        <f t="shared" si="12"/>
        <v>3.5891015588862901E-2</v>
      </c>
      <c r="D51" s="25">
        <f t="shared" si="12"/>
        <v>4.7539457296018849E-3</v>
      </c>
      <c r="E51" s="8"/>
      <c r="F51" s="8"/>
      <c r="G51" s="8"/>
      <c r="H51" s="8"/>
      <c r="I51" s="8"/>
    </row>
    <row r="52" spans="1:9" ht="13">
      <c r="A52" s="7"/>
      <c r="B52" s="8"/>
      <c r="C52" s="8"/>
      <c r="D52" s="8"/>
      <c r="E52" s="8"/>
      <c r="F52" s="8"/>
    </row>
    <row r="53" spans="1:9" ht="13">
      <c r="A53" s="24" t="s">
        <v>148</v>
      </c>
      <c r="B53" s="8"/>
      <c r="C53" s="8"/>
      <c r="D53" s="8"/>
      <c r="E53" s="8"/>
      <c r="F53" s="8"/>
      <c r="G53" s="8"/>
      <c r="H53" s="8"/>
      <c r="I53" s="8"/>
    </row>
    <row r="54" spans="1:9" ht="13">
      <c r="A54" s="7" t="s">
        <v>149</v>
      </c>
      <c r="B54" s="16">
        <f>$C$35/LN(1-$C$35)</f>
        <v>-0.9491221581029905</v>
      </c>
      <c r="C54" s="16"/>
      <c r="D54" s="16">
        <f>$C$35/LN(1-$C$35)</f>
        <v>-0.9491221581029905</v>
      </c>
      <c r="E54" s="8"/>
      <c r="F54" s="8"/>
      <c r="G54" s="8"/>
      <c r="H54" s="8"/>
      <c r="I54" s="8"/>
    </row>
    <row r="55" spans="1:9" ht="13">
      <c r="A55" s="7" t="s">
        <v>150</v>
      </c>
      <c r="B55" s="16">
        <f>G43*G44</f>
        <v>1.002829431508564</v>
      </c>
      <c r="C55" s="16"/>
      <c r="D55" s="16">
        <f>H43*H44</f>
        <v>1.0029497172961976</v>
      </c>
      <c r="E55" s="8"/>
      <c r="F55" s="8"/>
      <c r="G55" s="8"/>
      <c r="H55" s="8"/>
      <c r="I55" s="8"/>
    </row>
    <row r="56" spans="1:9" ht="13">
      <c r="A56" s="7" t="s">
        <v>151</v>
      </c>
      <c r="B56" s="16">
        <f>1-$C$35*G43</f>
        <v>0.90518905109517034</v>
      </c>
      <c r="C56" s="16"/>
      <c r="D56" s="16">
        <f>1-$C$35*H43</f>
        <v>0.905409873894649</v>
      </c>
      <c r="E56" s="8"/>
      <c r="F56" s="8"/>
      <c r="G56" s="8"/>
      <c r="H56" s="8"/>
      <c r="I56" s="8"/>
    </row>
    <row r="57" spans="1:9" ht="13">
      <c r="A57" s="7" t="s">
        <v>54</v>
      </c>
      <c r="B57" s="16">
        <f>B54*B55*B56</f>
        <v>-0.86156584926520108</v>
      </c>
      <c r="C57" s="16"/>
      <c r="D57" s="16">
        <f>D54*D55*D56</f>
        <v>-0.86187939703042926</v>
      </c>
      <c r="E57" s="8"/>
      <c r="F57" s="8"/>
      <c r="G57" s="8"/>
      <c r="H57" s="8"/>
      <c r="I57" s="8"/>
    </row>
    <row r="58" spans="1:9" ht="13">
      <c r="A58" s="8"/>
      <c r="B58" s="8"/>
      <c r="C58" s="8"/>
      <c r="D58" s="8"/>
      <c r="E58" s="8"/>
      <c r="F58" s="8"/>
      <c r="G58" s="8"/>
      <c r="H58" s="8"/>
      <c r="I58" s="8"/>
    </row>
    <row r="59" spans="1:9" ht="13">
      <c r="A59" s="2" t="s">
        <v>171</v>
      </c>
      <c r="B59" s="2" t="s">
        <v>172</v>
      </c>
      <c r="C59" s="27" t="s">
        <v>173</v>
      </c>
      <c r="D59" s="2" t="s">
        <v>172</v>
      </c>
    </row>
    <row r="60" spans="1:9" ht="13">
      <c r="A60" s="2" t="s">
        <v>21</v>
      </c>
      <c r="B60" s="28">
        <f t="shared" ref="B60:B63" si="13">SQRT((B45/B38)^2+(C45/C38)^2)</f>
        <v>9.5372720544598492E-3</v>
      </c>
      <c r="C60" s="2" t="s">
        <v>21</v>
      </c>
      <c r="D60" s="28">
        <f t="shared" ref="D60:D63" si="14">SQRT((D45/D38)^2+(C45/C38)^2)</f>
        <v>6.020978626797205E-3</v>
      </c>
    </row>
    <row r="61" spans="1:9" ht="13">
      <c r="A61" s="2" t="s">
        <v>22</v>
      </c>
      <c r="B61" s="28">
        <f t="shared" si="13"/>
        <v>1.0626511836304213E-2</v>
      </c>
      <c r="C61" s="2" t="s">
        <v>22</v>
      </c>
      <c r="D61" s="28">
        <f t="shared" si="14"/>
        <v>5.3459392050951848E-3</v>
      </c>
    </row>
    <row r="62" spans="1:9" ht="13">
      <c r="A62" s="30" t="s">
        <v>25</v>
      </c>
      <c r="B62" s="28">
        <f t="shared" si="13"/>
        <v>6.0205331605527298E-3</v>
      </c>
      <c r="C62" s="30" t="s">
        <v>25</v>
      </c>
      <c r="D62" s="28">
        <f t="shared" si="14"/>
        <v>2.4638939175945229E-3</v>
      </c>
    </row>
    <row r="63" spans="1:9" ht="13">
      <c r="A63" s="30" t="s">
        <v>28</v>
      </c>
      <c r="B63" s="28">
        <f t="shared" si="13"/>
        <v>9.9599457332520611E-3</v>
      </c>
      <c r="C63" s="30" t="s">
        <v>28</v>
      </c>
      <c r="D63" s="28">
        <f t="shared" si="14"/>
        <v>6.3599282499800618E-3</v>
      </c>
    </row>
    <row r="65" spans="1:4" ht="13">
      <c r="A65" s="27" t="s">
        <v>175</v>
      </c>
      <c r="B65" s="28">
        <f>SQRT((B60^2+B61^2)/2)</f>
        <v>1.0096591307166353E-2</v>
      </c>
      <c r="D65" s="28">
        <f>SQRT((D60^2+D61^2)/2)</f>
        <v>5.6934721220412814E-3</v>
      </c>
    </row>
    <row r="66" spans="1:4" ht="13">
      <c r="A66" s="2" t="s">
        <v>172</v>
      </c>
      <c r="B66" s="28">
        <f>SQRT((B62^2+B63^2)/2)</f>
        <v>8.2294391834025048E-3</v>
      </c>
      <c r="C66" s="28"/>
      <c r="D66" s="28">
        <f>SQRT((D62^2+D63^2)/2)</f>
        <v>4.8228342591288441E-3</v>
      </c>
    </row>
    <row r="67" spans="1:4" ht="13">
      <c r="A67" s="2" t="s">
        <v>178</v>
      </c>
      <c r="B67" s="11">
        <f>B57^2*(B65*B66)</f>
        <v>6.1676819368428179E-5</v>
      </c>
      <c r="D67" s="11">
        <f>D57^2*D65*D66</f>
        <v>2.0397292982857621E-5</v>
      </c>
    </row>
    <row r="68" spans="1:4" ht="13">
      <c r="A68" s="2" t="s">
        <v>180</v>
      </c>
      <c r="B68" s="12">
        <f>SQRT(B67)*G44</f>
        <v>8.3067198311891025E-3</v>
      </c>
      <c r="D68" s="11">
        <f>SQRT(D67)*H44</f>
        <v>4.7887219692879712E-3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192</v>
      </c>
      <c r="B2" s="2"/>
      <c r="C2" s="2"/>
      <c r="D2" s="2"/>
      <c r="E2" s="6" t="s">
        <v>5</v>
      </c>
      <c r="F2" s="2">
        <v>0.25</v>
      </c>
      <c r="G2" s="2"/>
      <c r="H2" s="2"/>
    </row>
    <row r="3" spans="1:12" ht="15.75" customHeight="1">
      <c r="E3" s="1" t="s">
        <v>7</v>
      </c>
      <c r="F3" s="2">
        <v>22</v>
      </c>
    </row>
    <row r="4" spans="1:12" ht="15.75" customHeight="1">
      <c r="A4" s="6" t="s">
        <v>141</v>
      </c>
      <c r="B4" s="7">
        <v>0.1</v>
      </c>
      <c r="D4" s="8"/>
      <c r="E4" s="6" t="s">
        <v>10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8"/>
      <c r="C6" s="8"/>
      <c r="D6" s="8"/>
      <c r="E6" s="8"/>
      <c r="F6" s="8"/>
      <c r="G6" s="8"/>
      <c r="H6" s="8"/>
      <c r="I6" s="8"/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E7" s="7" t="s">
        <v>235</v>
      </c>
      <c r="F7" s="8"/>
      <c r="G7" s="6" t="s">
        <v>193</v>
      </c>
      <c r="H7" s="6" t="s">
        <v>194</v>
      </c>
      <c r="I7" s="8"/>
      <c r="L7" s="32"/>
    </row>
    <row r="8" spans="1:12" ht="15.75" customHeight="1">
      <c r="A8" s="7" t="s">
        <v>195</v>
      </c>
      <c r="B8" s="41">
        <v>42.863100000000003</v>
      </c>
      <c r="C8" s="22">
        <v>20.411300000000001</v>
      </c>
      <c r="D8" s="42"/>
      <c r="E8" s="7">
        <v>148.846</v>
      </c>
      <c r="F8" s="6" t="s">
        <v>27</v>
      </c>
      <c r="G8" s="16">
        <f t="shared" ref="G8:G9" si="0">C8/B8</f>
        <v>0.47619747521761141</v>
      </c>
      <c r="H8" s="16">
        <f t="shared" ref="H8:H9" si="1">C8/E8</f>
        <v>0.13713032261532054</v>
      </c>
      <c r="I8" s="8"/>
      <c r="L8" s="32"/>
    </row>
    <row r="9" spans="1:12" ht="15.75" customHeight="1">
      <c r="A9" s="7" t="s">
        <v>196</v>
      </c>
      <c r="B9" s="43">
        <v>41.230699999999999</v>
      </c>
      <c r="C9" s="44">
        <v>18.821200000000001</v>
      </c>
      <c r="D9" s="45"/>
      <c r="E9" s="7">
        <v>146.19929999999999</v>
      </c>
      <c r="F9" s="6" t="s">
        <v>30</v>
      </c>
      <c r="G9" s="16">
        <f t="shared" si="0"/>
        <v>0.45648509484437572</v>
      </c>
      <c r="H9" s="16">
        <f t="shared" si="1"/>
        <v>0.12873659449805849</v>
      </c>
      <c r="I9" s="8"/>
    </row>
    <row r="10" spans="1:12" ht="15.75" customHeight="1">
      <c r="A10" s="8"/>
      <c r="B10" s="8"/>
      <c r="C10" s="8"/>
      <c r="D10" s="8"/>
      <c r="E10" s="8"/>
      <c r="F10" s="6" t="s">
        <v>31</v>
      </c>
      <c r="G10" s="16">
        <f t="shared" ref="G10:H10" si="2">G9/G8</f>
        <v>0.95860460964387184</v>
      </c>
      <c r="H10" s="16">
        <f t="shared" si="2"/>
        <v>0.93879013804402522</v>
      </c>
      <c r="I10" s="8"/>
    </row>
    <row r="11" spans="1:12" ht="15.75" customHeight="1">
      <c r="A11" s="17" t="s">
        <v>19</v>
      </c>
      <c r="B11" s="8"/>
      <c r="C11" s="8"/>
      <c r="D11" s="8"/>
      <c r="E11" s="8"/>
      <c r="I11" s="8"/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7" t="s">
        <v>235</v>
      </c>
      <c r="I12" s="8"/>
      <c r="L12" s="32"/>
    </row>
    <row r="13" spans="1:12" ht="15.75" customHeight="1">
      <c r="A13" s="7" t="s">
        <v>195</v>
      </c>
      <c r="B13" s="41">
        <v>0.47399999999999998</v>
      </c>
      <c r="C13" s="22">
        <v>0.18429999999999999</v>
      </c>
      <c r="D13" s="46"/>
      <c r="E13" s="7">
        <v>6.2600000000000003E-2</v>
      </c>
      <c r="L13" s="32"/>
    </row>
    <row r="14" spans="1:12" ht="15.75" customHeight="1">
      <c r="A14" s="7" t="s">
        <v>196</v>
      </c>
      <c r="B14" s="43">
        <v>0.52700000000000002</v>
      </c>
      <c r="C14" s="44">
        <v>0.1419</v>
      </c>
      <c r="D14" s="47"/>
      <c r="E14" s="7">
        <v>3.6499999999999998E-2</v>
      </c>
      <c r="I14" s="8"/>
    </row>
    <row r="15" spans="1:12" ht="15.75" customHeight="1">
      <c r="A15" s="7"/>
      <c r="B15" s="11"/>
      <c r="C15" s="11"/>
      <c r="D15" s="11"/>
      <c r="E15" s="8"/>
      <c r="G15" s="6" t="s">
        <v>193</v>
      </c>
      <c r="H15" s="6" t="s">
        <v>194</v>
      </c>
      <c r="I15" s="8"/>
    </row>
    <row r="16" spans="1:12" ht="15.75" customHeight="1">
      <c r="A16" s="7" t="s">
        <v>197</v>
      </c>
      <c r="B16" s="11">
        <f t="shared" ref="B16:C16" si="3">B13/SQRT($F$3)</f>
        <v>0.10105713955255934</v>
      </c>
      <c r="C16" s="11">
        <f t="shared" si="3"/>
        <v>3.9292892024338999E-2</v>
      </c>
      <c r="D16" s="11">
        <f t="shared" ref="D16:E16" si="4">D13/SQRT($F$4)</f>
        <v>0</v>
      </c>
      <c r="E16" s="48">
        <f t="shared" si="4"/>
        <v>2.2132442251138938E-2</v>
      </c>
      <c r="F16" s="6" t="s">
        <v>44</v>
      </c>
      <c r="G16" s="34">
        <f t="shared" ref="G16:G17" si="5">(B16/B8)^2+(C16/C8)^2</f>
        <v>9.2644581744440952E-6</v>
      </c>
      <c r="H16" s="34">
        <f>(E16/E8)^2+(C16/C8)^2</f>
        <v>3.727949717370287E-6</v>
      </c>
      <c r="I16" s="8"/>
    </row>
    <row r="17" spans="1:10" ht="15.75" customHeight="1">
      <c r="A17" s="7" t="s">
        <v>198</v>
      </c>
      <c r="B17" s="11">
        <f t="shared" ref="B17:C17" si="6">B14/SQRT($F$3)</f>
        <v>0.1123567775194067</v>
      </c>
      <c r="C17" s="11">
        <f t="shared" si="6"/>
        <v>3.0253181650861119E-2</v>
      </c>
      <c r="D17" s="11">
        <f t="shared" ref="D17:E17" si="7">D14/SQRT($F$4)</f>
        <v>0</v>
      </c>
      <c r="E17" s="48">
        <f t="shared" si="7"/>
        <v>1.290469875665449E-2</v>
      </c>
      <c r="F17" s="6" t="s">
        <v>42</v>
      </c>
      <c r="G17" s="34">
        <f t="shared" si="5"/>
        <v>1.0009769578182998E-5</v>
      </c>
      <c r="H17" s="34">
        <f>(E17/C9)^2+(D17/E9)^2</f>
        <v>4.7011176782649713E-7</v>
      </c>
      <c r="I17" s="8"/>
    </row>
    <row r="18" spans="1:10" ht="15.75" customHeight="1">
      <c r="A18" s="7" t="s">
        <v>208</v>
      </c>
      <c r="B18" s="8"/>
      <c r="C18" s="8"/>
      <c r="D18" s="8"/>
      <c r="E18" s="8"/>
      <c r="F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8"/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-0.9491221581029905</v>
      </c>
      <c r="C23" s="16"/>
      <c r="D23" s="16">
        <f>$B$4/LN(1-$B$4)</f>
        <v>-0.9491221581029905</v>
      </c>
      <c r="E23" s="8"/>
      <c r="F23" s="7" t="s">
        <v>217</v>
      </c>
      <c r="G23" s="8"/>
    </row>
    <row r="24" spans="1:10" ht="15.75" customHeight="1">
      <c r="A24" s="7" t="s">
        <v>150</v>
      </c>
      <c r="B24" s="16">
        <f>G10*B28</f>
        <v>1.0022576091189284</v>
      </c>
      <c r="C24" s="16"/>
      <c r="D24" s="16">
        <f>H10*D28</f>
        <v>1.0033370042507215</v>
      </c>
      <c r="E24" s="8"/>
      <c r="F24" s="7" t="s">
        <v>220</v>
      </c>
      <c r="G24" s="8"/>
    </row>
    <row r="25" spans="1:10" ht="15.75" customHeight="1">
      <c r="A25" s="7" t="s">
        <v>151</v>
      </c>
      <c r="B25" s="16">
        <f>1-$B$4*G10</f>
        <v>0.90413953903561284</v>
      </c>
      <c r="C25" s="16"/>
      <c r="D25" s="16">
        <f>1-$B$4*H10</f>
        <v>0.90612098619559744</v>
      </c>
      <c r="E25" s="8"/>
      <c r="F25" s="7" t="s">
        <v>221</v>
      </c>
      <c r="G25" s="8"/>
    </row>
    <row r="26" spans="1:10" ht="15.75" customHeight="1">
      <c r="A26" s="7" t="s">
        <v>54</v>
      </c>
      <c r="B26" s="16">
        <f>B23*B24*B25</f>
        <v>-0.86007621265510714</v>
      </c>
      <c r="C26" s="16"/>
      <c r="D26" s="16">
        <f>D23*D24*D25</f>
        <v>-0.86288939466733516</v>
      </c>
      <c r="E26" s="8"/>
      <c r="F26" s="2" t="s">
        <v>225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8" spans="1:10" ht="15.75" customHeight="1">
      <c r="A28" s="37" t="s">
        <v>0</v>
      </c>
      <c r="B28" s="16">
        <f>LN(1-0.1)/LN(1-0.1*G10)</f>
        <v>1.045538065471304</v>
      </c>
      <c r="D28" s="16">
        <f>LN(1-$B$4)/LN(1-0.1*H10)</f>
        <v>1.0687553731030666</v>
      </c>
      <c r="E28" s="2"/>
      <c r="F28" s="2" t="s">
        <v>39</v>
      </c>
    </row>
    <row r="29" spans="1:10" ht="15.75" customHeight="1">
      <c r="A29" s="39" t="s">
        <v>38</v>
      </c>
      <c r="B29" s="11">
        <f>B28*SQRT(B26^2*(G16+G17))</f>
        <v>3.9478921389227385E-3</v>
      </c>
      <c r="C29" s="11">
        <f>D34</f>
        <v>0</v>
      </c>
      <c r="D29" s="11">
        <f>D28*SQRT(D26^2*(H16+H17))</f>
        <v>1.8895476137917038E-3</v>
      </c>
      <c r="E29" s="2"/>
      <c r="F29" s="27" t="s">
        <v>226</v>
      </c>
    </row>
    <row r="30" spans="1:10" ht="13">
      <c r="A30" s="30"/>
      <c r="B30" s="28"/>
      <c r="C30" s="30"/>
      <c r="D30" s="28"/>
      <c r="F30" s="2" t="s">
        <v>227</v>
      </c>
    </row>
    <row r="31" spans="1:10" ht="13">
      <c r="A31" s="1"/>
      <c r="B31" s="28"/>
      <c r="D31" s="28"/>
      <c r="F31" s="2" t="s">
        <v>228</v>
      </c>
    </row>
    <row r="32" spans="1:10" ht="13">
      <c r="A32" s="2"/>
      <c r="B32" s="28"/>
      <c r="C32" s="28"/>
      <c r="D32" s="28"/>
    </row>
    <row r="33" spans="1:4" ht="13">
      <c r="A33" s="2"/>
      <c r="B33" s="11"/>
      <c r="D33" s="11"/>
    </row>
    <row r="34" spans="1:4" ht="13">
      <c r="A34" s="2"/>
      <c r="B34" s="12"/>
      <c r="D3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4"/>
  <sheetViews>
    <sheetView workbookViewId="0"/>
  </sheetViews>
  <sheetFormatPr baseColWidth="10" defaultColWidth="14.5" defaultRowHeight="15.75" customHeight="1"/>
  <cols>
    <col min="1" max="1" width="20.83203125" customWidth="1"/>
    <col min="2" max="2" width="15.83203125" customWidth="1"/>
    <col min="3" max="4" width="14.6640625" customWidth="1"/>
    <col min="5" max="5" width="15" customWidth="1"/>
  </cols>
  <sheetData>
    <row r="1" spans="1:12" ht="15.75" customHeight="1">
      <c r="A1" s="1" t="s">
        <v>3</v>
      </c>
      <c r="B1" s="2"/>
      <c r="C1" s="2"/>
      <c r="D1" s="2"/>
      <c r="G1" s="2"/>
      <c r="H1" s="2"/>
    </row>
    <row r="2" spans="1:12" ht="15.75" customHeight="1">
      <c r="A2" s="2" t="s">
        <v>192</v>
      </c>
      <c r="B2" s="2"/>
      <c r="C2" s="2"/>
      <c r="D2" s="2"/>
      <c r="E2" s="6" t="s">
        <v>5</v>
      </c>
      <c r="F2" s="2">
        <v>0.25</v>
      </c>
      <c r="G2" s="2"/>
      <c r="H2" s="2"/>
    </row>
    <row r="3" spans="1:12" ht="15.75" customHeight="1">
      <c r="E3" s="1" t="s">
        <v>7</v>
      </c>
      <c r="F3" s="2">
        <v>22</v>
      </c>
    </row>
    <row r="4" spans="1:12" ht="15.75" customHeight="1">
      <c r="A4" s="6" t="s">
        <v>141</v>
      </c>
      <c r="B4" s="7">
        <v>0.1</v>
      </c>
      <c r="D4" s="8"/>
      <c r="E4" s="6" t="s">
        <v>10</v>
      </c>
      <c r="F4" s="7">
        <v>8</v>
      </c>
      <c r="G4" s="8"/>
      <c r="H4" s="8"/>
      <c r="I4" s="8"/>
    </row>
    <row r="5" spans="1:12" ht="15.75" customHeight="1">
      <c r="A5" s="7"/>
      <c r="B5" s="8"/>
      <c r="C5" s="8"/>
      <c r="D5" s="8"/>
      <c r="E5" s="8"/>
      <c r="F5" s="8"/>
      <c r="G5" s="8"/>
      <c r="H5" s="8"/>
      <c r="I5" s="8"/>
    </row>
    <row r="6" spans="1:12" ht="15.75" customHeight="1">
      <c r="A6" s="17" t="s">
        <v>15</v>
      </c>
      <c r="B6" s="8"/>
      <c r="C6" s="8"/>
      <c r="D6" s="8"/>
      <c r="E6" s="8"/>
      <c r="F6" s="8"/>
      <c r="G6" s="8"/>
      <c r="H6" s="8"/>
      <c r="I6" s="8"/>
    </row>
    <row r="7" spans="1:12" ht="15.75" customHeight="1">
      <c r="A7" s="6" t="s">
        <v>68</v>
      </c>
      <c r="B7" s="6" t="s">
        <v>69</v>
      </c>
      <c r="C7" s="6" t="s">
        <v>70</v>
      </c>
      <c r="D7" s="6" t="s">
        <v>71</v>
      </c>
      <c r="F7" s="8"/>
      <c r="G7" s="6" t="s">
        <v>193</v>
      </c>
      <c r="H7" s="6" t="s">
        <v>194</v>
      </c>
      <c r="I7" s="8"/>
    </row>
    <row r="8" spans="1:12" ht="15.75" customHeight="1">
      <c r="A8" s="7" t="s">
        <v>195</v>
      </c>
      <c r="B8" s="32">
        <v>42.790500000000002</v>
      </c>
      <c r="C8" s="32">
        <v>20.518599999999999</v>
      </c>
      <c r="D8" s="32">
        <v>147.74430000000001</v>
      </c>
      <c r="F8" s="6" t="s">
        <v>27</v>
      </c>
      <c r="G8" s="16">
        <f t="shared" ref="G8:G9" si="0">C8/B8</f>
        <v>0.47951297601103043</v>
      </c>
      <c r="H8" s="16">
        <f t="shared" ref="H8:H9" si="1">C8/D8</f>
        <v>0.13887913103923466</v>
      </c>
      <c r="I8" s="8"/>
      <c r="J8" s="32"/>
      <c r="K8" s="32"/>
      <c r="L8" s="32"/>
    </row>
    <row r="9" spans="1:12" ht="15.75" customHeight="1">
      <c r="A9" s="7" t="s">
        <v>196</v>
      </c>
      <c r="B9" s="32">
        <v>41.2014</v>
      </c>
      <c r="C9" s="32">
        <v>18.810500000000001</v>
      </c>
      <c r="D9" s="32">
        <v>143.9068</v>
      </c>
      <c r="E9" s="8"/>
      <c r="F9" s="6" t="s">
        <v>30</v>
      </c>
      <c r="G9" s="16">
        <f t="shared" si="0"/>
        <v>0.45655002014494656</v>
      </c>
      <c r="H9" s="16">
        <f t="shared" si="1"/>
        <v>0.13071307262756174</v>
      </c>
      <c r="I9" s="8"/>
      <c r="J9" s="32"/>
      <c r="K9" s="32"/>
      <c r="L9" s="32"/>
    </row>
    <row r="10" spans="1:12" ht="15.75" customHeight="1">
      <c r="A10" s="8"/>
      <c r="B10" s="8"/>
      <c r="C10" s="8"/>
      <c r="D10" s="8"/>
      <c r="E10" s="8"/>
      <c r="F10" s="6" t="s">
        <v>31</v>
      </c>
      <c r="G10" s="16">
        <f t="shared" ref="G10:H10" si="2">G9/G8</f>
        <v>0.95211191977095599</v>
      </c>
      <c r="H10" s="16">
        <f t="shared" si="2"/>
        <v>0.94120024837017502</v>
      </c>
      <c r="I10" s="8"/>
    </row>
    <row r="11" spans="1:12" ht="15.75" customHeight="1">
      <c r="A11" s="17" t="s">
        <v>19</v>
      </c>
      <c r="B11" s="8"/>
      <c r="C11" s="8"/>
      <c r="D11" s="8"/>
      <c r="E11" s="8"/>
      <c r="I11" s="8"/>
      <c r="J11" s="32"/>
      <c r="K11" s="32"/>
      <c r="L11" s="32"/>
    </row>
    <row r="12" spans="1:12" ht="15.75" customHeight="1">
      <c r="A12" s="6" t="s">
        <v>68</v>
      </c>
      <c r="B12" s="6" t="s">
        <v>143</v>
      </c>
      <c r="C12" s="6" t="s">
        <v>144</v>
      </c>
      <c r="D12" s="6" t="s">
        <v>145</v>
      </c>
      <c r="E12" s="8"/>
      <c r="I12" s="8"/>
      <c r="J12" s="32"/>
      <c r="K12" s="32"/>
      <c r="L12" s="32"/>
    </row>
    <row r="13" spans="1:12" ht="15.75" customHeight="1">
      <c r="A13" s="7" t="s">
        <v>195</v>
      </c>
      <c r="B13" s="32">
        <v>0.46860000000000002</v>
      </c>
      <c r="C13" s="32">
        <v>0.19550000000000001</v>
      </c>
      <c r="D13" s="32">
        <v>7.1400000000000005E-2</v>
      </c>
      <c r="J13" s="32"/>
      <c r="K13" s="32"/>
    </row>
    <row r="14" spans="1:12" ht="15.75" customHeight="1">
      <c r="A14" s="7" t="s">
        <v>196</v>
      </c>
      <c r="B14" s="32">
        <v>0.52159999999999995</v>
      </c>
      <c r="C14" s="32">
        <v>0.1419</v>
      </c>
      <c r="D14" s="32">
        <v>6.9000000000000006E-2</v>
      </c>
      <c r="E14" s="8"/>
      <c r="I14" s="8"/>
      <c r="J14" s="32"/>
      <c r="K14" s="32"/>
    </row>
    <row r="15" spans="1:12" ht="15.75" customHeight="1">
      <c r="A15" s="7"/>
      <c r="B15" s="11"/>
      <c r="C15" s="11"/>
      <c r="D15" s="11"/>
      <c r="E15" s="8"/>
      <c r="G15" s="6" t="s">
        <v>193</v>
      </c>
      <c r="H15" s="6" t="s">
        <v>194</v>
      </c>
      <c r="I15" s="8"/>
    </row>
    <row r="16" spans="1:12" ht="15.75" customHeight="1">
      <c r="A16" s="7" t="s">
        <v>197</v>
      </c>
      <c r="B16" s="11">
        <f t="shared" ref="B16:C16" si="3">B13/SQRT($F$3)</f>
        <v>9.9905855684239056E-2</v>
      </c>
      <c r="C16" s="11">
        <f t="shared" si="3"/>
        <v>4.1680740047521841E-2</v>
      </c>
      <c r="D16" s="11">
        <f t="shared" ref="D16:D17" si="4">D13/SQRT($F$4)</f>
        <v>2.5243712088359748E-2</v>
      </c>
      <c r="E16" s="8"/>
      <c r="F16" s="6" t="s">
        <v>44</v>
      </c>
      <c r="G16" s="34">
        <f t="shared" ref="G16:G17" si="5">(B16/B8)^2+(C16/C8)^2</f>
        <v>9.5775765043044489E-6</v>
      </c>
      <c r="H16" s="34">
        <f>(D16/D8)^2+(C16/C8)^2</f>
        <v>4.1556320659955486E-6</v>
      </c>
      <c r="I16" s="8"/>
    </row>
    <row r="17" spans="1:10" ht="15.75" customHeight="1">
      <c r="A17" s="7" t="s">
        <v>198</v>
      </c>
      <c r="B17" s="11">
        <f t="shared" ref="B17:C17" si="6">B14/SQRT($F$3)</f>
        <v>0.11120549365108638</v>
      </c>
      <c r="C17" s="11">
        <f t="shared" si="6"/>
        <v>3.0253181650861119E-2</v>
      </c>
      <c r="D17" s="11">
        <f t="shared" si="4"/>
        <v>2.439518395093589E-2</v>
      </c>
      <c r="E17" s="8"/>
      <c r="F17" s="6" t="s">
        <v>42</v>
      </c>
      <c r="G17" s="34">
        <f t="shared" si="5"/>
        <v>9.8716553302144724E-6</v>
      </c>
      <c r="H17" s="34">
        <f>(C17/C9)^2+(D17/D9)^2</f>
        <v>2.6154096834629209E-6</v>
      </c>
      <c r="I17" s="8"/>
    </row>
    <row r="18" spans="1:10" ht="15.75" customHeight="1">
      <c r="A18" s="7" t="s">
        <v>208</v>
      </c>
      <c r="B18" s="8"/>
      <c r="C18" s="8"/>
      <c r="D18" s="8"/>
      <c r="E18" s="8"/>
      <c r="F18" s="7" t="s">
        <v>209</v>
      </c>
    </row>
    <row r="19" spans="1:10" ht="15.75" customHeight="1">
      <c r="A19" s="7" t="s">
        <v>210</v>
      </c>
      <c r="B19" s="8"/>
      <c r="C19" s="8"/>
      <c r="D19" s="8"/>
      <c r="E19" s="8"/>
      <c r="F19" s="8"/>
    </row>
    <row r="20" spans="1:10" ht="15.75" customHeight="1">
      <c r="A20" s="7"/>
      <c r="B20" s="8"/>
      <c r="C20" s="8"/>
      <c r="D20" s="8"/>
      <c r="E20" s="8"/>
      <c r="F20" s="8"/>
      <c r="G20" s="8"/>
      <c r="H20" s="8"/>
      <c r="I20" s="8"/>
    </row>
    <row r="21" spans="1:10" ht="15.75" customHeight="1">
      <c r="A21" s="17" t="s">
        <v>148</v>
      </c>
      <c r="B21" s="8"/>
      <c r="C21" s="8"/>
      <c r="D21" s="8"/>
      <c r="E21" s="8"/>
      <c r="F21" s="8"/>
      <c r="G21" s="8"/>
      <c r="H21" s="8"/>
      <c r="I21" s="8"/>
    </row>
    <row r="22" spans="1:10" ht="15.75" customHeight="1">
      <c r="B22" s="1" t="s">
        <v>193</v>
      </c>
      <c r="C22" s="13"/>
      <c r="D22" s="1" t="s">
        <v>194</v>
      </c>
      <c r="E22" s="8"/>
      <c r="F22" s="6" t="s">
        <v>215</v>
      </c>
      <c r="G22" s="8"/>
      <c r="H22" s="8"/>
      <c r="I22" s="8"/>
    </row>
    <row r="23" spans="1:10" ht="15.75" customHeight="1">
      <c r="A23" s="7" t="s">
        <v>149</v>
      </c>
      <c r="B23" s="16">
        <f>$B$4/LN(1-$B$4)</f>
        <v>-0.9491221581029905</v>
      </c>
      <c r="C23" s="16"/>
      <c r="D23" s="16">
        <f>$B$4/LN(1-$B$4)</f>
        <v>-0.9491221581029905</v>
      </c>
      <c r="E23" s="8"/>
      <c r="F23" s="7" t="s">
        <v>217</v>
      </c>
      <c r="G23" s="8"/>
    </row>
    <row r="24" spans="1:10" ht="15.75" customHeight="1">
      <c r="A24" s="7" t="s">
        <v>150</v>
      </c>
      <c r="B24" s="16">
        <f>G10*B28</f>
        <v>1.0026113872149081</v>
      </c>
      <c r="C24" s="16"/>
      <c r="D24" s="16">
        <f>H10*D28</f>
        <v>1.0032057560342837</v>
      </c>
      <c r="E24" s="8"/>
      <c r="F24" s="7" t="s">
        <v>220</v>
      </c>
      <c r="G24" s="8"/>
    </row>
    <row r="25" spans="1:10" ht="15.75" customHeight="1">
      <c r="A25" s="7" t="s">
        <v>151</v>
      </c>
      <c r="B25" s="16">
        <f>1-$B$4*G10</f>
        <v>0.9047888080229044</v>
      </c>
      <c r="C25" s="16"/>
      <c r="D25" s="16">
        <f>1-$B$4*H10</f>
        <v>0.90587997516298246</v>
      </c>
      <c r="E25" s="8"/>
      <c r="F25" s="7" t="s">
        <v>221</v>
      </c>
      <c r="G25" s="8"/>
    </row>
    <row r="26" spans="1:10" ht="15.75" customHeight="1">
      <c r="A26" s="7" t="s">
        <v>54</v>
      </c>
      <c r="B26" s="16">
        <f>B23*B24*B25</f>
        <v>-0.86099764820293312</v>
      </c>
      <c r="C26" s="16"/>
      <c r="D26" s="16">
        <f>D23*D24*D25</f>
        <v>-0.86254703641647623</v>
      </c>
      <c r="E26" s="8"/>
      <c r="F26" s="2" t="s">
        <v>225</v>
      </c>
      <c r="G26" s="8"/>
      <c r="H26" s="8"/>
      <c r="I26" s="8"/>
      <c r="J26" s="8"/>
    </row>
    <row r="27" spans="1:10" ht="15.75" customHeight="1">
      <c r="A27" s="8"/>
      <c r="B27" s="8"/>
      <c r="C27" s="8"/>
      <c r="D27" s="8"/>
      <c r="E27" s="27"/>
      <c r="F27" s="2"/>
      <c r="I27" s="8"/>
      <c r="J27" s="8"/>
    </row>
    <row r="28" spans="1:10" ht="15.75" customHeight="1">
      <c r="A28" s="37" t="s">
        <v>0</v>
      </c>
      <c r="B28" s="16">
        <f>LN(1-0.1)/LN(1-0.1*G10)</f>
        <v>1.0530394236174465</v>
      </c>
      <c r="D28" s="16">
        <f>LN(1-$B$4)/LN(1-0.1*H10)</f>
        <v>1.0658791875283504</v>
      </c>
      <c r="E28" s="2"/>
      <c r="F28" s="2" t="s">
        <v>39</v>
      </c>
    </row>
    <row r="29" spans="1:10" ht="15.75" customHeight="1">
      <c r="A29" s="39" t="s">
        <v>38</v>
      </c>
      <c r="B29" s="11">
        <f>B28*SQRT(B26^2*(G16+G17))</f>
        <v>3.9985066471995229E-3</v>
      </c>
      <c r="C29" s="11">
        <f>D34</f>
        <v>0</v>
      </c>
      <c r="D29" s="11">
        <f>D28*SQRT(D26^2*(H16+H17))</f>
        <v>2.392315837382144E-3</v>
      </c>
      <c r="E29" s="2"/>
      <c r="F29" s="27" t="s">
        <v>226</v>
      </c>
    </row>
    <row r="30" spans="1:10" ht="13">
      <c r="A30" s="30"/>
      <c r="B30" s="28"/>
      <c r="C30" s="30"/>
      <c r="D30" s="28"/>
      <c r="F30" s="2" t="s">
        <v>227</v>
      </c>
    </row>
    <row r="31" spans="1:10" ht="13">
      <c r="A31" s="1"/>
      <c r="B31" s="28"/>
      <c r="D31" s="28"/>
      <c r="F31" s="2" t="s">
        <v>228</v>
      </c>
    </row>
    <row r="32" spans="1:10" ht="13">
      <c r="A32" s="2"/>
      <c r="B32" s="28"/>
      <c r="C32" s="28"/>
      <c r="D32" s="28"/>
    </row>
    <row r="33" spans="1:4" ht="13">
      <c r="A33" s="2"/>
      <c r="B33" s="11"/>
      <c r="D33" s="11"/>
    </row>
    <row r="34" spans="1:4" ht="13">
      <c r="A34" s="2"/>
      <c r="B34" s="12"/>
      <c r="D34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CVTSCT</vt:lpstr>
      <vt:lpstr>KIE_2_26 old2</vt:lpstr>
      <vt:lpstr>KIE_3_2 old</vt:lpstr>
      <vt:lpstr>KIE_3_2 old2</vt:lpstr>
      <vt:lpstr>KIE_3_5 Harrison</vt:lpstr>
      <vt:lpstr>pOCF3 BnBr KIE</vt:lpstr>
      <vt:lpstr>KIE_2_26 old</vt:lpstr>
      <vt:lpstr>KIE_3_5 Yuwen</vt:lpstr>
      <vt:lpstr>KIE_3_5 Eugene</vt:lpstr>
      <vt:lpstr>KIE_2_26 old3</vt:lpstr>
      <vt:lpstr>KIE_3_2 old3</vt:lpstr>
      <vt:lpstr>KIE_3_7 old</vt:lpstr>
      <vt:lpstr>KIE_3_28_old</vt:lpstr>
      <vt:lpstr>YZ-KIE_3_28</vt:lpstr>
      <vt:lpstr>KIE_4_2 old</vt:lpstr>
      <vt:lpstr>YZ- KIE_4_2</vt:lpstr>
      <vt:lpstr>KIE search</vt:lpstr>
      <vt:lpstr>SnAr Screen</vt:lpstr>
      <vt:lpstr>stability_5_4</vt:lpstr>
      <vt:lpstr>KIE_6_22 old</vt:lpstr>
      <vt:lpstr>SN2 KIEs old</vt:lpstr>
      <vt:lpstr>KIE_5_5</vt:lpstr>
      <vt:lpstr>KIE_5_20_batch1</vt:lpstr>
      <vt:lpstr>KIE_5_20_batch2</vt:lpstr>
      <vt:lpstr>SM Analysis KIE Calculation</vt:lpstr>
      <vt:lpstr>Prod Analysis KIE Calculation</vt:lpstr>
      <vt:lpstr>KIE_6_3_Cl_F old</vt:lpstr>
      <vt:lpstr>KIE_6_9_Cl_F old</vt:lpstr>
      <vt:lpstr>KIE_6_9_Cl_F old2</vt:lpstr>
      <vt:lpstr>KIE_6_9_F_OMe old</vt:lpstr>
      <vt:lpstr>KIE_6_30_anis</vt:lpstr>
      <vt:lpstr>KIE_6_16_nico old</vt:lpstr>
      <vt:lpstr>intermediates old</vt:lpstr>
      <vt:lpstr>intermediate_screen</vt:lpstr>
      <vt:lpstr>bond lengths</vt:lpstr>
      <vt:lpstr>tempcal</vt:lpstr>
      <vt:lpstr>chemicals</vt:lpstr>
      <vt:lpstr>schedule</vt:lpstr>
      <vt:lpstr>KIE_3_2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Besser</dc:creator>
  <cp:lastModifiedBy>Microsoft Office User</cp:lastModifiedBy>
  <dcterms:created xsi:type="dcterms:W3CDTF">2017-07-21T18:47:26Z</dcterms:created>
  <dcterms:modified xsi:type="dcterms:W3CDTF">2018-03-26T19:27:11Z</dcterms:modified>
</cp:coreProperties>
</file>