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eu/research/corinna/carbonyl_olefin_metathesis_SI/NMR/analysis/"/>
    </mc:Choice>
  </mc:AlternateContent>
  <xr:revisionPtr revIDLastSave="0" documentId="13_ncr:1_{37F7E53D-7E1E-9542-B699-DD4DF6ACBCF2}" xr6:coauthVersionLast="47" xr6:coauthVersionMax="47" xr10:uidLastSave="{00000000-0000-0000-0000-000000000000}"/>
  <bookViews>
    <workbookView xWindow="0" yWindow="500" windowWidth="35700" windowHeight="20220" xr2:uid="{44102555-B030-4761-84F8-88D3C2C4E8A0}"/>
  </bookViews>
  <sheets>
    <sheet name="Raw Data" sheetId="5" r:id="rId1"/>
    <sheet name="KIE" sheetId="6" r:id="rId2"/>
    <sheet name="Erro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" i="7" l="1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C11" i="7" l="1"/>
  <c r="B11" i="7"/>
  <c r="B14" i="6"/>
  <c r="B15" i="6"/>
  <c r="C21" i="5" a="1"/>
  <c r="B21" i="5" a="1"/>
  <c r="C20" i="5" a="1"/>
  <c r="B20" i="5" a="1"/>
  <c r="C19" i="5" a="1"/>
  <c r="B19" i="5" a="1"/>
  <c r="C18" i="5" a="1"/>
  <c r="B18" i="5" a="1"/>
  <c r="C21" i="5" l="1"/>
  <c r="B21" i="5"/>
  <c r="C20" i="5"/>
  <c r="B20" i="5"/>
  <c r="C19" i="5"/>
  <c r="B19" i="5"/>
  <c r="C18" i="5"/>
  <c r="B18" i="5"/>
  <c r="G19" i="6" l="1"/>
  <c r="G21" i="6"/>
  <c r="G23" i="6"/>
  <c r="G25" i="6"/>
  <c r="P21" i="7"/>
  <c r="O21" i="7"/>
  <c r="N21" i="7"/>
  <c r="M21" i="7"/>
  <c r="M28" i="7" s="1"/>
  <c r="L21" i="7"/>
  <c r="L28" i="7" s="1"/>
  <c r="K21" i="7"/>
  <c r="K28" i="7" s="1"/>
  <c r="J21" i="7"/>
  <c r="J28" i="7" s="1"/>
  <c r="H21" i="7"/>
  <c r="H28" i="7" s="1"/>
  <c r="F21" i="7"/>
  <c r="E21" i="7"/>
  <c r="D21" i="7"/>
  <c r="P20" i="7"/>
  <c r="P27" i="7" s="1"/>
  <c r="O20" i="7"/>
  <c r="O27" i="7" s="1"/>
  <c r="N20" i="7"/>
  <c r="N27" i="7" s="1"/>
  <c r="M20" i="7"/>
  <c r="M27" i="7" s="1"/>
  <c r="L20" i="7"/>
  <c r="L27" i="7" s="1"/>
  <c r="K20" i="7"/>
  <c r="K27" i="7" s="1"/>
  <c r="J20" i="7"/>
  <c r="J27" i="7" s="1"/>
  <c r="H20" i="7"/>
  <c r="H27" i="7" s="1"/>
  <c r="F20" i="7"/>
  <c r="F27" i="7" s="1"/>
  <c r="E20" i="7"/>
  <c r="E27" i="7" s="1"/>
  <c r="D20" i="7"/>
  <c r="D27" i="7" s="1"/>
  <c r="P19" i="7"/>
  <c r="P25" i="7" s="1"/>
  <c r="O19" i="7"/>
  <c r="O25" i="7" s="1"/>
  <c r="N19" i="7"/>
  <c r="M19" i="7"/>
  <c r="M25" i="7" s="1"/>
  <c r="L19" i="7"/>
  <c r="K19" i="7"/>
  <c r="K25" i="7" s="1"/>
  <c r="J19" i="7"/>
  <c r="J25" i="7" s="1"/>
  <c r="H19" i="7"/>
  <c r="H25" i="7" s="1"/>
  <c r="F19" i="7"/>
  <c r="F25" i="7" s="1"/>
  <c r="E19" i="7"/>
  <c r="E25" i="7" s="1"/>
  <c r="D19" i="7"/>
  <c r="D25" i="7" s="1"/>
  <c r="P18" i="7"/>
  <c r="P24" i="7" s="1"/>
  <c r="O18" i="7"/>
  <c r="N18" i="7"/>
  <c r="N24" i="7" s="1"/>
  <c r="M18" i="7"/>
  <c r="M24" i="7" s="1"/>
  <c r="L18" i="7"/>
  <c r="L24" i="7" s="1"/>
  <c r="K18" i="7"/>
  <c r="K24" i="7" s="1"/>
  <c r="J18" i="7"/>
  <c r="J24" i="7" s="1"/>
  <c r="H18" i="7"/>
  <c r="H24" i="7" s="1"/>
  <c r="F18" i="7"/>
  <c r="F24" i="7" s="1"/>
  <c r="E18" i="7"/>
  <c r="E24" i="7" s="1"/>
  <c r="D18" i="7"/>
  <c r="D24" i="7" s="1"/>
  <c r="C21" i="7"/>
  <c r="C28" i="7" s="1"/>
  <c r="C20" i="7"/>
  <c r="C27" i="7" s="1"/>
  <c r="C19" i="7"/>
  <c r="C25" i="7" s="1"/>
  <c r="C18" i="7"/>
  <c r="C24" i="7" s="1"/>
  <c r="P25" i="6"/>
  <c r="O25" i="6"/>
  <c r="N25" i="6"/>
  <c r="M25" i="6"/>
  <c r="L25" i="6"/>
  <c r="K25" i="6"/>
  <c r="J25" i="6"/>
  <c r="H25" i="6"/>
  <c r="F25" i="6"/>
  <c r="E25" i="6"/>
  <c r="D25" i="6"/>
  <c r="C25" i="6"/>
  <c r="P23" i="6"/>
  <c r="O23" i="6"/>
  <c r="N23" i="6"/>
  <c r="M23" i="6"/>
  <c r="L23" i="6"/>
  <c r="K23" i="6"/>
  <c r="J23" i="6"/>
  <c r="H23" i="6"/>
  <c r="F23" i="6"/>
  <c r="E23" i="6"/>
  <c r="D23" i="6"/>
  <c r="C23" i="6"/>
  <c r="P21" i="6"/>
  <c r="O21" i="6"/>
  <c r="N21" i="6"/>
  <c r="M21" i="6"/>
  <c r="L21" i="6"/>
  <c r="K21" i="6"/>
  <c r="J21" i="6"/>
  <c r="H21" i="6"/>
  <c r="F21" i="6"/>
  <c r="E21" i="6"/>
  <c r="D21" i="6"/>
  <c r="C21" i="6"/>
  <c r="P19" i="6"/>
  <c r="P39" i="7" s="1"/>
  <c r="O19" i="6"/>
  <c r="O39" i="7" s="1"/>
  <c r="N19" i="6"/>
  <c r="N39" i="7" s="1"/>
  <c r="M19" i="6"/>
  <c r="M39" i="7" s="1"/>
  <c r="L19" i="6"/>
  <c r="K19" i="6"/>
  <c r="J19" i="6"/>
  <c r="H19" i="6"/>
  <c r="F19" i="6"/>
  <c r="F39" i="7" s="1"/>
  <c r="E19" i="6"/>
  <c r="E39" i="7" s="1"/>
  <c r="D19" i="6"/>
  <c r="C19" i="6"/>
  <c r="C39" i="7" s="1"/>
  <c r="P28" i="7"/>
  <c r="F28" i="7"/>
  <c r="O24" i="7"/>
  <c r="O28" i="7"/>
  <c r="N28" i="7"/>
  <c r="E28" i="7"/>
  <c r="D28" i="7"/>
  <c r="N25" i="7"/>
  <c r="L25" i="7"/>
  <c r="F12" i="7"/>
  <c r="F11" i="7"/>
  <c r="C15" i="6"/>
  <c r="C14" i="6"/>
  <c r="J39" i="7" l="1"/>
  <c r="L39" i="7"/>
  <c r="B18" i="7"/>
  <c r="B24" i="7" s="1"/>
  <c r="Q21" i="6"/>
  <c r="D22" i="6" s="1"/>
  <c r="Q23" i="6"/>
  <c r="D24" i="6" s="1"/>
  <c r="Q25" i="6"/>
  <c r="C26" i="6" s="1"/>
  <c r="B19" i="7"/>
  <c r="B25" i="7" s="1"/>
  <c r="B20" i="7"/>
  <c r="B27" i="7" s="1"/>
  <c r="B21" i="7"/>
  <c r="B28" i="7" s="1"/>
  <c r="K36" i="7" s="1"/>
  <c r="H39" i="7"/>
  <c r="K39" i="7"/>
  <c r="D39" i="7"/>
  <c r="B26" i="7" l="1"/>
  <c r="C35" i="7"/>
  <c r="E26" i="6"/>
  <c r="O26" i="6"/>
  <c r="M24" i="6"/>
  <c r="M26" i="6"/>
  <c r="G26" i="6"/>
  <c r="K26" i="6"/>
  <c r="D26" i="6"/>
  <c r="F26" i="6"/>
  <c r="H24" i="6"/>
  <c r="P22" i="6"/>
  <c r="F24" i="6"/>
  <c r="K24" i="6"/>
  <c r="H22" i="6"/>
  <c r="L24" i="6"/>
  <c r="P24" i="6"/>
  <c r="O22" i="6"/>
  <c r="O24" i="6"/>
  <c r="E24" i="6"/>
  <c r="N24" i="6"/>
  <c r="F22" i="6"/>
  <c r="J24" i="6"/>
  <c r="G24" i="6"/>
  <c r="C24" i="6"/>
  <c r="L22" i="6"/>
  <c r="J26" i="6"/>
  <c r="H26" i="6"/>
  <c r="N26" i="6"/>
  <c r="E22" i="6"/>
  <c r="J22" i="6"/>
  <c r="N22" i="6"/>
  <c r="K22" i="6"/>
  <c r="P26" i="6"/>
  <c r="G22" i="6"/>
  <c r="L26" i="6"/>
  <c r="M22" i="6"/>
  <c r="C22" i="6"/>
  <c r="H36" i="7"/>
  <c r="E36" i="7"/>
  <c r="F35" i="7"/>
  <c r="F36" i="7"/>
  <c r="J35" i="7"/>
  <c r="P36" i="7"/>
  <c r="O36" i="7"/>
  <c r="H35" i="7"/>
  <c r="C36" i="7"/>
  <c r="O35" i="7"/>
  <c r="M36" i="7"/>
  <c r="E35" i="7"/>
  <c r="N35" i="7"/>
  <c r="P35" i="7"/>
  <c r="D35" i="7"/>
  <c r="M35" i="7"/>
  <c r="J36" i="7"/>
  <c r="D36" i="7"/>
  <c r="K35" i="7"/>
  <c r="L36" i="7"/>
  <c r="N36" i="7"/>
  <c r="L35" i="7"/>
  <c r="Q19" i="6"/>
  <c r="H20" i="6" s="1"/>
  <c r="H28" i="6" l="1"/>
  <c r="H30" i="6" s="1"/>
  <c r="H33" i="6" s="1"/>
  <c r="B39" i="7"/>
  <c r="H40" i="7" s="1"/>
  <c r="H43" i="7" s="1"/>
  <c r="H59" i="7" s="1"/>
  <c r="F20" i="6"/>
  <c r="F28" i="6" s="1"/>
  <c r="F30" i="6" s="1"/>
  <c r="F32" i="7" s="1"/>
  <c r="M20" i="6"/>
  <c r="M28" i="6" s="1"/>
  <c r="M29" i="6" s="1"/>
  <c r="M31" i="7" s="1"/>
  <c r="M47" i="7" s="1"/>
  <c r="M55" i="7" s="1"/>
  <c r="D20" i="6"/>
  <c r="D28" i="6" s="1"/>
  <c r="D29" i="6" s="1"/>
  <c r="D31" i="7" s="1"/>
  <c r="D47" i="7" s="1"/>
  <c r="D55" i="7" s="1"/>
  <c r="P20" i="6"/>
  <c r="P28" i="6" s="1"/>
  <c r="P29" i="6" s="1"/>
  <c r="P32" i="6" s="1"/>
  <c r="G20" i="6"/>
  <c r="G28" i="6" s="1"/>
  <c r="G29" i="6" s="1"/>
  <c r="G32" i="6" s="1"/>
  <c r="N20" i="6"/>
  <c r="N28" i="6" s="1"/>
  <c r="N30" i="6" s="1"/>
  <c r="N32" i="7" s="1"/>
  <c r="L20" i="6"/>
  <c r="L28" i="6" s="1"/>
  <c r="O20" i="6"/>
  <c r="O28" i="6" s="1"/>
  <c r="O30" i="6" s="1"/>
  <c r="O32" i="7" s="1"/>
  <c r="O48" i="7" s="1"/>
  <c r="K20" i="6"/>
  <c r="K28" i="6" s="1"/>
  <c r="K29" i="6" s="1"/>
  <c r="K32" i="6" s="1"/>
  <c r="C20" i="6"/>
  <c r="C28" i="6" s="1"/>
  <c r="C30" i="6" s="1"/>
  <c r="J20" i="6"/>
  <c r="J28" i="6" s="1"/>
  <c r="J29" i="6" s="1"/>
  <c r="E20" i="6"/>
  <c r="E28" i="6" s="1"/>
  <c r="E29" i="6" s="1"/>
  <c r="E31" i="7" s="1"/>
  <c r="E47" i="7" s="1"/>
  <c r="H29" i="6" l="1"/>
  <c r="H32" i="6" s="1"/>
  <c r="H34" i="6" s="1"/>
  <c r="N33" i="6"/>
  <c r="N29" i="6"/>
  <c r="N32" i="6" s="1"/>
  <c r="H32" i="7"/>
  <c r="H48" i="7" s="1"/>
  <c r="H64" i="7" s="1"/>
  <c r="D40" i="7"/>
  <c r="D44" i="7" s="1"/>
  <c r="D60" i="7" s="1"/>
  <c r="O33" i="6"/>
  <c r="K40" i="7"/>
  <c r="K43" i="7" s="1"/>
  <c r="K59" i="7" s="1"/>
  <c r="L40" i="7"/>
  <c r="L43" i="7" s="1"/>
  <c r="L59" i="7" s="1"/>
  <c r="J40" i="7"/>
  <c r="J43" i="7" s="1"/>
  <c r="J59" i="7" s="1"/>
  <c r="C40" i="7"/>
  <c r="C43" i="7" s="1"/>
  <c r="C59" i="7" s="1"/>
  <c r="N40" i="7"/>
  <c r="N44" i="7" s="1"/>
  <c r="N60" i="7" s="1"/>
  <c r="M51" i="7"/>
  <c r="M67" i="7" s="1"/>
  <c r="F33" i="6"/>
  <c r="E30" i="6"/>
  <c r="E33" i="6" s="1"/>
  <c r="F29" i="6"/>
  <c r="F32" i="6" s="1"/>
  <c r="O29" i="6"/>
  <c r="O32" i="6" s="1"/>
  <c r="P30" i="6"/>
  <c r="J30" i="6"/>
  <c r="J32" i="7" s="1"/>
  <c r="J48" i="7" s="1"/>
  <c r="J64" i="7" s="1"/>
  <c r="D51" i="7"/>
  <c r="D67" i="7" s="1"/>
  <c r="K30" i="6"/>
  <c r="D63" i="7"/>
  <c r="D32" i="6"/>
  <c r="M32" i="6"/>
  <c r="J32" i="6"/>
  <c r="J31" i="7"/>
  <c r="J47" i="7" s="1"/>
  <c r="J55" i="7" s="1"/>
  <c r="C29" i="6"/>
  <c r="C32" i="7"/>
  <c r="C33" i="6"/>
  <c r="M63" i="7"/>
  <c r="G30" i="6"/>
  <c r="G33" i="6" s="1"/>
  <c r="G35" i="6" s="1"/>
  <c r="M30" i="6"/>
  <c r="M33" i="6" s="1"/>
  <c r="P40" i="7"/>
  <c r="M40" i="7"/>
  <c r="O40" i="7"/>
  <c r="E40" i="7"/>
  <c r="F40" i="7"/>
  <c r="L29" i="6"/>
  <c r="L30" i="6"/>
  <c r="E32" i="6"/>
  <c r="K31" i="7"/>
  <c r="K47" i="7" s="1"/>
  <c r="K63" i="7" s="1"/>
  <c r="D30" i="6"/>
  <c r="D33" i="6" s="1"/>
  <c r="P31" i="7"/>
  <c r="P47" i="7" s="1"/>
  <c r="P51" i="7" s="1"/>
  <c r="H44" i="7"/>
  <c r="H60" i="7" s="1"/>
  <c r="O64" i="7"/>
  <c r="O56" i="7"/>
  <c r="O52" i="7"/>
  <c r="E63" i="7"/>
  <c r="E55" i="7"/>
  <c r="E51" i="7"/>
  <c r="F48" i="7"/>
  <c r="F64" i="7" s="1"/>
  <c r="N48" i="7"/>
  <c r="N64" i="7" s="1"/>
  <c r="N31" i="7" l="1"/>
  <c r="N47" i="7" s="1"/>
  <c r="N35" i="6"/>
  <c r="H31" i="7"/>
  <c r="H47" i="7" s="1"/>
  <c r="H63" i="7" s="1"/>
  <c r="H71" i="7" s="1"/>
  <c r="H35" i="6"/>
  <c r="D43" i="7"/>
  <c r="D59" i="7" s="1"/>
  <c r="D71" i="7" s="1"/>
  <c r="D75" i="7" s="1"/>
  <c r="H72" i="7"/>
  <c r="H56" i="7"/>
  <c r="H52" i="7"/>
  <c r="K71" i="7"/>
  <c r="O35" i="6"/>
  <c r="M35" i="6"/>
  <c r="J44" i="7"/>
  <c r="J60" i="7" s="1"/>
  <c r="J72" i="7" s="1"/>
  <c r="L44" i="7"/>
  <c r="L60" i="7" s="1"/>
  <c r="K44" i="7"/>
  <c r="K60" i="7" s="1"/>
  <c r="J51" i="7"/>
  <c r="J67" i="7" s="1"/>
  <c r="K55" i="7"/>
  <c r="J33" i="6"/>
  <c r="J35" i="6" s="1"/>
  <c r="G34" i="6"/>
  <c r="D34" i="6"/>
  <c r="E35" i="6"/>
  <c r="J63" i="7"/>
  <c r="J71" i="7" s="1"/>
  <c r="M32" i="7"/>
  <c r="M48" i="7" s="1"/>
  <c r="M64" i="7" s="1"/>
  <c r="N72" i="7"/>
  <c r="N43" i="7"/>
  <c r="N59" i="7" s="1"/>
  <c r="K51" i="7"/>
  <c r="C44" i="7"/>
  <c r="C60" i="7" s="1"/>
  <c r="F34" i="6"/>
  <c r="M34" i="6"/>
  <c r="J56" i="7"/>
  <c r="J52" i="7"/>
  <c r="F35" i="6"/>
  <c r="O31" i="7"/>
  <c r="O47" i="7" s="1"/>
  <c r="O55" i="7" s="1"/>
  <c r="E34" i="6"/>
  <c r="O34" i="6"/>
  <c r="E32" i="7"/>
  <c r="E48" i="7" s="1"/>
  <c r="E56" i="7" s="1"/>
  <c r="P32" i="7"/>
  <c r="P48" i="7" s="1"/>
  <c r="P64" i="7" s="1"/>
  <c r="P33" i="6"/>
  <c r="F31" i="7"/>
  <c r="F47" i="7" s="1"/>
  <c r="F55" i="7" s="1"/>
  <c r="P55" i="7"/>
  <c r="P67" i="7" s="1"/>
  <c r="D35" i="6"/>
  <c r="K32" i="7"/>
  <c r="K33" i="6"/>
  <c r="F43" i="7"/>
  <c r="F59" i="7" s="1"/>
  <c r="F44" i="7"/>
  <c r="F60" i="7" s="1"/>
  <c r="F72" i="7" s="1"/>
  <c r="E44" i="7"/>
  <c r="E60" i="7" s="1"/>
  <c r="E43" i="7"/>
  <c r="E59" i="7" s="1"/>
  <c r="E71" i="7" s="1"/>
  <c r="C48" i="7"/>
  <c r="M43" i="7"/>
  <c r="M59" i="7" s="1"/>
  <c r="M71" i="7" s="1"/>
  <c r="M75" i="7" s="1"/>
  <c r="M44" i="7"/>
  <c r="M60" i="7" s="1"/>
  <c r="P44" i="7"/>
  <c r="P60" i="7" s="1"/>
  <c r="P43" i="7"/>
  <c r="P59" i="7" s="1"/>
  <c r="C32" i="6"/>
  <c r="C31" i="7"/>
  <c r="C47" i="7" s="1"/>
  <c r="C63" i="7" s="1"/>
  <c r="C71" i="7" s="1"/>
  <c r="P63" i="7"/>
  <c r="D32" i="7"/>
  <c r="D48" i="7" s="1"/>
  <c r="D64" i="7" s="1"/>
  <c r="D72" i="7" s="1"/>
  <c r="L33" i="6"/>
  <c r="L32" i="7"/>
  <c r="O43" i="7"/>
  <c r="O59" i="7" s="1"/>
  <c r="O44" i="7"/>
  <c r="O60" i="7" s="1"/>
  <c r="O72" i="7" s="1"/>
  <c r="L32" i="6"/>
  <c r="L31" i="7"/>
  <c r="L47" i="7" s="1"/>
  <c r="L63" i="7" s="1"/>
  <c r="L71" i="7" s="1"/>
  <c r="O68" i="7"/>
  <c r="E67" i="7"/>
  <c r="N56" i="7"/>
  <c r="N52" i="7"/>
  <c r="F52" i="7"/>
  <c r="F56" i="7"/>
  <c r="N34" i="6"/>
  <c r="K67" i="7" l="1"/>
  <c r="K75" i="7" s="1"/>
  <c r="H55" i="7"/>
  <c r="H51" i="7"/>
  <c r="H68" i="7"/>
  <c r="H76" i="7" s="1"/>
  <c r="P52" i="7"/>
  <c r="M72" i="7"/>
  <c r="J34" i="6"/>
  <c r="J75" i="7"/>
  <c r="J68" i="7"/>
  <c r="J76" i="7" s="1"/>
  <c r="E52" i="7"/>
  <c r="E68" i="7" s="1"/>
  <c r="M52" i="7"/>
  <c r="M56" i="7"/>
  <c r="F51" i="7"/>
  <c r="F67" i="7" s="1"/>
  <c r="E64" i="7"/>
  <c r="E72" i="7" s="1"/>
  <c r="D56" i="7"/>
  <c r="C55" i="7"/>
  <c r="L51" i="7"/>
  <c r="O63" i="7"/>
  <c r="O71" i="7" s="1"/>
  <c r="O51" i="7"/>
  <c r="O67" i="7" s="1"/>
  <c r="C51" i="7"/>
  <c r="L35" i="6"/>
  <c r="F63" i="7"/>
  <c r="F71" i="7" s="1"/>
  <c r="P56" i="7"/>
  <c r="P72" i="7"/>
  <c r="P34" i="6"/>
  <c r="P35" i="6"/>
  <c r="K35" i="6"/>
  <c r="K34" i="6"/>
  <c r="K48" i="7"/>
  <c r="K64" i="7" s="1"/>
  <c r="K72" i="7" s="1"/>
  <c r="D52" i="7"/>
  <c r="E75" i="7"/>
  <c r="C52" i="7"/>
  <c r="C56" i="7"/>
  <c r="L34" i="6"/>
  <c r="P71" i="7"/>
  <c r="P75" i="7" s="1"/>
  <c r="C34" i="6"/>
  <c r="C35" i="6"/>
  <c r="L48" i="7"/>
  <c r="L64" i="7" s="1"/>
  <c r="L72" i="7" s="1"/>
  <c r="L55" i="7"/>
  <c r="O76" i="7"/>
  <c r="C64" i="7"/>
  <c r="C72" i="7" s="1"/>
  <c r="N55" i="7"/>
  <c r="N51" i="7"/>
  <c r="N63" i="7"/>
  <c r="N71" i="7" s="1"/>
  <c r="F68" i="7"/>
  <c r="F76" i="7" s="1"/>
  <c r="N68" i="7"/>
  <c r="N76" i="7" s="1"/>
  <c r="H67" i="7" l="1"/>
  <c r="H75" i="7" s="1"/>
  <c r="D68" i="7"/>
  <c r="D76" i="7" s="1"/>
  <c r="P68" i="7"/>
  <c r="P76" i="7" s="1"/>
  <c r="M68" i="7"/>
  <c r="M76" i="7" s="1"/>
  <c r="E76" i="7"/>
  <c r="O75" i="7"/>
  <c r="C68" i="7"/>
  <c r="C76" i="7" s="1"/>
  <c r="L67" i="7"/>
  <c r="L75" i="7" s="1"/>
  <c r="C67" i="7"/>
  <c r="C75" i="7" s="1"/>
  <c r="F75" i="7"/>
  <c r="K52" i="7"/>
  <c r="K56" i="7"/>
  <c r="L52" i="7"/>
  <c r="L56" i="7"/>
  <c r="N67" i="7"/>
  <c r="N75" i="7" s="1"/>
  <c r="K68" i="7" l="1"/>
  <c r="K76" i="7" s="1"/>
  <c r="L68" i="7"/>
  <c r="L76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<sst xmlns="http://schemas.openxmlformats.org/spreadsheetml/2006/main" count="357" uniqueCount="99">
  <si>
    <t>peak 01</t>
  </si>
  <si>
    <t>peak 02</t>
  </si>
  <si>
    <t>peak 03</t>
  </si>
  <si>
    <t>peak 04</t>
  </si>
  <si>
    <t>peak 05</t>
  </si>
  <si>
    <t>peak 06</t>
  </si>
  <si>
    <t>peak 07</t>
  </si>
  <si>
    <t>peak 08</t>
  </si>
  <si>
    <t>peak 09</t>
  </si>
  <si>
    <t>peak 10</t>
  </si>
  <si>
    <t>peak 11</t>
  </si>
  <si>
    <t>peak 12</t>
  </si>
  <si>
    <t>peak 13</t>
  </si>
  <si>
    <t>peak 14</t>
  </si>
  <si>
    <t>name</t>
  </si>
  <si>
    <t>shifts (ppm)</t>
  </si>
  <si>
    <t>127.95 to 127.65</t>
  </si>
  <si>
    <t>127.42 to 127.24</t>
  </si>
  <si>
    <t>126.59 to 126.35</t>
  </si>
  <si>
    <t>75.10 to 74.89</t>
  </si>
  <si>
    <t>59.93 to 59.76</t>
  </si>
  <si>
    <t>54.62 to 54.49</t>
  </si>
  <si>
    <t>48.50 to 47.00</t>
  </si>
  <si>
    <t>38.71 to 38.55</t>
  </si>
  <si>
    <t>29.10 to 28.94</t>
  </si>
  <si>
    <t>27.67 to 27.53</t>
  </si>
  <si>
    <t>25.21 to 25.02</t>
  </si>
  <si>
    <t>21.91 to 21.76</t>
  </si>
  <si>
    <t>21.63 to 21.50</t>
  </si>
  <si>
    <t>13.12 to 12.96</t>
  </si>
  <si>
    <t>range (ppm)</t>
  </si>
  <si>
    <t>avg integral</t>
  </si>
  <si>
    <t>stdev</t>
  </si>
  <si>
    <t>coeff. of var.</t>
  </si>
  <si>
    <t>std. error</t>
  </si>
  <si>
    <t>stderr of cov.</t>
  </si>
  <si>
    <t>spread</t>
  </si>
  <si>
    <t>avg. S/N</t>
  </si>
  <si>
    <t>conversion</t>
  </si>
  <si>
    <t>ortho</t>
  </si>
  <si>
    <t>para</t>
  </si>
  <si>
    <t>meta</t>
  </si>
  <si>
    <t>carbonyl</t>
  </si>
  <si>
    <t>olefin CH</t>
  </si>
  <si>
    <t>allylic</t>
  </si>
  <si>
    <t>olefin iPr</t>
  </si>
  <si>
    <t>beta carbonyl</t>
  </si>
  <si>
    <t>iPr2</t>
  </si>
  <si>
    <t>ester methyl</t>
  </si>
  <si>
    <t>R0</t>
  </si>
  <si>
    <t>R/R0</t>
  </si>
  <si>
    <t>A</t>
  </si>
  <si>
    <t>Prenyl_RecoveredSM_78%conversion</t>
  </si>
  <si>
    <t>Prenyl_RecoveredSM_82%conversion</t>
  </si>
  <si>
    <t>R_1</t>
  </si>
  <si>
    <t>R_2</t>
  </si>
  <si>
    <t>R_1/R0</t>
  </si>
  <si>
    <t>R_2/R0</t>
  </si>
  <si>
    <t>KIE_1</t>
  </si>
  <si>
    <t>KIE_2</t>
  </si>
  <si>
    <t>KIE_average</t>
  </si>
  <si>
    <t>ln(1-conversion)</t>
  </si>
  <si>
    <t>unreacted R0 average</t>
  </si>
  <si>
    <t>solvent peak</t>
  </si>
  <si>
    <t>(ΔR/R)^2</t>
  </si>
  <si>
    <t>average_unreacted</t>
  </si>
  <si>
    <t>(ΔR0/R0)^2</t>
  </si>
  <si>
    <t>average peak for UnreactedSM</t>
  </si>
  <si>
    <t>average (ΔR0/R0)^2 for UnreactedSM</t>
  </si>
  <si>
    <t>Δ(R/R0)^2</t>
  </si>
  <si>
    <t>ln(!-F)</t>
  </si>
  <si>
    <t>68%err</t>
  </si>
  <si>
    <t>alpha carbon</t>
  </si>
  <si>
    <t>iPr1</t>
  </si>
  <si>
    <t>Prenyl_UnreactedSM_1</t>
  </si>
  <si>
    <t>Prenyl_UnreactedSM_2</t>
  </si>
  <si>
    <t>Prenyl_Recovered_82%conversion</t>
  </si>
  <si>
    <t>Prenyl_Recovered_78%conversion</t>
  </si>
  <si>
    <t>Sample Name</t>
  </si>
  <si>
    <t>reference peak Integral</t>
  </si>
  <si>
    <t>integral</t>
  </si>
  <si>
    <t>UNREACTED 1</t>
  </si>
  <si>
    <t>UNREACTED 2</t>
  </si>
  <si>
    <t>OCH2</t>
  </si>
  <si>
    <t>Reference Peak</t>
  </si>
  <si>
    <t>J</t>
  </si>
  <si>
    <t>conversion (F)</t>
  </si>
  <si>
    <t>estimated uncertainty in conversion (ΔF)</t>
  </si>
  <si>
    <t># of Superblocks</t>
  </si>
  <si>
    <t>`</t>
  </si>
  <si>
    <t>reference peak</t>
  </si>
  <si>
    <t>w = ln[(1-F)*(R/R0)]</t>
  </si>
  <si>
    <t>B = (1-F)*w^2</t>
  </si>
  <si>
    <t>C = (1-F)*w</t>
  </si>
  <si>
    <t>D = ln(1-F)^2 * Δ(R/R0)^2</t>
  </si>
  <si>
    <t>E = (R/R0)^2*w^4</t>
  </si>
  <si>
    <t>G = (A/B-1/C)^2*(ΔF)^2</t>
  </si>
  <si>
    <t>H = D/E</t>
  </si>
  <si>
    <t>Error = sqrt(G+H)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</si>
</sst>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3" fillId="3" borderId="0" xfId="0" applyFont="1" applyFill="1" applyAlignment="1">
      <alignment horizontal="right"/>
    </xf>
    <xf numFmtId="0" fontId="1" fillId="7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7" borderId="0" xfId="0" applyFont="1" applyFill="1" applyAlignment="1">
      <alignment horizontal="right" vertical="center" wrapText="1"/>
    </xf>
    <xf numFmtId="10" fontId="1" fillId="7" borderId="0" xfId="0" applyNumberFormat="1" applyFont="1" applyFill="1" applyAlignment="1">
      <alignment horizontal="right" vertical="center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7" xfId="0" applyFont="1" applyBorder="1"/>
    <xf numFmtId="0" fontId="1" fillId="0" borderId="3" xfId="0" applyFont="1" applyBorder="1"/>
    <xf numFmtId="0" fontId="1" fillId="0" borderId="5" xfId="0" applyFont="1" applyBorder="1"/>
    <xf numFmtId="0" fontId="2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3" fillId="0" borderId="0" xfId="0" applyFont="1"/>
    <xf numFmtId="0" fontId="5" fillId="0" borderId="0" xfId="0" applyFont="1"/>
    <xf numFmtId="0" fontId="6" fillId="0" borderId="0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3" fillId="3" borderId="0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right" vertical="center" wrapText="1"/>
    </xf>
    <xf numFmtId="0" fontId="2" fillId="7" borderId="5" xfId="0" applyFont="1" applyFill="1" applyBorder="1" applyAlignment="1">
      <alignment horizontal="right" vertical="center" wrapText="1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6" xfId="0" applyFont="1" applyBorder="1"/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9" fontId="1" fillId="0" borderId="0" xfId="0" applyNumberFormat="1" applyFont="1"/>
    <xf numFmtId="0" fontId="5" fillId="8" borderId="0" xfId="0" applyFont="1" applyFill="1" applyBorder="1" applyAlignment="1">
      <alignment horizontal="right"/>
    </xf>
    <xf numFmtId="9" fontId="2" fillId="8" borderId="5" xfId="0" applyNumberFormat="1" applyFont="1" applyFill="1" applyBorder="1"/>
    <xf numFmtId="0" fontId="1" fillId="8" borderId="0" xfId="0" applyFont="1" applyFill="1"/>
    <xf numFmtId="0" fontId="2" fillId="0" borderId="0" xfId="0" applyFont="1" applyFill="1"/>
    <xf numFmtId="164" fontId="1" fillId="0" borderId="0" xfId="0" applyNumberFormat="1" applyFont="1" applyFill="1"/>
    <xf numFmtId="0" fontId="1" fillId="0" borderId="0" xfId="0" applyFont="1" applyFill="1"/>
    <xf numFmtId="0" fontId="6" fillId="8" borderId="0" xfId="0" applyFont="1" applyFill="1"/>
    <xf numFmtId="164" fontId="5" fillId="8" borderId="0" xfId="0" applyNumberFormat="1" applyFont="1" applyFill="1"/>
    <xf numFmtId="0" fontId="5" fillId="8" borderId="0" xfId="0" applyFont="1" applyFill="1"/>
    <xf numFmtId="164" fontId="1" fillId="8" borderId="0" xfId="0" applyNumberFormat="1" applyFont="1" applyFill="1" applyBorder="1"/>
    <xf numFmtId="0" fontId="1" fillId="8" borderId="0" xfId="0" applyFont="1" applyFill="1" applyBorder="1"/>
    <xf numFmtId="164" fontId="1" fillId="8" borderId="5" xfId="0" applyNumberFormat="1" applyFont="1" applyFill="1" applyBorder="1"/>
    <xf numFmtId="164" fontId="1" fillId="8" borderId="7" xfId="0" applyNumberFormat="1" applyFont="1" applyFill="1" applyBorder="1"/>
    <xf numFmtId="0" fontId="1" fillId="8" borderId="7" xfId="0" applyFont="1" applyFill="1" applyBorder="1"/>
    <xf numFmtId="164" fontId="1" fillId="8" borderId="8" xfId="0" applyNumberFormat="1" applyFont="1" applyFill="1" applyBorder="1"/>
    <xf numFmtId="0" fontId="2" fillId="0" borderId="1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0</xdr:row>
      <xdr:rowOff>101600</xdr:rowOff>
    </xdr:from>
    <xdr:to>
      <xdr:col>2</xdr:col>
      <xdr:colOff>481119</xdr:colOff>
      <xdr:row>13</xdr:row>
      <xdr:rowOff>48894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5ABD59-BD11-4F75-9B43-E02AEDC04A83}"/>
            </a:ext>
          </a:extLst>
        </xdr:cNvPr>
        <xdr:cNvSpPr txBox="1"/>
      </xdr:nvSpPr>
      <xdr:spPr>
        <a:xfrm>
          <a:off x="213360" y="101600"/>
          <a:ext cx="1669839" cy="3391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Raw Data:</a:t>
          </a:r>
        </a:p>
        <a:p>
          <a:endParaRPr lang="en-US" sz="1100"/>
        </a:p>
        <a:p>
          <a:r>
            <a:rPr lang="en-US" sz="1100"/>
            <a:t>1. Paste the summary</a:t>
          </a:r>
          <a:r>
            <a:rPr lang="en-US" sz="1100" baseline="0"/>
            <a:t> tables from the Jupyter Notebooks here.</a:t>
          </a:r>
        </a:p>
        <a:p>
          <a:endParaRPr lang="en-US" sz="1100" baseline="0"/>
        </a:p>
        <a:p>
          <a:r>
            <a:rPr lang="en-US" sz="1100" baseline="0"/>
            <a:t>2. Which peak should be the reference?  Enter the column into B16.  This peak should correspond to a carbon that is expected to have no KIE.</a:t>
          </a:r>
        </a:p>
        <a:p>
          <a:endParaRPr lang="en-US" sz="1100" baseline="0"/>
        </a:p>
        <a:p>
          <a:r>
            <a:rPr lang="en-US" sz="1100" baseline="0"/>
            <a:t>3. Enter the conversions into A20 and A21.</a:t>
          </a:r>
        </a:p>
        <a:p>
          <a:endParaRPr lang="en-US" sz="1100" baseline="0"/>
        </a:p>
        <a:p>
          <a:r>
            <a:rPr lang="en-US" sz="1100" baseline="0"/>
            <a:t>4. The other tabs will automatically populate based on the information here.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225364</xdr:colOff>
      <xdr:row>0</xdr:row>
      <xdr:rowOff>81280</xdr:rowOff>
    </xdr:from>
    <xdr:ext cx="2975036" cy="2625397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118AB568-03E0-495C-A235-5676CF3446C6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28873" b="18579"/>
        <a:stretch/>
      </xdr:blipFill>
      <xdr:spPr>
        <a:xfrm>
          <a:off x="6941124" y="81280"/>
          <a:ext cx="2975036" cy="2625397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0</xdr:colOff>
      <xdr:row>0</xdr:row>
      <xdr:rowOff>0</xdr:rowOff>
    </xdr:from>
    <xdr:to>
      <xdr:col>3</xdr:col>
      <xdr:colOff>892914</xdr:colOff>
      <xdr:row>10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DF60EF-CB86-43F9-B7EA-E8D2438B7AD7}"/>
            </a:ext>
          </a:extLst>
        </xdr:cNvPr>
        <xdr:cNvSpPr txBox="1"/>
      </xdr:nvSpPr>
      <xdr:spPr>
        <a:xfrm>
          <a:off x="0" y="0"/>
          <a:ext cx="5623664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KIEs</a:t>
          </a:r>
        </a:p>
        <a:p>
          <a:endParaRPr lang="en-US" sz="1100"/>
        </a:p>
        <a:p>
          <a:r>
            <a:rPr lang="en-US" sz="1100"/>
            <a:t>KIEs are calculated here.  There is no need to enter in anything on this tab.</a:t>
          </a:r>
        </a:p>
        <a:p>
          <a:endParaRPr lang="en-US" sz="1100"/>
        </a:p>
        <a:p>
          <a:r>
            <a:rPr lang="en-US" sz="1100"/>
            <a:t>R</a:t>
          </a:r>
          <a:r>
            <a:rPr lang="en-US" sz="1100" baseline="0"/>
            <a:t>0 : 13C/12C ratio in unreacted starting material</a:t>
          </a:r>
        </a:p>
        <a:p>
          <a:r>
            <a:rPr lang="en-US" sz="1100" baseline="0"/>
            <a:t>R_i : 13C/12C ratio in recovered starting material sample i</a:t>
          </a:r>
        </a:p>
        <a:p>
          <a:endParaRPr lang="en-US" sz="1100" baseline="0"/>
        </a:p>
        <a:p>
          <a:r>
            <a:rPr lang="en-US" sz="1100" baseline="0"/>
            <a:t>KIE_i : KIE for sample i</a:t>
          </a:r>
        </a:p>
        <a:p>
          <a:r>
            <a:rPr lang="en-US" sz="1100" baseline="0"/>
            <a:t>KIE_average: final result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91441</xdr:colOff>
      <xdr:row>0</xdr:row>
      <xdr:rowOff>101601</xdr:rowOff>
    </xdr:from>
    <xdr:to>
      <xdr:col>2</xdr:col>
      <xdr:colOff>1046481</xdr:colOff>
      <xdr:row>5</xdr:row>
      <xdr:rowOff>172721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4DD04B-3AB6-46B6-B00F-A51F6402EE34}"/>
            </a:ext>
          </a:extLst>
        </xdr:cNvPr>
        <xdr:cNvSpPr txBox="1"/>
      </xdr:nvSpPr>
      <xdr:spPr>
        <a:xfrm>
          <a:off x="91441" y="101601"/>
          <a:ext cx="6319520" cy="985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Error:</a:t>
          </a:r>
        </a:p>
        <a:p>
          <a:r>
            <a:rPr lang="en-US" sz="1100"/>
            <a:t>1. Place the number of spectra </a:t>
          </a:r>
          <a:r>
            <a:rPr lang="en-US" sz="1100" baseline="0"/>
            <a:t>in J11.</a:t>
          </a:r>
        </a:p>
        <a:p>
          <a:endParaRPr lang="en-US" sz="1100" baseline="0"/>
        </a:p>
        <a:p>
          <a:r>
            <a:rPr lang="en-US" sz="1100" baseline="0"/>
            <a:t>2. Uncertainties for the KIEs are given on row 75 and 76 as 68% confidence intervals.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C2C4-8745-4E48-A0DF-575639D7DF84}">
  <dimension ref="A1:T129"/>
  <sheetViews>
    <sheetView tabSelected="1" zoomScale="125" zoomScaleNormal="125" workbookViewId="0">
      <selection activeCell="B16" sqref="B16"/>
    </sheetView>
  </sheetViews>
  <sheetFormatPr baseColWidth="10" defaultColWidth="9.1640625" defaultRowHeight="14" x14ac:dyDescent="0.2"/>
  <cols>
    <col min="1" max="1" width="12.83203125" style="1" customWidth="1"/>
    <col min="2" max="3" width="9.1640625" style="1"/>
    <col min="4" max="4" width="3.5" style="1" customWidth="1"/>
    <col min="5" max="20" width="9.1640625" style="1"/>
    <col min="21" max="21" width="21.5" style="1" customWidth="1"/>
    <col min="22" max="16384" width="9.1640625" style="1"/>
  </cols>
  <sheetData>
    <row r="1" spans="1:20" x14ac:dyDescent="0.2">
      <c r="E1" s="45" t="s">
        <v>74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20" x14ac:dyDescent="0.2">
      <c r="F2" s="7" t="s">
        <v>0</v>
      </c>
      <c r="G2" s="7" t="s">
        <v>1</v>
      </c>
      <c r="H2" s="7" t="s">
        <v>2</v>
      </c>
      <c r="I2" s="7" t="s">
        <v>3</v>
      </c>
      <c r="J2" s="7" t="s">
        <v>4</v>
      </c>
      <c r="K2" s="7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7" t="s">
        <v>10</v>
      </c>
      <c r="Q2" s="7" t="s">
        <v>11</v>
      </c>
      <c r="R2" s="7" t="s">
        <v>12</v>
      </c>
      <c r="S2" s="7" t="s">
        <v>13</v>
      </c>
    </row>
    <row r="3" spans="1:20" ht="30" x14ac:dyDescent="0.2">
      <c r="E3" s="12" t="s">
        <v>14</v>
      </c>
      <c r="F3" s="35" t="s">
        <v>39</v>
      </c>
      <c r="G3" s="35" t="s">
        <v>40</v>
      </c>
      <c r="H3" s="35" t="s">
        <v>41</v>
      </c>
      <c r="I3" s="35" t="s">
        <v>42</v>
      </c>
      <c r="J3" s="21" t="s">
        <v>83</v>
      </c>
      <c r="K3" s="35" t="s">
        <v>72</v>
      </c>
      <c r="L3" s="35" t="s">
        <v>63</v>
      </c>
      <c r="M3" s="35" t="s">
        <v>43</v>
      </c>
      <c r="N3" s="35" t="s">
        <v>44</v>
      </c>
      <c r="O3" s="35" t="s">
        <v>45</v>
      </c>
      <c r="P3" s="35" t="s">
        <v>46</v>
      </c>
      <c r="Q3" s="35" t="s">
        <v>73</v>
      </c>
      <c r="R3" s="35" t="s">
        <v>47</v>
      </c>
      <c r="S3" s="35" t="s">
        <v>48</v>
      </c>
      <c r="T3" s="32"/>
    </row>
    <row r="4" spans="1:20" ht="30" x14ac:dyDescent="0.2">
      <c r="E4" s="12" t="s">
        <v>15</v>
      </c>
      <c r="F4" s="8" t="s">
        <v>16</v>
      </c>
      <c r="G4" s="8" t="s">
        <v>17</v>
      </c>
      <c r="H4" s="8" t="s">
        <v>18</v>
      </c>
      <c r="I4" s="8" t="s">
        <v>19</v>
      </c>
      <c r="J4" s="8" t="s">
        <v>20</v>
      </c>
      <c r="K4" s="8" t="s">
        <v>21</v>
      </c>
      <c r="L4" s="8" t="s">
        <v>22</v>
      </c>
      <c r="M4" s="8" t="s">
        <v>23</v>
      </c>
      <c r="N4" s="8" t="s">
        <v>24</v>
      </c>
      <c r="O4" s="8" t="s">
        <v>25</v>
      </c>
      <c r="P4" s="8" t="s">
        <v>26</v>
      </c>
      <c r="Q4" s="8" t="s">
        <v>27</v>
      </c>
      <c r="R4" s="8" t="s">
        <v>28</v>
      </c>
      <c r="S4" s="8" t="s">
        <v>29</v>
      </c>
    </row>
    <row r="5" spans="1:20" ht="30" x14ac:dyDescent="0.2">
      <c r="E5" s="12" t="s">
        <v>30</v>
      </c>
      <c r="F5" s="8">
        <v>0.29699999999999999</v>
      </c>
      <c r="G5" s="8">
        <v>0.17699999999999999</v>
      </c>
      <c r="H5" s="8">
        <v>0.24099999999999999</v>
      </c>
      <c r="I5" s="8">
        <v>0.20699999999999999</v>
      </c>
      <c r="J5" s="8">
        <v>0.16700000000000001</v>
      </c>
      <c r="K5" s="8">
        <v>0.126</v>
      </c>
      <c r="L5" s="8">
        <v>1.5</v>
      </c>
      <c r="M5" s="8">
        <v>0.16200000000000001</v>
      </c>
      <c r="N5" s="8">
        <v>0.16200000000000001</v>
      </c>
      <c r="O5" s="8">
        <v>0.14199999999999999</v>
      </c>
      <c r="P5" s="8">
        <v>0.191</v>
      </c>
      <c r="Q5" s="8">
        <v>0.156</v>
      </c>
      <c r="R5" s="8">
        <v>0.13700000000000001</v>
      </c>
      <c r="S5" s="8">
        <v>0.161</v>
      </c>
    </row>
    <row r="6" spans="1:20" ht="15" x14ac:dyDescent="0.2">
      <c r="E6" s="19" t="s">
        <v>31</v>
      </c>
      <c r="F6" s="20">
        <v>19.387499999999999</v>
      </c>
      <c r="G6" s="20">
        <v>9.5873000000000008</v>
      </c>
      <c r="H6" s="20">
        <v>20.058299999999999</v>
      </c>
      <c r="I6" s="20">
        <v>11.065099999999999</v>
      </c>
      <c r="J6" s="20">
        <v>11.7575</v>
      </c>
      <c r="K6" s="20">
        <v>10.4693</v>
      </c>
      <c r="L6" s="20">
        <v>0.60140000000000005</v>
      </c>
      <c r="M6" s="20">
        <v>10.222099999999999</v>
      </c>
      <c r="N6" s="20">
        <v>10.523400000000001</v>
      </c>
      <c r="O6" s="20">
        <v>10.349</v>
      </c>
      <c r="P6" s="20">
        <v>10.171799999999999</v>
      </c>
      <c r="Q6" s="20">
        <v>9.7460000000000004</v>
      </c>
      <c r="R6" s="20">
        <v>9.7444000000000006</v>
      </c>
      <c r="S6" s="20">
        <v>9.8450000000000006</v>
      </c>
    </row>
    <row r="7" spans="1:20" ht="15" x14ac:dyDescent="0.2">
      <c r="E7" s="19" t="s">
        <v>32</v>
      </c>
      <c r="F7" s="20">
        <v>0.14119999999999999</v>
      </c>
      <c r="G7" s="20">
        <v>7.0300000000000001E-2</v>
      </c>
      <c r="H7" s="20">
        <v>0.13320000000000001</v>
      </c>
      <c r="I7" s="20">
        <v>7.0800000000000002E-2</v>
      </c>
      <c r="J7" s="20">
        <v>6.59E-2</v>
      </c>
      <c r="K7" s="20">
        <v>6.9699999999999998E-2</v>
      </c>
      <c r="L7" s="20">
        <v>8.1199999999999994E-2</v>
      </c>
      <c r="M7" s="20">
        <v>5.0599999999999999E-2</v>
      </c>
      <c r="N7" s="20">
        <v>4.8399999999999999E-2</v>
      </c>
      <c r="O7" s="20">
        <v>6.9699999999999998E-2</v>
      </c>
      <c r="P7" s="20">
        <v>5.0099999999999999E-2</v>
      </c>
      <c r="Q7" s="20">
        <v>6.1899999999999997E-2</v>
      </c>
      <c r="R7" s="20">
        <v>5.8000000000000003E-2</v>
      </c>
      <c r="S7" s="20">
        <v>7.3099999999999998E-2</v>
      </c>
    </row>
    <row r="8" spans="1:20" ht="30" x14ac:dyDescent="0.2">
      <c r="E8" s="12" t="s">
        <v>33</v>
      </c>
      <c r="F8" s="13">
        <v>7.3000000000000001E-3</v>
      </c>
      <c r="G8" s="13">
        <v>7.3000000000000001E-3</v>
      </c>
      <c r="H8" s="13">
        <v>6.6E-3</v>
      </c>
      <c r="I8" s="13">
        <v>6.4000000000000003E-3</v>
      </c>
      <c r="J8" s="13">
        <v>5.5999999999999999E-3</v>
      </c>
      <c r="K8" s="13">
        <v>6.7000000000000002E-3</v>
      </c>
      <c r="L8" s="13">
        <v>0.13500000000000001</v>
      </c>
      <c r="M8" s="13">
        <v>5.0000000000000001E-3</v>
      </c>
      <c r="N8" s="13">
        <v>4.5999999999999999E-3</v>
      </c>
      <c r="O8" s="13">
        <v>6.7000000000000002E-3</v>
      </c>
      <c r="P8" s="13">
        <v>4.8999999999999998E-3</v>
      </c>
      <c r="Q8" s="13">
        <v>6.4000000000000003E-3</v>
      </c>
      <c r="R8" s="13">
        <v>6.0000000000000001E-3</v>
      </c>
      <c r="S8" s="13">
        <v>7.4000000000000003E-3</v>
      </c>
    </row>
    <row r="9" spans="1:20" ht="15" x14ac:dyDescent="0.2">
      <c r="E9" s="12" t="s">
        <v>34</v>
      </c>
      <c r="F9" s="8">
        <v>9.1000000000000004E-3</v>
      </c>
      <c r="G9" s="8">
        <v>4.4999999999999997E-3</v>
      </c>
      <c r="H9" s="8">
        <v>8.6E-3</v>
      </c>
      <c r="I9" s="8">
        <v>4.5999999999999999E-3</v>
      </c>
      <c r="J9" s="8">
        <v>4.3E-3</v>
      </c>
      <c r="K9" s="8">
        <v>4.4999999999999997E-3</v>
      </c>
      <c r="L9" s="8">
        <v>5.1999999999999998E-3</v>
      </c>
      <c r="M9" s="8">
        <v>3.3E-3</v>
      </c>
      <c r="N9" s="8">
        <v>3.0999999999999999E-3</v>
      </c>
      <c r="O9" s="8">
        <v>4.4999999999999997E-3</v>
      </c>
      <c r="P9" s="8">
        <v>3.2000000000000002E-3</v>
      </c>
      <c r="Q9" s="8">
        <v>4.0000000000000001E-3</v>
      </c>
      <c r="R9" s="8">
        <v>3.7000000000000002E-3</v>
      </c>
      <c r="S9" s="8">
        <v>4.7000000000000002E-3</v>
      </c>
    </row>
    <row r="10" spans="1:20" ht="30" x14ac:dyDescent="0.2">
      <c r="E10" s="12" t="s">
        <v>35</v>
      </c>
      <c r="F10" s="13">
        <v>5.0000000000000001E-4</v>
      </c>
      <c r="G10" s="13">
        <v>5.0000000000000001E-4</v>
      </c>
      <c r="H10" s="13">
        <v>4.0000000000000002E-4</v>
      </c>
      <c r="I10" s="13">
        <v>4.0000000000000002E-4</v>
      </c>
      <c r="J10" s="13">
        <v>4.0000000000000002E-4</v>
      </c>
      <c r="K10" s="13">
        <v>4.0000000000000002E-4</v>
      </c>
      <c r="L10" s="13">
        <v>8.6999999999999994E-3</v>
      </c>
      <c r="M10" s="13">
        <v>2.9999999999999997E-4</v>
      </c>
      <c r="N10" s="13">
        <v>2.9999999999999997E-4</v>
      </c>
      <c r="O10" s="13">
        <v>4.0000000000000002E-4</v>
      </c>
      <c r="P10" s="13">
        <v>2.9999999999999997E-4</v>
      </c>
      <c r="Q10" s="13">
        <v>4.0000000000000002E-4</v>
      </c>
      <c r="R10" s="13">
        <v>4.0000000000000002E-4</v>
      </c>
      <c r="S10" s="13">
        <v>5.0000000000000001E-4</v>
      </c>
    </row>
    <row r="11" spans="1:20" ht="15" x14ac:dyDescent="0.2">
      <c r="E11" s="12" t="s">
        <v>36</v>
      </c>
      <c r="F11" s="13">
        <v>3.9899999999999998E-2</v>
      </c>
      <c r="G11" s="13">
        <v>4.2000000000000003E-2</v>
      </c>
      <c r="H11" s="13">
        <v>3.73E-2</v>
      </c>
      <c r="I11" s="13">
        <v>3.3500000000000002E-2</v>
      </c>
      <c r="J11" s="13">
        <v>3.1899999999999998E-2</v>
      </c>
      <c r="K11" s="13">
        <v>3.4799999999999998E-2</v>
      </c>
      <c r="L11" s="13">
        <v>0.75319999999999998</v>
      </c>
      <c r="M11" s="13">
        <v>2.9700000000000001E-2</v>
      </c>
      <c r="N11" s="13">
        <v>2.5700000000000001E-2</v>
      </c>
      <c r="O11" s="13">
        <v>3.8600000000000002E-2</v>
      </c>
      <c r="P11" s="13">
        <v>2.92E-2</v>
      </c>
      <c r="Q11" s="13">
        <v>3.4200000000000001E-2</v>
      </c>
      <c r="R11" s="13">
        <v>3.0499999999999999E-2</v>
      </c>
      <c r="S11" s="13">
        <v>3.9699999999999999E-2</v>
      </c>
    </row>
    <row r="12" spans="1:20" ht="15" x14ac:dyDescent="0.2">
      <c r="E12" s="12" t="s">
        <v>37</v>
      </c>
      <c r="F12" s="8">
        <v>1460</v>
      </c>
      <c r="G12" s="8">
        <v>683</v>
      </c>
      <c r="H12" s="8">
        <v>1512</v>
      </c>
      <c r="I12" s="8">
        <v>737</v>
      </c>
      <c r="J12" s="8">
        <v>850</v>
      </c>
      <c r="K12" s="8">
        <v>775</v>
      </c>
      <c r="L12" s="8">
        <v>25</v>
      </c>
      <c r="M12" s="8">
        <v>801</v>
      </c>
      <c r="N12" s="8">
        <v>697</v>
      </c>
      <c r="O12" s="8">
        <v>907</v>
      </c>
      <c r="P12" s="8">
        <v>732</v>
      </c>
      <c r="Q12" s="8">
        <v>777</v>
      </c>
      <c r="R12" s="8">
        <v>799</v>
      </c>
      <c r="S12" s="8">
        <v>746</v>
      </c>
    </row>
    <row r="14" spans="1:20" x14ac:dyDescent="0.2">
      <c r="E14" s="46" t="s">
        <v>75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</row>
    <row r="15" spans="1:20" x14ac:dyDescent="0.2">
      <c r="F15" s="7" t="s">
        <v>0</v>
      </c>
      <c r="G15" s="7" t="s">
        <v>1</v>
      </c>
      <c r="H15" s="7" t="s">
        <v>2</v>
      </c>
      <c r="I15" s="7" t="s">
        <v>3</v>
      </c>
      <c r="J15" s="7" t="s">
        <v>4</v>
      </c>
      <c r="K15" s="7" t="s">
        <v>5</v>
      </c>
      <c r="L15" s="7" t="s">
        <v>6</v>
      </c>
      <c r="M15" s="7" t="s">
        <v>7</v>
      </c>
      <c r="N15" s="7" t="s">
        <v>8</v>
      </c>
      <c r="O15" s="7" t="s">
        <v>9</v>
      </c>
      <c r="P15" s="7" t="s">
        <v>10</v>
      </c>
      <c r="Q15" s="7" t="s">
        <v>11</v>
      </c>
      <c r="R15" s="7" t="s">
        <v>12</v>
      </c>
      <c r="S15" s="7" t="s">
        <v>13</v>
      </c>
    </row>
    <row r="16" spans="1:20" ht="30" x14ac:dyDescent="0.2">
      <c r="A16" s="2" t="s">
        <v>84</v>
      </c>
      <c r="B16" s="55" t="s">
        <v>85</v>
      </c>
      <c r="E16" s="12" t="s">
        <v>14</v>
      </c>
      <c r="F16" s="35" t="s">
        <v>39</v>
      </c>
      <c r="G16" s="35" t="s">
        <v>40</v>
      </c>
      <c r="H16" s="35" t="s">
        <v>41</v>
      </c>
      <c r="I16" s="35" t="s">
        <v>42</v>
      </c>
      <c r="J16" s="21" t="s">
        <v>83</v>
      </c>
      <c r="K16" s="35" t="s">
        <v>72</v>
      </c>
      <c r="L16" s="35" t="s">
        <v>63</v>
      </c>
      <c r="M16" s="35" t="s">
        <v>43</v>
      </c>
      <c r="N16" s="35" t="s">
        <v>44</v>
      </c>
      <c r="O16" s="35" t="s">
        <v>45</v>
      </c>
      <c r="P16" s="35" t="s">
        <v>46</v>
      </c>
      <c r="Q16" s="35" t="s">
        <v>73</v>
      </c>
      <c r="R16" s="35" t="s">
        <v>47</v>
      </c>
      <c r="S16" s="35" t="s">
        <v>48</v>
      </c>
      <c r="T16" s="32"/>
    </row>
    <row r="17" spans="1:20" ht="30" x14ac:dyDescent="0.2">
      <c r="A17" s="16"/>
      <c r="B17" s="51" t="s">
        <v>80</v>
      </c>
      <c r="C17" s="51" t="s">
        <v>32</v>
      </c>
      <c r="E17" s="12" t="s">
        <v>15</v>
      </c>
      <c r="F17" s="8" t="s">
        <v>16</v>
      </c>
      <c r="G17" s="8" t="s">
        <v>17</v>
      </c>
      <c r="H17" s="8" t="s">
        <v>18</v>
      </c>
      <c r="I17" s="8" t="s">
        <v>19</v>
      </c>
      <c r="J17" s="8" t="s">
        <v>20</v>
      </c>
      <c r="K17" s="8" t="s">
        <v>21</v>
      </c>
      <c r="L17" s="8" t="s">
        <v>22</v>
      </c>
      <c r="M17" s="8" t="s">
        <v>23</v>
      </c>
      <c r="N17" s="8" t="s">
        <v>24</v>
      </c>
      <c r="O17" s="8" t="s">
        <v>25</v>
      </c>
      <c r="P17" s="8" t="s">
        <v>26</v>
      </c>
      <c r="Q17" s="8" t="s">
        <v>27</v>
      </c>
      <c r="R17" s="8" t="s">
        <v>28</v>
      </c>
      <c r="S17" s="8" t="s">
        <v>29</v>
      </c>
    </row>
    <row r="18" spans="1:20" ht="30" x14ac:dyDescent="0.2">
      <c r="A18" s="49" t="s">
        <v>81</v>
      </c>
      <c r="B18" s="1" cm="1">
        <f t="array" aca="1" ref="B18" ca="1">INDIRECT($B$16&amp;"6")</f>
        <v>11.7575</v>
      </c>
      <c r="C18" s="1" cm="1">
        <f t="array" aca="1" ref="C18" ca="1">INDIRECT($B$16&amp;"7")</f>
        <v>6.59E-2</v>
      </c>
      <c r="E18" s="12" t="s">
        <v>30</v>
      </c>
      <c r="F18" s="8">
        <v>0.29699999999999999</v>
      </c>
      <c r="G18" s="8">
        <v>0.17699999999999999</v>
      </c>
      <c r="H18" s="8">
        <v>0.24099999999999999</v>
      </c>
      <c r="I18" s="8">
        <v>0.20699999999999999</v>
      </c>
      <c r="J18" s="8">
        <v>0.16700000000000001</v>
      </c>
      <c r="K18" s="8">
        <v>0.126</v>
      </c>
      <c r="L18" s="8">
        <v>1.5</v>
      </c>
      <c r="M18" s="8">
        <v>0.16200000000000001</v>
      </c>
      <c r="N18" s="8">
        <v>0.16200000000000001</v>
      </c>
      <c r="O18" s="8">
        <v>0.14199999999999999</v>
      </c>
      <c r="P18" s="8">
        <v>0.191</v>
      </c>
      <c r="Q18" s="8">
        <v>0.156</v>
      </c>
      <c r="R18" s="8">
        <v>0.13700000000000001</v>
      </c>
      <c r="S18" s="8">
        <v>0.161</v>
      </c>
    </row>
    <row r="19" spans="1:20" ht="15" x14ac:dyDescent="0.2">
      <c r="A19" s="50" t="s">
        <v>82</v>
      </c>
      <c r="B19" s="1" cm="1">
        <f t="array" aca="1" ref="B19" ca="1">INDIRECT($B$16&amp;"19")</f>
        <v>11.615399999999999</v>
      </c>
      <c r="C19" s="1" cm="1">
        <f t="array" aca="1" ref="C19" ca="1">INDIRECT($B$16&amp;"20")</f>
        <v>5.4899999999999997E-2</v>
      </c>
      <c r="E19" s="19" t="s">
        <v>31</v>
      </c>
      <c r="F19" s="20">
        <v>19.231999999999999</v>
      </c>
      <c r="G19" s="20">
        <v>9.4989000000000008</v>
      </c>
      <c r="H19" s="20">
        <v>19.8489</v>
      </c>
      <c r="I19" s="20">
        <v>10.982799999999999</v>
      </c>
      <c r="J19" s="20">
        <v>11.615399999999999</v>
      </c>
      <c r="K19" s="20">
        <v>10.370799999999999</v>
      </c>
      <c r="L19" s="20">
        <v>0.61140000000000005</v>
      </c>
      <c r="M19" s="20">
        <v>10.0867</v>
      </c>
      <c r="N19" s="20">
        <v>10.363200000000001</v>
      </c>
      <c r="O19" s="20">
        <v>10.250299999999999</v>
      </c>
      <c r="P19" s="20">
        <v>10.045</v>
      </c>
      <c r="Q19" s="20">
        <v>9.5974000000000004</v>
      </c>
      <c r="R19" s="20">
        <v>9.5980000000000008</v>
      </c>
      <c r="S19" s="20">
        <v>9.6920999999999999</v>
      </c>
    </row>
    <row r="20" spans="1:20" ht="15" x14ac:dyDescent="0.2">
      <c r="A20" s="54">
        <v>0.82</v>
      </c>
      <c r="B20" s="1" cm="1">
        <f t="array" aca="1" ref="B20" ca="1">INDIRECT($B$16&amp;"32")</f>
        <v>11.844099999999999</v>
      </c>
      <c r="C20" s="1" cm="1">
        <f t="array" aca="1" ref="C20" ca="1">INDIRECT($B$16&amp;"33")</f>
        <v>5.1999999999999998E-2</v>
      </c>
      <c r="E20" s="19" t="s">
        <v>32</v>
      </c>
      <c r="F20" s="20">
        <v>0.1217</v>
      </c>
      <c r="G20" s="20">
        <v>6.2300000000000001E-2</v>
      </c>
      <c r="H20" s="20">
        <v>0.1124</v>
      </c>
      <c r="I20" s="20">
        <v>6.1699999999999998E-2</v>
      </c>
      <c r="J20" s="20">
        <v>5.4899999999999997E-2</v>
      </c>
      <c r="K20" s="20">
        <v>5.91E-2</v>
      </c>
      <c r="L20" s="20">
        <v>8.1500000000000003E-2</v>
      </c>
      <c r="M20" s="20">
        <v>2.93E-2</v>
      </c>
      <c r="N20" s="20">
        <v>3.1600000000000003E-2</v>
      </c>
      <c r="O20" s="20">
        <v>5.8599999999999999E-2</v>
      </c>
      <c r="P20" s="20">
        <v>3.6299999999999999E-2</v>
      </c>
      <c r="Q20" s="20">
        <v>5.7099999999999998E-2</v>
      </c>
      <c r="R20" s="20">
        <v>5.7200000000000001E-2</v>
      </c>
      <c r="S20" s="20">
        <v>6.8699999999999997E-2</v>
      </c>
    </row>
    <row r="21" spans="1:20" ht="30" x14ac:dyDescent="0.2">
      <c r="A21" s="54">
        <v>0.78</v>
      </c>
      <c r="B21" s="1" cm="1">
        <f t="array" aca="1" ref="B21" ca="1">INDIRECT($B$16&amp;"45")</f>
        <v>11.7431</v>
      </c>
      <c r="C21" s="1" cm="1">
        <f t="array" aca="1" ref="C21" ca="1">INDIRECT($B$16&amp;"46")</f>
        <v>5.4100000000000002E-2</v>
      </c>
      <c r="E21" s="12" t="s">
        <v>33</v>
      </c>
      <c r="F21" s="13">
        <v>6.3E-3</v>
      </c>
      <c r="G21" s="13">
        <v>6.6E-3</v>
      </c>
      <c r="H21" s="13">
        <v>5.7000000000000002E-3</v>
      </c>
      <c r="I21" s="13">
        <v>5.5999999999999999E-3</v>
      </c>
      <c r="J21" s="13">
        <v>4.7000000000000002E-3</v>
      </c>
      <c r="K21" s="13">
        <v>5.7000000000000002E-3</v>
      </c>
      <c r="L21" s="13">
        <v>0.1333</v>
      </c>
      <c r="M21" s="13">
        <v>2.8999999999999998E-3</v>
      </c>
      <c r="N21" s="13">
        <v>3.0000000000000001E-3</v>
      </c>
      <c r="O21" s="13">
        <v>5.7000000000000002E-3</v>
      </c>
      <c r="P21" s="13">
        <v>3.5999999999999999E-3</v>
      </c>
      <c r="Q21" s="13">
        <v>5.8999999999999999E-3</v>
      </c>
      <c r="R21" s="13">
        <v>6.0000000000000001E-3</v>
      </c>
      <c r="S21" s="13">
        <v>7.1000000000000004E-3</v>
      </c>
    </row>
    <row r="22" spans="1:20" ht="15" x14ac:dyDescent="0.2">
      <c r="E22" s="12" t="s">
        <v>34</v>
      </c>
      <c r="F22" s="8">
        <v>7.9000000000000008E-3</v>
      </c>
      <c r="G22" s="8">
        <v>4.0000000000000001E-3</v>
      </c>
      <c r="H22" s="8">
        <v>7.3000000000000001E-3</v>
      </c>
      <c r="I22" s="8">
        <v>4.0000000000000001E-3</v>
      </c>
      <c r="J22" s="8">
        <v>3.5000000000000001E-3</v>
      </c>
      <c r="K22" s="8">
        <v>3.8E-3</v>
      </c>
      <c r="L22" s="8">
        <v>5.3E-3</v>
      </c>
      <c r="M22" s="8">
        <v>1.9E-3</v>
      </c>
      <c r="N22" s="8">
        <v>2E-3</v>
      </c>
      <c r="O22" s="8">
        <v>3.8E-3</v>
      </c>
      <c r="P22" s="8">
        <v>2.3E-3</v>
      </c>
      <c r="Q22" s="8">
        <v>3.7000000000000002E-3</v>
      </c>
      <c r="R22" s="8">
        <v>3.7000000000000002E-3</v>
      </c>
      <c r="S22" s="8">
        <v>4.4000000000000003E-3</v>
      </c>
    </row>
    <row r="23" spans="1:20" ht="30" x14ac:dyDescent="0.2">
      <c r="E23" s="12" t="s">
        <v>35</v>
      </c>
      <c r="F23" s="13">
        <v>4.0000000000000002E-4</v>
      </c>
      <c r="G23" s="13">
        <v>4.0000000000000002E-4</v>
      </c>
      <c r="H23" s="13">
        <v>4.0000000000000002E-4</v>
      </c>
      <c r="I23" s="13">
        <v>4.0000000000000002E-4</v>
      </c>
      <c r="J23" s="13">
        <v>2.9999999999999997E-4</v>
      </c>
      <c r="K23" s="13">
        <v>4.0000000000000002E-4</v>
      </c>
      <c r="L23" s="13">
        <v>8.6E-3</v>
      </c>
      <c r="M23" s="13">
        <v>2.0000000000000001E-4</v>
      </c>
      <c r="N23" s="13">
        <v>2.0000000000000001E-4</v>
      </c>
      <c r="O23" s="13">
        <v>4.0000000000000002E-4</v>
      </c>
      <c r="P23" s="13">
        <v>2.0000000000000001E-4</v>
      </c>
      <c r="Q23" s="13">
        <v>4.0000000000000002E-4</v>
      </c>
      <c r="R23" s="13">
        <v>4.0000000000000002E-4</v>
      </c>
      <c r="S23" s="13">
        <v>5.0000000000000001E-4</v>
      </c>
    </row>
    <row r="24" spans="1:20" ht="15" x14ac:dyDescent="0.2">
      <c r="E24" s="12" t="s">
        <v>36</v>
      </c>
      <c r="F24" s="13">
        <v>3.2199999999999999E-2</v>
      </c>
      <c r="G24" s="13">
        <v>3.0700000000000002E-2</v>
      </c>
      <c r="H24" s="13">
        <v>2.7199999999999998E-2</v>
      </c>
      <c r="I24" s="13">
        <v>2.5700000000000001E-2</v>
      </c>
      <c r="J24" s="13">
        <v>2.2200000000000001E-2</v>
      </c>
      <c r="K24" s="13">
        <v>3.0599999999999999E-2</v>
      </c>
      <c r="L24" s="13">
        <v>0.69040000000000001</v>
      </c>
      <c r="M24" s="13">
        <v>1.44E-2</v>
      </c>
      <c r="N24" s="13">
        <v>1.5699999999999999E-2</v>
      </c>
      <c r="O24" s="13">
        <v>2.92E-2</v>
      </c>
      <c r="P24" s="13">
        <v>2.5000000000000001E-2</v>
      </c>
      <c r="Q24" s="13">
        <v>3.2399999999999998E-2</v>
      </c>
      <c r="R24" s="13">
        <v>2.86E-2</v>
      </c>
      <c r="S24" s="13">
        <v>3.5799999999999998E-2</v>
      </c>
    </row>
    <row r="25" spans="1:20" ht="15" x14ac:dyDescent="0.2">
      <c r="E25" s="12" t="s">
        <v>37</v>
      </c>
      <c r="F25" s="8">
        <v>1440</v>
      </c>
      <c r="G25" s="8">
        <v>672</v>
      </c>
      <c r="H25" s="8">
        <v>1511</v>
      </c>
      <c r="I25" s="8">
        <v>766</v>
      </c>
      <c r="J25" s="8">
        <v>834</v>
      </c>
      <c r="K25" s="8">
        <v>770</v>
      </c>
      <c r="L25" s="8">
        <v>27</v>
      </c>
      <c r="M25" s="8">
        <v>794</v>
      </c>
      <c r="N25" s="8">
        <v>694</v>
      </c>
      <c r="O25" s="8">
        <v>900</v>
      </c>
      <c r="P25" s="8">
        <v>722</v>
      </c>
      <c r="Q25" s="8">
        <v>769</v>
      </c>
      <c r="R25" s="8">
        <v>789</v>
      </c>
      <c r="S25" s="8">
        <v>736</v>
      </c>
    </row>
    <row r="26" spans="1:20" x14ac:dyDescent="0.2">
      <c r="E26" s="14"/>
    </row>
    <row r="27" spans="1:20" x14ac:dyDescent="0.2">
      <c r="E27" s="47" t="s">
        <v>53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</row>
    <row r="28" spans="1:20" x14ac:dyDescent="0.2">
      <c r="F28" s="7" t="s">
        <v>0</v>
      </c>
      <c r="G28" s="7" t="s">
        <v>1</v>
      </c>
      <c r="H28" s="7" t="s">
        <v>2</v>
      </c>
      <c r="I28" s="7" t="s">
        <v>3</v>
      </c>
      <c r="J28" s="7" t="s">
        <v>4</v>
      </c>
      <c r="K28" s="7" t="s">
        <v>5</v>
      </c>
      <c r="L28" s="7" t="s">
        <v>6</v>
      </c>
      <c r="M28" s="7" t="s">
        <v>7</v>
      </c>
      <c r="N28" s="7" t="s">
        <v>8</v>
      </c>
      <c r="O28" s="7" t="s">
        <v>9</v>
      </c>
      <c r="P28" s="7" t="s">
        <v>10</v>
      </c>
      <c r="Q28" s="7" t="s">
        <v>11</v>
      </c>
      <c r="R28" s="7" t="s">
        <v>12</v>
      </c>
      <c r="S28" s="7" t="s">
        <v>13</v>
      </c>
    </row>
    <row r="29" spans="1:20" ht="30" x14ac:dyDescent="0.2">
      <c r="E29" s="12" t="s">
        <v>14</v>
      </c>
      <c r="F29" s="35" t="s">
        <v>39</v>
      </c>
      <c r="G29" s="35" t="s">
        <v>40</v>
      </c>
      <c r="H29" s="35" t="s">
        <v>41</v>
      </c>
      <c r="I29" s="35" t="s">
        <v>42</v>
      </c>
      <c r="J29" s="21" t="s">
        <v>83</v>
      </c>
      <c r="K29" s="35" t="s">
        <v>72</v>
      </c>
      <c r="L29" s="35" t="s">
        <v>63</v>
      </c>
      <c r="M29" s="35" t="s">
        <v>43</v>
      </c>
      <c r="N29" s="35" t="s">
        <v>44</v>
      </c>
      <c r="O29" s="35" t="s">
        <v>45</v>
      </c>
      <c r="P29" s="35" t="s">
        <v>46</v>
      </c>
      <c r="Q29" s="35" t="s">
        <v>73</v>
      </c>
      <c r="R29" s="35" t="s">
        <v>47</v>
      </c>
      <c r="S29" s="35" t="s">
        <v>48</v>
      </c>
      <c r="T29" s="32"/>
    </row>
    <row r="30" spans="1:20" ht="30" x14ac:dyDescent="0.2">
      <c r="E30" s="12" t="s">
        <v>15</v>
      </c>
      <c r="F30" s="8" t="s">
        <v>16</v>
      </c>
      <c r="G30" s="8" t="s">
        <v>17</v>
      </c>
      <c r="H30" s="8" t="s">
        <v>18</v>
      </c>
      <c r="I30" s="8" t="s">
        <v>19</v>
      </c>
      <c r="J30" s="8" t="s">
        <v>20</v>
      </c>
      <c r="K30" s="8" t="s">
        <v>21</v>
      </c>
      <c r="L30" s="8" t="s">
        <v>22</v>
      </c>
      <c r="M30" s="8" t="s">
        <v>23</v>
      </c>
      <c r="N30" s="8" t="s">
        <v>24</v>
      </c>
      <c r="O30" s="8" t="s">
        <v>25</v>
      </c>
      <c r="P30" s="8" t="s">
        <v>26</v>
      </c>
      <c r="Q30" s="8" t="s">
        <v>27</v>
      </c>
      <c r="R30" s="8" t="s">
        <v>28</v>
      </c>
      <c r="S30" s="8" t="s">
        <v>29</v>
      </c>
    </row>
    <row r="31" spans="1:20" ht="30" x14ac:dyDescent="0.2">
      <c r="E31" s="12" t="s">
        <v>30</v>
      </c>
      <c r="F31" s="8">
        <v>0.29699999999999999</v>
      </c>
      <c r="G31" s="8">
        <v>0.17699999999999999</v>
      </c>
      <c r="H31" s="8">
        <v>0.24099999999999999</v>
      </c>
      <c r="I31" s="8">
        <v>0.20699999999999999</v>
      </c>
      <c r="J31" s="8">
        <v>0.16700000000000001</v>
      </c>
      <c r="K31" s="8">
        <v>0.126</v>
      </c>
      <c r="L31" s="8">
        <v>1.5</v>
      </c>
      <c r="M31" s="8">
        <v>0.16200000000000001</v>
      </c>
      <c r="N31" s="8">
        <v>0.16200000000000001</v>
      </c>
      <c r="O31" s="8">
        <v>0.14199999999999999</v>
      </c>
      <c r="P31" s="8">
        <v>0.191</v>
      </c>
      <c r="Q31" s="8">
        <v>0.156</v>
      </c>
      <c r="R31" s="8">
        <v>0.13700000000000001</v>
      </c>
      <c r="S31" s="8">
        <v>0.161</v>
      </c>
    </row>
    <row r="32" spans="1:20" ht="15" x14ac:dyDescent="0.2">
      <c r="E32" s="19" t="s">
        <v>31</v>
      </c>
      <c r="F32" s="20">
        <v>19.575500000000002</v>
      </c>
      <c r="G32" s="20">
        <v>9.6550999999999991</v>
      </c>
      <c r="H32" s="20">
        <v>20.121300000000002</v>
      </c>
      <c r="I32" s="20">
        <v>11.573</v>
      </c>
      <c r="J32" s="20">
        <v>11.844099999999999</v>
      </c>
      <c r="K32" s="20">
        <v>10.472799999999999</v>
      </c>
      <c r="L32" s="20">
        <v>0.57399999999999995</v>
      </c>
      <c r="M32" s="20">
        <v>10.298299999999999</v>
      </c>
      <c r="N32" s="20">
        <v>10.535500000000001</v>
      </c>
      <c r="O32" s="20">
        <v>10.4595</v>
      </c>
      <c r="P32" s="20">
        <v>10.216699999999999</v>
      </c>
      <c r="Q32" s="20">
        <v>9.7851999999999997</v>
      </c>
      <c r="R32" s="20">
        <v>9.7828999999999997</v>
      </c>
      <c r="S32" s="20">
        <v>9.9865999999999993</v>
      </c>
    </row>
    <row r="33" spans="5:20" ht="15" x14ac:dyDescent="0.2">
      <c r="E33" s="19" t="s">
        <v>32</v>
      </c>
      <c r="F33" s="20">
        <v>0.13250000000000001</v>
      </c>
      <c r="G33" s="20">
        <v>6.7599999999999993E-2</v>
      </c>
      <c r="H33" s="20">
        <v>0.12479999999999999</v>
      </c>
      <c r="I33" s="20">
        <v>6.8900000000000003E-2</v>
      </c>
      <c r="J33" s="20">
        <v>5.1999999999999998E-2</v>
      </c>
      <c r="K33" s="20">
        <v>6.6000000000000003E-2</v>
      </c>
      <c r="L33" s="20">
        <v>8.2799999999999999E-2</v>
      </c>
      <c r="M33" s="20">
        <v>3.2899999999999999E-2</v>
      </c>
      <c r="N33" s="20">
        <v>3.1399999999999997E-2</v>
      </c>
      <c r="O33" s="20">
        <v>6.3399999999999998E-2</v>
      </c>
      <c r="P33" s="20">
        <v>3.73E-2</v>
      </c>
      <c r="Q33" s="20">
        <v>6.7000000000000004E-2</v>
      </c>
      <c r="R33" s="20">
        <v>6.4399999999999999E-2</v>
      </c>
      <c r="S33" s="20">
        <v>7.6999999999999999E-2</v>
      </c>
    </row>
    <row r="34" spans="5:20" ht="30" x14ac:dyDescent="0.2">
      <c r="E34" s="12" t="s">
        <v>33</v>
      </c>
      <c r="F34" s="13">
        <v>6.7999999999999996E-3</v>
      </c>
      <c r="G34" s="13">
        <v>7.0000000000000001E-3</v>
      </c>
      <c r="H34" s="13">
        <v>6.1999999999999998E-3</v>
      </c>
      <c r="I34" s="13">
        <v>6.0000000000000001E-3</v>
      </c>
      <c r="J34" s="13">
        <v>4.4000000000000003E-3</v>
      </c>
      <c r="K34" s="13">
        <v>6.3E-3</v>
      </c>
      <c r="L34" s="13">
        <v>0.14419999999999999</v>
      </c>
      <c r="M34" s="13">
        <v>3.2000000000000002E-3</v>
      </c>
      <c r="N34" s="13">
        <v>3.0000000000000001E-3</v>
      </c>
      <c r="O34" s="13">
        <v>6.1000000000000004E-3</v>
      </c>
      <c r="P34" s="13">
        <v>3.5999999999999999E-3</v>
      </c>
      <c r="Q34" s="13">
        <v>6.7999999999999996E-3</v>
      </c>
      <c r="R34" s="13">
        <v>6.6E-3</v>
      </c>
      <c r="S34" s="13">
        <v>7.7000000000000002E-3</v>
      </c>
    </row>
    <row r="35" spans="5:20" ht="15" x14ac:dyDescent="0.2">
      <c r="E35" s="12" t="s">
        <v>34</v>
      </c>
      <c r="F35" s="8">
        <v>8.6E-3</v>
      </c>
      <c r="G35" s="8">
        <v>4.4000000000000003E-3</v>
      </c>
      <c r="H35" s="8">
        <v>8.0999999999999996E-3</v>
      </c>
      <c r="I35" s="8">
        <v>4.4000000000000003E-3</v>
      </c>
      <c r="J35" s="8">
        <v>3.3999999999999998E-3</v>
      </c>
      <c r="K35" s="8">
        <v>4.3E-3</v>
      </c>
      <c r="L35" s="8">
        <v>5.3E-3</v>
      </c>
      <c r="M35" s="8">
        <v>2.0999999999999999E-3</v>
      </c>
      <c r="N35" s="8">
        <v>2E-3</v>
      </c>
      <c r="O35" s="8">
        <v>4.1000000000000003E-3</v>
      </c>
      <c r="P35" s="8">
        <v>2.3999999999999998E-3</v>
      </c>
      <c r="Q35" s="8">
        <v>4.3E-3</v>
      </c>
      <c r="R35" s="8">
        <v>4.1999999999999997E-3</v>
      </c>
      <c r="S35" s="8">
        <v>5.0000000000000001E-3</v>
      </c>
    </row>
    <row r="36" spans="5:20" ht="30" x14ac:dyDescent="0.2">
      <c r="E36" s="12" t="s">
        <v>35</v>
      </c>
      <c r="F36" s="13">
        <v>4.0000000000000002E-4</v>
      </c>
      <c r="G36" s="13">
        <v>5.0000000000000001E-4</v>
      </c>
      <c r="H36" s="13">
        <v>4.0000000000000002E-4</v>
      </c>
      <c r="I36" s="13">
        <v>4.0000000000000002E-4</v>
      </c>
      <c r="J36" s="13">
        <v>2.9999999999999997E-4</v>
      </c>
      <c r="K36" s="13">
        <v>4.0000000000000002E-4</v>
      </c>
      <c r="L36" s="13">
        <v>9.2999999999999992E-3</v>
      </c>
      <c r="M36" s="13">
        <v>2.0000000000000001E-4</v>
      </c>
      <c r="N36" s="13">
        <v>2.0000000000000001E-4</v>
      </c>
      <c r="O36" s="13">
        <v>4.0000000000000002E-4</v>
      </c>
      <c r="P36" s="13">
        <v>2.0000000000000001E-4</v>
      </c>
      <c r="Q36" s="13">
        <v>4.0000000000000002E-4</v>
      </c>
      <c r="R36" s="13">
        <v>4.0000000000000002E-4</v>
      </c>
      <c r="S36" s="13">
        <v>5.0000000000000001E-4</v>
      </c>
    </row>
    <row r="37" spans="5:20" ht="15" x14ac:dyDescent="0.2">
      <c r="E37" s="12" t="s">
        <v>36</v>
      </c>
      <c r="F37" s="13">
        <v>3.2000000000000001E-2</v>
      </c>
      <c r="G37" s="13">
        <v>3.1600000000000003E-2</v>
      </c>
      <c r="H37" s="13">
        <v>2.75E-2</v>
      </c>
      <c r="I37" s="13">
        <v>2.4400000000000002E-2</v>
      </c>
      <c r="J37" s="13">
        <v>1.9099999999999999E-2</v>
      </c>
      <c r="K37" s="13">
        <v>2.9899999999999999E-2</v>
      </c>
      <c r="L37" s="13">
        <v>0.67620000000000002</v>
      </c>
      <c r="M37" s="13">
        <v>1.7999999999999999E-2</v>
      </c>
      <c r="N37" s="13">
        <v>1.5299999999999999E-2</v>
      </c>
      <c r="O37" s="13">
        <v>2.7900000000000001E-2</v>
      </c>
      <c r="P37" s="13">
        <v>2.0400000000000001E-2</v>
      </c>
      <c r="Q37" s="13">
        <v>3.0499999999999999E-2</v>
      </c>
      <c r="R37" s="13">
        <v>3.3000000000000002E-2</v>
      </c>
      <c r="S37" s="13">
        <v>3.32E-2</v>
      </c>
    </row>
    <row r="38" spans="5:20" ht="15" x14ac:dyDescent="0.2">
      <c r="E38" s="12" t="s">
        <v>37</v>
      </c>
      <c r="F38" s="8">
        <v>1445</v>
      </c>
      <c r="G38" s="8">
        <v>679</v>
      </c>
      <c r="H38" s="8">
        <v>1512</v>
      </c>
      <c r="I38" s="8">
        <v>790</v>
      </c>
      <c r="J38" s="8">
        <v>837</v>
      </c>
      <c r="K38" s="8">
        <v>762</v>
      </c>
      <c r="L38" s="8">
        <v>15</v>
      </c>
      <c r="M38" s="8">
        <v>810</v>
      </c>
      <c r="N38" s="8">
        <v>699</v>
      </c>
      <c r="O38" s="8">
        <v>895</v>
      </c>
      <c r="P38" s="8">
        <v>724</v>
      </c>
      <c r="Q38" s="8">
        <v>782</v>
      </c>
      <c r="R38" s="8">
        <v>795</v>
      </c>
      <c r="S38" s="8">
        <v>747</v>
      </c>
    </row>
    <row r="39" spans="5:20" x14ac:dyDescent="0.2">
      <c r="E39" s="15"/>
    </row>
    <row r="40" spans="5:20" x14ac:dyDescent="0.2">
      <c r="E40" s="48" t="s">
        <v>52</v>
      </c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5:20" x14ac:dyDescent="0.2">
      <c r="F41" s="7" t="s">
        <v>0</v>
      </c>
      <c r="G41" s="7" t="s">
        <v>1</v>
      </c>
      <c r="H41" s="7" t="s">
        <v>2</v>
      </c>
      <c r="I41" s="7" t="s">
        <v>3</v>
      </c>
      <c r="J41" s="7" t="s">
        <v>4</v>
      </c>
      <c r="K41" s="7" t="s">
        <v>5</v>
      </c>
      <c r="L41" s="7" t="s">
        <v>6</v>
      </c>
      <c r="M41" s="7" t="s">
        <v>7</v>
      </c>
      <c r="N41" s="7" t="s">
        <v>8</v>
      </c>
      <c r="O41" s="7" t="s">
        <v>9</v>
      </c>
      <c r="P41" s="7" t="s">
        <v>10</v>
      </c>
      <c r="Q41" s="7" t="s">
        <v>11</v>
      </c>
      <c r="R41" s="7" t="s">
        <v>12</v>
      </c>
      <c r="S41" s="7" t="s">
        <v>13</v>
      </c>
    </row>
    <row r="42" spans="5:20" ht="30" x14ac:dyDescent="0.2">
      <c r="E42" s="12" t="s">
        <v>14</v>
      </c>
      <c r="F42" s="35" t="s">
        <v>39</v>
      </c>
      <c r="G42" s="35" t="s">
        <v>40</v>
      </c>
      <c r="H42" s="35" t="s">
        <v>41</v>
      </c>
      <c r="I42" s="35" t="s">
        <v>42</v>
      </c>
      <c r="J42" s="21" t="s">
        <v>83</v>
      </c>
      <c r="K42" s="35" t="s">
        <v>72</v>
      </c>
      <c r="L42" s="35" t="s">
        <v>63</v>
      </c>
      <c r="M42" s="35" t="s">
        <v>43</v>
      </c>
      <c r="N42" s="35" t="s">
        <v>44</v>
      </c>
      <c r="O42" s="35" t="s">
        <v>45</v>
      </c>
      <c r="P42" s="35" t="s">
        <v>46</v>
      </c>
      <c r="Q42" s="35" t="s">
        <v>73</v>
      </c>
      <c r="R42" s="35" t="s">
        <v>47</v>
      </c>
      <c r="S42" s="35" t="s">
        <v>48</v>
      </c>
      <c r="T42" s="32"/>
    </row>
    <row r="43" spans="5:20" ht="30" x14ac:dyDescent="0.2">
      <c r="E43" s="12" t="s">
        <v>15</v>
      </c>
      <c r="F43" s="8" t="s">
        <v>16</v>
      </c>
      <c r="G43" s="8" t="s">
        <v>17</v>
      </c>
      <c r="H43" s="8" t="s">
        <v>18</v>
      </c>
      <c r="I43" s="8" t="s">
        <v>19</v>
      </c>
      <c r="J43" s="8" t="s">
        <v>20</v>
      </c>
      <c r="K43" s="8" t="s">
        <v>21</v>
      </c>
      <c r="L43" s="8" t="s">
        <v>22</v>
      </c>
      <c r="M43" s="8" t="s">
        <v>23</v>
      </c>
      <c r="N43" s="8" t="s">
        <v>24</v>
      </c>
      <c r="O43" s="8" t="s">
        <v>25</v>
      </c>
      <c r="P43" s="8" t="s">
        <v>26</v>
      </c>
      <c r="Q43" s="8" t="s">
        <v>27</v>
      </c>
      <c r="R43" s="8" t="s">
        <v>28</v>
      </c>
      <c r="S43" s="8" t="s">
        <v>29</v>
      </c>
    </row>
    <row r="44" spans="5:20" ht="30" x14ac:dyDescent="0.2">
      <c r="E44" s="12" t="s">
        <v>30</v>
      </c>
      <c r="F44" s="8">
        <v>0.29699999999999999</v>
      </c>
      <c r="G44" s="8">
        <v>0.17699999999999999</v>
      </c>
      <c r="H44" s="8">
        <v>0.24099999999999999</v>
      </c>
      <c r="I44" s="8">
        <v>0.20699999999999999</v>
      </c>
      <c r="J44" s="8">
        <v>0.16700000000000001</v>
      </c>
      <c r="K44" s="8">
        <v>0.126</v>
      </c>
      <c r="L44" s="8">
        <v>1.5</v>
      </c>
      <c r="M44" s="8">
        <v>0.16200000000000001</v>
      </c>
      <c r="N44" s="8">
        <v>0.16200000000000001</v>
      </c>
      <c r="O44" s="8">
        <v>0.14199999999999999</v>
      </c>
      <c r="P44" s="8">
        <v>0.191</v>
      </c>
      <c r="Q44" s="8">
        <v>0.156</v>
      </c>
      <c r="R44" s="8">
        <v>0.13700000000000001</v>
      </c>
      <c r="S44" s="8">
        <v>0.161</v>
      </c>
    </row>
    <row r="45" spans="5:20" ht="15" x14ac:dyDescent="0.2">
      <c r="E45" s="19" t="s">
        <v>31</v>
      </c>
      <c r="F45" s="20">
        <v>19.518899999999999</v>
      </c>
      <c r="G45" s="20">
        <v>9.6213999999999995</v>
      </c>
      <c r="H45" s="20">
        <v>20.019100000000002</v>
      </c>
      <c r="I45" s="20">
        <v>11.567500000000001</v>
      </c>
      <c r="J45" s="20">
        <v>11.7431</v>
      </c>
      <c r="K45" s="20">
        <v>10.4038</v>
      </c>
      <c r="L45" s="20">
        <v>0.56330000000000002</v>
      </c>
      <c r="M45" s="20">
        <v>10.192399999999999</v>
      </c>
      <c r="N45" s="20">
        <v>10.4155</v>
      </c>
      <c r="O45" s="20">
        <v>10.3856</v>
      </c>
      <c r="P45" s="20">
        <v>10.111800000000001</v>
      </c>
      <c r="Q45" s="20">
        <v>9.6575000000000006</v>
      </c>
      <c r="R45" s="20">
        <v>9.6722999999999999</v>
      </c>
      <c r="S45" s="20">
        <v>9.8661999999999992</v>
      </c>
    </row>
    <row r="46" spans="5:20" ht="15" x14ac:dyDescent="0.2">
      <c r="E46" s="19" t="s">
        <v>32</v>
      </c>
      <c r="F46" s="20">
        <v>0.1394</v>
      </c>
      <c r="G46" s="20">
        <v>6.7100000000000007E-2</v>
      </c>
      <c r="H46" s="20">
        <v>0.1255</v>
      </c>
      <c r="I46" s="20">
        <v>7.0099999999999996E-2</v>
      </c>
      <c r="J46" s="20">
        <v>5.4100000000000002E-2</v>
      </c>
      <c r="K46" s="20">
        <v>6.2799999999999995E-2</v>
      </c>
      <c r="L46" s="20">
        <v>8.1699999999999995E-2</v>
      </c>
      <c r="M46" s="20">
        <v>3.3000000000000002E-2</v>
      </c>
      <c r="N46" s="20">
        <v>3.1899999999999998E-2</v>
      </c>
      <c r="O46" s="20">
        <v>6.6199999999999995E-2</v>
      </c>
      <c r="P46" s="20">
        <v>3.6499999999999998E-2</v>
      </c>
      <c r="Q46" s="20">
        <v>6.7100000000000007E-2</v>
      </c>
      <c r="R46" s="20">
        <v>6.7199999999999996E-2</v>
      </c>
      <c r="S46" s="20">
        <v>8.0399999999999999E-2</v>
      </c>
    </row>
    <row r="47" spans="5:20" ht="30" x14ac:dyDescent="0.2">
      <c r="E47" s="12" t="s">
        <v>33</v>
      </c>
      <c r="F47" s="13">
        <v>7.1000000000000004E-3</v>
      </c>
      <c r="G47" s="13">
        <v>7.0000000000000001E-3</v>
      </c>
      <c r="H47" s="13">
        <v>6.3E-3</v>
      </c>
      <c r="I47" s="13">
        <v>6.1000000000000004E-3</v>
      </c>
      <c r="J47" s="13">
        <v>4.5999999999999999E-3</v>
      </c>
      <c r="K47" s="13">
        <v>6.0000000000000001E-3</v>
      </c>
      <c r="L47" s="13">
        <v>0.14499999999999999</v>
      </c>
      <c r="M47" s="13">
        <v>3.2000000000000002E-3</v>
      </c>
      <c r="N47" s="13">
        <v>3.0999999999999999E-3</v>
      </c>
      <c r="O47" s="13">
        <v>6.4000000000000003E-3</v>
      </c>
      <c r="P47" s="13">
        <v>3.5999999999999999E-3</v>
      </c>
      <c r="Q47" s="13">
        <v>6.8999999999999999E-3</v>
      </c>
      <c r="R47" s="13">
        <v>7.0000000000000001E-3</v>
      </c>
      <c r="S47" s="13">
        <v>8.0999999999999996E-3</v>
      </c>
    </row>
    <row r="48" spans="5:20" ht="15" x14ac:dyDescent="0.2">
      <c r="E48" s="12" t="s">
        <v>34</v>
      </c>
      <c r="F48" s="8">
        <v>8.9999999999999993E-3</v>
      </c>
      <c r="G48" s="8">
        <v>4.3E-3</v>
      </c>
      <c r="H48" s="8">
        <v>8.0999999999999996E-3</v>
      </c>
      <c r="I48" s="8">
        <v>4.4999999999999997E-3</v>
      </c>
      <c r="J48" s="8">
        <v>3.5000000000000001E-3</v>
      </c>
      <c r="K48" s="8">
        <v>4.1000000000000003E-3</v>
      </c>
      <c r="L48" s="8">
        <v>5.3E-3</v>
      </c>
      <c r="M48" s="8">
        <v>2.0999999999999999E-3</v>
      </c>
      <c r="N48" s="8">
        <v>2.0999999999999999E-3</v>
      </c>
      <c r="O48" s="8">
        <v>4.3E-3</v>
      </c>
      <c r="P48" s="8">
        <v>2.3999999999999998E-3</v>
      </c>
      <c r="Q48" s="8">
        <v>4.3E-3</v>
      </c>
      <c r="R48" s="8">
        <v>4.3E-3</v>
      </c>
      <c r="S48" s="8">
        <v>5.1999999999999998E-3</v>
      </c>
    </row>
    <row r="49" spans="5:19" ht="30" x14ac:dyDescent="0.2">
      <c r="E49" s="12" t="s">
        <v>35</v>
      </c>
      <c r="F49" s="13">
        <v>5.0000000000000001E-4</v>
      </c>
      <c r="G49" s="13">
        <v>5.0000000000000001E-4</v>
      </c>
      <c r="H49" s="13">
        <v>4.0000000000000002E-4</v>
      </c>
      <c r="I49" s="13">
        <v>4.0000000000000002E-4</v>
      </c>
      <c r="J49" s="13">
        <v>2.9999999999999997E-4</v>
      </c>
      <c r="K49" s="13">
        <v>4.0000000000000002E-4</v>
      </c>
      <c r="L49" s="13">
        <v>9.4000000000000004E-3</v>
      </c>
      <c r="M49" s="13">
        <v>2.0000000000000001E-4</v>
      </c>
      <c r="N49" s="13">
        <v>2.0000000000000001E-4</v>
      </c>
      <c r="O49" s="13">
        <v>4.0000000000000002E-4</v>
      </c>
      <c r="P49" s="13">
        <v>2.0000000000000001E-4</v>
      </c>
      <c r="Q49" s="13">
        <v>4.0000000000000002E-4</v>
      </c>
      <c r="R49" s="13">
        <v>4.0000000000000002E-4</v>
      </c>
      <c r="S49" s="13">
        <v>5.0000000000000001E-4</v>
      </c>
    </row>
    <row r="50" spans="5:19" ht="15" x14ac:dyDescent="0.2">
      <c r="E50" s="12" t="s">
        <v>36</v>
      </c>
      <c r="F50" s="13">
        <v>2.9600000000000001E-2</v>
      </c>
      <c r="G50" s="13">
        <v>3.0200000000000001E-2</v>
      </c>
      <c r="H50" s="13">
        <v>2.7E-2</v>
      </c>
      <c r="I50" s="13">
        <v>2.4899999999999999E-2</v>
      </c>
      <c r="J50" s="13">
        <v>2.1999999999999999E-2</v>
      </c>
      <c r="K50" s="13">
        <v>2.6800000000000001E-2</v>
      </c>
      <c r="L50" s="13">
        <v>0.84299999999999997</v>
      </c>
      <c r="M50" s="13">
        <v>1.7000000000000001E-2</v>
      </c>
      <c r="N50" s="13">
        <v>1.46E-2</v>
      </c>
      <c r="O50" s="13">
        <v>2.7400000000000001E-2</v>
      </c>
      <c r="P50" s="13">
        <v>2.0500000000000001E-2</v>
      </c>
      <c r="Q50" s="13">
        <v>3.73E-2</v>
      </c>
      <c r="R50" s="13">
        <v>3.6799999999999999E-2</v>
      </c>
      <c r="S50" s="13">
        <v>4.2999999999999997E-2</v>
      </c>
    </row>
    <row r="51" spans="5:19" ht="15" x14ac:dyDescent="0.2">
      <c r="E51" s="12" t="s">
        <v>37</v>
      </c>
      <c r="F51" s="8">
        <v>1450</v>
      </c>
      <c r="G51" s="8">
        <v>680</v>
      </c>
      <c r="H51" s="8">
        <v>1517</v>
      </c>
      <c r="I51" s="8">
        <v>801</v>
      </c>
      <c r="J51" s="8">
        <v>836</v>
      </c>
      <c r="K51" s="8">
        <v>764</v>
      </c>
      <c r="L51" s="8">
        <v>26</v>
      </c>
      <c r="M51" s="8">
        <v>808</v>
      </c>
      <c r="N51" s="8">
        <v>697</v>
      </c>
      <c r="O51" s="8">
        <v>897</v>
      </c>
      <c r="P51" s="8">
        <v>717</v>
      </c>
      <c r="Q51" s="8">
        <v>772</v>
      </c>
      <c r="R51" s="8">
        <v>783</v>
      </c>
      <c r="S51" s="8">
        <v>738</v>
      </c>
    </row>
    <row r="53" spans="5:19" x14ac:dyDescent="0.2"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5:19" x14ac:dyDescent="0.2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5:19" x14ac:dyDescent="0.2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5:19" x14ac:dyDescent="0.2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5:19" x14ac:dyDescent="0.2">
      <c r="E57" s="5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5:19" x14ac:dyDescent="0.2">
      <c r="E58" s="5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5:19" x14ac:dyDescent="0.2">
      <c r="E59" s="5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5:19" x14ac:dyDescent="0.2">
      <c r="E60" s="10"/>
      <c r="F60" s="11"/>
      <c r="G60" s="1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5:19" x14ac:dyDescent="0.2"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5:19" x14ac:dyDescent="0.2"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5:19" x14ac:dyDescent="0.2"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5:19" x14ac:dyDescent="0.2"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6" spans="5:19" x14ac:dyDescent="0.2"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5:19" x14ac:dyDescent="0.2"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5:19" x14ac:dyDescent="0.2"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5:19" x14ac:dyDescent="0.2"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5:19" x14ac:dyDescent="0.2"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5:19" x14ac:dyDescent="0.2"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5:19" x14ac:dyDescent="0.2"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5:19" x14ac:dyDescent="0.2"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5:19" x14ac:dyDescent="0.2"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5:19" x14ac:dyDescent="0.2"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5:19" x14ac:dyDescent="0.2"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5:19" x14ac:dyDescent="0.2"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5:19" x14ac:dyDescent="0.2"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5:19" x14ac:dyDescent="0.2"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5:19" x14ac:dyDescent="0.2"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5:19" x14ac:dyDescent="0.2"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5:19" x14ac:dyDescent="0.2"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5:19" x14ac:dyDescent="0.2"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5:19" x14ac:dyDescent="0.2"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5:19" x14ac:dyDescent="0.2"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5:19" x14ac:dyDescent="0.2"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5:19" x14ac:dyDescent="0.2"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5:19" x14ac:dyDescent="0.2"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5:19" x14ac:dyDescent="0.2"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5:19" x14ac:dyDescent="0.2"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5:19" x14ac:dyDescent="0.2"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5:19" x14ac:dyDescent="0.2"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5:19" x14ac:dyDescent="0.2"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5:19" x14ac:dyDescent="0.2"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5:19" x14ac:dyDescent="0.2"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5:19" x14ac:dyDescent="0.2"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5:19" x14ac:dyDescent="0.2"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5:19" x14ac:dyDescent="0.2"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5:19" x14ac:dyDescent="0.2"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5:19" x14ac:dyDescent="0.2"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5:19" x14ac:dyDescent="0.2"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5:19" x14ac:dyDescent="0.2"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5:19" x14ac:dyDescent="0.2"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5:19" x14ac:dyDescent="0.2"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5:19" x14ac:dyDescent="0.2"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5:19" x14ac:dyDescent="0.2"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5:19" x14ac:dyDescent="0.2"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5:19" x14ac:dyDescent="0.2"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5:19" x14ac:dyDescent="0.2"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5:19" x14ac:dyDescent="0.2"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5:19" x14ac:dyDescent="0.2"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5:19" x14ac:dyDescent="0.2"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5:19" x14ac:dyDescent="0.2"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5:19" x14ac:dyDescent="0.2"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5:19" x14ac:dyDescent="0.2"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5:19" x14ac:dyDescent="0.2"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5:19" x14ac:dyDescent="0.2"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5:19" x14ac:dyDescent="0.2"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5:19" x14ac:dyDescent="0.2"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5:19" x14ac:dyDescent="0.2"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5:19" x14ac:dyDescent="0.2"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5:19" x14ac:dyDescent="0.2"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5:19" x14ac:dyDescent="0.2"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5:19" x14ac:dyDescent="0.2"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5:19" x14ac:dyDescent="0.2"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5:19" x14ac:dyDescent="0.2"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5:19" x14ac:dyDescent="0.2"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5:19" x14ac:dyDescent="0.2"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5:19" x14ac:dyDescent="0.2"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</sheetData>
  <mergeCells count="4">
    <mergeCell ref="E1:S1"/>
    <mergeCell ref="E14:S14"/>
    <mergeCell ref="E27:S27"/>
    <mergeCell ref="E40:S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ED58-147E-4FA8-85C3-4AB3A40F6008}">
  <dimension ref="A1:Q45"/>
  <sheetViews>
    <sheetView zoomScale="125" zoomScaleNormal="125" workbookViewId="0">
      <selection activeCell="C34" sqref="C34"/>
    </sheetView>
  </sheetViews>
  <sheetFormatPr baseColWidth="10" defaultColWidth="14.5" defaultRowHeight="15.75" customHeight="1" x14ac:dyDescent="0.2"/>
  <cols>
    <col min="1" max="1" width="27.5" style="1" bestFit="1" customWidth="1"/>
    <col min="2" max="2" width="17.33203125" style="1" customWidth="1"/>
    <col min="3" max="3" width="28.83203125" style="1" customWidth="1"/>
    <col min="4" max="16384" width="14.5" style="1"/>
  </cols>
  <sheetData>
    <row r="1" spans="1:3" ht="14" x14ac:dyDescent="0.2"/>
    <row r="2" spans="1:3" ht="14" x14ac:dyDescent="0.2"/>
    <row r="3" spans="1:3" ht="14" x14ac:dyDescent="0.2"/>
    <row r="4" spans="1:3" ht="14" x14ac:dyDescent="0.2"/>
    <row r="5" spans="1:3" ht="14" x14ac:dyDescent="0.2"/>
    <row r="6" spans="1:3" ht="14" x14ac:dyDescent="0.2"/>
    <row r="7" spans="1:3" ht="14" x14ac:dyDescent="0.2"/>
    <row r="8" spans="1:3" ht="14" x14ac:dyDescent="0.2"/>
    <row r="9" spans="1:3" ht="14" x14ac:dyDescent="0.2"/>
    <row r="10" spans="1:3" ht="14" x14ac:dyDescent="0.2"/>
    <row r="11" spans="1:3" ht="14" x14ac:dyDescent="0.2"/>
    <row r="12" spans="1:3" ht="14" x14ac:dyDescent="0.2"/>
    <row r="13" spans="1:3" ht="14" x14ac:dyDescent="0.2">
      <c r="B13" s="2" t="s">
        <v>38</v>
      </c>
      <c r="C13" s="1" t="s">
        <v>61</v>
      </c>
    </row>
    <row r="14" spans="1:3" ht="14" x14ac:dyDescent="0.2">
      <c r="A14" s="2" t="s">
        <v>53</v>
      </c>
      <c r="B14" s="3">
        <f>'Raw Data'!A20</f>
        <v>0.82</v>
      </c>
      <c r="C14" s="1">
        <f>LN(1-B14)</f>
        <v>-1.7147984280919264</v>
      </c>
    </row>
    <row r="15" spans="1:3" ht="14" x14ac:dyDescent="0.2">
      <c r="A15" s="2" t="s">
        <v>52</v>
      </c>
      <c r="B15" s="3">
        <f>'Raw Data'!A21</f>
        <v>0.78</v>
      </c>
      <c r="C15" s="1">
        <f>LN(1-B15)</f>
        <v>-1.5141277326297757</v>
      </c>
    </row>
    <row r="16" spans="1:3" ht="14" x14ac:dyDescent="0.2"/>
    <row r="17" spans="1:17" ht="14" x14ac:dyDescent="0.2">
      <c r="C17" s="7" t="s">
        <v>0</v>
      </c>
      <c r="D17" s="7" t="s">
        <v>1</v>
      </c>
      <c r="E17" s="7" t="s">
        <v>2</v>
      </c>
      <c r="F17" s="7" t="s">
        <v>3</v>
      </c>
      <c r="G17" s="7" t="s">
        <v>4</v>
      </c>
      <c r="H17" s="7" t="s">
        <v>5</v>
      </c>
      <c r="I17" s="7" t="s">
        <v>6</v>
      </c>
      <c r="J17" s="7" t="s">
        <v>7</v>
      </c>
      <c r="K17" s="7" t="s">
        <v>8</v>
      </c>
      <c r="L17" s="7" t="s">
        <v>9</v>
      </c>
      <c r="M17" s="7" t="s">
        <v>10</v>
      </c>
      <c r="N17" s="7" t="s">
        <v>11</v>
      </c>
      <c r="O17" s="7" t="s">
        <v>12</v>
      </c>
      <c r="P17" s="7" t="s">
        <v>13</v>
      </c>
    </row>
    <row r="18" spans="1:17" ht="15" x14ac:dyDescent="0.2">
      <c r="A18" s="2" t="s">
        <v>78</v>
      </c>
      <c r="B18" s="2"/>
      <c r="C18" s="35" t="s">
        <v>39</v>
      </c>
      <c r="D18" s="35" t="s">
        <v>40</v>
      </c>
      <c r="E18" s="35" t="s">
        <v>41</v>
      </c>
      <c r="F18" s="35" t="s">
        <v>42</v>
      </c>
      <c r="G18" s="21" t="s">
        <v>83</v>
      </c>
      <c r="H18" s="35" t="s">
        <v>72</v>
      </c>
      <c r="I18" s="35" t="s">
        <v>63</v>
      </c>
      <c r="J18" s="35" t="s">
        <v>43</v>
      </c>
      <c r="K18" s="35" t="s">
        <v>44</v>
      </c>
      <c r="L18" s="35" t="s">
        <v>45</v>
      </c>
      <c r="M18" s="35" t="s">
        <v>46</v>
      </c>
      <c r="N18" s="35" t="s">
        <v>73</v>
      </c>
      <c r="O18" s="35" t="s">
        <v>47</v>
      </c>
      <c r="P18" s="35" t="s">
        <v>48</v>
      </c>
      <c r="Q18" s="26" t="s">
        <v>79</v>
      </c>
    </row>
    <row r="19" spans="1:17" ht="14" x14ac:dyDescent="0.2">
      <c r="A19" s="2" t="s">
        <v>74</v>
      </c>
      <c r="B19" s="2" t="s">
        <v>80</v>
      </c>
      <c r="C19" s="9">
        <f>'Raw Data'!F6</f>
        <v>19.387499999999999</v>
      </c>
      <c r="D19" s="9">
        <f>'Raw Data'!G6</f>
        <v>9.5873000000000008</v>
      </c>
      <c r="E19" s="9">
        <f>'Raw Data'!H6</f>
        <v>20.058299999999999</v>
      </c>
      <c r="F19" s="9">
        <f>'Raw Data'!I6</f>
        <v>11.065099999999999</v>
      </c>
      <c r="G19" s="9">
        <f>'Raw Data'!J6</f>
        <v>11.7575</v>
      </c>
      <c r="H19" s="9">
        <f>'Raw Data'!K6</f>
        <v>10.4693</v>
      </c>
      <c r="J19" s="9">
        <f>'Raw Data'!M6</f>
        <v>10.222099999999999</v>
      </c>
      <c r="K19" s="9">
        <f>'Raw Data'!N6</f>
        <v>10.523400000000001</v>
      </c>
      <c r="L19" s="9">
        <f>'Raw Data'!O6</f>
        <v>10.349</v>
      </c>
      <c r="M19" s="9">
        <f>'Raw Data'!P6</f>
        <v>10.171799999999999</v>
      </c>
      <c r="N19" s="9">
        <f>'Raw Data'!Q6</f>
        <v>9.7460000000000004</v>
      </c>
      <c r="O19" s="9">
        <f>'Raw Data'!R6</f>
        <v>9.7444000000000006</v>
      </c>
      <c r="P19" s="9">
        <f>'Raw Data'!S6</f>
        <v>9.8450000000000006</v>
      </c>
      <c r="Q19" s="1">
        <f ca="1">'Raw Data'!B18</f>
        <v>11.7575</v>
      </c>
    </row>
    <row r="20" spans="1:17" ht="14" x14ac:dyDescent="0.2">
      <c r="A20" s="2"/>
      <c r="B20" s="2" t="s">
        <v>49</v>
      </c>
      <c r="C20" s="4">
        <f t="shared" ref="C20:H20" ca="1" si="0">C19/$Q19</f>
        <v>1.648947480331703</v>
      </c>
      <c r="D20" s="4">
        <f t="shared" ca="1" si="0"/>
        <v>0.81541994471613866</v>
      </c>
      <c r="E20" s="4">
        <f t="shared" ca="1" si="0"/>
        <v>1.7060004252604719</v>
      </c>
      <c r="F20" s="4">
        <f t="shared" ca="1" si="0"/>
        <v>0.94110992983202202</v>
      </c>
      <c r="G20" s="4">
        <f t="shared" ca="1" si="0"/>
        <v>1</v>
      </c>
      <c r="H20" s="4">
        <f t="shared" ca="1" si="0"/>
        <v>0.8904358919838401</v>
      </c>
      <c r="J20" s="4">
        <f t="shared" ref="J20:P20" ca="1" si="1">J19/$Q19</f>
        <v>0.86941101424622569</v>
      </c>
      <c r="K20" s="4">
        <f t="shared" ca="1" si="1"/>
        <v>0.89503721029130345</v>
      </c>
      <c r="L20" s="4">
        <f t="shared" ca="1" si="1"/>
        <v>0.88020412502657874</v>
      </c>
      <c r="M20" s="4">
        <f t="shared" ca="1" si="1"/>
        <v>0.86513289389751213</v>
      </c>
      <c r="N20" s="4">
        <f t="shared" ca="1" si="1"/>
        <v>0.8289177120986605</v>
      </c>
      <c r="O20" s="4">
        <f t="shared" ca="1" si="1"/>
        <v>0.82878162874760797</v>
      </c>
      <c r="P20" s="4">
        <f t="shared" ca="1" si="1"/>
        <v>0.83733786944503508</v>
      </c>
    </row>
    <row r="21" spans="1:17" ht="14" x14ac:dyDescent="0.2">
      <c r="A21" s="2" t="s">
        <v>75</v>
      </c>
      <c r="B21" s="2" t="s">
        <v>80</v>
      </c>
      <c r="C21" s="9">
        <f>'Raw Data'!F19</f>
        <v>19.231999999999999</v>
      </c>
      <c r="D21" s="9">
        <f>'Raw Data'!G19</f>
        <v>9.4989000000000008</v>
      </c>
      <c r="E21" s="9">
        <f>'Raw Data'!H19</f>
        <v>19.8489</v>
      </c>
      <c r="F21" s="9">
        <f>'Raw Data'!I19</f>
        <v>10.982799999999999</v>
      </c>
      <c r="G21" s="9">
        <f>'Raw Data'!J19</f>
        <v>11.615399999999999</v>
      </c>
      <c r="H21" s="9">
        <f>'Raw Data'!K19</f>
        <v>10.370799999999999</v>
      </c>
      <c r="J21" s="9">
        <f>'Raw Data'!M19</f>
        <v>10.0867</v>
      </c>
      <c r="K21" s="9">
        <f>'Raw Data'!N19</f>
        <v>10.363200000000001</v>
      </c>
      <c r="L21" s="9">
        <f>'Raw Data'!O19</f>
        <v>10.250299999999999</v>
      </c>
      <c r="M21" s="9">
        <f>'Raw Data'!P19</f>
        <v>10.045</v>
      </c>
      <c r="N21" s="9">
        <f>'Raw Data'!Q19</f>
        <v>9.5974000000000004</v>
      </c>
      <c r="O21" s="9">
        <f>'Raw Data'!R19</f>
        <v>9.5980000000000008</v>
      </c>
      <c r="P21" s="9">
        <f>'Raw Data'!S19</f>
        <v>9.6920999999999999</v>
      </c>
      <c r="Q21" s="1">
        <f ca="1">'Raw Data'!B19</f>
        <v>11.615399999999999</v>
      </c>
    </row>
    <row r="22" spans="1:17" ht="14" x14ac:dyDescent="0.2">
      <c r="A22" s="2"/>
      <c r="B22" s="2" t="s">
        <v>49</v>
      </c>
      <c r="C22" s="4">
        <f t="shared" ref="C22:H22" ca="1" si="2">C21/$Q21</f>
        <v>1.6557329063140314</v>
      </c>
      <c r="D22" s="4">
        <f t="shared" ca="1" si="2"/>
        <v>0.81778500955627886</v>
      </c>
      <c r="E22" s="4">
        <f t="shared" ca="1" si="2"/>
        <v>1.7088434319954544</v>
      </c>
      <c r="F22" s="4">
        <f t="shared" ca="1" si="2"/>
        <v>0.94553782047970791</v>
      </c>
      <c r="G22" s="4">
        <f t="shared" ca="1" si="2"/>
        <v>1</v>
      </c>
      <c r="H22" s="4">
        <f t="shared" ca="1" si="2"/>
        <v>0.89284914854417408</v>
      </c>
      <c r="J22" s="4">
        <f t="shared" ref="J22:P22" ca="1" si="3">J21/$Q21</f>
        <v>0.86839024054272784</v>
      </c>
      <c r="K22" s="4">
        <f t="shared" ca="1" si="3"/>
        <v>0.89219484477504019</v>
      </c>
      <c r="L22" s="4">
        <f t="shared" ca="1" si="3"/>
        <v>0.88247499009935082</v>
      </c>
      <c r="M22" s="4">
        <f t="shared" ca="1" si="3"/>
        <v>0.86480017907261053</v>
      </c>
      <c r="N22" s="4">
        <f t="shared" ca="1" si="3"/>
        <v>0.82626513077466135</v>
      </c>
      <c r="O22" s="4">
        <f t="shared" ca="1" si="3"/>
        <v>0.82631678633538241</v>
      </c>
      <c r="P22" s="4">
        <f t="shared" ca="1" si="3"/>
        <v>0.83441810010847672</v>
      </c>
    </row>
    <row r="23" spans="1:17" ht="14" x14ac:dyDescent="0.2">
      <c r="A23" s="2" t="s">
        <v>53</v>
      </c>
      <c r="B23" s="2" t="s">
        <v>80</v>
      </c>
      <c r="C23" s="6">
        <f>'Raw Data'!F32</f>
        <v>19.575500000000002</v>
      </c>
      <c r="D23" s="6">
        <f>'Raw Data'!G32</f>
        <v>9.6550999999999991</v>
      </c>
      <c r="E23" s="6">
        <f>'Raw Data'!H32</f>
        <v>20.121300000000002</v>
      </c>
      <c r="F23" s="6">
        <f>'Raw Data'!I32</f>
        <v>11.573</v>
      </c>
      <c r="G23" s="6">
        <f>'Raw Data'!J32</f>
        <v>11.844099999999999</v>
      </c>
      <c r="H23" s="6">
        <f>'Raw Data'!K32</f>
        <v>10.472799999999999</v>
      </c>
      <c r="J23" s="6">
        <f>'Raw Data'!M32</f>
        <v>10.298299999999999</v>
      </c>
      <c r="K23" s="6">
        <f>'Raw Data'!N32</f>
        <v>10.535500000000001</v>
      </c>
      <c r="L23" s="6">
        <f>'Raw Data'!O32</f>
        <v>10.4595</v>
      </c>
      <c r="M23" s="6">
        <f>'Raw Data'!P32</f>
        <v>10.216699999999999</v>
      </c>
      <c r="N23" s="6">
        <f>'Raw Data'!Q32</f>
        <v>9.7851999999999997</v>
      </c>
      <c r="O23" s="6">
        <f>'Raw Data'!R32</f>
        <v>9.7828999999999997</v>
      </c>
      <c r="P23" s="6">
        <f>'Raw Data'!S32</f>
        <v>9.9865999999999993</v>
      </c>
      <c r="Q23" s="5">
        <f ca="1">'Raw Data'!B20</f>
        <v>11.844099999999999</v>
      </c>
    </row>
    <row r="24" spans="1:17" ht="14" x14ac:dyDescent="0.2">
      <c r="B24" s="2" t="s">
        <v>54</v>
      </c>
      <c r="C24" s="4">
        <f t="shared" ref="C24:H24" ca="1" si="4">C23/$Q23</f>
        <v>1.6527638233382025</v>
      </c>
      <c r="D24" s="4">
        <f t="shared" ca="1" si="4"/>
        <v>0.81518224263557382</v>
      </c>
      <c r="E24" s="4">
        <f t="shared" ca="1" si="4"/>
        <v>1.6988458388564773</v>
      </c>
      <c r="F24" s="4">
        <f t="shared" ca="1" si="4"/>
        <v>0.97711096664161912</v>
      </c>
      <c r="G24" s="4">
        <f t="shared" ca="1" si="4"/>
        <v>1</v>
      </c>
      <c r="H24" s="4">
        <f t="shared" ca="1" si="4"/>
        <v>0.88422083569034371</v>
      </c>
      <c r="J24" s="4">
        <f t="shared" ref="J24:P24" ca="1" si="5">J23/$Q23</f>
        <v>0.86948776183922794</v>
      </c>
      <c r="K24" s="4">
        <f t="shared" ca="1" si="5"/>
        <v>0.88951461065002846</v>
      </c>
      <c r="L24" s="4">
        <f t="shared" ca="1" si="5"/>
        <v>0.88309791372919855</v>
      </c>
      <c r="M24" s="4">
        <f t="shared" ca="1" si="5"/>
        <v>0.8625982556716002</v>
      </c>
      <c r="N24" s="4">
        <f t="shared" ca="1" si="5"/>
        <v>0.82616661460136276</v>
      </c>
      <c r="O24" s="4">
        <f t="shared" ca="1" si="5"/>
        <v>0.82597242508928503</v>
      </c>
      <c r="P24" s="4">
        <f t="shared" ca="1" si="5"/>
        <v>0.84317086144156161</v>
      </c>
    </row>
    <row r="25" spans="1:17" ht="14" x14ac:dyDescent="0.2">
      <c r="A25" s="2" t="s">
        <v>52</v>
      </c>
      <c r="B25" s="2" t="s">
        <v>80</v>
      </c>
      <c r="C25" s="6">
        <f>'Raw Data'!F45</f>
        <v>19.518899999999999</v>
      </c>
      <c r="D25" s="6">
        <f>'Raw Data'!G45</f>
        <v>9.6213999999999995</v>
      </c>
      <c r="E25" s="6">
        <f>'Raw Data'!H45</f>
        <v>20.019100000000002</v>
      </c>
      <c r="F25" s="6">
        <f>'Raw Data'!I45</f>
        <v>11.567500000000001</v>
      </c>
      <c r="G25" s="6">
        <f>'Raw Data'!J45</f>
        <v>11.7431</v>
      </c>
      <c r="H25" s="6">
        <f>'Raw Data'!K45</f>
        <v>10.4038</v>
      </c>
      <c r="J25" s="6">
        <f>'Raw Data'!M45</f>
        <v>10.192399999999999</v>
      </c>
      <c r="K25" s="6">
        <f>'Raw Data'!N45</f>
        <v>10.4155</v>
      </c>
      <c r="L25" s="6">
        <f>'Raw Data'!O45</f>
        <v>10.3856</v>
      </c>
      <c r="M25" s="6">
        <f>'Raw Data'!P45</f>
        <v>10.111800000000001</v>
      </c>
      <c r="N25" s="6">
        <f>'Raw Data'!Q45</f>
        <v>9.6575000000000006</v>
      </c>
      <c r="O25" s="6">
        <f>'Raw Data'!R45</f>
        <v>9.6722999999999999</v>
      </c>
      <c r="P25" s="6">
        <f>'Raw Data'!S45</f>
        <v>9.8661999999999992</v>
      </c>
      <c r="Q25" s="1">
        <f ca="1">'Raw Data'!B21</f>
        <v>11.7431</v>
      </c>
    </row>
    <row r="26" spans="1:17" ht="14" x14ac:dyDescent="0.2">
      <c r="B26" s="2" t="s">
        <v>55</v>
      </c>
      <c r="C26" s="4">
        <f t="shared" ref="C26:H26" ca="1" si="6">C25/$Q25</f>
        <v>1.6621590551046996</v>
      </c>
      <c r="D26" s="4">
        <f t="shared" ca="1" si="6"/>
        <v>0.81932368795292554</v>
      </c>
      <c r="E26" s="4">
        <f t="shared" ca="1" si="6"/>
        <v>1.7047542812374927</v>
      </c>
      <c r="F26" s="4">
        <f t="shared" ca="1" si="6"/>
        <v>0.98504653796697639</v>
      </c>
      <c r="G26" s="4">
        <f t="shared" ca="1" si="6"/>
        <v>1</v>
      </c>
      <c r="H26" s="4">
        <f t="shared" ca="1" si="6"/>
        <v>0.88595004726179627</v>
      </c>
      <c r="J26" s="4">
        <f t="shared" ref="J26:P26" ca="1" si="7">J25/$Q25</f>
        <v>0.8679479864771652</v>
      </c>
      <c r="K26" s="4">
        <f t="shared" ca="1" si="7"/>
        <v>0.88694637702139978</v>
      </c>
      <c r="L26" s="4">
        <f t="shared" ca="1" si="7"/>
        <v>0.88440020096907968</v>
      </c>
      <c r="M26" s="4">
        <f t="shared" ca="1" si="7"/>
        <v>0.86108438146656341</v>
      </c>
      <c r="N26" s="4">
        <f t="shared" ca="1" si="7"/>
        <v>0.82239783362144581</v>
      </c>
      <c r="O26" s="4">
        <f t="shared" ca="1" si="7"/>
        <v>0.8236581481891494</v>
      </c>
      <c r="P26" s="4">
        <f t="shared" ca="1" si="7"/>
        <v>0.84016997215386047</v>
      </c>
    </row>
    <row r="28" spans="1:17" ht="14" x14ac:dyDescent="0.2">
      <c r="A28" s="2"/>
      <c r="B28" s="2" t="s">
        <v>62</v>
      </c>
      <c r="C28" s="4">
        <f t="shared" ref="C28:M28" ca="1" si="8">AVERAGE(C20,C22)</f>
        <v>1.6523401933228672</v>
      </c>
      <c r="D28" s="4">
        <f t="shared" ca="1" si="8"/>
        <v>0.81660247713620882</v>
      </c>
      <c r="E28" s="4">
        <f t="shared" ca="1" si="8"/>
        <v>1.707421928627963</v>
      </c>
      <c r="F28" s="4">
        <f t="shared" ca="1" si="8"/>
        <v>0.94332387515586502</v>
      </c>
      <c r="G28" s="4">
        <f t="shared" ca="1" si="8"/>
        <v>1</v>
      </c>
      <c r="H28" s="4">
        <f t="shared" ca="1" si="8"/>
        <v>0.89164252026400703</v>
      </c>
      <c r="J28" s="4">
        <f t="shared" ca="1" si="8"/>
        <v>0.86890062739447682</v>
      </c>
      <c r="K28" s="4">
        <f t="shared" ca="1" si="8"/>
        <v>0.89361602753317182</v>
      </c>
      <c r="L28" s="4">
        <f t="shared" ca="1" si="8"/>
        <v>0.88133955756296478</v>
      </c>
      <c r="M28" s="4">
        <f t="shared" ca="1" si="8"/>
        <v>0.86496653648506139</v>
      </c>
      <c r="N28" s="4">
        <f ca="1">AVERAGE(N20,N22)</f>
        <v>0.82759142143666087</v>
      </c>
      <c r="O28" s="4">
        <f ca="1">AVERAGE(O20,O22)</f>
        <v>0.82754920754149519</v>
      </c>
      <c r="P28" s="4">
        <f ca="1">AVERAGE(P20,P22)</f>
        <v>0.8358779847767559</v>
      </c>
    </row>
    <row r="29" spans="1:17" ht="14" x14ac:dyDescent="0.2">
      <c r="B29" s="2" t="s">
        <v>56</v>
      </c>
      <c r="C29" s="4">
        <f t="shared" ref="C29:M29" ca="1" si="9">C24/C28</f>
        <v>1.0002563818377397</v>
      </c>
      <c r="D29" s="4">
        <f t="shared" ca="1" si="9"/>
        <v>0.99826080064609202</v>
      </c>
      <c r="E29" s="4">
        <f t="shared" ca="1" si="9"/>
        <v>0.99497717018406973</v>
      </c>
      <c r="F29" s="4">
        <f t="shared" ca="1" si="9"/>
        <v>1.0358170638691526</v>
      </c>
      <c r="G29" s="4">
        <f t="shared" ca="1" si="9"/>
        <v>1</v>
      </c>
      <c r="H29" s="4">
        <f t="shared" ca="1" si="9"/>
        <v>0.99167639002740038</v>
      </c>
      <c r="I29" s="4"/>
      <c r="J29" s="4">
        <f t="shared" ca="1" si="9"/>
        <v>1.0006757210505322</v>
      </c>
      <c r="K29" s="4">
        <f ca="1">K24/K28</f>
        <v>0.99541031409825387</v>
      </c>
      <c r="L29" s="4">
        <f t="shared" ca="1" si="9"/>
        <v>1.0019950950245509</v>
      </c>
      <c r="M29" s="4">
        <f t="shared" ca="1" si="9"/>
        <v>0.99726199718305275</v>
      </c>
      <c r="N29" s="4">
        <f ca="1">N24/N28</f>
        <v>0.99827836925517577</v>
      </c>
      <c r="O29" s="4">
        <f ca="1">O24/O28</f>
        <v>0.99809463601941628</v>
      </c>
      <c r="P29" s="4">
        <f ca="1">P24/P28</f>
        <v>1.0087248100770994</v>
      </c>
    </row>
    <row r="30" spans="1:17" ht="14" x14ac:dyDescent="0.2">
      <c r="B30" s="2" t="s">
        <v>57</v>
      </c>
      <c r="C30" s="4">
        <f t="shared" ref="C30:N30" ca="1" si="10">C26/C28</f>
        <v>1.0059423972263766</v>
      </c>
      <c r="D30" s="4">
        <f t="shared" ca="1" si="10"/>
        <v>1.0033323567989407</v>
      </c>
      <c r="E30" s="4">
        <f t="shared" ca="1" si="10"/>
        <v>0.99843761676844933</v>
      </c>
      <c r="F30" s="4">
        <f t="shared" ca="1" si="10"/>
        <v>1.0442294146368527</v>
      </c>
      <c r="G30" s="4">
        <f t="shared" ca="1" si="10"/>
        <v>1</v>
      </c>
      <c r="H30" s="4">
        <f t="shared" ca="1" si="10"/>
        <v>0.99361574524224661</v>
      </c>
      <c r="I30" s="4"/>
      <c r="J30" s="4">
        <f t="shared" ca="1" si="10"/>
        <v>0.99890362500926233</v>
      </c>
      <c r="K30" s="4">
        <f t="shared" ca="1" si="10"/>
        <v>0.99253633517498152</v>
      </c>
      <c r="L30" s="4">
        <f t="shared" ca="1" si="10"/>
        <v>1.0034727176147387</v>
      </c>
      <c r="M30" s="4">
        <f t="shared" ca="1" si="10"/>
        <v>0.99551178588448774</v>
      </c>
      <c r="N30" s="4">
        <f t="shared" ca="1" si="10"/>
        <v>0.99372445426488443</v>
      </c>
      <c r="O30" s="4">
        <f ca="1">O26/O28</f>
        <v>0.99529809307182415</v>
      </c>
      <c r="P30" s="4">
        <f ca="1">P26/P28</f>
        <v>1.0051347056092772</v>
      </c>
    </row>
    <row r="31" spans="1:17" ht="14" x14ac:dyDescent="0.2"/>
    <row r="32" spans="1:17" ht="15.75" customHeight="1" x14ac:dyDescent="0.2">
      <c r="B32" s="56" t="s">
        <v>58</v>
      </c>
      <c r="C32" s="57">
        <f t="shared" ref="C32:H33" ca="1" si="11">$C14/(LN((1-$B14)*C29))</f>
        <v>1.0001495145442363</v>
      </c>
      <c r="D32" s="57">
        <f t="shared" ca="1" si="11"/>
        <v>0.99898591679339832</v>
      </c>
      <c r="E32" s="57">
        <f t="shared" ca="1" si="11"/>
        <v>0.99707210877613994</v>
      </c>
      <c r="F32" s="57">
        <f t="shared" ca="1" si="11"/>
        <v>1.020951645563142</v>
      </c>
      <c r="G32" s="57">
        <f t="shared" ca="1" si="11"/>
        <v>1</v>
      </c>
      <c r="H32" s="57">
        <f t="shared" ca="1" si="11"/>
        <v>0.99514934201223149</v>
      </c>
      <c r="I32" s="58"/>
      <c r="J32" s="57">
        <f t="shared" ref="J32:P33" ca="1" si="12">$C14/(LN((1-$B14)*J29))</f>
        <v>1.0003940749172473</v>
      </c>
      <c r="K32" s="57">
        <f t="shared" ca="1" si="12"/>
        <v>0.9973245001840767</v>
      </c>
      <c r="L32" s="57">
        <f t="shared" ca="1" si="12"/>
        <v>1.0011636509074386</v>
      </c>
      <c r="M32" s="57">
        <f t="shared" ca="1" si="12"/>
        <v>0.99840367170160171</v>
      </c>
      <c r="N32" s="57">
        <f t="shared" ca="1" si="12"/>
        <v>0.99899615914423257</v>
      </c>
      <c r="O32" s="57">
        <f t="shared" ca="1" si="12"/>
        <v>0.99888904569022574</v>
      </c>
      <c r="P32" s="57">
        <f t="shared" ca="1" si="12"/>
        <v>1.0050916772291232</v>
      </c>
    </row>
    <row r="33" spans="2:16" ht="14" x14ac:dyDescent="0.2">
      <c r="B33" s="56" t="s">
        <v>59</v>
      </c>
      <c r="C33" s="57">
        <f t="shared" ca="1" si="11"/>
        <v>1.0039283910236378</v>
      </c>
      <c r="D33" s="57">
        <f t="shared" ca="1" si="11"/>
        <v>1.0022020219654726</v>
      </c>
      <c r="E33" s="57">
        <f t="shared" ca="1" si="11"/>
        <v>0.99896838822908152</v>
      </c>
      <c r="F33" s="57">
        <f t="shared" ca="1" si="11"/>
        <v>1.029424655570101</v>
      </c>
      <c r="G33" s="57">
        <f t="shared" ca="1" si="11"/>
        <v>1</v>
      </c>
      <c r="H33" s="57">
        <f t="shared" ca="1" si="11"/>
        <v>0.99578784309983859</v>
      </c>
      <c r="I33" s="58"/>
      <c r="J33" s="57">
        <f t="shared" ca="1" si="12"/>
        <v>0.99927603051687242</v>
      </c>
      <c r="K33" s="57">
        <f t="shared" ca="1" si="12"/>
        <v>0.99507652347742848</v>
      </c>
      <c r="L33" s="57">
        <f t="shared" ca="1" si="12"/>
        <v>1.0022948243077947</v>
      </c>
      <c r="M33" s="57">
        <f t="shared" ca="1" si="12"/>
        <v>0.99703790384066637</v>
      </c>
      <c r="N33" s="57">
        <f t="shared" ca="1" si="12"/>
        <v>0.99585949467531587</v>
      </c>
      <c r="O33" s="57">
        <f t="shared" ca="1" si="12"/>
        <v>0.99689697834854141</v>
      </c>
      <c r="P33" s="57">
        <f t="shared" ca="1" si="12"/>
        <v>1.003394000688085</v>
      </c>
    </row>
    <row r="34" spans="2:16" ht="15.75" customHeight="1" x14ac:dyDescent="0.2">
      <c r="B34" s="59" t="s">
        <v>60</v>
      </c>
      <c r="C34" s="60">
        <f ca="1">AVERAGE(C32,C33)</f>
        <v>1.0020389527839371</v>
      </c>
      <c r="D34" s="60">
        <f t="shared" ref="D34:P34" ca="1" si="13">AVERAGE(D32,D33)</f>
        <v>1.0005939693794355</v>
      </c>
      <c r="E34" s="60">
        <f t="shared" ca="1" si="13"/>
        <v>0.99802024850261073</v>
      </c>
      <c r="F34" s="60">
        <f t="shared" ca="1" si="13"/>
        <v>1.0251881505666214</v>
      </c>
      <c r="G34" s="60">
        <f t="shared" ca="1" si="13"/>
        <v>1</v>
      </c>
      <c r="H34" s="60">
        <f t="shared" ca="1" si="13"/>
        <v>0.99546859255603504</v>
      </c>
      <c r="I34" s="61"/>
      <c r="J34" s="60">
        <f t="shared" ca="1" si="13"/>
        <v>0.99983505271705986</v>
      </c>
      <c r="K34" s="60">
        <f t="shared" ca="1" si="13"/>
        <v>0.99620051183075264</v>
      </c>
      <c r="L34" s="60">
        <f t="shared" ca="1" si="13"/>
        <v>1.0017292376076168</v>
      </c>
      <c r="M34" s="60">
        <f t="shared" ca="1" si="13"/>
        <v>0.99772078777113404</v>
      </c>
      <c r="N34" s="60">
        <f t="shared" ca="1" si="13"/>
        <v>0.99742782690977427</v>
      </c>
      <c r="O34" s="60">
        <f t="shared" ca="1" si="13"/>
        <v>0.99789301201938363</v>
      </c>
      <c r="P34" s="60">
        <f t="shared" ca="1" si="13"/>
        <v>1.004242838958604</v>
      </c>
    </row>
    <row r="35" spans="2:16" ht="14" x14ac:dyDescent="0.2">
      <c r="B35" s="56" t="s">
        <v>36</v>
      </c>
      <c r="C35" s="57">
        <f ca="1">ABS(C33-C32)</f>
        <v>3.7788764794015606E-3</v>
      </c>
      <c r="D35" s="57">
        <f t="shared" ref="D35:P35" ca="1" si="14">ABS(D33-D32)</f>
        <v>3.2161051720742684E-3</v>
      </c>
      <c r="E35" s="57">
        <f t="shared" ca="1" si="14"/>
        <v>1.8962794529415739E-3</v>
      </c>
      <c r="F35" s="57">
        <f t="shared" ca="1" si="14"/>
        <v>8.473010006958992E-3</v>
      </c>
      <c r="G35" s="57">
        <f t="shared" ca="1" si="14"/>
        <v>0</v>
      </c>
      <c r="H35" s="57">
        <f t="shared" ca="1" si="14"/>
        <v>6.3850108760710178E-4</v>
      </c>
      <c r="I35" s="58"/>
      <c r="J35" s="57">
        <f t="shared" ca="1" si="14"/>
        <v>1.1180444003748846E-3</v>
      </c>
      <c r="K35" s="57">
        <f t="shared" ca="1" si="14"/>
        <v>2.2479767066482248E-3</v>
      </c>
      <c r="L35" s="57">
        <f t="shared" ca="1" si="14"/>
        <v>1.1311734003560669E-3</v>
      </c>
      <c r="M35" s="57">
        <f t="shared" ca="1" si="14"/>
        <v>1.3657678609353407E-3</v>
      </c>
      <c r="N35" s="57">
        <f t="shared" ca="1" si="14"/>
        <v>3.1366644689166945E-3</v>
      </c>
      <c r="O35" s="57">
        <f t="shared" ca="1" si="14"/>
        <v>1.9920673416843337E-3</v>
      </c>
      <c r="P35" s="57">
        <f t="shared" ca="1" si="14"/>
        <v>1.69767654103814E-3</v>
      </c>
    </row>
    <row r="36" spans="2:16" ht="14" x14ac:dyDescent="0.2"/>
    <row r="37" spans="2:16" ht="14" x14ac:dyDescent="0.2"/>
    <row r="39" spans="2:16" ht="14" x14ac:dyDescent="0.2"/>
    <row r="41" spans="2:16" ht="14" x14ac:dyDescent="0.2"/>
    <row r="42" spans="2:16" ht="14" x14ac:dyDescent="0.2"/>
    <row r="43" spans="2:16" ht="14" x14ac:dyDescent="0.2"/>
    <row r="45" spans="2:16" ht="14" x14ac:dyDescent="0.2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289B-3FAC-4CC2-B0B0-E15E91517FFA}">
  <dimension ref="A10:P76"/>
  <sheetViews>
    <sheetView zoomScale="125" zoomScaleNormal="125" workbookViewId="0">
      <selection activeCell="A7" sqref="A7"/>
    </sheetView>
  </sheetViews>
  <sheetFormatPr baseColWidth="10" defaultColWidth="9.1640625" defaultRowHeight="14" x14ac:dyDescent="0.2"/>
  <cols>
    <col min="1" max="1" width="43.6640625" style="1" customWidth="1"/>
    <col min="2" max="2" width="12.33203125" style="1" customWidth="1"/>
    <col min="3" max="3" width="15" style="1" bestFit="1" customWidth="1"/>
    <col min="4" max="4" width="14.6640625" style="1" bestFit="1" customWidth="1"/>
    <col min="5" max="5" width="15" style="1" bestFit="1" customWidth="1"/>
    <col min="6" max="6" width="14.6640625" style="1" bestFit="1" customWidth="1"/>
    <col min="7" max="7" width="12.1640625" style="1" bestFit="1" customWidth="1"/>
    <col min="8" max="8" width="14.6640625" style="1" bestFit="1" customWidth="1"/>
    <col min="9" max="9" width="12.1640625" style="1" bestFit="1" customWidth="1"/>
    <col min="10" max="16" width="14.6640625" style="1" bestFit="1" customWidth="1"/>
    <col min="17" max="16384" width="9.1640625" style="1"/>
  </cols>
  <sheetData>
    <row r="10" spans="1:16" x14ac:dyDescent="0.2">
      <c r="B10" s="2" t="s">
        <v>76</v>
      </c>
      <c r="C10" s="2" t="s">
        <v>77</v>
      </c>
      <c r="E10" s="28" t="s">
        <v>51</v>
      </c>
      <c r="F10" s="17" t="s">
        <v>70</v>
      </c>
      <c r="H10" s="22"/>
      <c r="J10" s="23"/>
    </row>
    <row r="11" spans="1:16" x14ac:dyDescent="0.2">
      <c r="A11" s="2" t="s">
        <v>86</v>
      </c>
      <c r="B11" s="52">
        <f>'Raw Data'!A20</f>
        <v>0.82</v>
      </c>
      <c r="C11" s="52">
        <f>'Raw Data'!$A$21</f>
        <v>0.78</v>
      </c>
      <c r="E11" s="24" t="s">
        <v>53</v>
      </c>
      <c r="F11" s="18">
        <f>LN(1-B11)</f>
        <v>-1.7147984280919264</v>
      </c>
      <c r="I11" s="23" t="s">
        <v>88</v>
      </c>
      <c r="J11" s="53">
        <v>240</v>
      </c>
    </row>
    <row r="12" spans="1:16" x14ac:dyDescent="0.2">
      <c r="A12" s="2" t="s">
        <v>87</v>
      </c>
      <c r="B12" s="1">
        <v>0.01</v>
      </c>
      <c r="C12" s="1">
        <v>0.01</v>
      </c>
      <c r="E12" s="25" t="s">
        <v>52</v>
      </c>
      <c r="F12" s="29">
        <f>LN(1-C11)</f>
        <v>-1.5141277326297757</v>
      </c>
    </row>
    <row r="15" spans="1:16" x14ac:dyDescent="0.2">
      <c r="A15" s="28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17"/>
    </row>
    <row r="16" spans="1:16" x14ac:dyDescent="0.2">
      <c r="A16" s="31"/>
      <c r="B16" s="32" t="s">
        <v>89</v>
      </c>
      <c r="C16" s="33" t="s">
        <v>0</v>
      </c>
      <c r="D16" s="33" t="s">
        <v>1</v>
      </c>
      <c r="E16" s="33" t="s">
        <v>2</v>
      </c>
      <c r="F16" s="33" t="s">
        <v>3</v>
      </c>
      <c r="G16" s="33" t="s">
        <v>4</v>
      </c>
      <c r="H16" s="33" t="s">
        <v>5</v>
      </c>
      <c r="I16" s="33" t="s">
        <v>6</v>
      </c>
      <c r="J16" s="33" t="s">
        <v>7</v>
      </c>
      <c r="K16" s="33" t="s">
        <v>8</v>
      </c>
      <c r="L16" s="33" t="s">
        <v>9</v>
      </c>
      <c r="M16" s="33" t="s">
        <v>10</v>
      </c>
      <c r="N16" s="33" t="s">
        <v>11</v>
      </c>
      <c r="O16" s="33" t="s">
        <v>12</v>
      </c>
      <c r="P16" s="34" t="s">
        <v>13</v>
      </c>
    </row>
    <row r="17" spans="1:16" ht="15" x14ac:dyDescent="0.2">
      <c r="A17" s="24" t="s">
        <v>32</v>
      </c>
      <c r="B17" s="26" t="s">
        <v>90</v>
      </c>
      <c r="C17" s="35" t="s">
        <v>39</v>
      </c>
      <c r="D17" s="35" t="s">
        <v>40</v>
      </c>
      <c r="E17" s="35" t="s">
        <v>41</v>
      </c>
      <c r="F17" s="35" t="s">
        <v>42</v>
      </c>
      <c r="G17" s="21" t="s">
        <v>83</v>
      </c>
      <c r="H17" s="35" t="s">
        <v>72</v>
      </c>
      <c r="I17" s="35" t="s">
        <v>63</v>
      </c>
      <c r="J17" s="35" t="s">
        <v>43</v>
      </c>
      <c r="K17" s="35" t="s">
        <v>44</v>
      </c>
      <c r="L17" s="35" t="s">
        <v>45</v>
      </c>
      <c r="M17" s="35" t="s">
        <v>46</v>
      </c>
      <c r="N17" s="35" t="s">
        <v>73</v>
      </c>
      <c r="O17" s="35" t="s">
        <v>47</v>
      </c>
      <c r="P17" s="36" t="s">
        <v>48</v>
      </c>
    </row>
    <row r="18" spans="1:16" x14ac:dyDescent="0.2">
      <c r="A18" s="31" t="s">
        <v>74</v>
      </c>
      <c r="B18" s="32">
        <f ca="1">'Raw Data'!C18</f>
        <v>6.59E-2</v>
      </c>
      <c r="C18" s="32">
        <f>'Raw Data'!F7</f>
        <v>0.14119999999999999</v>
      </c>
      <c r="D18" s="32">
        <f>'Raw Data'!G7</f>
        <v>7.0300000000000001E-2</v>
      </c>
      <c r="E18" s="32">
        <f>'Raw Data'!H7</f>
        <v>0.13320000000000001</v>
      </c>
      <c r="F18" s="32">
        <f>'Raw Data'!I7</f>
        <v>7.0800000000000002E-2</v>
      </c>
      <c r="G18" s="32"/>
      <c r="H18" s="32">
        <f>'Raw Data'!K7</f>
        <v>6.9699999999999998E-2</v>
      </c>
      <c r="I18" s="32"/>
      <c r="J18" s="32">
        <f>'Raw Data'!M7</f>
        <v>5.0599999999999999E-2</v>
      </c>
      <c r="K18" s="32">
        <f>'Raw Data'!N7</f>
        <v>4.8399999999999999E-2</v>
      </c>
      <c r="L18" s="32">
        <f>'Raw Data'!O7</f>
        <v>6.9699999999999998E-2</v>
      </c>
      <c r="M18" s="32">
        <f>'Raw Data'!P7</f>
        <v>5.0099999999999999E-2</v>
      </c>
      <c r="N18" s="32">
        <f>'Raw Data'!Q7</f>
        <v>6.1899999999999997E-2</v>
      </c>
      <c r="O18" s="32">
        <f>'Raw Data'!R7</f>
        <v>5.8000000000000003E-2</v>
      </c>
      <c r="P18" s="18">
        <f>'Raw Data'!S7</f>
        <v>7.3099999999999998E-2</v>
      </c>
    </row>
    <row r="19" spans="1:16" x14ac:dyDescent="0.2">
      <c r="A19" s="31" t="s">
        <v>75</v>
      </c>
      <c r="B19" s="32">
        <f ca="1">'Raw Data'!C19</f>
        <v>5.4899999999999997E-2</v>
      </c>
      <c r="C19" s="32">
        <f>'Raw Data'!F20</f>
        <v>0.1217</v>
      </c>
      <c r="D19" s="32">
        <f>'Raw Data'!G20</f>
        <v>6.2300000000000001E-2</v>
      </c>
      <c r="E19" s="32">
        <f>'Raw Data'!H20</f>
        <v>0.1124</v>
      </c>
      <c r="F19" s="32">
        <f>'Raw Data'!I20</f>
        <v>6.1699999999999998E-2</v>
      </c>
      <c r="G19" s="32"/>
      <c r="H19" s="32">
        <f>'Raw Data'!K20</f>
        <v>5.91E-2</v>
      </c>
      <c r="I19" s="32"/>
      <c r="J19" s="32">
        <f>'Raw Data'!M20</f>
        <v>2.93E-2</v>
      </c>
      <c r="K19" s="32">
        <f>'Raw Data'!N20</f>
        <v>3.1600000000000003E-2</v>
      </c>
      <c r="L19" s="32">
        <f>'Raw Data'!O20</f>
        <v>5.8599999999999999E-2</v>
      </c>
      <c r="M19" s="32">
        <f>'Raw Data'!P20</f>
        <v>3.6299999999999999E-2</v>
      </c>
      <c r="N19" s="32">
        <f>'Raw Data'!Q20</f>
        <v>5.7099999999999998E-2</v>
      </c>
      <c r="O19" s="32">
        <f>'Raw Data'!R20</f>
        <v>5.7200000000000001E-2</v>
      </c>
      <c r="P19" s="18">
        <f>'Raw Data'!S20</f>
        <v>6.8699999999999997E-2</v>
      </c>
    </row>
    <row r="20" spans="1:16" x14ac:dyDescent="0.2">
      <c r="A20" s="31" t="s">
        <v>53</v>
      </c>
      <c r="B20" s="32">
        <f ca="1">'Raw Data'!C20</f>
        <v>5.1999999999999998E-2</v>
      </c>
      <c r="C20" s="32">
        <f>'Raw Data'!F33</f>
        <v>0.13250000000000001</v>
      </c>
      <c r="D20" s="32">
        <f>'Raw Data'!G33</f>
        <v>6.7599999999999993E-2</v>
      </c>
      <c r="E20" s="32">
        <f>'Raw Data'!H33</f>
        <v>0.12479999999999999</v>
      </c>
      <c r="F20" s="32">
        <f>'Raw Data'!I33</f>
        <v>6.8900000000000003E-2</v>
      </c>
      <c r="G20" s="32"/>
      <c r="H20" s="32">
        <f>'Raw Data'!K33</f>
        <v>6.6000000000000003E-2</v>
      </c>
      <c r="I20" s="32"/>
      <c r="J20" s="32">
        <f>'Raw Data'!M33</f>
        <v>3.2899999999999999E-2</v>
      </c>
      <c r="K20" s="32">
        <f>'Raw Data'!N33</f>
        <v>3.1399999999999997E-2</v>
      </c>
      <c r="L20" s="32">
        <f>'Raw Data'!O33</f>
        <v>6.3399999999999998E-2</v>
      </c>
      <c r="M20" s="32">
        <f>'Raw Data'!P33</f>
        <v>3.73E-2</v>
      </c>
      <c r="N20" s="32">
        <f>'Raw Data'!Q33</f>
        <v>6.7000000000000004E-2</v>
      </c>
      <c r="O20" s="32">
        <f>'Raw Data'!R33</f>
        <v>6.4399999999999999E-2</v>
      </c>
      <c r="P20" s="18">
        <f>'Raw Data'!S33</f>
        <v>7.6999999999999999E-2</v>
      </c>
    </row>
    <row r="21" spans="1:16" x14ac:dyDescent="0.2">
      <c r="A21" s="44" t="s">
        <v>52</v>
      </c>
      <c r="B21" s="16">
        <f ca="1">'Raw Data'!C21</f>
        <v>5.4100000000000002E-2</v>
      </c>
      <c r="C21" s="16">
        <f>'Raw Data'!F46</f>
        <v>0.1394</v>
      </c>
      <c r="D21" s="16">
        <f>'Raw Data'!G46</f>
        <v>6.7100000000000007E-2</v>
      </c>
      <c r="E21" s="16">
        <f>'Raw Data'!H46</f>
        <v>0.1255</v>
      </c>
      <c r="F21" s="16">
        <f>'Raw Data'!I46</f>
        <v>7.0099999999999996E-2</v>
      </c>
      <c r="G21" s="16"/>
      <c r="H21" s="16">
        <f>'Raw Data'!K46</f>
        <v>6.2799999999999995E-2</v>
      </c>
      <c r="I21" s="16"/>
      <c r="J21" s="16">
        <f>'Raw Data'!M46</f>
        <v>3.3000000000000002E-2</v>
      </c>
      <c r="K21" s="16">
        <f>'Raw Data'!N46</f>
        <v>3.1899999999999998E-2</v>
      </c>
      <c r="L21" s="16">
        <f>'Raw Data'!O46</f>
        <v>6.6199999999999995E-2</v>
      </c>
      <c r="M21" s="16">
        <f>'Raw Data'!P46</f>
        <v>3.6499999999999998E-2</v>
      </c>
      <c r="N21" s="16">
        <f>'Raw Data'!Q46</f>
        <v>6.7100000000000007E-2</v>
      </c>
      <c r="O21" s="16">
        <f>'Raw Data'!R46</f>
        <v>6.7199999999999996E-2</v>
      </c>
      <c r="P21" s="29">
        <f>'Raw Data'!S46</f>
        <v>8.0399999999999999E-2</v>
      </c>
    </row>
    <row r="22" spans="1:16" x14ac:dyDescent="0.2">
      <c r="A22" s="2"/>
    </row>
    <row r="23" spans="1:16" x14ac:dyDescent="0.2">
      <c r="A23" s="27" t="s">
        <v>71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</row>
    <row r="24" spans="1:16" x14ac:dyDescent="0.2">
      <c r="A24" s="41" t="s">
        <v>74</v>
      </c>
      <c r="B24" s="39">
        <f t="shared" ref="B24:M25" ca="1" si="0">TINV(0.32,$J$11-1)*B18/SQRT($J$11)</f>
        <v>4.2390708034358623E-3</v>
      </c>
      <c r="C24" s="39">
        <f t="shared" si="0"/>
        <v>9.0828042100932274E-3</v>
      </c>
      <c r="D24" s="39">
        <f t="shared" si="0"/>
        <v>4.5221043623906087E-3</v>
      </c>
      <c r="E24" s="39">
        <f t="shared" si="0"/>
        <v>8.5681977392664185E-3</v>
      </c>
      <c r="F24" s="39">
        <f t="shared" si="0"/>
        <v>4.5542672668172843E-3</v>
      </c>
      <c r="G24" s="39"/>
      <c r="H24" s="39">
        <f t="shared" si="0"/>
        <v>4.483508877078597E-3</v>
      </c>
      <c r="I24" s="39"/>
      <c r="J24" s="39">
        <f t="shared" si="0"/>
        <v>3.2548859279795846E-3</v>
      </c>
      <c r="K24" s="39">
        <f t="shared" si="0"/>
        <v>3.1133691485022113E-3</v>
      </c>
      <c r="L24" s="39">
        <f>TINV(0.32,$J$11-1)*L18/SQRT($J$11)</f>
        <v>4.483508877078597E-3</v>
      </c>
      <c r="M24" s="39">
        <f t="shared" si="0"/>
        <v>3.222723023552909E-3</v>
      </c>
      <c r="N24" s="39">
        <f t="shared" ref="N24:P25" si="1">TINV(0.32,$J$11-1)*N18/SQRT($J$11)</f>
        <v>3.9817675680224561E-3</v>
      </c>
      <c r="O24" s="39">
        <f t="shared" si="1"/>
        <v>3.7308969134943861E-3</v>
      </c>
      <c r="P24" s="40">
        <f t="shared" si="1"/>
        <v>4.7022166271799932E-3</v>
      </c>
    </row>
    <row r="25" spans="1:16" x14ac:dyDescent="0.2">
      <c r="A25" s="41" t="s">
        <v>75</v>
      </c>
      <c r="B25" s="39">
        <f t="shared" ca="1" si="0"/>
        <v>3.5314869060489957E-3</v>
      </c>
      <c r="C25" s="39">
        <f t="shared" si="0"/>
        <v>7.8284509374528747E-3</v>
      </c>
      <c r="D25" s="39">
        <f t="shared" si="0"/>
        <v>4.0074978915637972E-3</v>
      </c>
      <c r="E25" s="39">
        <f>TINV(0.32,$J$11-1)*E19/SQRT($J$11)</f>
        <v>7.2302209151167062E-3</v>
      </c>
      <c r="F25" s="39">
        <f t="shared" si="0"/>
        <v>3.9689024062517855E-3</v>
      </c>
      <c r="G25" s="39"/>
      <c r="H25" s="39">
        <f>TINV(0.32,$J$11-1)*H19/SQRT($J$11)</f>
        <v>3.8016553032330725E-3</v>
      </c>
      <c r="I25" s="39"/>
      <c r="J25" s="39">
        <f t="shared" si="0"/>
        <v>1.8847461994031982E-3</v>
      </c>
      <c r="K25" s="39">
        <f t="shared" si="0"/>
        <v>2.0326955597659065E-3</v>
      </c>
      <c r="L25" s="39">
        <f>TINV(0.32,$J$11-1)*L19/SQRT($J$11)</f>
        <v>3.7694923988063965E-3</v>
      </c>
      <c r="M25" s="39">
        <f t="shared" si="0"/>
        <v>2.3350268613766584E-3</v>
      </c>
      <c r="N25" s="39">
        <f t="shared" si="1"/>
        <v>3.6730036855263689E-3</v>
      </c>
      <c r="O25" s="39">
        <f t="shared" si="1"/>
        <v>3.6794362664117042E-3</v>
      </c>
      <c r="P25" s="40">
        <f t="shared" si="1"/>
        <v>4.4191830682252459E-3</v>
      </c>
    </row>
    <row r="26" spans="1:16" x14ac:dyDescent="0.2">
      <c r="A26" s="41" t="s">
        <v>65</v>
      </c>
      <c r="B26" s="39">
        <f ca="1">SQRT((B25^2+B24^2)/2)</f>
        <v>3.9013536781569726E-3</v>
      </c>
      <c r="C26" s="39">
        <f t="shared" ref="C26:P26" si="2">SQRT((C25^2+C24^2)/2)</f>
        <v>8.4788553590385667E-3</v>
      </c>
      <c r="D26" s="39">
        <f t="shared" si="2"/>
        <v>4.2725558636043867E-3</v>
      </c>
      <c r="E26" s="39">
        <f t="shared" si="2"/>
        <v>7.927487211612556E-3</v>
      </c>
      <c r="F26" s="39">
        <f t="shared" si="2"/>
        <v>4.2716236168437519E-3</v>
      </c>
      <c r="G26" s="39">
        <f t="shared" si="2"/>
        <v>0</v>
      </c>
      <c r="H26" s="39">
        <f t="shared" si="2"/>
        <v>4.1565872356683874E-3</v>
      </c>
      <c r="I26" s="39">
        <f t="shared" si="2"/>
        <v>0</v>
      </c>
      <c r="J26" s="39">
        <f t="shared" si="2"/>
        <v>2.6595629942082893E-3</v>
      </c>
      <c r="K26" s="39">
        <f t="shared" si="2"/>
        <v>2.629155633805026E-3</v>
      </c>
      <c r="L26" s="39">
        <f t="shared" si="2"/>
        <v>4.1419153054777554E-3</v>
      </c>
      <c r="M26" s="39">
        <f t="shared" si="2"/>
        <v>2.8140979131764882E-3</v>
      </c>
      <c r="N26" s="39">
        <f t="shared" si="2"/>
        <v>3.8304979467195747E-3</v>
      </c>
      <c r="O26" s="39">
        <f t="shared" si="2"/>
        <v>3.7052559302771272E-3</v>
      </c>
      <c r="P26" s="39">
        <f t="shared" si="2"/>
        <v>4.5628949253416241E-3</v>
      </c>
    </row>
    <row r="27" spans="1:16" x14ac:dyDescent="0.2">
      <c r="A27" s="41" t="s">
        <v>53</v>
      </c>
      <c r="B27" s="39">
        <f ca="1">TINV(0.32,$J$11-1)*B20/SQRT($J$11)</f>
        <v>3.3449420603742768E-3</v>
      </c>
      <c r="C27" s="39">
        <f>TINV(0.32,$J$11-1)*C20/SQRT($J$11)</f>
        <v>8.5231696730690715E-3</v>
      </c>
      <c r="D27" s="39">
        <f t="shared" ref="B27:M28" si="3">TINV(0.32,$J$11-1)*D20/SQRT($J$11)</f>
        <v>4.3484246784865595E-3</v>
      </c>
      <c r="E27" s="39">
        <f t="shared" si="3"/>
        <v>8.0278609448982633E-3</v>
      </c>
      <c r="F27" s="39">
        <f t="shared" si="3"/>
        <v>4.4320482299959165E-3</v>
      </c>
      <c r="G27" s="39"/>
      <c r="H27" s="39">
        <f t="shared" si="3"/>
        <v>4.2455033843211976E-3</v>
      </c>
      <c r="I27" s="39"/>
      <c r="J27" s="39">
        <f t="shared" si="3"/>
        <v>2.1163191112752635E-3</v>
      </c>
      <c r="K27" s="39">
        <f t="shared" si="3"/>
        <v>2.0198303979952364E-3</v>
      </c>
      <c r="L27" s="39">
        <f t="shared" si="3"/>
        <v>4.0782562813024828E-3</v>
      </c>
      <c r="M27" s="39">
        <f t="shared" si="3"/>
        <v>2.3993526702300099E-3</v>
      </c>
      <c r="N27" s="39">
        <f t="shared" ref="N27:P28" si="4">TINV(0.32,$J$11-1)*N20/SQRT($J$11)</f>
        <v>4.3098291931745487E-3</v>
      </c>
      <c r="O27" s="39">
        <f t="shared" si="4"/>
        <v>4.1425820901558347E-3</v>
      </c>
      <c r="P27" s="40">
        <f t="shared" si="4"/>
        <v>4.9530872817080641E-3</v>
      </c>
    </row>
    <row r="28" spans="1:16" x14ac:dyDescent="0.2">
      <c r="A28" s="69" t="s">
        <v>52</v>
      </c>
      <c r="B28" s="42">
        <f t="shared" ca="1" si="3"/>
        <v>3.4800262589663148E-3</v>
      </c>
      <c r="C28" s="42">
        <f t="shared" si="3"/>
        <v>8.967017754157194E-3</v>
      </c>
      <c r="D28" s="42">
        <f t="shared" si="3"/>
        <v>4.3162617740598848E-3</v>
      </c>
      <c r="E28" s="42">
        <f t="shared" si="3"/>
        <v>8.0728890110956103E-3</v>
      </c>
      <c r="F28" s="42">
        <f t="shared" si="3"/>
        <v>4.5092392006199382E-3</v>
      </c>
      <c r="G28" s="42"/>
      <c r="H28" s="42">
        <f t="shared" si="3"/>
        <v>4.0396607959904728E-3</v>
      </c>
      <c r="I28" s="42"/>
      <c r="J28" s="42">
        <f t="shared" si="3"/>
        <v>2.1227516921605988E-3</v>
      </c>
      <c r="K28" s="42">
        <f t="shared" si="3"/>
        <v>2.051993302421912E-3</v>
      </c>
      <c r="L28" s="42">
        <f t="shared" si="3"/>
        <v>4.2583685460918673E-3</v>
      </c>
      <c r="M28" s="42">
        <f t="shared" si="3"/>
        <v>2.3478920231473285E-3</v>
      </c>
      <c r="N28" s="42">
        <f t="shared" si="4"/>
        <v>4.3162617740598848E-3</v>
      </c>
      <c r="O28" s="42">
        <f t="shared" si="4"/>
        <v>4.3226943549452192E-3</v>
      </c>
      <c r="P28" s="43">
        <f t="shared" si="4"/>
        <v>5.1717950318094586E-3</v>
      </c>
    </row>
    <row r="30" spans="1:16" x14ac:dyDescent="0.2">
      <c r="A30" s="68" t="s">
        <v>50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17"/>
    </row>
    <row r="31" spans="1:16" x14ac:dyDescent="0.2">
      <c r="A31" s="31" t="s">
        <v>53</v>
      </c>
      <c r="B31" s="32"/>
      <c r="C31" s="32">
        <f ca="1">KIE!C29</f>
        <v>1.0002563818377397</v>
      </c>
      <c r="D31" s="32">
        <f ca="1">KIE!D29</f>
        <v>0.99826080064609202</v>
      </c>
      <c r="E31" s="32">
        <f ca="1">KIE!E29</f>
        <v>0.99497717018406973</v>
      </c>
      <c r="F31" s="32">
        <f ca="1">KIE!F29</f>
        <v>1.0358170638691526</v>
      </c>
      <c r="G31" s="32"/>
      <c r="H31" s="32">
        <f ca="1">KIE!H29</f>
        <v>0.99167639002740038</v>
      </c>
      <c r="I31" s="32"/>
      <c r="J31" s="32">
        <f ca="1">KIE!J29</f>
        <v>1.0006757210505322</v>
      </c>
      <c r="K31" s="32">
        <f ca="1">KIE!K29</f>
        <v>0.99541031409825387</v>
      </c>
      <c r="L31" s="32">
        <f ca="1">KIE!L29</f>
        <v>1.0019950950245509</v>
      </c>
      <c r="M31" s="32">
        <f ca="1">KIE!M29</f>
        <v>0.99726199718305275</v>
      </c>
      <c r="N31" s="32">
        <f ca="1">KIE!N29</f>
        <v>0.99827836925517577</v>
      </c>
      <c r="O31" s="32">
        <f ca="1">KIE!O29</f>
        <v>0.99809463601941628</v>
      </c>
      <c r="P31" s="18">
        <f ca="1">KIE!P29</f>
        <v>1.0087248100770994</v>
      </c>
    </row>
    <row r="32" spans="1:16" x14ac:dyDescent="0.2">
      <c r="A32" s="44" t="s">
        <v>52</v>
      </c>
      <c r="B32" s="16"/>
      <c r="C32" s="16">
        <f ca="1">KIE!C30</f>
        <v>1.0059423972263766</v>
      </c>
      <c r="D32" s="16">
        <f ca="1">KIE!D30</f>
        <v>1.0033323567989407</v>
      </c>
      <c r="E32" s="16">
        <f ca="1">KIE!E30</f>
        <v>0.99843761676844933</v>
      </c>
      <c r="F32" s="16">
        <f ca="1">KIE!F30</f>
        <v>1.0442294146368527</v>
      </c>
      <c r="G32" s="16"/>
      <c r="H32" s="16">
        <f ca="1">KIE!H30</f>
        <v>0.99361574524224661</v>
      </c>
      <c r="I32" s="16"/>
      <c r="J32" s="16">
        <f ca="1">KIE!J30</f>
        <v>0.99890362500926233</v>
      </c>
      <c r="K32" s="16">
        <f ca="1">KIE!K30</f>
        <v>0.99253633517498152</v>
      </c>
      <c r="L32" s="16">
        <f ca="1">KIE!L30</f>
        <v>1.0034727176147387</v>
      </c>
      <c r="M32" s="16">
        <f ca="1">KIE!M30</f>
        <v>0.99551178588448774</v>
      </c>
      <c r="N32" s="16">
        <f ca="1">KIE!N30</f>
        <v>0.99372445426488443</v>
      </c>
      <c r="O32" s="16">
        <f ca="1">KIE!O30</f>
        <v>0.99529809307182415</v>
      </c>
      <c r="P32" s="29">
        <f ca="1">KIE!P30</f>
        <v>1.0051347056092772</v>
      </c>
    </row>
    <row r="34" spans="1:16" x14ac:dyDescent="0.2">
      <c r="A34" s="68" t="s">
        <v>64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17"/>
    </row>
    <row r="35" spans="1:16" x14ac:dyDescent="0.2">
      <c r="A35" s="31" t="s">
        <v>53</v>
      </c>
      <c r="B35" s="32"/>
      <c r="C35" s="32">
        <f ca="1">(C27/KIE!C23)^2+($B$27/KIE!$Q23)^2</f>
        <v>2.69330807339903E-7</v>
      </c>
      <c r="D35" s="32">
        <f ca="1">(D27/KIE!D23)^2+($B$27/KIE!$Q23)^2</f>
        <v>2.8259626374168582E-7</v>
      </c>
      <c r="E35" s="32">
        <f ca="1">(E27/KIE!E23)^2+($B$27/KIE!$Q23)^2</f>
        <v>2.3893745562485014E-7</v>
      </c>
      <c r="F35" s="32">
        <f ca="1">(F27/KIE!F23)^2+($B$27/KIE!$Q23)^2</f>
        <v>2.2641959498243116E-7</v>
      </c>
      <c r="G35" s="32"/>
      <c r="H35" s="32">
        <f ca="1">(H27/KIE!H23)^2+($B$27/KIE!$Q23)^2</f>
        <v>2.4409380138451419E-7</v>
      </c>
      <c r="I35" s="32"/>
      <c r="J35" s="32">
        <f ca="1">(J27/KIE!J23)^2+($B$27/KIE!$Q23)^2</f>
        <v>1.2198876877388109E-7</v>
      </c>
      <c r="K35" s="32">
        <f ca="1">(K27/KIE!K23)^2+($B$27/KIE!$Q23)^2</f>
        <v>1.1651304248158736E-7</v>
      </c>
      <c r="L35" s="32">
        <f ca="1">(L27/KIE!L23)^2+($B$27/KIE!$Q23)^2</f>
        <v>2.3178704108200406E-7</v>
      </c>
      <c r="M35" s="32">
        <f ca="1">(M27/KIE!M23)^2+($B$27/KIE!$Q23)^2</f>
        <v>1.3491049659812499E-7</v>
      </c>
      <c r="N35" s="32">
        <f ca="1">(N27/KIE!N23)^2+($B$27/KIE!$Q23)^2</f>
        <v>2.7374838984299896E-7</v>
      </c>
      <c r="O35" s="32">
        <f ca="1">(O27/KIE!O23)^2+($B$27/KIE!$Q23)^2</f>
        <v>2.5906881726657773E-7</v>
      </c>
      <c r="P35" s="18">
        <f ca="1">(P27/KIE!P23)^2+($B$27/KIE!$Q23)^2</f>
        <v>3.2574732847834906E-7</v>
      </c>
    </row>
    <row r="36" spans="1:16" x14ac:dyDescent="0.2">
      <c r="A36" s="44" t="s">
        <v>52</v>
      </c>
      <c r="B36" s="16"/>
      <c r="C36" s="16">
        <f ca="1">(C28/KIE!C25)^2+($B$28/KIE!$Q25)^2</f>
        <v>2.9887124361650889E-7</v>
      </c>
      <c r="D36" s="16">
        <f ca="1">(D28/KIE!D25)^2+($B$28/KIE!$Q25)^2</f>
        <v>2.8907267850965221E-7</v>
      </c>
      <c r="E36" s="16">
        <f ca="1">(E28/KIE!E25)^2+($B$28/KIE!$Q25)^2</f>
        <v>2.5043932524285207E-7</v>
      </c>
      <c r="F36" s="16">
        <f ca="1">(F28/KIE!F25)^2+($B$28/KIE!$Q25)^2</f>
        <v>2.397806180845916E-7</v>
      </c>
      <c r="G36" s="16"/>
      <c r="H36" s="16">
        <f ca="1">(H28/KIE!H25)^2+($B$28/KIE!$Q25)^2</f>
        <v>2.3858806374272792E-7</v>
      </c>
      <c r="I36" s="16"/>
      <c r="J36" s="16">
        <f ca="1">(J28/KIE!J25)^2+($B$28/KIE!$Q25)^2</f>
        <v>1.3119682943784295E-7</v>
      </c>
      <c r="K36" s="16">
        <f ca="1">(K28/KIE!K25)^2+($B$28/KIE!$Q25)^2</f>
        <v>1.2663552030899169E-7</v>
      </c>
      <c r="L36" s="16">
        <f ca="1">(L28/KIE!L25)^2+($B$28/KIE!$Q25)^2</f>
        <v>2.5594275134502715E-7</v>
      </c>
      <c r="M36" s="16">
        <f ca="1">(M28/KIE!M25)^2+($B$28/KIE!$Q25)^2</f>
        <v>1.4173495159018249E-7</v>
      </c>
      <c r="N36" s="16">
        <f ca="1">(N28/KIE!N25)^2+($B$28/KIE!$Q25)^2</f>
        <v>2.8757092370442922E-7</v>
      </c>
      <c r="O36" s="16">
        <f ca="1">(O28/KIE!O25)^2+($B$28/KIE!$Q25)^2</f>
        <v>2.8755410105777157E-7</v>
      </c>
      <c r="P36" s="29">
        <f ca="1">(P28/KIE!P25)^2+($B$28/KIE!$Q25)^2</f>
        <v>3.6259975128605899E-7</v>
      </c>
    </row>
    <row r="38" spans="1:16" x14ac:dyDescent="0.2">
      <c r="A38" s="68" t="s">
        <v>66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17"/>
    </row>
    <row r="39" spans="1:16" x14ac:dyDescent="0.2">
      <c r="A39" s="31" t="s">
        <v>67</v>
      </c>
      <c r="B39" s="32">
        <f ca="1">AVERAGE(KIE!Q19,KIE!Q21)</f>
        <v>11.686450000000001</v>
      </c>
      <c r="C39" s="32">
        <f>AVERAGE(KIE!C19,KIE!C21)</f>
        <v>19.309750000000001</v>
      </c>
      <c r="D39" s="32">
        <f>AVERAGE(KIE!D19,KIE!D21)</f>
        <v>9.5431000000000008</v>
      </c>
      <c r="E39" s="32">
        <f>AVERAGE(KIE!E19,KIE!E21)</f>
        <v>19.953600000000002</v>
      </c>
      <c r="F39" s="32">
        <f>AVERAGE(KIE!F19,KIE!F21)</f>
        <v>11.023949999999999</v>
      </c>
      <c r="G39" s="32"/>
      <c r="H39" s="32">
        <f>AVERAGE(KIE!H19,KIE!H21)</f>
        <v>10.42005</v>
      </c>
      <c r="I39" s="32"/>
      <c r="J39" s="32">
        <f>AVERAGE(KIE!J19,KIE!J21)</f>
        <v>10.154399999999999</v>
      </c>
      <c r="K39" s="32">
        <f>AVERAGE(KIE!K19,KIE!K21)</f>
        <v>10.443300000000001</v>
      </c>
      <c r="L39" s="32">
        <f>AVERAGE(KIE!L19,KIE!L21)</f>
        <v>10.29965</v>
      </c>
      <c r="M39" s="32">
        <f>AVERAGE(KIE!M19,KIE!M21)</f>
        <v>10.1084</v>
      </c>
      <c r="N39" s="32">
        <f>AVERAGE(KIE!N19,KIE!N21)</f>
        <v>9.6717000000000013</v>
      </c>
      <c r="O39" s="32">
        <f>AVERAGE(KIE!O19,KIE!O21)</f>
        <v>9.6712000000000007</v>
      </c>
      <c r="P39" s="18">
        <f>AVERAGE(KIE!P19,KIE!P21)</f>
        <v>9.7685500000000012</v>
      </c>
    </row>
    <row r="40" spans="1:16" x14ac:dyDescent="0.2">
      <c r="A40" s="44" t="s">
        <v>68</v>
      </c>
      <c r="B40" s="16"/>
      <c r="C40" s="16">
        <f ca="1">((C26/C39)^2)+(($B$26/$B$39)^2)</f>
        <v>3.0425251309719226E-7</v>
      </c>
      <c r="D40" s="16">
        <f t="shared" ref="D40:J40" ca="1" si="5">((D26/D39)^2)+(($B$26/$B$39)^2)</f>
        <v>3.1189185434890481E-7</v>
      </c>
      <c r="E40" s="16">
        <f t="shared" ca="1" si="5"/>
        <v>2.6929042499694883E-7</v>
      </c>
      <c r="F40" s="16">
        <f t="shared" ca="1" si="5"/>
        <v>2.6159145614834955E-7</v>
      </c>
      <c r="G40" s="16"/>
      <c r="H40" s="16">
        <f t="shared" ca="1" si="5"/>
        <v>2.7056969646789722E-7</v>
      </c>
      <c r="I40" s="16"/>
      <c r="J40" s="16">
        <f t="shared" ca="1" si="5"/>
        <v>1.8004433466279146E-7</v>
      </c>
      <c r="K40" s="16">
        <f t="shared" ref="K40" ca="1" si="6">((K26/K39)^2)+(($B$26/$B$39)^2)</f>
        <v>1.74826951271584E-7</v>
      </c>
      <c r="L40" s="16">
        <f t="shared" ref="L40" ca="1" si="7">((L26/L39)^2)+(($B$26/$B$39)^2)</f>
        <v>2.7316392094044297E-7</v>
      </c>
      <c r="M40" s="16">
        <f t="shared" ref="M40" ca="1" si="8">((M26/M39)^2)+(($B$26/$B$39)^2)</f>
        <v>1.8894836165387989E-7</v>
      </c>
      <c r="N40" s="16">
        <f ca="1">((N26/N39)^2)+(($B$26/$B$39)^2)</f>
        <v>2.6830357947411309E-7</v>
      </c>
      <c r="O40" s="16">
        <f ca="1">((O26/O39)^2)+(($B$26/$B$39)^2)</f>
        <v>2.5822922128063179E-7</v>
      </c>
      <c r="P40" s="29">
        <f ca="1">((P26/P39)^2)+(($B$26/$B$39)^2)</f>
        <v>3.2962915309074335E-7</v>
      </c>
    </row>
    <row r="42" spans="1:16" x14ac:dyDescent="0.2">
      <c r="A42" s="68" t="s">
        <v>69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17"/>
    </row>
    <row r="43" spans="1:16" x14ac:dyDescent="0.2">
      <c r="A43" s="31" t="s">
        <v>53</v>
      </c>
      <c r="B43" s="32"/>
      <c r="C43" s="32">
        <f t="shared" ref="C43:N44" ca="1" si="9">C$40+C35</f>
        <v>5.7358332043709521E-7</v>
      </c>
      <c r="D43" s="32">
        <f t="shared" ca="1" si="9"/>
        <v>5.9448811809059068E-7</v>
      </c>
      <c r="E43" s="32">
        <f t="shared" ca="1" si="9"/>
        <v>5.0822788062179903E-7</v>
      </c>
      <c r="F43" s="32">
        <f t="shared" ca="1" si="9"/>
        <v>4.8801105113078071E-7</v>
      </c>
      <c r="G43" s="32"/>
      <c r="H43" s="32">
        <f t="shared" ca="1" si="9"/>
        <v>5.1466349785241135E-7</v>
      </c>
      <c r="I43" s="32"/>
      <c r="J43" s="32">
        <f t="shared" ca="1" si="9"/>
        <v>3.0203310343667253E-7</v>
      </c>
      <c r="K43" s="32">
        <f t="shared" ca="1" si="9"/>
        <v>2.9133999375317136E-7</v>
      </c>
      <c r="L43" s="32">
        <f t="shared" ca="1" si="9"/>
        <v>5.0495096202244704E-7</v>
      </c>
      <c r="M43" s="32">
        <f t="shared" ca="1" si="9"/>
        <v>3.2385885825200488E-7</v>
      </c>
      <c r="N43" s="32">
        <f t="shared" ref="N43:P44" ca="1" si="10">N$40+N35</f>
        <v>5.4205196931711199E-7</v>
      </c>
      <c r="O43" s="32">
        <f t="shared" ca="1" si="10"/>
        <v>5.1729803854720953E-7</v>
      </c>
      <c r="P43" s="18">
        <f t="shared" ca="1" si="10"/>
        <v>6.5537648156909246E-7</v>
      </c>
    </row>
    <row r="44" spans="1:16" x14ac:dyDescent="0.2">
      <c r="A44" s="44" t="s">
        <v>52</v>
      </c>
      <c r="B44" s="16"/>
      <c r="C44" s="16">
        <f t="shared" ca="1" si="9"/>
        <v>6.0312375671370116E-7</v>
      </c>
      <c r="D44" s="16">
        <f t="shared" ca="1" si="9"/>
        <v>6.0096453285855697E-7</v>
      </c>
      <c r="E44" s="16">
        <f t="shared" ca="1" si="9"/>
        <v>5.1972975023980096E-7</v>
      </c>
      <c r="F44" s="16">
        <f t="shared" ca="1" si="9"/>
        <v>5.0137207423294116E-7</v>
      </c>
      <c r="G44" s="16"/>
      <c r="H44" s="16">
        <f t="shared" ca="1" si="9"/>
        <v>5.0915776021062513E-7</v>
      </c>
      <c r="I44" s="16"/>
      <c r="J44" s="16">
        <f t="shared" ca="1" si="9"/>
        <v>3.1124116410063441E-7</v>
      </c>
      <c r="K44" s="16">
        <f t="shared" ca="1" si="9"/>
        <v>3.0146247158057567E-7</v>
      </c>
      <c r="L44" s="16">
        <f t="shared" ca="1" si="9"/>
        <v>5.2910667228547012E-7</v>
      </c>
      <c r="M44" s="16">
        <f t="shared" ca="1" si="9"/>
        <v>3.3068331324406237E-7</v>
      </c>
      <c r="N44" s="16">
        <f t="shared" ca="1" si="9"/>
        <v>5.5587450317854225E-7</v>
      </c>
      <c r="O44" s="16">
        <f t="shared" ca="1" si="10"/>
        <v>5.4578332233840341E-7</v>
      </c>
      <c r="P44" s="29">
        <f t="shared" ca="1" si="10"/>
        <v>6.9222890437680234E-7</v>
      </c>
    </row>
    <row r="46" spans="1:16" x14ac:dyDescent="0.2">
      <c r="A46" s="68" t="s">
        <v>91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17"/>
    </row>
    <row r="47" spans="1:16" x14ac:dyDescent="0.2">
      <c r="A47" s="31" t="s">
        <v>53</v>
      </c>
      <c r="B47" s="32"/>
      <c r="C47" s="32">
        <f t="shared" ref="C47:N47" ca="1" si="11">LN(1-$B$11)*(C31)</f>
        <v>-1.7152380712642736</v>
      </c>
      <c r="D47" s="32">
        <f t="shared" ca="1" si="11"/>
        <v>-1.7118160517737064</v>
      </c>
      <c r="E47" s="32">
        <f t="shared" ca="1" si="11"/>
        <v>-1.706185287418996</v>
      </c>
      <c r="F47" s="32">
        <f t="shared" ca="1" si="11"/>
        <v>-1.7762174729136175</v>
      </c>
      <c r="G47" s="32"/>
      <c r="H47" s="32">
        <f t="shared" ca="1" si="11"/>
        <v>-1.7005251147948623</v>
      </c>
      <c r="I47" s="32"/>
      <c r="J47" s="32">
        <f t="shared" ca="1" si="11"/>
        <v>-1.7159571534872076</v>
      </c>
      <c r="K47" s="32">
        <f t="shared" ca="1" si="11"/>
        <v>-1.7069280419221764</v>
      </c>
      <c r="L47" s="32">
        <f t="shared" ca="1" si="11"/>
        <v>-1.7182196139039203</v>
      </c>
      <c r="M47" s="32">
        <f t="shared" ca="1" si="11"/>
        <v>-1.7101033051653141</v>
      </c>
      <c r="N47" s="32">
        <f t="shared" ca="1" si="11"/>
        <v>-1.711846178396947</v>
      </c>
      <c r="O47" s="32">
        <f ca="1">LN(1-$B$11)*(O31)</f>
        <v>-1.7115311129330784</v>
      </c>
      <c r="P47" s="18">
        <f ca="1">LN(1-$B$11)*(P31)</f>
        <v>-1.7297597186975369</v>
      </c>
    </row>
    <row r="48" spans="1:16" x14ac:dyDescent="0.2">
      <c r="A48" s="44" t="s">
        <v>52</v>
      </c>
      <c r="B48" s="16"/>
      <c r="C48" s="16">
        <f t="shared" ref="C48:N48" ca="1" si="12">LN(1-$C$11)*(C32)</f>
        <v>-1.5231252810685347</v>
      </c>
      <c r="D48" s="16">
        <f t="shared" ca="1" si="12"/>
        <v>-1.5191733464740693</v>
      </c>
      <c r="E48" s="16">
        <f t="shared" ca="1" si="12"/>
        <v>-1.5117620848498892</v>
      </c>
      <c r="F48" s="16">
        <f t="shared" ca="1" si="12"/>
        <v>-1.5810967159294158</v>
      </c>
      <c r="G48" s="16"/>
      <c r="H48" s="16">
        <f t="shared" ca="1" si="12"/>
        <v>-1.5044611554488878</v>
      </c>
      <c r="I48" s="16"/>
      <c r="J48" s="16">
        <f t="shared" ca="1" si="12"/>
        <v>-1.5124676808509381</v>
      </c>
      <c r="K48" s="16">
        <f t="shared" ca="1" si="12"/>
        <v>-1.5028267907311619</v>
      </c>
      <c r="L48" s="16">
        <f t="shared" ca="1" si="12"/>
        <v>-1.5193858706778434</v>
      </c>
      <c r="M48" s="16">
        <f t="shared" ca="1" si="12"/>
        <v>-1.5073320031674982</v>
      </c>
      <c r="N48" s="16">
        <f t="shared" ca="1" si="12"/>
        <v>-1.5046257547948507</v>
      </c>
      <c r="O48" s="16">
        <f ca="1">LN(1-$C$11)*(O32)</f>
        <v>-1.5070084449535806</v>
      </c>
      <c r="P48" s="29">
        <f ca="1">LN(1-$C$11)*(P32)</f>
        <v>-1.5219023327916721</v>
      </c>
    </row>
    <row r="50" spans="1:16" x14ac:dyDescent="0.2">
      <c r="A50" s="68" t="s">
        <v>92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17"/>
    </row>
    <row r="51" spans="1:16" x14ac:dyDescent="0.2">
      <c r="A51" s="31" t="s">
        <v>53</v>
      </c>
      <c r="B51" s="32"/>
      <c r="C51" s="32">
        <f ca="1">(1-$B$11)*(C47^2)</f>
        <v>0.52956749540058945</v>
      </c>
      <c r="D51" s="32">
        <f t="shared" ref="D51:P51" ca="1" si="13">(1-$B$11)*(D47^2)</f>
        <v>0.52745655511982181</v>
      </c>
      <c r="E51" s="32">
        <f t="shared" ca="1" si="13"/>
        <v>0.52399228230090766</v>
      </c>
      <c r="F51" s="32">
        <f t="shared" ca="1" si="13"/>
        <v>0.56789073199505491</v>
      </c>
      <c r="G51" s="32"/>
      <c r="H51" s="32">
        <f t="shared" ca="1" si="13"/>
        <v>0.52052141988865452</v>
      </c>
      <c r="I51" s="32"/>
      <c r="J51" s="32">
        <f t="shared" ca="1" si="13"/>
        <v>0.53001161146870579</v>
      </c>
      <c r="K51" s="32">
        <f t="shared" ca="1" si="13"/>
        <v>0.52444860125404968</v>
      </c>
      <c r="L51" s="32">
        <f t="shared" ca="1" si="13"/>
        <v>0.53141015548874482</v>
      </c>
      <c r="M51" s="32">
        <f t="shared" ca="1" si="13"/>
        <v>0.52640159658071983</v>
      </c>
      <c r="N51" s="32">
        <f t="shared" ca="1" si="13"/>
        <v>0.52747512092860183</v>
      </c>
      <c r="O51" s="32">
        <f t="shared" ca="1" si="13"/>
        <v>0.5272809750968297</v>
      </c>
      <c r="P51" s="18">
        <f t="shared" ca="1" si="13"/>
        <v>0.53857236319714485</v>
      </c>
    </row>
    <row r="52" spans="1:16" x14ac:dyDescent="0.2">
      <c r="A52" s="44" t="s">
        <v>52</v>
      </c>
      <c r="B52" s="16"/>
      <c r="C52" s="16">
        <f ca="1">(1-$C$11)*(C48^2)</f>
        <v>0.51038033680262263</v>
      </c>
      <c r="D52" s="16">
        <f t="shared" ref="D52:P52" ca="1" si="14">(1-$C$11)*(D48^2)</f>
        <v>0.50773528446018901</v>
      </c>
      <c r="E52" s="16">
        <f t="shared" ca="1" si="14"/>
        <v>0.50279341226173024</v>
      </c>
      <c r="F52" s="16">
        <f t="shared" ca="1" si="14"/>
        <v>0.54997070152701233</v>
      </c>
      <c r="G52" s="16"/>
      <c r="H52" s="16">
        <f t="shared" ca="1" si="14"/>
        <v>0.4979487410160125</v>
      </c>
      <c r="I52" s="16"/>
      <c r="J52" s="16">
        <f t="shared" ca="1" si="14"/>
        <v>0.50326286683609534</v>
      </c>
      <c r="K52" s="16">
        <f t="shared" ca="1" si="14"/>
        <v>0.49686743984665105</v>
      </c>
      <c r="L52" s="16">
        <f t="shared" ca="1" si="14"/>
        <v>0.507877353283403</v>
      </c>
      <c r="M52" s="16">
        <f t="shared" ca="1" si="14"/>
        <v>0.49985094891004728</v>
      </c>
      <c r="N52" s="16">
        <f t="shared" ca="1" si="14"/>
        <v>0.49805770563823432</v>
      </c>
      <c r="O52" s="16">
        <f t="shared" ca="1" si="14"/>
        <v>0.49963637969550989</v>
      </c>
      <c r="P52" s="29">
        <f t="shared" ca="1" si="14"/>
        <v>0.50956107632248127</v>
      </c>
    </row>
    <row r="54" spans="1:16" x14ac:dyDescent="0.2">
      <c r="A54" s="68" t="s">
        <v>93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17"/>
    </row>
    <row r="55" spans="1:16" x14ac:dyDescent="0.2">
      <c r="A55" s="31" t="s">
        <v>53</v>
      </c>
      <c r="B55" s="32"/>
      <c r="C55" s="32">
        <f ca="1">(1-$B$11)*(C47)</f>
        <v>-0.30874285282756936</v>
      </c>
      <c r="D55" s="32">
        <f t="shared" ref="D55:P55" ca="1" si="15">(1-$B$11)*(D47)</f>
        <v>-0.30812688931926724</v>
      </c>
      <c r="E55" s="32">
        <f t="shared" ca="1" si="15"/>
        <v>-0.30711335173541937</v>
      </c>
      <c r="F55" s="32">
        <f t="shared" ca="1" si="15"/>
        <v>-0.31971914512445126</v>
      </c>
      <c r="G55" s="32"/>
      <c r="H55" s="32">
        <f t="shared" ca="1" si="15"/>
        <v>-0.3060945206630753</v>
      </c>
      <c r="I55" s="32"/>
      <c r="J55" s="32">
        <f t="shared" ca="1" si="15"/>
        <v>-0.30887228762769747</v>
      </c>
      <c r="K55" s="32">
        <f t="shared" ca="1" si="15"/>
        <v>-0.30724704754599186</v>
      </c>
      <c r="L55" s="32">
        <f t="shared" ca="1" si="15"/>
        <v>-0.30927953050270574</v>
      </c>
      <c r="M55" s="32">
        <f t="shared" ca="1" si="15"/>
        <v>-0.30781859492975661</v>
      </c>
      <c r="N55" s="32">
        <f t="shared" ca="1" si="15"/>
        <v>-0.30813231211145053</v>
      </c>
      <c r="O55" s="32">
        <f t="shared" ca="1" si="15"/>
        <v>-0.30807560032795417</v>
      </c>
      <c r="P55" s="18">
        <f t="shared" ca="1" si="15"/>
        <v>-0.31135674936555674</v>
      </c>
    </row>
    <row r="56" spans="1:16" x14ac:dyDescent="0.2">
      <c r="A56" s="44" t="s">
        <v>52</v>
      </c>
      <c r="B56" s="16"/>
      <c r="C56" s="16">
        <f ca="1">(1-$C$11)*(C48)</f>
        <v>-0.3350875618350776</v>
      </c>
      <c r="D56" s="16">
        <f t="shared" ref="D56:P56" ca="1" si="16">(1-$C$11)*(D48)</f>
        <v>-0.33421813622429519</v>
      </c>
      <c r="E56" s="16">
        <f t="shared" ca="1" si="16"/>
        <v>-0.33258765866697559</v>
      </c>
      <c r="F56" s="16">
        <f t="shared" ca="1" si="16"/>
        <v>-0.34784127750447141</v>
      </c>
      <c r="G56" s="16"/>
      <c r="H56" s="16">
        <f t="shared" ca="1" si="16"/>
        <v>-0.3309814541987553</v>
      </c>
      <c r="I56" s="16"/>
      <c r="J56" s="16">
        <f t="shared" ca="1" si="16"/>
        <v>-0.33274288978720634</v>
      </c>
      <c r="K56" s="16">
        <f t="shared" ca="1" si="16"/>
        <v>-0.33062189396085556</v>
      </c>
      <c r="L56" s="16">
        <f t="shared" ca="1" si="16"/>
        <v>-0.33426489154912548</v>
      </c>
      <c r="M56" s="16">
        <f t="shared" ca="1" si="16"/>
        <v>-0.33161304069684955</v>
      </c>
      <c r="N56" s="16">
        <f t="shared" ca="1" si="16"/>
        <v>-0.3310176660548671</v>
      </c>
      <c r="O56" s="16">
        <f t="shared" ca="1" si="16"/>
        <v>-0.33154185788978768</v>
      </c>
      <c r="P56" s="29">
        <f t="shared" ca="1" si="16"/>
        <v>-0.33481851321416783</v>
      </c>
    </row>
    <row r="58" spans="1:16" x14ac:dyDescent="0.2">
      <c r="A58" s="68" t="s">
        <v>94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17"/>
    </row>
    <row r="59" spans="1:16" x14ac:dyDescent="0.2">
      <c r="A59" s="31" t="s">
        <v>53</v>
      </c>
      <c r="B59" s="32"/>
      <c r="C59" s="32">
        <f ca="1">$F11^2*C43</f>
        <v>1.6866410542427083E-6</v>
      </c>
      <c r="D59" s="32">
        <f ca="1">$F11^2*D43</f>
        <v>1.7481123151680667E-6</v>
      </c>
      <c r="E59" s="32">
        <f ca="1">$F11^2*E43</f>
        <v>1.4944611843215151E-6</v>
      </c>
      <c r="F59" s="32">
        <f ca="1">$F11^2*F43</f>
        <v>1.4350129169273523E-6</v>
      </c>
      <c r="G59" s="32"/>
      <c r="H59" s="32">
        <f ca="1">$F11^2*H43</f>
        <v>1.5133853333401282E-6</v>
      </c>
      <c r="I59" s="32"/>
      <c r="J59" s="32">
        <f ca="1">$F11^2*J43</f>
        <v>8.8813850376336825E-7</v>
      </c>
      <c r="K59" s="32">
        <f ca="1">$F11^2*K43</f>
        <v>8.5669505492672926E-7</v>
      </c>
      <c r="L59" s="32">
        <f ca="1">$F11^2*L43</f>
        <v>1.4848252949151308E-6</v>
      </c>
      <c r="M59" s="32">
        <f ca="1">$F11^2*M43</f>
        <v>9.5231787021238303E-7</v>
      </c>
      <c r="N59" s="32">
        <f ca="1">$F11^2*N43</f>
        <v>1.5939220552763883E-6</v>
      </c>
      <c r="O59" s="32">
        <f ca="1">$F11^2*O43</f>
        <v>1.5211322889028066E-6</v>
      </c>
      <c r="P59" s="18">
        <f ca="1">$F11^2*P43</f>
        <v>1.9271565968083244E-6</v>
      </c>
    </row>
    <row r="60" spans="1:16" x14ac:dyDescent="0.2">
      <c r="A60" s="44" t="s">
        <v>52</v>
      </c>
      <c r="B60" s="16"/>
      <c r="C60" s="16">
        <f ca="1">$F12^2*C44</f>
        <v>1.3827111453153743E-6</v>
      </c>
      <c r="D60" s="16">
        <f ca="1">$F12^2*D44</f>
        <v>1.3777609458637617E-6</v>
      </c>
      <c r="E60" s="16">
        <f ca="1">$F12^2*E44</f>
        <v>1.1915234812242364E-6</v>
      </c>
      <c r="F60" s="16">
        <f ca="1">$F12^2*F44</f>
        <v>1.1494369891333221E-6</v>
      </c>
      <c r="G60" s="16"/>
      <c r="H60" s="16">
        <f ca="1">$F12^2*H44</f>
        <v>1.1672863188196994E-6</v>
      </c>
      <c r="I60" s="16"/>
      <c r="J60" s="16">
        <f ca="1">$F12^2*J44</f>
        <v>7.1354613658033371E-7</v>
      </c>
      <c r="K60" s="16">
        <f ca="1">$F12^2*K44</f>
        <v>6.9112767439311842E-7</v>
      </c>
      <c r="L60" s="16">
        <f ca="1">$F12^2*L44</f>
        <v>1.2130208513360472E-6</v>
      </c>
      <c r="M60" s="16">
        <f ca="1">$F12^2*M44</f>
        <v>7.581188731211407E-7</v>
      </c>
      <c r="N60" s="16">
        <f ca="1">$F12^2*N44</f>
        <v>1.2743883197863696E-6</v>
      </c>
      <c r="O60" s="16">
        <f ca="1">$F12^2*O44</f>
        <v>1.2512534522542383E-6</v>
      </c>
      <c r="P60" s="29">
        <f ca="1">$F12^2*P44</f>
        <v>1.5869920734122384E-6</v>
      </c>
    </row>
    <row r="62" spans="1:16" x14ac:dyDescent="0.2">
      <c r="A62" s="68" t="s">
        <v>95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17"/>
    </row>
    <row r="63" spans="1:16" x14ac:dyDescent="0.2">
      <c r="A63" s="31" t="s">
        <v>53</v>
      </c>
      <c r="B63" s="32"/>
      <c r="C63" s="32">
        <f t="shared" ref="C63:N64" ca="1" si="17">(C31^2)*(C47^4)</f>
        <v>8.6600478688920681</v>
      </c>
      <c r="D63" s="32">
        <f t="shared" ca="1" si="17"/>
        <v>8.5568991455826087</v>
      </c>
      <c r="E63" s="32">
        <f t="shared" ca="1" si="17"/>
        <v>8.3894019489591951</v>
      </c>
      <c r="F63" s="32">
        <f t="shared" ca="1" si="17"/>
        <v>10.679493956831182</v>
      </c>
      <c r="G63" s="32"/>
      <c r="H63" s="32">
        <f t="shared" ca="1" si="17"/>
        <v>8.2237925906472125</v>
      </c>
      <c r="I63" s="32"/>
      <c r="J63" s="32">
        <f t="shared" ca="1" si="17"/>
        <v>8.6818541134582823</v>
      </c>
      <c r="K63" s="32">
        <f t="shared" ca="1" si="17"/>
        <v>8.4113387868069935</v>
      </c>
      <c r="L63" s="32">
        <f t="shared" ca="1" si="17"/>
        <v>8.7507621643495312</v>
      </c>
      <c r="M63" s="32">
        <f t="shared" ca="1" si="17"/>
        <v>8.5056581629089631</v>
      </c>
      <c r="N63" s="32">
        <f t="shared" ca="1" si="17"/>
        <v>8.5578027537206758</v>
      </c>
      <c r="O63" s="32">
        <f t="shared" ref="O63:P64" ca="1" si="18">(O31^2)*(O47^4)</f>
        <v>8.5483567141932859</v>
      </c>
      <c r="P63" s="18">
        <f t="shared" ca="1" si="18"/>
        <v>9.1093737838294899</v>
      </c>
    </row>
    <row r="64" spans="1:16" x14ac:dyDescent="0.2">
      <c r="A64" s="44" t="s">
        <v>52</v>
      </c>
      <c r="B64" s="16"/>
      <c r="C64" s="16">
        <f t="shared" ca="1" si="17"/>
        <v>5.4461391313595575</v>
      </c>
      <c r="D64" s="16">
        <f t="shared" ca="1" si="17"/>
        <v>5.3619031494557987</v>
      </c>
      <c r="E64" s="16">
        <f t="shared" ca="1" si="17"/>
        <v>5.2068571849640763</v>
      </c>
      <c r="F64" s="16">
        <f t="shared" ca="1" si="17"/>
        <v>6.8143681298286882</v>
      </c>
      <c r="G64" s="16"/>
      <c r="H64" s="16">
        <f t="shared" ca="1" si="17"/>
        <v>5.0577906061333673</v>
      </c>
      <c r="I64" s="16"/>
      <c r="J64" s="16">
        <f t="shared" ca="1" si="17"/>
        <v>5.2214556216790449</v>
      </c>
      <c r="K64" s="16">
        <f t="shared" ca="1" si="17"/>
        <v>5.0249129599361781</v>
      </c>
      <c r="L64" s="16">
        <f t="shared" ca="1" si="17"/>
        <v>5.3664053327439012</v>
      </c>
      <c r="M64" s="16">
        <f t="shared" ca="1" si="17"/>
        <v>5.115975926238578</v>
      </c>
      <c r="N64" s="16">
        <f t="shared" ca="1" si="17"/>
        <v>5.0611116759908468</v>
      </c>
      <c r="O64" s="16">
        <f t="shared" ca="1" si="18"/>
        <v>5.1093904043730909</v>
      </c>
      <c r="P64" s="29">
        <f t="shared" ca="1" si="18"/>
        <v>5.4199548448781911</v>
      </c>
    </row>
    <row r="66" spans="1:16" x14ac:dyDescent="0.2">
      <c r="A66" s="68" t="s">
        <v>96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17"/>
    </row>
    <row r="67" spans="1:16" x14ac:dyDescent="0.2">
      <c r="A67" s="31" t="s">
        <v>53</v>
      </c>
      <c r="B67" s="32"/>
      <c r="C67" s="32">
        <f ca="1">(($F11/C51)-(1/C55))^2*($B$12)^2</f>
        <v>6.8922024366809648E-11</v>
      </c>
      <c r="D67" s="32">
        <f ca="1">(($F11/D51)-(1/D55))^2*($B$12)^2</f>
        <v>3.197065222130681E-9</v>
      </c>
      <c r="E67" s="32">
        <f ca="1">(($F11/E51)-(1/E55))^2*($B$12)^2</f>
        <v>2.7019250623780092E-8</v>
      </c>
      <c r="F67" s="32">
        <f ca="1">(($F11/F51)-(1/F55))^2*($B$12)^2</f>
        <v>1.1697055595910235E-6</v>
      </c>
      <c r="G67" s="32"/>
      <c r="H67" s="32">
        <f ca="1">(($F11/H51)-(1/H55))^2*($B$12)^2</f>
        <v>7.5192129680896468E-8</v>
      </c>
      <c r="I67" s="32"/>
      <c r="J67" s="32">
        <f ca="1">(($F11/J51)-(1/J55))^2*($B$12)^2</f>
        <v>4.7795860204000362E-10</v>
      </c>
      <c r="K67" s="32">
        <f ca="1">(($F11/K51)-(1/K55))^2*($B$12)^2</f>
        <v>2.252092483999808E-8</v>
      </c>
      <c r="L67" s="32">
        <f ca="1">(($F11/L51)-(1/L55))^2*($B$12)^2</f>
        <v>4.1447050014096278E-9</v>
      </c>
      <c r="M67" s="32">
        <f ca="1">(($F11/M51)-(1/M55))^2*($B$12)^2</f>
        <v>7.9553545357612376E-9</v>
      </c>
      <c r="N67" s="32">
        <f ca="1">(($F11/N51)-(1/N55))^2*($B$12)^2</f>
        <v>3.1325802973464398E-9</v>
      </c>
      <c r="O67" s="32">
        <f ca="1">(($F11/O51)-(1/O55))^2*($B$12)^2</f>
        <v>3.8397049339673234E-9</v>
      </c>
      <c r="P67" s="18">
        <f ca="1">(($F11/P51)-(1/P55))^2*($B$12)^2</f>
        <v>7.7170264653356852E-8</v>
      </c>
    </row>
    <row r="68" spans="1:16" x14ac:dyDescent="0.2">
      <c r="A68" s="44" t="s">
        <v>52</v>
      </c>
      <c r="B68" s="16"/>
      <c r="C68" s="16">
        <f ca="1">(($F12/C52)-(1/C56))^2*($B$12)^2</f>
        <v>3.1078533559388681E-8</v>
      </c>
      <c r="D68" s="16">
        <f ca="1">(($F12/D52)-(1/D56))^2*($B$12)^2</f>
        <v>9.8753689193201987E-9</v>
      </c>
      <c r="E68" s="16">
        <f ca="1">(($F12/E52)-(1/E56))^2*($B$12)^2</f>
        <v>2.213711436997379E-9</v>
      </c>
      <c r="F68" s="16">
        <f ca="1">(($F12/F52)-(1/F56))^2*($B$12)^2</f>
        <v>1.4827512652186314E-6</v>
      </c>
      <c r="G68" s="16"/>
      <c r="H68" s="16">
        <f ca="1">(($F12/H52)-(1/H56))^2*($B$12)^2</f>
        <v>3.7685663708267357E-8</v>
      </c>
      <c r="I68" s="16"/>
      <c r="J68" s="16">
        <f ca="1">(($F12/J52)-(1/J56))^2*($B$12)^2</f>
        <v>1.0880616272498919E-9</v>
      </c>
      <c r="K68" s="16">
        <f ca="1">(($F12/K52)-(1/K56))^2*($B$12)^2</f>
        <v>5.1730682498227049E-8</v>
      </c>
      <c r="L68" s="16">
        <f ca="1">(($F12/L52)-(1/L56))^2*($B$12)^2</f>
        <v>1.0718802591520781E-8</v>
      </c>
      <c r="M68" s="16">
        <f ca="1">(($F12/M52)-(1/M56))^2*($B$12)^2</f>
        <v>1.8483794045822073E-8</v>
      </c>
      <c r="N68" s="16">
        <f ca="1">(($F12/N52)-(1/N56))^2*($B$12)^2</f>
        <v>3.6397260651005537E-8</v>
      </c>
      <c r="O68" s="16">
        <f ca="1">(($F12/O52)-(1/O56))^2*($B$12)^2</f>
        <v>2.0303222724741683E-8</v>
      </c>
      <c r="P68" s="29">
        <f ca="1">(($F12/P52)-(1/P56))^2*($B$12)^2</f>
        <v>2.3278963186635528E-8</v>
      </c>
    </row>
    <row r="70" spans="1:16" x14ac:dyDescent="0.2">
      <c r="A70" s="68" t="s">
        <v>97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17"/>
    </row>
    <row r="71" spans="1:16" x14ac:dyDescent="0.2">
      <c r="A71" s="31" t="s">
        <v>53</v>
      </c>
      <c r="B71" s="32"/>
      <c r="C71" s="32">
        <f t="shared" ref="C71:N72" ca="1" si="19">C59/C63</f>
        <v>1.9476116988929421E-7</v>
      </c>
      <c r="D71" s="32">
        <f t="shared" ca="1" si="19"/>
        <v>2.0429273331689408E-7</v>
      </c>
      <c r="E71" s="32">
        <f t="shared" ca="1" si="19"/>
        <v>1.7813679609270847E-7</v>
      </c>
      <c r="F71" s="32">
        <f t="shared" ca="1" si="19"/>
        <v>1.3437087213382807E-7</v>
      </c>
      <c r="G71" s="32"/>
      <c r="H71" s="32">
        <f t="shared" ca="1" si="19"/>
        <v>1.8402523126145924E-7</v>
      </c>
      <c r="I71" s="32"/>
      <c r="J71" s="32">
        <f t="shared" ca="1" si="19"/>
        <v>1.0229825244202267E-7</v>
      </c>
      <c r="K71" s="32">
        <f t="shared" ca="1" si="19"/>
        <v>1.0185002371684723E-7</v>
      </c>
      <c r="L71" s="32">
        <f t="shared" ca="1" si="19"/>
        <v>1.6967953956791168E-7</v>
      </c>
      <c r="M71" s="32">
        <f t="shared" ca="1" si="19"/>
        <v>1.1196286659687335E-7</v>
      </c>
      <c r="N71" s="32">
        <f t="shared" ca="1" si="19"/>
        <v>1.8625365659233018E-7</v>
      </c>
      <c r="O71" s="32">
        <f t="shared" ref="O71:P72" ca="1" si="20">O59/O63</f>
        <v>1.7794440964041554E-7</v>
      </c>
      <c r="P71" s="18">
        <f t="shared" ca="1" si="20"/>
        <v>2.11557527722632E-7</v>
      </c>
    </row>
    <row r="72" spans="1:16" x14ac:dyDescent="0.2">
      <c r="A72" s="44" t="s">
        <v>52</v>
      </c>
      <c r="B72" s="16"/>
      <c r="C72" s="16">
        <f t="shared" ca="1" si="19"/>
        <v>2.538883256495503E-7</v>
      </c>
      <c r="D72" s="16">
        <f t="shared" ca="1" si="19"/>
        <v>2.5695371726428817E-7</v>
      </c>
      <c r="E72" s="16">
        <f t="shared" ca="1" si="19"/>
        <v>2.2883736559262996E-7</v>
      </c>
      <c r="F72" s="16">
        <f t="shared" ca="1" si="19"/>
        <v>1.6867844050013463E-7</v>
      </c>
      <c r="G72" s="16"/>
      <c r="H72" s="16">
        <f t="shared" ca="1" si="19"/>
        <v>2.3078976765154748E-7</v>
      </c>
      <c r="I72" s="16"/>
      <c r="J72" s="16">
        <f t="shared" ca="1" si="19"/>
        <v>1.3665655485373661E-7</v>
      </c>
      <c r="K72" s="16">
        <f t="shared" ca="1" si="19"/>
        <v>1.3754022804046669E-7</v>
      </c>
      <c r="L72" s="16">
        <f t="shared" ca="1" si="19"/>
        <v>2.2603973723986602E-7</v>
      </c>
      <c r="M72" s="16">
        <f t="shared" ca="1" si="19"/>
        <v>1.4818655991576037E-7</v>
      </c>
      <c r="N72" s="16">
        <f t="shared" ca="1" si="19"/>
        <v>2.5180007898894552E-7</v>
      </c>
      <c r="O72" s="16">
        <f t="shared" ca="1" si="20"/>
        <v>2.4489290369812012E-7</v>
      </c>
      <c r="P72" s="29">
        <f t="shared" ca="1" si="20"/>
        <v>2.9280540499556594E-7</v>
      </c>
    </row>
    <row r="74" spans="1:16" x14ac:dyDescent="0.2">
      <c r="A74" s="27" t="s">
        <v>98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8"/>
    </row>
    <row r="75" spans="1:16" x14ac:dyDescent="0.2">
      <c r="A75" s="41" t="s">
        <v>53</v>
      </c>
      <c r="B75" s="39"/>
      <c r="C75" s="62">
        <f t="shared" ref="C75:N76" ca="1" si="21">SQRT(C67+C71)</f>
        <v>4.4139561836708461E-4</v>
      </c>
      <c r="D75" s="62">
        <f t="shared" ca="1" si="21"/>
        <v>4.5551048126143571E-4</v>
      </c>
      <c r="E75" s="62">
        <f t="shared" ca="1" si="21"/>
        <v>4.5294154889619981E-4</v>
      </c>
      <c r="F75" s="62">
        <f t="shared" ca="1" si="21"/>
        <v>1.1419616594811103E-3</v>
      </c>
      <c r="G75" s="63"/>
      <c r="H75" s="62">
        <f t="shared" ca="1" si="21"/>
        <v>5.0913393222447442E-4</v>
      </c>
      <c r="I75" s="63"/>
      <c r="J75" s="62">
        <f t="shared" ca="1" si="21"/>
        <v>3.2058729083365528E-4</v>
      </c>
      <c r="K75" s="62">
        <f t="shared" ca="1" si="21"/>
        <v>3.5266265546105859E-4</v>
      </c>
      <c r="L75" s="62">
        <f t="shared" ca="1" si="21"/>
        <v>4.1692234836875953E-4</v>
      </c>
      <c r="M75" s="62">
        <f t="shared" ca="1" si="21"/>
        <v>3.4629210376881911E-4</v>
      </c>
      <c r="N75" s="62">
        <f t="shared" ca="1" si="21"/>
        <v>4.3518529029561262E-4</v>
      </c>
      <c r="O75" s="62">
        <f t="shared" ref="O75:P76" ca="1" si="22">SQRT(O67+O71)</f>
        <v>4.2636148345550967E-4</v>
      </c>
      <c r="P75" s="64">
        <f t="shared" ca="1" si="22"/>
        <v>5.3733396726429717E-4</v>
      </c>
    </row>
    <row r="76" spans="1:16" x14ac:dyDescent="0.2">
      <c r="A76" s="69" t="s">
        <v>52</v>
      </c>
      <c r="B76" s="42"/>
      <c r="C76" s="65">
        <f t="shared" ca="1" si="21"/>
        <v>5.3382287250448434E-4</v>
      </c>
      <c r="D76" s="65">
        <f t="shared" ca="1" si="21"/>
        <v>5.1655501757664536E-4</v>
      </c>
      <c r="E76" s="65">
        <f t="shared" ca="1" si="21"/>
        <v>4.8067772678753E-4</v>
      </c>
      <c r="F76" s="65">
        <f t="shared" ca="1" si="21"/>
        <v>1.2850796495621451E-3</v>
      </c>
      <c r="G76" s="66"/>
      <c r="H76" s="65">
        <f t="shared" ca="1" si="21"/>
        <v>5.1814614864902238E-4</v>
      </c>
      <c r="I76" s="66"/>
      <c r="J76" s="65">
        <f t="shared" ca="1" si="21"/>
        <v>3.7113961858172256E-4</v>
      </c>
      <c r="K76" s="65">
        <f t="shared" ca="1" si="21"/>
        <v>4.3505276753365649E-4</v>
      </c>
      <c r="L76" s="65">
        <f t="shared" ca="1" si="21"/>
        <v>4.8657840049820008E-4</v>
      </c>
      <c r="M76" s="65">
        <f t="shared" ca="1" si="21"/>
        <v>4.0825280643442299E-4</v>
      </c>
      <c r="N76" s="65">
        <f t="shared" ca="1" si="21"/>
        <v>5.3684014346912527E-4</v>
      </c>
      <c r="O76" s="65">
        <f t="shared" ca="1" si="22"/>
        <v>5.149719666378567E-4</v>
      </c>
      <c r="P76" s="67">
        <f t="shared" ca="1" si="22"/>
        <v>5.6221381002444389E-4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KIE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Microsoft Office User</cp:lastModifiedBy>
  <dcterms:created xsi:type="dcterms:W3CDTF">2021-08-31T14:33:47Z</dcterms:created>
  <dcterms:modified xsi:type="dcterms:W3CDTF">2021-09-12T16:50:22Z</dcterms:modified>
</cp:coreProperties>
</file>