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eu/research/corinna/carbonyl_olefin_metathesis_SI/NMR/analysis/"/>
    </mc:Choice>
  </mc:AlternateContent>
  <xr:revisionPtr revIDLastSave="0" documentId="13_ncr:1_{DC4060C3-3F6A-4C47-9B63-7883A1DD1695}" xr6:coauthVersionLast="47" xr6:coauthVersionMax="47" xr10:uidLastSave="{00000000-0000-0000-0000-000000000000}"/>
  <bookViews>
    <workbookView xWindow="2000" yWindow="1380" windowWidth="28900" windowHeight="19240" xr2:uid="{025A037F-1096-4A8A-8175-C2EF34245F77}"/>
  </bookViews>
  <sheets>
    <sheet name="Raw Data" sheetId="1" r:id="rId1"/>
    <sheet name="KIE " sheetId="2" r:id="rId2"/>
    <sheet name="Err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4" l="1"/>
  <c r="P26" i="4"/>
  <c r="O26" i="4"/>
  <c r="N26" i="4"/>
  <c r="L26" i="4"/>
  <c r="J26" i="4"/>
  <c r="I26" i="4"/>
  <c r="H26" i="4"/>
  <c r="G26" i="4"/>
  <c r="F26" i="4"/>
  <c r="E26" i="4"/>
  <c r="D26" i="4"/>
  <c r="C26" i="4"/>
  <c r="B15" i="2"/>
  <c r="B14" i="2"/>
  <c r="M25" i="2"/>
  <c r="M23" i="2"/>
  <c r="M21" i="2"/>
  <c r="M19" i="2"/>
  <c r="C29" i="1" a="1"/>
  <c r="B29" i="1" a="1"/>
  <c r="C28" i="1" a="1"/>
  <c r="B28" i="1" a="1"/>
  <c r="C27" i="1" a="1"/>
  <c r="B27" i="1" a="1"/>
  <c r="C26" i="1" a="1"/>
  <c r="B26" i="1" a="1"/>
  <c r="C29" i="1" l="1"/>
  <c r="B21" i="4" s="1"/>
  <c r="B29" i="1"/>
  <c r="R25" i="2" s="1"/>
  <c r="C28" i="1"/>
  <c r="B20" i="4" s="1"/>
  <c r="B28" i="1"/>
  <c r="R23" i="2" s="1"/>
  <c r="C27" i="1"/>
  <c r="B19" i="4" s="1"/>
  <c r="B27" i="1"/>
  <c r="R21" i="2" s="1"/>
  <c r="C26" i="1"/>
  <c r="B18" i="4" s="1"/>
  <c r="B26" i="1"/>
  <c r="R19" i="2" s="1"/>
  <c r="F12" i="4" l="1"/>
  <c r="F11" i="4"/>
  <c r="B28" i="4"/>
  <c r="B27" i="4"/>
  <c r="B25" i="4"/>
  <c r="B24" i="4"/>
  <c r="Q21" i="4"/>
  <c r="Q28" i="4" s="1"/>
  <c r="P21" i="4"/>
  <c r="P28" i="4" s="1"/>
  <c r="O21" i="4"/>
  <c r="O28" i="4" s="1"/>
  <c r="N21" i="4"/>
  <c r="N28" i="4" s="1"/>
  <c r="L21" i="4"/>
  <c r="L28" i="4" s="1"/>
  <c r="J21" i="4"/>
  <c r="J28" i="4" s="1"/>
  <c r="I21" i="4"/>
  <c r="I28" i="4" s="1"/>
  <c r="H21" i="4"/>
  <c r="H28" i="4" s="1"/>
  <c r="G21" i="4"/>
  <c r="G28" i="4" s="1"/>
  <c r="F21" i="4"/>
  <c r="F28" i="4" s="1"/>
  <c r="E21" i="4"/>
  <c r="E28" i="4" s="1"/>
  <c r="D21" i="4"/>
  <c r="D28" i="4" s="1"/>
  <c r="C21" i="4"/>
  <c r="C28" i="4" s="1"/>
  <c r="C20" i="4"/>
  <c r="C27" i="4" s="1"/>
  <c r="Q20" i="4"/>
  <c r="Q27" i="4" s="1"/>
  <c r="P20" i="4"/>
  <c r="P27" i="4" s="1"/>
  <c r="O20" i="4"/>
  <c r="O27" i="4" s="1"/>
  <c r="N20" i="4"/>
  <c r="N27" i="4" s="1"/>
  <c r="L20" i="4"/>
  <c r="L27" i="4" s="1"/>
  <c r="J20" i="4"/>
  <c r="J27" i="4" s="1"/>
  <c r="I20" i="4"/>
  <c r="I27" i="4" s="1"/>
  <c r="H20" i="4"/>
  <c r="H27" i="4" s="1"/>
  <c r="G20" i="4"/>
  <c r="G27" i="4" s="1"/>
  <c r="F20" i="4"/>
  <c r="F27" i="4" s="1"/>
  <c r="E20" i="4"/>
  <c r="E27" i="4" s="1"/>
  <c r="D20" i="4"/>
  <c r="D27" i="4" s="1"/>
  <c r="C19" i="4"/>
  <c r="C25" i="4" s="1"/>
  <c r="Q19" i="4"/>
  <c r="Q25" i="4" s="1"/>
  <c r="P19" i="4"/>
  <c r="P25" i="4" s="1"/>
  <c r="O19" i="4"/>
  <c r="O25" i="4" s="1"/>
  <c r="N19" i="4"/>
  <c r="N25" i="4" s="1"/>
  <c r="L19" i="4"/>
  <c r="L25" i="4" s="1"/>
  <c r="J19" i="4"/>
  <c r="J25" i="4" s="1"/>
  <c r="I19" i="4"/>
  <c r="I25" i="4" s="1"/>
  <c r="H19" i="4"/>
  <c r="H25" i="4" s="1"/>
  <c r="G19" i="4"/>
  <c r="G25" i="4" s="1"/>
  <c r="F19" i="4"/>
  <c r="F25" i="4" s="1"/>
  <c r="E19" i="4"/>
  <c r="E25" i="4" s="1"/>
  <c r="D19" i="4"/>
  <c r="D25" i="4" s="1"/>
  <c r="Q18" i="4"/>
  <c r="Q24" i="4" s="1"/>
  <c r="P18" i="4"/>
  <c r="P24" i="4" s="1"/>
  <c r="O18" i="4"/>
  <c r="O24" i="4" s="1"/>
  <c r="N18" i="4"/>
  <c r="N24" i="4" s="1"/>
  <c r="L18" i="4"/>
  <c r="L24" i="4" s="1"/>
  <c r="J18" i="4"/>
  <c r="J24" i="4" s="1"/>
  <c r="I18" i="4"/>
  <c r="I24" i="4" s="1"/>
  <c r="H18" i="4"/>
  <c r="H24" i="4" s="1"/>
  <c r="G18" i="4"/>
  <c r="G24" i="4" s="1"/>
  <c r="F18" i="4"/>
  <c r="F24" i="4" s="1"/>
  <c r="E18" i="4"/>
  <c r="E24" i="4" s="1"/>
  <c r="D18" i="4"/>
  <c r="D24" i="4" s="1"/>
  <c r="C18" i="4"/>
  <c r="C24" i="4" s="1"/>
  <c r="B26" i="4" l="1"/>
  <c r="C15" i="2"/>
  <c r="C14" i="2"/>
  <c r="Q25" i="2"/>
  <c r="P25" i="2"/>
  <c r="O25" i="2"/>
  <c r="N25" i="2"/>
  <c r="L25" i="2"/>
  <c r="J25" i="2"/>
  <c r="J26" i="2" s="1"/>
  <c r="I25" i="2"/>
  <c r="H25" i="2"/>
  <c r="G25" i="2"/>
  <c r="F25" i="2"/>
  <c r="E25" i="2"/>
  <c r="D25" i="2"/>
  <c r="D36" i="4" s="1"/>
  <c r="C25" i="2"/>
  <c r="Q23" i="2"/>
  <c r="P23" i="2"/>
  <c r="O23" i="2"/>
  <c r="N23" i="2"/>
  <c r="L23" i="2"/>
  <c r="J23" i="2"/>
  <c r="I23" i="2"/>
  <c r="H23" i="2"/>
  <c r="G23" i="2"/>
  <c r="F23" i="2"/>
  <c r="E23" i="2"/>
  <c r="D23" i="2"/>
  <c r="C23" i="2"/>
  <c r="M26" i="2"/>
  <c r="M24" i="2"/>
  <c r="N36" i="4" l="1"/>
  <c r="O35" i="4"/>
  <c r="H36" i="4"/>
  <c r="I36" i="4"/>
  <c r="F35" i="4"/>
  <c r="P35" i="4"/>
  <c r="H35" i="4"/>
  <c r="C36" i="4"/>
  <c r="L36" i="4"/>
  <c r="O36" i="4"/>
  <c r="G35" i="4"/>
  <c r="Q35" i="4"/>
  <c r="J36" i="4"/>
  <c r="I35" i="4"/>
  <c r="J35" i="4"/>
  <c r="E36" i="4"/>
  <c r="C35" i="4"/>
  <c r="F36" i="4"/>
  <c r="P36" i="4"/>
  <c r="P24" i="2"/>
  <c r="D35" i="4"/>
  <c r="N35" i="4"/>
  <c r="G36" i="4"/>
  <c r="Q36" i="4"/>
  <c r="E35" i="4"/>
  <c r="L35" i="4"/>
  <c r="O26" i="2"/>
  <c r="I26" i="2"/>
  <c r="C26" i="2"/>
  <c r="D26" i="2"/>
  <c r="N26" i="2"/>
  <c r="L26" i="2"/>
  <c r="F26" i="2"/>
  <c r="P26" i="2"/>
  <c r="E26" i="2"/>
  <c r="G26" i="2"/>
  <c r="Q26" i="2"/>
  <c r="H26" i="2"/>
  <c r="Q24" i="2"/>
  <c r="L24" i="2"/>
  <c r="D24" i="2"/>
  <c r="J24" i="2"/>
  <c r="C24" i="2"/>
  <c r="E24" i="2"/>
  <c r="N24" i="2"/>
  <c r="H24" i="2"/>
  <c r="I24" i="2"/>
  <c r="F24" i="2"/>
  <c r="O24" i="2"/>
  <c r="G24" i="2"/>
  <c r="Q21" i="2" l="1"/>
  <c r="P21" i="2"/>
  <c r="O21" i="2"/>
  <c r="N21" i="2"/>
  <c r="L21" i="2"/>
  <c r="J21" i="2"/>
  <c r="I21" i="2"/>
  <c r="H21" i="2"/>
  <c r="G21" i="2"/>
  <c r="F21" i="2"/>
  <c r="E21" i="2"/>
  <c r="D21" i="2"/>
  <c r="C21" i="2"/>
  <c r="M22" i="2"/>
  <c r="Q19" i="2"/>
  <c r="P19" i="2"/>
  <c r="O19" i="2"/>
  <c r="N19" i="2"/>
  <c r="L19" i="2"/>
  <c r="J19" i="2"/>
  <c r="I19" i="2"/>
  <c r="H19" i="2"/>
  <c r="G19" i="2"/>
  <c r="F19" i="2"/>
  <c r="E19" i="2"/>
  <c r="D19" i="2"/>
  <c r="C19" i="2"/>
  <c r="M20" i="2"/>
  <c r="Q39" i="4" l="1"/>
  <c r="G39" i="4"/>
  <c r="M28" i="2"/>
  <c r="M29" i="2" s="1"/>
  <c r="M32" i="2" s="1"/>
  <c r="C39" i="4"/>
  <c r="E39" i="4"/>
  <c r="H39" i="4"/>
  <c r="D39" i="4"/>
  <c r="N39" i="4"/>
  <c r="O39" i="4"/>
  <c r="I39" i="4"/>
  <c r="B39" i="4"/>
  <c r="J39" i="4"/>
  <c r="L39" i="4"/>
  <c r="F39" i="4"/>
  <c r="P39" i="4"/>
  <c r="C20" i="2"/>
  <c r="I20" i="2"/>
  <c r="G22" i="2"/>
  <c r="F22" i="2"/>
  <c r="H22" i="2"/>
  <c r="N22" i="2"/>
  <c r="O22" i="2"/>
  <c r="P22" i="2"/>
  <c r="Q20" i="2"/>
  <c r="H20" i="2"/>
  <c r="P20" i="2"/>
  <c r="O20" i="2"/>
  <c r="G20" i="2"/>
  <c r="N20" i="2"/>
  <c r="F20" i="2"/>
  <c r="D20" i="2"/>
  <c r="E20" i="2"/>
  <c r="L20" i="2"/>
  <c r="J20" i="2"/>
  <c r="C22" i="2"/>
  <c r="I22" i="2"/>
  <c r="Q22" i="2"/>
  <c r="J22" i="2"/>
  <c r="D22" i="2"/>
  <c r="L22" i="2"/>
  <c r="E22" i="2"/>
  <c r="M30" i="2" l="1"/>
  <c r="M33" i="2" s="1"/>
  <c r="M35" i="2" s="1"/>
  <c r="N28" i="2"/>
  <c r="N30" i="2" s="1"/>
  <c r="O40" i="4"/>
  <c r="O44" i="4" s="1"/>
  <c r="O60" i="4" s="1"/>
  <c r="D40" i="4"/>
  <c r="D43" i="4" s="1"/>
  <c r="D59" i="4" s="1"/>
  <c r="F40" i="4"/>
  <c r="F43" i="4" s="1"/>
  <c r="F59" i="4" s="1"/>
  <c r="C28" i="2"/>
  <c r="C29" i="2" s="1"/>
  <c r="H40" i="4"/>
  <c r="H44" i="4" s="1"/>
  <c r="H60" i="4" s="1"/>
  <c r="P40" i="4"/>
  <c r="P43" i="4" s="1"/>
  <c r="P59" i="4" s="1"/>
  <c r="L40" i="4"/>
  <c r="L43" i="4" s="1"/>
  <c r="L59" i="4" s="1"/>
  <c r="C40" i="4"/>
  <c r="C43" i="4" s="1"/>
  <c r="C59" i="4" s="1"/>
  <c r="E40" i="4"/>
  <c r="E44" i="4" s="1"/>
  <c r="E60" i="4" s="1"/>
  <c r="G40" i="4"/>
  <c r="G43" i="4" s="1"/>
  <c r="G59" i="4" s="1"/>
  <c r="J40" i="4"/>
  <c r="J43" i="4" s="1"/>
  <c r="J59" i="4" s="1"/>
  <c r="N40" i="4"/>
  <c r="N43" i="4" s="1"/>
  <c r="N59" i="4" s="1"/>
  <c r="I40" i="4"/>
  <c r="I43" i="4" s="1"/>
  <c r="I59" i="4" s="1"/>
  <c r="G28" i="2"/>
  <c r="G30" i="2" s="1"/>
  <c r="Q40" i="4"/>
  <c r="L28" i="2"/>
  <c r="L30" i="2" s="1"/>
  <c r="H28" i="2"/>
  <c r="H30" i="2" s="1"/>
  <c r="P28" i="2"/>
  <c r="O28" i="2"/>
  <c r="J28" i="2"/>
  <c r="J29" i="2" s="1"/>
  <c r="Q28" i="2"/>
  <c r="I28" i="2"/>
  <c r="E28" i="2"/>
  <c r="D28" i="2"/>
  <c r="F28" i="2"/>
  <c r="N29" i="2" l="1"/>
  <c r="N32" i="2" s="1"/>
  <c r="M34" i="2"/>
  <c r="O43" i="4"/>
  <c r="O59" i="4" s="1"/>
  <c r="D44" i="4"/>
  <c r="D60" i="4" s="1"/>
  <c r="C30" i="2"/>
  <c r="C32" i="4" s="1"/>
  <c r="F44" i="4"/>
  <c r="F60" i="4" s="1"/>
  <c r="H43" i="4"/>
  <c r="H59" i="4" s="1"/>
  <c r="J44" i="4"/>
  <c r="J60" i="4" s="1"/>
  <c r="P44" i="4"/>
  <c r="P60" i="4" s="1"/>
  <c r="C44" i="4"/>
  <c r="C60" i="4" s="1"/>
  <c r="E43" i="4"/>
  <c r="E59" i="4" s="1"/>
  <c r="H29" i="2"/>
  <c r="H31" i="4" s="1"/>
  <c r="L44" i="4"/>
  <c r="L60" i="4" s="1"/>
  <c r="G44" i="4"/>
  <c r="G60" i="4" s="1"/>
  <c r="I44" i="4"/>
  <c r="I60" i="4" s="1"/>
  <c r="N44" i="4"/>
  <c r="N60" i="4" s="1"/>
  <c r="L29" i="2"/>
  <c r="G29" i="2"/>
  <c r="G32" i="2" s="1"/>
  <c r="G33" i="2"/>
  <c r="G32" i="4"/>
  <c r="L33" i="2"/>
  <c r="L32" i="4"/>
  <c r="L48" i="4" s="1"/>
  <c r="H33" i="2"/>
  <c r="H32" i="4"/>
  <c r="H48" i="4" s="1"/>
  <c r="N33" i="2"/>
  <c r="N32" i="4"/>
  <c r="Q43" i="4"/>
  <c r="Q59" i="4" s="1"/>
  <c r="Q44" i="4"/>
  <c r="Q60" i="4" s="1"/>
  <c r="C32" i="2"/>
  <c r="C31" i="4"/>
  <c r="P29" i="2"/>
  <c r="P30" i="2"/>
  <c r="E29" i="2"/>
  <c r="E30" i="2"/>
  <c r="J30" i="2"/>
  <c r="I29" i="2"/>
  <c r="I30" i="2"/>
  <c r="F30" i="2"/>
  <c r="F29" i="2"/>
  <c r="Q29" i="2"/>
  <c r="Q30" i="2"/>
  <c r="O30" i="2"/>
  <c r="O29" i="2"/>
  <c r="D30" i="2"/>
  <c r="D29" i="2"/>
  <c r="L32" i="2" l="1"/>
  <c r="L34" i="2" s="1"/>
  <c r="C33" i="2"/>
  <c r="C35" i="2" s="1"/>
  <c r="N31" i="4"/>
  <c r="N47" i="4" s="1"/>
  <c r="N63" i="4" s="1"/>
  <c r="N71" i="4" s="1"/>
  <c r="N35" i="2"/>
  <c r="H32" i="2"/>
  <c r="H34" i="2" s="1"/>
  <c r="L31" i="4"/>
  <c r="G34" i="2"/>
  <c r="G31" i="4"/>
  <c r="G47" i="4" s="1"/>
  <c r="G63" i="4" s="1"/>
  <c r="G71" i="4" s="1"/>
  <c r="N34" i="2"/>
  <c r="E32" i="2"/>
  <c r="E31" i="4"/>
  <c r="E47" i="4" s="1"/>
  <c r="F32" i="2"/>
  <c r="F31" i="4"/>
  <c r="P33" i="2"/>
  <c r="P32" i="4"/>
  <c r="L64" i="4"/>
  <c r="L72" i="4" s="1"/>
  <c r="L52" i="4"/>
  <c r="L56" i="4"/>
  <c r="I33" i="2"/>
  <c r="I32" i="4"/>
  <c r="H47" i="4"/>
  <c r="H63" i="4" s="1"/>
  <c r="H71" i="4" s="1"/>
  <c r="P32" i="2"/>
  <c r="P31" i="4"/>
  <c r="D32" i="2"/>
  <c r="D31" i="4"/>
  <c r="D33" i="2"/>
  <c r="D32" i="4"/>
  <c r="I32" i="2"/>
  <c r="I31" i="4"/>
  <c r="O32" i="2"/>
  <c r="O31" i="4"/>
  <c r="O47" i="4" s="1"/>
  <c r="J32" i="2"/>
  <c r="J31" i="4"/>
  <c r="C47" i="4"/>
  <c r="C63" i="4" s="1"/>
  <c r="C71" i="4" s="1"/>
  <c r="N48" i="4"/>
  <c r="N64" i="4" s="1"/>
  <c r="N72" i="4" s="1"/>
  <c r="F33" i="2"/>
  <c r="F32" i="4"/>
  <c r="J33" i="2"/>
  <c r="J32" i="4"/>
  <c r="C48" i="4"/>
  <c r="C64" i="4" s="1"/>
  <c r="C72" i="4" s="1"/>
  <c r="G48" i="4"/>
  <c r="G64" i="4" s="1"/>
  <c r="G72" i="4" s="1"/>
  <c r="Q32" i="2"/>
  <c r="Q31" i="4"/>
  <c r="O33" i="2"/>
  <c r="O32" i="4"/>
  <c r="Q33" i="2"/>
  <c r="Q32" i="4"/>
  <c r="E33" i="2"/>
  <c r="E32" i="4"/>
  <c r="H64" i="4"/>
  <c r="H72" i="4" s="1"/>
  <c r="H52" i="4"/>
  <c r="H56" i="4"/>
  <c r="G35" i="2"/>
  <c r="L35" i="2" l="1"/>
  <c r="C34" i="2"/>
  <c r="F34" i="2"/>
  <c r="E35" i="2"/>
  <c r="Q34" i="2"/>
  <c r="L47" i="4"/>
  <c r="L63" i="4" s="1"/>
  <c r="L71" i="4" s="1"/>
  <c r="H35" i="2"/>
  <c r="J35" i="2"/>
  <c r="P34" i="2"/>
  <c r="I35" i="2"/>
  <c r="E34" i="2"/>
  <c r="D35" i="2"/>
  <c r="F35" i="2"/>
  <c r="I34" i="2"/>
  <c r="H68" i="4"/>
  <c r="H76" i="4" s="1"/>
  <c r="O34" i="2"/>
  <c r="Q35" i="2"/>
  <c r="C52" i="4"/>
  <c r="C56" i="4"/>
  <c r="D48" i="4"/>
  <c r="H55" i="4"/>
  <c r="H51" i="4"/>
  <c r="P48" i="4"/>
  <c r="P64" i="4" s="1"/>
  <c r="P72" i="4" s="1"/>
  <c r="N56" i="4"/>
  <c r="N52" i="4"/>
  <c r="Q48" i="4"/>
  <c r="Q64" i="4" s="1"/>
  <c r="Q72" i="4" s="1"/>
  <c r="J47" i="4"/>
  <c r="J63" i="4" s="1"/>
  <c r="J71" i="4" s="1"/>
  <c r="D47" i="4"/>
  <c r="D63" i="4" s="1"/>
  <c r="D71" i="4" s="1"/>
  <c r="F47" i="4"/>
  <c r="F63" i="4" s="1"/>
  <c r="F71" i="4" s="1"/>
  <c r="N55" i="4"/>
  <c r="N51" i="4"/>
  <c r="I47" i="4"/>
  <c r="I63" i="4" s="1"/>
  <c r="I71" i="4" s="1"/>
  <c r="G55" i="4"/>
  <c r="G51" i="4"/>
  <c r="O48" i="4"/>
  <c r="P35" i="2"/>
  <c r="Q47" i="4"/>
  <c r="Q63" i="4" s="1"/>
  <c r="Q71" i="4" s="1"/>
  <c r="J48" i="4"/>
  <c r="J64" i="4" s="1"/>
  <c r="J72" i="4" s="1"/>
  <c r="C55" i="4"/>
  <c r="C51" i="4"/>
  <c r="I48" i="4"/>
  <c r="I64" i="4" s="1"/>
  <c r="I72" i="4" s="1"/>
  <c r="E48" i="4"/>
  <c r="E64" i="4" s="1"/>
  <c r="E72" i="4" s="1"/>
  <c r="F48" i="4"/>
  <c r="F64" i="4" s="1"/>
  <c r="F72" i="4" s="1"/>
  <c r="J34" i="2"/>
  <c r="D34" i="2"/>
  <c r="O35" i="2"/>
  <c r="G56" i="4"/>
  <c r="G52" i="4"/>
  <c r="O63" i="4"/>
  <c r="O71" i="4" s="1"/>
  <c r="O55" i="4"/>
  <c r="O51" i="4"/>
  <c r="P47" i="4"/>
  <c r="P63" i="4" s="1"/>
  <c r="P71" i="4" s="1"/>
  <c r="L68" i="4"/>
  <c r="L76" i="4" s="1"/>
  <c r="E63" i="4"/>
  <c r="E71" i="4" s="1"/>
  <c r="E51" i="4"/>
  <c r="E55" i="4"/>
  <c r="L51" i="4" l="1"/>
  <c r="L55" i="4"/>
  <c r="O67" i="4"/>
  <c r="O75" i="4" s="1"/>
  <c r="G67" i="4"/>
  <c r="G75" i="4" s="1"/>
  <c r="G68" i="4"/>
  <c r="G76" i="4" s="1"/>
  <c r="N68" i="4"/>
  <c r="N76" i="4" s="1"/>
  <c r="O52" i="4"/>
  <c r="O56" i="4"/>
  <c r="C68" i="4"/>
  <c r="C76" i="4" s="1"/>
  <c r="P56" i="4"/>
  <c r="P52" i="4"/>
  <c r="D56" i="4"/>
  <c r="D52" i="4"/>
  <c r="F52" i="4"/>
  <c r="F56" i="4"/>
  <c r="F55" i="4"/>
  <c r="F51" i="4"/>
  <c r="J56" i="4"/>
  <c r="J52" i="4"/>
  <c r="E67" i="4"/>
  <c r="E75" i="4" s="1"/>
  <c r="I55" i="4"/>
  <c r="I51" i="4"/>
  <c r="N67" i="4"/>
  <c r="N75" i="4" s="1"/>
  <c r="J55" i="4"/>
  <c r="J51" i="4"/>
  <c r="H67" i="4"/>
  <c r="H75" i="4" s="1"/>
  <c r="D55" i="4"/>
  <c r="D51" i="4"/>
  <c r="Q55" i="4"/>
  <c r="Q51" i="4"/>
  <c r="E52" i="4"/>
  <c r="E56" i="4"/>
  <c r="I56" i="4"/>
  <c r="I52" i="4"/>
  <c r="P55" i="4"/>
  <c r="P51" i="4"/>
  <c r="C67" i="4"/>
  <c r="C75" i="4" s="1"/>
  <c r="O64" i="4"/>
  <c r="O72" i="4" s="1"/>
  <c r="Q56" i="4"/>
  <c r="Q52" i="4"/>
  <c r="D64" i="4"/>
  <c r="D72" i="4" s="1"/>
  <c r="L67" i="4" l="1"/>
  <c r="L75" i="4" s="1"/>
  <c r="D68" i="4"/>
  <c r="D76" i="4" s="1"/>
  <c r="J67" i="4"/>
  <c r="J75" i="4" s="1"/>
  <c r="F67" i="4"/>
  <c r="F75" i="4" s="1"/>
  <c r="Q68" i="4"/>
  <c r="Q76" i="4" s="1"/>
  <c r="I68" i="4"/>
  <c r="I76" i="4" s="1"/>
  <c r="Q67" i="4"/>
  <c r="Q75" i="4" s="1"/>
  <c r="I67" i="4"/>
  <c r="I75" i="4" s="1"/>
  <c r="D67" i="4"/>
  <c r="D75" i="4" s="1"/>
  <c r="F68" i="4"/>
  <c r="F76" i="4" s="1"/>
  <c r="E68" i="4"/>
  <c r="E76" i="4" s="1"/>
  <c r="O68" i="4"/>
  <c r="O76" i="4" s="1"/>
  <c r="J68" i="4"/>
  <c r="J76" i="4" s="1"/>
  <c r="P68" i="4"/>
  <c r="P76" i="4" s="1"/>
  <c r="P67" i="4"/>
  <c r="P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<sst xmlns="http://schemas.openxmlformats.org/spreadsheetml/2006/main" count="372" uniqueCount="116">
  <si>
    <t>peak 01</t>
  </si>
  <si>
    <t>peak 02</t>
  </si>
  <si>
    <t>peak 03</t>
  </si>
  <si>
    <t>peak 04</t>
  </si>
  <si>
    <t>peak 05</t>
  </si>
  <si>
    <t>peak 06</t>
  </si>
  <si>
    <t>peak 07</t>
  </si>
  <si>
    <t>peak 08</t>
  </si>
  <si>
    <t>peak 09</t>
  </si>
  <si>
    <t>peak 10</t>
  </si>
  <si>
    <t>peak 11</t>
  </si>
  <si>
    <t>peak 12</t>
  </si>
  <si>
    <t>peak 13</t>
  </si>
  <si>
    <t>peak 14</t>
  </si>
  <si>
    <t>peak 15</t>
  </si>
  <si>
    <t>name</t>
  </si>
  <si>
    <t>shifts (ppm)</t>
  </si>
  <si>
    <t>130.88 to 130.47</t>
  </si>
  <si>
    <t>129.72 to 129.46</t>
  </si>
  <si>
    <t>128.63 to 128.43</t>
  </si>
  <si>
    <t>128.43 to 128.25</t>
  </si>
  <si>
    <t>127.90 to 127.64</t>
  </si>
  <si>
    <t>127.14 to 126.88</t>
  </si>
  <si>
    <t>126.45 to 126.17</t>
  </si>
  <si>
    <t>126.17 to 125.90</t>
  </si>
  <si>
    <t>77.70 to 76.60</t>
  </si>
  <si>
    <t>74.50 to 74.23</t>
  </si>
  <si>
    <t>60.79 to 60.52</t>
  </si>
  <si>
    <t>52.69 to 52.43</t>
  </si>
  <si>
    <t>31.17 to 30.92</t>
  </si>
  <si>
    <t>26.92 to 26.68</t>
  </si>
  <si>
    <t>14.24 to 13.98</t>
  </si>
  <si>
    <t>range (ppm)</t>
  </si>
  <si>
    <t>avg integral</t>
  </si>
  <si>
    <t>stdev</t>
  </si>
  <si>
    <t>coeff. of var.</t>
  </si>
  <si>
    <t>std. error</t>
  </si>
  <si>
    <t>stderr of cov.</t>
  </si>
  <si>
    <t>spread</t>
  </si>
  <si>
    <t>avg. S/N</t>
  </si>
  <si>
    <t>Styrenyl_RecoveredSM_67%conversion</t>
  </si>
  <si>
    <t>Styrenyl_RecoveredSM_80%conversion</t>
  </si>
  <si>
    <t>Styrenyl_UnreactedSM_1</t>
  </si>
  <si>
    <t>conversion</t>
  </si>
  <si>
    <t>Peak 1</t>
  </si>
  <si>
    <t>Peak 2</t>
  </si>
  <si>
    <t>Peak 3</t>
  </si>
  <si>
    <t>Peak 4</t>
  </si>
  <si>
    <t>Peak 5</t>
  </si>
  <si>
    <t>Peak 6</t>
  </si>
  <si>
    <t>Peak 7</t>
  </si>
  <si>
    <t>Peak 8</t>
  </si>
  <si>
    <t>Peak 10</t>
  </si>
  <si>
    <t>Peak 12</t>
  </si>
  <si>
    <t>Peak 13</t>
  </si>
  <si>
    <t>Peak 14</t>
  </si>
  <si>
    <t>benzylic</t>
  </si>
  <si>
    <t>vinylic</t>
  </si>
  <si>
    <t>ortho (ak)</t>
  </si>
  <si>
    <t>ortho (o)</t>
  </si>
  <si>
    <t>meta (o)</t>
  </si>
  <si>
    <t>meta (ak)</t>
  </si>
  <si>
    <t>para (ak)</t>
  </si>
  <si>
    <t>para (o)</t>
  </si>
  <si>
    <t>carbonyl</t>
  </si>
  <si>
    <t>alpha</t>
  </si>
  <si>
    <t>allylic</t>
  </si>
  <si>
    <t>beta</t>
  </si>
  <si>
    <t>ester methyl</t>
  </si>
  <si>
    <t>R0</t>
  </si>
  <si>
    <t>Styrenyl_UnreactedSM_2</t>
  </si>
  <si>
    <t>Peak 15</t>
  </si>
  <si>
    <t>unreacted R0 average</t>
  </si>
  <si>
    <t>R_2</t>
  </si>
  <si>
    <t>reference peak (peak 11)</t>
  </si>
  <si>
    <t>R_1/R0</t>
  </si>
  <si>
    <t>R_1</t>
  </si>
  <si>
    <t>R_2/R0</t>
  </si>
  <si>
    <t>ln(1-conversion)</t>
  </si>
  <si>
    <t>solvent peak</t>
  </si>
  <si>
    <t>KIE_1</t>
  </si>
  <si>
    <t>KIE_2</t>
  </si>
  <si>
    <t>KIE_average</t>
  </si>
  <si>
    <t>ref</t>
  </si>
  <si>
    <t>F</t>
  </si>
  <si>
    <t>ΔF</t>
  </si>
  <si>
    <t>average_unreacted</t>
  </si>
  <si>
    <t>R/R0</t>
  </si>
  <si>
    <t>(ΔR/R)^2</t>
  </si>
  <si>
    <t>(ΔR0/R0)^2</t>
  </si>
  <si>
    <t>average peak for UnreactedSM</t>
  </si>
  <si>
    <t>average (ΔR0/R0)^2 for UnreactedSM</t>
  </si>
  <si>
    <t>Δ(R/R0)^2</t>
  </si>
  <si>
    <t>A</t>
  </si>
  <si>
    <t>ln(!-F)</t>
  </si>
  <si>
    <t>Styrenyl_Recovered_80%conversion</t>
  </si>
  <si>
    <t>Styrenyl_Recovered_67%conversion</t>
  </si>
  <si>
    <t>68%err</t>
  </si>
  <si>
    <t>Peak 9</t>
  </si>
  <si>
    <t>Peak 11</t>
  </si>
  <si>
    <t>integral</t>
  </si>
  <si>
    <t>UNREACTED 1</t>
  </si>
  <si>
    <t>UNREACTED 2</t>
  </si>
  <si>
    <t>Reference Peak Column</t>
  </si>
  <si>
    <t>OCH2</t>
  </si>
  <si>
    <t>O</t>
  </si>
  <si>
    <t># of Spectra</t>
  </si>
  <si>
    <t>w = ln[(1-F)*(R/R0)]</t>
  </si>
  <si>
    <t>B = (1-F)*w^2</t>
  </si>
  <si>
    <t>C = (1-F)*w</t>
  </si>
  <si>
    <t>D = ln(1-F)^2 * Δ(R/R0)^2</t>
  </si>
  <si>
    <t>E = (R/R0)^2*w^4</t>
  </si>
  <si>
    <t>G = (A/B-1/C)^2*(ΔF)^2</t>
  </si>
  <si>
    <t>H = D/E</t>
  </si>
  <si>
    <t>reference peak</t>
  </si>
  <si>
    <t>Error = sqrt(G+H)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</si>
</sst>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1" xfId="0" applyFont="1" applyBorder="1"/>
    <xf numFmtId="0" fontId="0" fillId="0" borderId="0" xfId="0"/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165" fontId="5" fillId="0" borderId="0" xfId="0" applyNumberFormat="1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7" fillId="3" borderId="0" xfId="0" applyFont="1" applyFill="1" applyAlignment="1">
      <alignment horizontal="right"/>
    </xf>
    <xf numFmtId="0" fontId="0" fillId="0" borderId="0" xfId="0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right"/>
    </xf>
    <xf numFmtId="10" fontId="7" fillId="3" borderId="0" xfId="0" applyNumberFormat="1" applyFont="1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5" fillId="0" borderId="7" xfId="0" applyFont="1" applyBorder="1"/>
    <xf numFmtId="0" fontId="9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/>
    <xf numFmtId="0" fontId="6" fillId="0" borderId="3" xfId="0" applyFont="1" applyBorder="1"/>
    <xf numFmtId="0" fontId="6" fillId="0" borderId="5" xfId="0" applyFont="1" applyBorder="1"/>
    <xf numFmtId="9" fontId="6" fillId="7" borderId="5" xfId="0" applyNumberFormat="1" applyFont="1" applyFill="1" applyBorder="1"/>
    <xf numFmtId="0" fontId="4" fillId="0" borderId="0" xfId="0" applyFont="1" applyBorder="1"/>
    <xf numFmtId="0" fontId="3" fillId="7" borderId="0" xfId="0" applyFont="1" applyFill="1" applyBorder="1" applyAlignment="1">
      <alignment horizontal="right"/>
    </xf>
    <xf numFmtId="164" fontId="8" fillId="0" borderId="0" xfId="0" applyNumberFormat="1" applyFont="1" applyFill="1"/>
    <xf numFmtId="0" fontId="10" fillId="0" borderId="0" xfId="0" applyFont="1" applyFill="1"/>
    <xf numFmtId="164" fontId="8" fillId="7" borderId="0" xfId="0" applyNumberFormat="1" applyFont="1" applyFill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7" xfId="0" applyFill="1" applyBorder="1"/>
    <xf numFmtId="164" fontId="0" fillId="7" borderId="0" xfId="0" applyNumberFormat="1" applyFill="1" applyBorder="1"/>
    <xf numFmtId="164" fontId="0" fillId="7" borderId="5" xfId="0" applyNumberFormat="1" applyFill="1" applyBorder="1"/>
    <xf numFmtId="164" fontId="0" fillId="7" borderId="7" xfId="0" applyNumberFormat="1" applyFill="1" applyBorder="1"/>
    <xf numFmtId="164" fontId="0" fillId="7" borderId="8" xfId="0" applyNumberFormat="1" applyFill="1" applyBorder="1"/>
    <xf numFmtId="0" fontId="11" fillId="0" borderId="4" xfId="0" applyFont="1" applyBorder="1"/>
    <xf numFmtId="0" fontId="11" fillId="0" borderId="0" xfId="0" applyFont="1"/>
    <xf numFmtId="0" fontId="12" fillId="0" borderId="4" xfId="0" applyFont="1" applyBorder="1"/>
    <xf numFmtId="0" fontId="12" fillId="0" borderId="6" xfId="0" applyFont="1" applyBorder="1"/>
    <xf numFmtId="0" fontId="0" fillId="0" borderId="4" xfId="0" applyFont="1" applyBorder="1"/>
    <xf numFmtId="0" fontId="11" fillId="0" borderId="1" xfId="0" applyFont="1" applyBorder="1"/>
    <xf numFmtId="0" fontId="13" fillId="0" borderId="1" xfId="0" applyFont="1" applyBorder="1"/>
    <xf numFmtId="0" fontId="0" fillId="0" borderId="6" xfId="0" applyFont="1" applyBorder="1"/>
    <xf numFmtId="0" fontId="11" fillId="0" borderId="1" xfId="0" applyFont="1" applyFill="1" applyBorder="1"/>
    <xf numFmtId="0" fontId="12" fillId="0" borderId="4" xfId="0" applyFont="1" applyFill="1" applyBorder="1"/>
    <xf numFmtId="0" fontId="1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95251</xdr:rowOff>
    </xdr:from>
    <xdr:to>
      <xdr:col>2</xdr:col>
      <xdr:colOff>514350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0B34AD-C3F8-4382-BB1F-AFF5412507EB}"/>
            </a:ext>
          </a:extLst>
        </xdr:cNvPr>
        <xdr:cNvSpPr txBox="1"/>
      </xdr:nvSpPr>
      <xdr:spPr>
        <a:xfrm>
          <a:off x="85724" y="95251"/>
          <a:ext cx="1831313" cy="3686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Raw Data:</a:t>
          </a:r>
        </a:p>
        <a:p>
          <a:endParaRPr lang="en-US" sz="1100"/>
        </a:p>
        <a:p>
          <a:r>
            <a:rPr lang="en-US" sz="1100"/>
            <a:t>1. Paste the summary</a:t>
          </a:r>
          <a:r>
            <a:rPr lang="en-US" sz="1100" baseline="0"/>
            <a:t> tables from the Jupyter Notebooks here.</a:t>
          </a:r>
        </a:p>
        <a:p>
          <a:endParaRPr lang="en-US" sz="1100" baseline="0"/>
        </a:p>
        <a:p>
          <a:r>
            <a:rPr lang="en-US" sz="1100" baseline="0"/>
            <a:t>2. Which peak should be the reference?  Enter the column into B24.  This peak should correspond to a carbon that is expected to have no KIE.</a:t>
          </a:r>
        </a:p>
        <a:p>
          <a:endParaRPr lang="en-US" sz="1100" baseline="0"/>
        </a:p>
        <a:p>
          <a:r>
            <a:rPr lang="en-US" sz="1100" baseline="0"/>
            <a:t>3. Enter the conversions into A28 and A29.</a:t>
          </a:r>
        </a:p>
        <a:p>
          <a:endParaRPr lang="en-US" sz="1100" baseline="0"/>
        </a:p>
        <a:p>
          <a:r>
            <a:rPr lang="en-US" sz="1100" baseline="0"/>
            <a:t>4. The other tabs will automatically populate based on the information here.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28484</xdr:colOff>
      <xdr:row>0</xdr:row>
      <xdr:rowOff>103221</xdr:rowOff>
    </xdr:from>
    <xdr:ext cx="2961870" cy="2589118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836A970-09A0-408C-9CBB-0774BD41D5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9619" y="103221"/>
          <a:ext cx="2961870" cy="2589118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3</xdr:col>
      <xdr:colOff>892914</xdr:colOff>
      <xdr:row>10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506E1B-2A4A-4F39-B1A8-FA900A78122C}"/>
            </a:ext>
          </a:extLst>
        </xdr:cNvPr>
        <xdr:cNvSpPr txBox="1"/>
      </xdr:nvSpPr>
      <xdr:spPr>
        <a:xfrm>
          <a:off x="0" y="0"/>
          <a:ext cx="5623664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KIE:</a:t>
          </a:r>
        </a:p>
        <a:p>
          <a:endParaRPr lang="en-US" sz="1100"/>
        </a:p>
        <a:p>
          <a:r>
            <a:rPr lang="en-US" sz="1100"/>
            <a:t>KIEs are calculated here.  There is no need to enter in anything on this tab.</a:t>
          </a:r>
        </a:p>
        <a:p>
          <a:endParaRPr lang="en-US" sz="1100"/>
        </a:p>
        <a:p>
          <a:r>
            <a:rPr lang="en-US" sz="1100"/>
            <a:t>R</a:t>
          </a:r>
          <a:r>
            <a:rPr lang="en-US" sz="1100" baseline="0"/>
            <a:t>0 : 13C/12C ratio in unreacted starting material</a:t>
          </a:r>
        </a:p>
        <a:p>
          <a:r>
            <a:rPr lang="en-US" sz="1100" baseline="0"/>
            <a:t>R_i : 13C/12C ratio in recovered starting material sample i</a:t>
          </a:r>
        </a:p>
        <a:p>
          <a:endParaRPr lang="en-US" sz="1100" baseline="0"/>
        </a:p>
        <a:p>
          <a:r>
            <a:rPr lang="en-US" sz="1100" baseline="0"/>
            <a:t>KIE_i : KIE for sample i</a:t>
          </a:r>
        </a:p>
        <a:p>
          <a:r>
            <a:rPr lang="en-US" sz="1100" baseline="0"/>
            <a:t>KIE_average: final result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619760</xdr:colOff>
      <xdr:row>5</xdr:row>
      <xdr:rowOff>20320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49CA84-52AC-324B-9076-A6ABDEFFA5E5}"/>
            </a:ext>
          </a:extLst>
        </xdr:cNvPr>
        <xdr:cNvSpPr txBox="1"/>
      </xdr:nvSpPr>
      <xdr:spPr>
        <a:xfrm>
          <a:off x="0" y="0"/>
          <a:ext cx="6319520" cy="985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Error:</a:t>
          </a:r>
        </a:p>
        <a:p>
          <a:r>
            <a:rPr lang="en-US" sz="1100"/>
            <a:t>1. Place the number of spectra </a:t>
          </a:r>
          <a:r>
            <a:rPr lang="en-US" sz="1100" baseline="0"/>
            <a:t>in J11.</a:t>
          </a:r>
        </a:p>
        <a:p>
          <a:endParaRPr lang="en-US" sz="1100" baseline="0"/>
        </a:p>
        <a:p>
          <a:r>
            <a:rPr lang="en-US" sz="1100" baseline="0"/>
            <a:t>2. Uncertainties for the KIEs are given on row 75 and 76 as 68% confidence intervals.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9D2A-F019-4F9A-95B4-23AB210F3099}">
  <dimension ref="A1:S129"/>
  <sheetViews>
    <sheetView tabSelected="1" zoomScale="134" zoomScaleNormal="134" workbookViewId="0">
      <selection activeCell="B24" sqref="B24"/>
    </sheetView>
  </sheetViews>
  <sheetFormatPr baseColWidth="10" defaultColWidth="9.1640625" defaultRowHeight="14" x14ac:dyDescent="0.2"/>
  <cols>
    <col min="1" max="1" width="17" style="18" bestFit="1" customWidth="1"/>
    <col min="2" max="20" width="9.1640625" style="18"/>
    <col min="21" max="21" width="21.5" style="18" customWidth="1"/>
    <col min="22" max="16384" width="9.1640625" style="18"/>
  </cols>
  <sheetData>
    <row r="1" spans="4:19" x14ac:dyDescent="0.2">
      <c r="D1" s="36" t="s">
        <v>42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4:19" x14ac:dyDescent="0.2">
      <c r="E2" s="28" t="s">
        <v>0</v>
      </c>
      <c r="F2" s="28" t="s">
        <v>1</v>
      </c>
      <c r="G2" s="28" t="s">
        <v>2</v>
      </c>
      <c r="H2" s="28" t="s">
        <v>3</v>
      </c>
      <c r="I2" s="28" t="s">
        <v>4</v>
      </c>
      <c r="J2" s="28" t="s">
        <v>5</v>
      </c>
      <c r="K2" s="28" t="s">
        <v>6</v>
      </c>
      <c r="L2" s="28" t="s">
        <v>7</v>
      </c>
      <c r="M2" s="28" t="s">
        <v>8</v>
      </c>
      <c r="N2" s="28" t="s">
        <v>9</v>
      </c>
      <c r="O2" s="28" t="s">
        <v>10</v>
      </c>
      <c r="P2" s="28" t="s">
        <v>11</v>
      </c>
      <c r="Q2" s="28" t="s">
        <v>12</v>
      </c>
      <c r="R2" s="28" t="s">
        <v>13</v>
      </c>
      <c r="S2" s="28" t="s">
        <v>14</v>
      </c>
    </row>
    <row r="3" spans="4:19" x14ac:dyDescent="0.2">
      <c r="D3" s="28" t="s">
        <v>15</v>
      </c>
      <c r="E3" s="19" t="s">
        <v>56</v>
      </c>
      <c r="F3" s="19" t="s">
        <v>57</v>
      </c>
      <c r="G3" s="19" t="s">
        <v>58</v>
      </c>
      <c r="H3" s="19" t="s">
        <v>59</v>
      </c>
      <c r="I3" s="19" t="s">
        <v>60</v>
      </c>
      <c r="J3" s="19" t="s">
        <v>61</v>
      </c>
      <c r="K3" s="19" t="s">
        <v>62</v>
      </c>
      <c r="L3" s="19" t="s">
        <v>63</v>
      </c>
      <c r="M3" s="19" t="s">
        <v>79</v>
      </c>
      <c r="N3" s="19" t="s">
        <v>64</v>
      </c>
      <c r="O3" s="35" t="s">
        <v>104</v>
      </c>
      <c r="P3" s="19" t="s">
        <v>65</v>
      </c>
      <c r="Q3" s="19" t="s">
        <v>66</v>
      </c>
      <c r="R3" s="19" t="s">
        <v>67</v>
      </c>
      <c r="S3" s="19" t="s">
        <v>68</v>
      </c>
    </row>
    <row r="4" spans="4:19" x14ac:dyDescent="0.2">
      <c r="D4" s="28" t="s">
        <v>16</v>
      </c>
      <c r="E4" s="24" t="s">
        <v>17</v>
      </c>
      <c r="F4" s="24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4" t="s">
        <v>23</v>
      </c>
      <c r="L4" s="24" t="s">
        <v>24</v>
      </c>
      <c r="M4" s="24" t="s">
        <v>25</v>
      </c>
      <c r="N4" s="24" t="s">
        <v>26</v>
      </c>
      <c r="O4" s="24" t="s">
        <v>27</v>
      </c>
      <c r="P4" s="24" t="s">
        <v>28</v>
      </c>
      <c r="Q4" s="24" t="s">
        <v>29</v>
      </c>
      <c r="R4" s="24" t="s">
        <v>30</v>
      </c>
      <c r="S4" s="24" t="s">
        <v>31</v>
      </c>
    </row>
    <row r="5" spans="4:19" x14ac:dyDescent="0.2">
      <c r="D5" s="28" t="s">
        <v>32</v>
      </c>
      <c r="E5" s="24">
        <v>0.40500000000000003</v>
      </c>
      <c r="F5" s="24">
        <v>0.26400000000000001</v>
      </c>
      <c r="G5" s="24">
        <v>0.19600000000000001</v>
      </c>
      <c r="H5" s="24">
        <v>0.185</v>
      </c>
      <c r="I5" s="24">
        <v>0.254</v>
      </c>
      <c r="J5" s="24">
        <v>0.26200000000000001</v>
      </c>
      <c r="K5" s="24">
        <v>0.28299999999999997</v>
      </c>
      <c r="L5" s="24">
        <v>0.26800000000000002</v>
      </c>
      <c r="M5" s="24">
        <v>1.1000000000000001</v>
      </c>
      <c r="N5" s="24">
        <v>0.26800000000000002</v>
      </c>
      <c r="O5" s="24">
        <v>0.26700000000000002</v>
      </c>
      <c r="P5" s="24">
        <v>0.255</v>
      </c>
      <c r="Q5" s="24">
        <v>0.247</v>
      </c>
      <c r="R5" s="24">
        <v>0.23300000000000001</v>
      </c>
      <c r="S5" s="24">
        <v>0.26100000000000001</v>
      </c>
    </row>
    <row r="6" spans="4:19" x14ac:dyDescent="0.2">
      <c r="D6" s="32" t="s">
        <v>33</v>
      </c>
      <c r="E6" s="33">
        <v>11.8401</v>
      </c>
      <c r="F6" s="33">
        <v>11.404400000000001</v>
      </c>
      <c r="G6" s="33">
        <v>22.7607</v>
      </c>
      <c r="H6" s="33">
        <v>22.134399999999999</v>
      </c>
      <c r="I6" s="33">
        <v>11.1683</v>
      </c>
      <c r="J6" s="33">
        <v>11.272600000000001</v>
      </c>
      <c r="K6" s="33">
        <v>23.130600000000001</v>
      </c>
      <c r="L6" s="33">
        <v>23.716799999999999</v>
      </c>
      <c r="M6" s="33">
        <v>-0.26419999999999999</v>
      </c>
      <c r="N6" s="33">
        <v>12.725199999999999</v>
      </c>
      <c r="O6" s="33">
        <v>13.7476</v>
      </c>
      <c r="P6" s="33">
        <v>12.3241</v>
      </c>
      <c r="Q6" s="33">
        <v>13.5581</v>
      </c>
      <c r="R6" s="33">
        <v>12.7194</v>
      </c>
      <c r="S6" s="33">
        <v>11.5466</v>
      </c>
    </row>
    <row r="7" spans="4:19" x14ac:dyDescent="0.2">
      <c r="D7" s="32" t="s">
        <v>34</v>
      </c>
      <c r="E7" s="33">
        <v>0.12590000000000001</v>
      </c>
      <c r="F7" s="33">
        <v>0.1082</v>
      </c>
      <c r="G7" s="33">
        <v>0.2142</v>
      </c>
      <c r="H7" s="33">
        <v>0.19769999999999999</v>
      </c>
      <c r="I7" s="33">
        <v>0.115</v>
      </c>
      <c r="J7" s="33">
        <v>0.1118</v>
      </c>
      <c r="K7" s="33">
        <v>0.2044</v>
      </c>
      <c r="L7" s="33">
        <v>0.21990000000000001</v>
      </c>
      <c r="M7" s="33">
        <v>0.1036</v>
      </c>
      <c r="N7" s="33">
        <v>0.1133</v>
      </c>
      <c r="O7" s="33">
        <v>6.8599999999999994E-2</v>
      </c>
      <c r="P7" s="33">
        <v>0.10589999999999999</v>
      </c>
      <c r="Q7" s="33">
        <v>5.4899999999999997E-2</v>
      </c>
      <c r="R7" s="33">
        <v>4.7E-2</v>
      </c>
      <c r="S7" s="33">
        <v>9.0999999999999998E-2</v>
      </c>
    </row>
    <row r="8" spans="4:19" x14ac:dyDescent="0.2">
      <c r="D8" s="28" t="s">
        <v>35</v>
      </c>
      <c r="E8" s="29">
        <v>1.06E-2</v>
      </c>
      <c r="F8" s="29">
        <v>9.4999999999999998E-3</v>
      </c>
      <c r="G8" s="29">
        <v>9.4000000000000004E-3</v>
      </c>
      <c r="H8" s="29">
        <v>8.8999999999999999E-3</v>
      </c>
      <c r="I8" s="29">
        <v>1.03E-2</v>
      </c>
      <c r="J8" s="29">
        <v>9.9000000000000008E-3</v>
      </c>
      <c r="K8" s="29">
        <v>8.8000000000000005E-3</v>
      </c>
      <c r="L8" s="29">
        <v>9.2999999999999992E-3</v>
      </c>
      <c r="M8" s="29">
        <v>-0.39240000000000003</v>
      </c>
      <c r="N8" s="29">
        <v>8.8999999999999999E-3</v>
      </c>
      <c r="O8" s="29">
        <v>5.0000000000000001E-3</v>
      </c>
      <c r="P8" s="29">
        <v>8.6E-3</v>
      </c>
      <c r="Q8" s="29">
        <v>4.1000000000000003E-3</v>
      </c>
      <c r="R8" s="29">
        <v>3.7000000000000002E-3</v>
      </c>
      <c r="S8" s="29">
        <v>7.9000000000000008E-3</v>
      </c>
    </row>
    <row r="9" spans="4:19" x14ac:dyDescent="0.2">
      <c r="D9" s="28" t="s">
        <v>36</v>
      </c>
      <c r="E9" s="24">
        <v>7.0000000000000001E-3</v>
      </c>
      <c r="F9" s="24">
        <v>6.0000000000000001E-3</v>
      </c>
      <c r="G9" s="24">
        <v>1.2E-2</v>
      </c>
      <c r="H9" s="24">
        <v>1.11E-2</v>
      </c>
      <c r="I9" s="24">
        <v>6.4000000000000003E-3</v>
      </c>
      <c r="J9" s="24">
        <v>6.1999999999999998E-3</v>
      </c>
      <c r="K9" s="24">
        <v>1.14E-2</v>
      </c>
      <c r="L9" s="24">
        <v>1.23E-2</v>
      </c>
      <c r="M9" s="24">
        <v>5.7999999999999996E-3</v>
      </c>
      <c r="N9" s="24">
        <v>6.3E-3</v>
      </c>
      <c r="O9" s="24">
        <v>3.8E-3</v>
      </c>
      <c r="P9" s="24">
        <v>5.8999999999999999E-3</v>
      </c>
      <c r="Q9" s="24">
        <v>3.0999999999999999E-3</v>
      </c>
      <c r="R9" s="24">
        <v>2.5999999999999999E-3</v>
      </c>
      <c r="S9" s="24">
        <v>5.1000000000000004E-3</v>
      </c>
    </row>
    <row r="10" spans="4:19" x14ac:dyDescent="0.2">
      <c r="D10" s="28" t="s">
        <v>37</v>
      </c>
      <c r="E10" s="29">
        <v>5.9999999999999995E-4</v>
      </c>
      <c r="F10" s="29">
        <v>5.0000000000000001E-4</v>
      </c>
      <c r="G10" s="29">
        <v>5.0000000000000001E-4</v>
      </c>
      <c r="H10" s="29">
        <v>5.0000000000000001E-4</v>
      </c>
      <c r="I10" s="29">
        <v>5.9999999999999995E-4</v>
      </c>
      <c r="J10" s="29">
        <v>5.9999999999999995E-4</v>
      </c>
      <c r="K10" s="29">
        <v>5.0000000000000001E-4</v>
      </c>
      <c r="L10" s="29">
        <v>5.0000000000000001E-4</v>
      </c>
      <c r="M10" s="29">
        <v>-2.1899999999999999E-2</v>
      </c>
      <c r="N10" s="29">
        <v>5.0000000000000001E-4</v>
      </c>
      <c r="O10" s="29">
        <v>2.9999999999999997E-4</v>
      </c>
      <c r="P10" s="29">
        <v>5.0000000000000001E-4</v>
      </c>
      <c r="Q10" s="29">
        <v>2.0000000000000001E-4</v>
      </c>
      <c r="R10" s="29">
        <v>2.0000000000000001E-4</v>
      </c>
      <c r="S10" s="29">
        <v>4.0000000000000002E-4</v>
      </c>
    </row>
    <row r="11" spans="4:19" x14ac:dyDescent="0.2">
      <c r="D11" s="28" t="s">
        <v>38</v>
      </c>
      <c r="E11" s="29">
        <v>5.7599999999999998E-2</v>
      </c>
      <c r="F11" s="29">
        <v>4.8500000000000001E-2</v>
      </c>
      <c r="G11" s="29">
        <v>4.1099999999999998E-2</v>
      </c>
      <c r="H11" s="29">
        <v>3.8399999999999997E-2</v>
      </c>
      <c r="I11" s="29">
        <v>4.7600000000000003E-2</v>
      </c>
      <c r="J11" s="29">
        <v>4.6300000000000001E-2</v>
      </c>
      <c r="K11" s="29">
        <v>3.6900000000000002E-2</v>
      </c>
      <c r="L11" s="29">
        <v>4.7300000000000002E-2</v>
      </c>
      <c r="M11" s="29">
        <v>-2.1758999999999999</v>
      </c>
      <c r="N11" s="29">
        <v>4.3700000000000003E-2</v>
      </c>
      <c r="O11" s="29">
        <v>2.98E-2</v>
      </c>
      <c r="P11" s="29">
        <v>3.8600000000000002E-2</v>
      </c>
      <c r="Q11" s="29">
        <v>2.2100000000000002E-2</v>
      </c>
      <c r="R11" s="29">
        <v>2.0199999999999999E-2</v>
      </c>
      <c r="S11" s="29">
        <v>4.2900000000000001E-2</v>
      </c>
    </row>
    <row r="12" spans="4:19" x14ac:dyDescent="0.2">
      <c r="D12" s="28" t="s">
        <v>39</v>
      </c>
      <c r="E12" s="24">
        <v>609</v>
      </c>
      <c r="F12" s="24">
        <v>579</v>
      </c>
      <c r="G12" s="24">
        <v>1175</v>
      </c>
      <c r="H12" s="24">
        <v>1047</v>
      </c>
      <c r="I12" s="24">
        <v>491</v>
      </c>
      <c r="J12" s="24">
        <v>484</v>
      </c>
      <c r="K12" s="24">
        <v>1089</v>
      </c>
      <c r="L12" s="24">
        <v>1220</v>
      </c>
      <c r="M12" s="24">
        <v>6</v>
      </c>
      <c r="N12" s="24">
        <v>587</v>
      </c>
      <c r="O12" s="24">
        <v>596</v>
      </c>
      <c r="P12" s="24">
        <v>589</v>
      </c>
      <c r="Q12" s="24">
        <v>590</v>
      </c>
      <c r="R12" s="24">
        <v>519</v>
      </c>
      <c r="S12" s="24">
        <v>599</v>
      </c>
    </row>
    <row r="14" spans="4:19" x14ac:dyDescent="0.2">
      <c r="D14" s="38" t="s">
        <v>70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 spans="4:19" x14ac:dyDescent="0.2">
      <c r="E15" s="28" t="s">
        <v>0</v>
      </c>
      <c r="F15" s="28" t="s">
        <v>1</v>
      </c>
      <c r="G15" s="28" t="s">
        <v>2</v>
      </c>
      <c r="H15" s="28" t="s">
        <v>3</v>
      </c>
      <c r="I15" s="28" t="s">
        <v>4</v>
      </c>
      <c r="J15" s="28" t="s">
        <v>5</v>
      </c>
      <c r="K15" s="28" t="s">
        <v>6</v>
      </c>
      <c r="L15" s="28" t="s">
        <v>7</v>
      </c>
      <c r="M15" s="28" t="s">
        <v>8</v>
      </c>
      <c r="N15" s="28" t="s">
        <v>9</v>
      </c>
      <c r="O15" s="28" t="s">
        <v>10</v>
      </c>
      <c r="P15" s="28" t="s">
        <v>11</v>
      </c>
      <c r="Q15" s="28" t="s">
        <v>12</v>
      </c>
      <c r="R15" s="28" t="s">
        <v>13</v>
      </c>
      <c r="S15" s="28" t="s">
        <v>14</v>
      </c>
    </row>
    <row r="16" spans="4:19" x14ac:dyDescent="0.2">
      <c r="D16" s="28" t="s">
        <v>15</v>
      </c>
      <c r="E16" s="19" t="s">
        <v>56</v>
      </c>
      <c r="F16" s="19" t="s">
        <v>57</v>
      </c>
      <c r="G16" s="19" t="s">
        <v>58</v>
      </c>
      <c r="H16" s="19" t="s">
        <v>59</v>
      </c>
      <c r="I16" s="19" t="s">
        <v>60</v>
      </c>
      <c r="J16" s="19" t="s">
        <v>61</v>
      </c>
      <c r="K16" s="19" t="s">
        <v>62</v>
      </c>
      <c r="L16" s="19" t="s">
        <v>63</v>
      </c>
      <c r="M16" s="19" t="s">
        <v>79</v>
      </c>
      <c r="N16" s="19" t="s">
        <v>64</v>
      </c>
      <c r="O16" s="35" t="s">
        <v>104</v>
      </c>
      <c r="P16" s="19" t="s">
        <v>65</v>
      </c>
      <c r="Q16" s="19" t="s">
        <v>66</v>
      </c>
      <c r="R16" s="19" t="s">
        <v>67</v>
      </c>
      <c r="S16" s="19" t="s">
        <v>68</v>
      </c>
    </row>
    <row r="17" spans="1:19" x14ac:dyDescent="0.2">
      <c r="D17" s="28" t="s">
        <v>16</v>
      </c>
      <c r="E17" s="24" t="s">
        <v>17</v>
      </c>
      <c r="F17" s="24" t="s">
        <v>18</v>
      </c>
      <c r="G17" s="24" t="s">
        <v>19</v>
      </c>
      <c r="H17" s="24" t="s">
        <v>20</v>
      </c>
      <c r="I17" s="24" t="s">
        <v>21</v>
      </c>
      <c r="J17" s="24" t="s">
        <v>22</v>
      </c>
      <c r="K17" s="24" t="s">
        <v>23</v>
      </c>
      <c r="L17" s="24" t="s">
        <v>24</v>
      </c>
      <c r="M17" s="24" t="s">
        <v>25</v>
      </c>
      <c r="N17" s="24" t="s">
        <v>26</v>
      </c>
      <c r="O17" s="24" t="s">
        <v>27</v>
      </c>
      <c r="P17" s="24" t="s">
        <v>28</v>
      </c>
      <c r="Q17" s="24" t="s">
        <v>29</v>
      </c>
      <c r="R17" s="24" t="s">
        <v>30</v>
      </c>
      <c r="S17" s="24" t="s">
        <v>31</v>
      </c>
    </row>
    <row r="18" spans="1:19" x14ac:dyDescent="0.2">
      <c r="D18" s="28" t="s">
        <v>32</v>
      </c>
      <c r="E18" s="24">
        <v>0.40500000000000003</v>
      </c>
      <c r="F18" s="24">
        <v>0.26400000000000001</v>
      </c>
      <c r="G18" s="24">
        <v>0.19600000000000001</v>
      </c>
      <c r="H18" s="24">
        <v>0.185</v>
      </c>
      <c r="I18" s="24">
        <v>0.254</v>
      </c>
      <c r="J18" s="24">
        <v>0.26200000000000001</v>
      </c>
      <c r="K18" s="24">
        <v>0.28299999999999997</v>
      </c>
      <c r="L18" s="24">
        <v>0.26800000000000002</v>
      </c>
      <c r="M18" s="24">
        <v>1.1000000000000001</v>
      </c>
      <c r="N18" s="24">
        <v>0.26800000000000002</v>
      </c>
      <c r="O18" s="24">
        <v>0.26700000000000002</v>
      </c>
      <c r="P18" s="24">
        <v>0.255</v>
      </c>
      <c r="Q18" s="24">
        <v>0.247</v>
      </c>
      <c r="R18" s="24">
        <v>0.23300000000000001</v>
      </c>
      <c r="S18" s="24">
        <v>0.26100000000000001</v>
      </c>
    </row>
    <row r="19" spans="1:19" x14ac:dyDescent="0.2">
      <c r="D19" s="32" t="s">
        <v>33</v>
      </c>
      <c r="E19" s="33">
        <v>11.666399999999999</v>
      </c>
      <c r="F19" s="33">
        <v>11.3691</v>
      </c>
      <c r="G19" s="33">
        <v>23.158300000000001</v>
      </c>
      <c r="H19" s="33">
        <v>22.208100000000002</v>
      </c>
      <c r="I19" s="33">
        <v>10.9587</v>
      </c>
      <c r="J19" s="33">
        <v>11.345700000000001</v>
      </c>
      <c r="K19" s="33">
        <v>22.9239</v>
      </c>
      <c r="L19" s="33">
        <v>23.159700000000001</v>
      </c>
      <c r="M19" s="33">
        <v>-0.26029999999999998</v>
      </c>
      <c r="N19" s="33">
        <v>12.556800000000001</v>
      </c>
      <c r="O19" s="33">
        <v>13.6328</v>
      </c>
      <c r="P19" s="33">
        <v>12.179399999999999</v>
      </c>
      <c r="Q19" s="33">
        <v>13.428900000000001</v>
      </c>
      <c r="R19" s="33">
        <v>12.5816</v>
      </c>
      <c r="S19" s="33">
        <v>11.4842</v>
      </c>
    </row>
    <row r="20" spans="1:19" x14ac:dyDescent="0.2">
      <c r="D20" s="32" t="s">
        <v>34</v>
      </c>
      <c r="E20" s="33">
        <v>0.1255</v>
      </c>
      <c r="F20" s="33">
        <v>0.1125</v>
      </c>
      <c r="G20" s="33">
        <v>0.2235</v>
      </c>
      <c r="H20" s="33">
        <v>0.22309999999999999</v>
      </c>
      <c r="I20" s="33">
        <v>0.12330000000000001</v>
      </c>
      <c r="J20" s="33">
        <v>0.1135</v>
      </c>
      <c r="K20" s="33">
        <v>0.20519999999999999</v>
      </c>
      <c r="L20" s="33">
        <v>0.26290000000000002</v>
      </c>
      <c r="M20" s="33">
        <v>0.1008</v>
      </c>
      <c r="N20" s="33">
        <v>0.11559999999999999</v>
      </c>
      <c r="O20" s="33">
        <v>6.2399999999999997E-2</v>
      </c>
      <c r="P20" s="33">
        <v>0.11700000000000001</v>
      </c>
      <c r="Q20" s="33">
        <v>5.3900000000000003E-2</v>
      </c>
      <c r="R20" s="33">
        <v>4.9799999999999997E-2</v>
      </c>
      <c r="S20" s="33">
        <v>9.2399999999999996E-2</v>
      </c>
    </row>
    <row r="21" spans="1:19" x14ac:dyDescent="0.2">
      <c r="D21" s="28" t="s">
        <v>35</v>
      </c>
      <c r="E21" s="29">
        <v>1.0800000000000001E-2</v>
      </c>
      <c r="F21" s="29">
        <v>9.9000000000000008E-3</v>
      </c>
      <c r="G21" s="29">
        <v>9.7000000000000003E-3</v>
      </c>
      <c r="H21" s="29">
        <v>0.01</v>
      </c>
      <c r="I21" s="29">
        <v>1.12E-2</v>
      </c>
      <c r="J21" s="29">
        <v>0.01</v>
      </c>
      <c r="K21" s="29">
        <v>8.9999999999999993E-3</v>
      </c>
      <c r="L21" s="29">
        <v>1.14E-2</v>
      </c>
      <c r="M21" s="29">
        <v>-0.38729999999999998</v>
      </c>
      <c r="N21" s="29">
        <v>9.1999999999999998E-3</v>
      </c>
      <c r="O21" s="29">
        <v>4.5999999999999999E-3</v>
      </c>
      <c r="P21" s="29">
        <v>9.5999999999999992E-3</v>
      </c>
      <c r="Q21" s="29">
        <v>4.0000000000000001E-3</v>
      </c>
      <c r="R21" s="29">
        <v>4.0000000000000001E-3</v>
      </c>
      <c r="S21" s="29">
        <v>8.0000000000000002E-3</v>
      </c>
    </row>
    <row r="22" spans="1:19" x14ac:dyDescent="0.2">
      <c r="D22" s="28" t="s">
        <v>36</v>
      </c>
      <c r="E22" s="24">
        <v>7.0000000000000001E-3</v>
      </c>
      <c r="F22" s="24">
        <v>6.3E-3</v>
      </c>
      <c r="G22" s="24">
        <v>1.2500000000000001E-2</v>
      </c>
      <c r="H22" s="24">
        <v>1.2500000000000001E-2</v>
      </c>
      <c r="I22" s="24">
        <v>6.8999999999999999E-3</v>
      </c>
      <c r="J22" s="24">
        <v>6.3E-3</v>
      </c>
      <c r="K22" s="24">
        <v>1.15E-2</v>
      </c>
      <c r="L22" s="24">
        <v>1.47E-2</v>
      </c>
      <c r="M22" s="24">
        <v>5.5999999999999999E-3</v>
      </c>
      <c r="N22" s="24">
        <v>6.4999999999999997E-3</v>
      </c>
      <c r="O22" s="24">
        <v>3.5000000000000001E-3</v>
      </c>
      <c r="P22" s="24">
        <v>6.4999999999999997E-3</v>
      </c>
      <c r="Q22" s="24">
        <v>3.0000000000000001E-3</v>
      </c>
      <c r="R22" s="24">
        <v>2.8E-3</v>
      </c>
      <c r="S22" s="24">
        <v>5.1999999999999998E-3</v>
      </c>
    </row>
    <row r="23" spans="1:19" x14ac:dyDescent="0.2">
      <c r="D23" s="28" t="s">
        <v>37</v>
      </c>
      <c r="E23" s="29">
        <v>5.9999999999999995E-4</v>
      </c>
      <c r="F23" s="29">
        <v>5.9999999999999995E-4</v>
      </c>
      <c r="G23" s="29">
        <v>5.0000000000000001E-4</v>
      </c>
      <c r="H23" s="29">
        <v>5.9999999999999995E-4</v>
      </c>
      <c r="I23" s="29">
        <v>5.9999999999999995E-4</v>
      </c>
      <c r="J23" s="29">
        <v>5.9999999999999995E-4</v>
      </c>
      <c r="K23" s="29">
        <v>5.0000000000000001E-4</v>
      </c>
      <c r="L23" s="29">
        <v>5.9999999999999995E-4</v>
      </c>
      <c r="M23" s="29">
        <v>-2.1700000000000001E-2</v>
      </c>
      <c r="N23" s="29">
        <v>5.0000000000000001E-4</v>
      </c>
      <c r="O23" s="29">
        <v>2.9999999999999997E-4</v>
      </c>
      <c r="P23" s="29">
        <v>5.0000000000000001E-4</v>
      </c>
      <c r="Q23" s="29">
        <v>2.0000000000000001E-4</v>
      </c>
      <c r="R23" s="29">
        <v>2.0000000000000001E-4</v>
      </c>
      <c r="S23" s="29">
        <v>4.0000000000000002E-4</v>
      </c>
    </row>
    <row r="24" spans="1:19" x14ac:dyDescent="0.2">
      <c r="A24" s="19" t="s">
        <v>103</v>
      </c>
      <c r="B24" s="41" t="s">
        <v>105</v>
      </c>
      <c r="D24" s="28" t="s">
        <v>38</v>
      </c>
      <c r="E24" s="29">
        <v>5.7700000000000001E-2</v>
      </c>
      <c r="F24" s="29">
        <v>4.7699999999999999E-2</v>
      </c>
      <c r="G24" s="29">
        <v>4.5100000000000001E-2</v>
      </c>
      <c r="H24" s="29">
        <v>5.0200000000000002E-2</v>
      </c>
      <c r="I24" s="29">
        <v>6.6100000000000006E-2</v>
      </c>
      <c r="J24" s="29">
        <v>5.1900000000000002E-2</v>
      </c>
      <c r="K24" s="29">
        <v>3.9399999999999998E-2</v>
      </c>
      <c r="L24" s="29">
        <v>6.3100000000000003E-2</v>
      </c>
      <c r="M24" s="29">
        <v>-2.3172999999999999</v>
      </c>
      <c r="N24" s="29">
        <v>4.2099999999999999E-2</v>
      </c>
      <c r="O24" s="29">
        <v>2.9399999999999999E-2</v>
      </c>
      <c r="P24" s="29">
        <v>4.4200000000000003E-2</v>
      </c>
      <c r="Q24" s="29">
        <v>2.5899999999999999E-2</v>
      </c>
      <c r="R24" s="29">
        <v>2.35E-2</v>
      </c>
      <c r="S24" s="29">
        <v>0.04</v>
      </c>
    </row>
    <row r="25" spans="1:19" x14ac:dyDescent="0.2">
      <c r="A25" s="34"/>
      <c r="B25" s="34" t="s">
        <v>100</v>
      </c>
      <c r="C25" s="34" t="s">
        <v>34</v>
      </c>
      <c r="D25" s="28" t="s">
        <v>39</v>
      </c>
      <c r="E25" s="24">
        <v>579</v>
      </c>
      <c r="F25" s="24">
        <v>544</v>
      </c>
      <c r="G25" s="24">
        <v>1121</v>
      </c>
      <c r="H25" s="24">
        <v>1000</v>
      </c>
      <c r="I25" s="24">
        <v>467</v>
      </c>
      <c r="J25" s="24">
        <v>477</v>
      </c>
      <c r="K25" s="24">
        <v>1033</v>
      </c>
      <c r="L25" s="24">
        <v>1175</v>
      </c>
      <c r="M25" s="24">
        <v>6</v>
      </c>
      <c r="N25" s="24">
        <v>560</v>
      </c>
      <c r="O25" s="24">
        <v>573</v>
      </c>
      <c r="P25" s="24">
        <v>562</v>
      </c>
      <c r="Q25" s="24">
        <v>565</v>
      </c>
      <c r="R25" s="24">
        <v>498</v>
      </c>
      <c r="S25" s="24">
        <v>574</v>
      </c>
    </row>
    <row r="26" spans="1:19" x14ac:dyDescent="0.2">
      <c r="A26" s="42" t="s">
        <v>101</v>
      </c>
      <c r="B26" s="18" cm="1">
        <f t="array" aca="1" ref="B26" ca="1">INDIRECT($B$24&amp;"6")</f>
        <v>13.7476</v>
      </c>
      <c r="C26" s="18" cm="1">
        <f t="array" aca="1" ref="C26" ca="1">INDIRECT($B$24&amp;"7")</f>
        <v>6.8599999999999994E-2</v>
      </c>
      <c r="D26" s="30"/>
    </row>
    <row r="27" spans="1:19" x14ac:dyDescent="0.2">
      <c r="A27" s="43" t="s">
        <v>102</v>
      </c>
      <c r="B27" s="18" cm="1">
        <f t="array" aca="1" ref="B27" ca="1">INDIRECT($B$24&amp;"19")</f>
        <v>13.6328</v>
      </c>
      <c r="C27" s="18" cm="1">
        <f t="array" aca="1" ref="C27" ca="1">INDIRECT($B$24&amp;"20")</f>
        <v>6.2399999999999997E-2</v>
      </c>
      <c r="D27" s="39" t="s">
        <v>41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</row>
    <row r="28" spans="1:19" x14ac:dyDescent="0.2">
      <c r="A28" s="44">
        <v>0.8</v>
      </c>
      <c r="B28" s="18" cm="1">
        <f t="array" aca="1" ref="B28" ca="1">INDIRECT($B$24&amp;"32")</f>
        <v>14.0084</v>
      </c>
      <c r="C28" s="18" cm="1">
        <f t="array" aca="1" ref="C28" ca="1">INDIRECT($B$24&amp;"33")</f>
        <v>6.9099999999999995E-2</v>
      </c>
      <c r="E28" s="28" t="s">
        <v>0</v>
      </c>
      <c r="F28" s="28" t="s">
        <v>1</v>
      </c>
      <c r="G28" s="28" t="s">
        <v>2</v>
      </c>
      <c r="H28" s="28" t="s">
        <v>3</v>
      </c>
      <c r="I28" s="28" t="s">
        <v>4</v>
      </c>
      <c r="J28" s="28" t="s">
        <v>5</v>
      </c>
      <c r="K28" s="28" t="s">
        <v>6</v>
      </c>
      <c r="L28" s="28" t="s">
        <v>7</v>
      </c>
      <c r="M28" s="28" t="s">
        <v>8</v>
      </c>
      <c r="N28" s="28" t="s">
        <v>9</v>
      </c>
      <c r="O28" s="28" t="s">
        <v>10</v>
      </c>
      <c r="P28" s="28" t="s">
        <v>11</v>
      </c>
      <c r="Q28" s="28" t="s">
        <v>12</v>
      </c>
      <c r="R28" s="28" t="s">
        <v>13</v>
      </c>
      <c r="S28" s="28" t="s">
        <v>14</v>
      </c>
    </row>
    <row r="29" spans="1:19" x14ac:dyDescent="0.2">
      <c r="A29" s="44">
        <v>0.67</v>
      </c>
      <c r="B29" s="18" cm="1">
        <f t="array" aca="1" ref="B29" ca="1">INDIRECT($B$24&amp;"45")</f>
        <v>13.9207</v>
      </c>
      <c r="C29" s="18" cm="1">
        <f t="array" aca="1" ref="C29" ca="1">INDIRECT($B$24&amp;"46")</f>
        <v>7.1499999999999994E-2</v>
      </c>
      <c r="D29" s="28" t="s">
        <v>15</v>
      </c>
      <c r="E29" s="19" t="s">
        <v>56</v>
      </c>
      <c r="F29" s="19" t="s">
        <v>57</v>
      </c>
      <c r="G29" s="19" t="s">
        <v>58</v>
      </c>
      <c r="H29" s="19" t="s">
        <v>59</v>
      </c>
      <c r="I29" s="19" t="s">
        <v>60</v>
      </c>
      <c r="J29" s="19" t="s">
        <v>61</v>
      </c>
      <c r="K29" s="19" t="s">
        <v>62</v>
      </c>
      <c r="L29" s="19" t="s">
        <v>63</v>
      </c>
      <c r="M29" s="19" t="s">
        <v>79</v>
      </c>
      <c r="N29" s="19" t="s">
        <v>64</v>
      </c>
      <c r="O29" s="35" t="s">
        <v>104</v>
      </c>
      <c r="P29" s="19" t="s">
        <v>65</v>
      </c>
      <c r="Q29" s="19" t="s">
        <v>66</v>
      </c>
      <c r="R29" s="19" t="s">
        <v>67</v>
      </c>
      <c r="S29" s="19" t="s">
        <v>68</v>
      </c>
    </row>
    <row r="30" spans="1:19" x14ac:dyDescent="0.2">
      <c r="D30" s="28" t="s">
        <v>16</v>
      </c>
      <c r="E30" s="24" t="s">
        <v>17</v>
      </c>
      <c r="F30" s="24" t="s">
        <v>18</v>
      </c>
      <c r="G30" s="24" t="s">
        <v>19</v>
      </c>
      <c r="H30" s="24" t="s">
        <v>20</v>
      </c>
      <c r="I30" s="24" t="s">
        <v>21</v>
      </c>
      <c r="J30" s="24" t="s">
        <v>22</v>
      </c>
      <c r="K30" s="24" t="s">
        <v>23</v>
      </c>
      <c r="L30" s="24" t="s">
        <v>24</v>
      </c>
      <c r="M30" s="24" t="s">
        <v>25</v>
      </c>
      <c r="N30" s="24" t="s">
        <v>26</v>
      </c>
      <c r="O30" s="24" t="s">
        <v>27</v>
      </c>
      <c r="P30" s="24" t="s">
        <v>28</v>
      </c>
      <c r="Q30" s="24" t="s">
        <v>29</v>
      </c>
      <c r="R30" s="24" t="s">
        <v>30</v>
      </c>
      <c r="S30" s="24" t="s">
        <v>31</v>
      </c>
    </row>
    <row r="31" spans="1:19" x14ac:dyDescent="0.2">
      <c r="D31" s="28" t="s">
        <v>32</v>
      </c>
      <c r="E31" s="24">
        <v>0.40500000000000003</v>
      </c>
      <c r="F31" s="24">
        <v>0.26400000000000001</v>
      </c>
      <c r="G31" s="24">
        <v>0.19600000000000001</v>
      </c>
      <c r="H31" s="24">
        <v>0.185</v>
      </c>
      <c r="I31" s="24">
        <v>0.254</v>
      </c>
      <c r="J31" s="24">
        <v>0.26200000000000001</v>
      </c>
      <c r="K31" s="24">
        <v>0.28299999999999997</v>
      </c>
      <c r="L31" s="24">
        <v>0.26800000000000002</v>
      </c>
      <c r="M31" s="24">
        <v>1.1000000000000001</v>
      </c>
      <c r="N31" s="24">
        <v>0.26800000000000002</v>
      </c>
      <c r="O31" s="24">
        <v>0.26700000000000002</v>
      </c>
      <c r="P31" s="24">
        <v>0.255</v>
      </c>
      <c r="Q31" s="24">
        <v>0.247</v>
      </c>
      <c r="R31" s="24">
        <v>0.23300000000000001</v>
      </c>
      <c r="S31" s="24">
        <v>0.26100000000000001</v>
      </c>
    </row>
    <row r="32" spans="1:19" x14ac:dyDescent="0.2">
      <c r="D32" s="32" t="s">
        <v>33</v>
      </c>
      <c r="E32" s="33">
        <v>11.8559</v>
      </c>
      <c r="F32" s="33">
        <v>11.6502</v>
      </c>
      <c r="G32" s="33">
        <v>23.014199999999999</v>
      </c>
      <c r="H32" s="33">
        <v>22.212900000000001</v>
      </c>
      <c r="I32" s="33">
        <v>11.3735</v>
      </c>
      <c r="J32" s="33">
        <v>11.408799999999999</v>
      </c>
      <c r="K32" s="33">
        <v>23.499199999999998</v>
      </c>
      <c r="L32" s="33">
        <v>23.898299999999999</v>
      </c>
      <c r="M32" s="33">
        <v>-0.26419999999999999</v>
      </c>
      <c r="N32" s="33">
        <v>13.589499999999999</v>
      </c>
      <c r="O32" s="33">
        <v>14.0084</v>
      </c>
      <c r="P32" s="33">
        <v>12.500999999999999</v>
      </c>
      <c r="Q32" s="33">
        <v>13.645799999999999</v>
      </c>
      <c r="R32" s="33">
        <v>12.863799999999999</v>
      </c>
      <c r="S32" s="33">
        <v>11.756</v>
      </c>
    </row>
    <row r="33" spans="4:19" x14ac:dyDescent="0.2">
      <c r="D33" s="32" t="s">
        <v>34</v>
      </c>
      <c r="E33" s="33">
        <v>0.12189999999999999</v>
      </c>
      <c r="F33" s="33">
        <v>0.1158</v>
      </c>
      <c r="G33" s="33">
        <v>0.21659999999999999</v>
      </c>
      <c r="H33" s="33">
        <v>0.24779999999999999</v>
      </c>
      <c r="I33" s="33">
        <v>0.12809999999999999</v>
      </c>
      <c r="J33" s="33">
        <v>0.1225</v>
      </c>
      <c r="K33" s="33">
        <v>0.22689999999999999</v>
      </c>
      <c r="L33" s="33">
        <v>0.27179999999999999</v>
      </c>
      <c r="M33" s="33">
        <v>0.10340000000000001</v>
      </c>
      <c r="N33" s="33">
        <v>0.14280000000000001</v>
      </c>
      <c r="O33" s="33">
        <v>6.9099999999999995E-2</v>
      </c>
      <c r="P33" s="33">
        <v>0.12859999999999999</v>
      </c>
      <c r="Q33" s="33">
        <v>5.62E-2</v>
      </c>
      <c r="R33" s="33">
        <v>5.4300000000000001E-2</v>
      </c>
      <c r="S33" s="33">
        <v>9.6000000000000002E-2</v>
      </c>
    </row>
    <row r="34" spans="4:19" x14ac:dyDescent="0.2">
      <c r="D34" s="28" t="s">
        <v>35</v>
      </c>
      <c r="E34" s="29">
        <v>1.03E-2</v>
      </c>
      <c r="F34" s="29">
        <v>9.9000000000000008E-3</v>
      </c>
      <c r="G34" s="29">
        <v>9.4000000000000004E-3</v>
      </c>
      <c r="H34" s="29">
        <v>1.12E-2</v>
      </c>
      <c r="I34" s="29">
        <v>1.1299999999999999E-2</v>
      </c>
      <c r="J34" s="29">
        <v>1.0699999999999999E-2</v>
      </c>
      <c r="K34" s="29">
        <v>9.7000000000000003E-3</v>
      </c>
      <c r="L34" s="29">
        <v>1.14E-2</v>
      </c>
      <c r="M34" s="29">
        <v>-0.39119999999999999</v>
      </c>
      <c r="N34" s="29">
        <v>1.0500000000000001E-2</v>
      </c>
      <c r="O34" s="29">
        <v>4.8999999999999998E-3</v>
      </c>
      <c r="P34" s="29">
        <v>1.03E-2</v>
      </c>
      <c r="Q34" s="29">
        <v>4.1000000000000003E-3</v>
      </c>
      <c r="R34" s="29">
        <v>4.1999999999999997E-3</v>
      </c>
      <c r="S34" s="29">
        <v>8.2000000000000007E-3</v>
      </c>
    </row>
    <row r="35" spans="4:19" x14ac:dyDescent="0.2">
      <c r="D35" s="28" t="s">
        <v>36</v>
      </c>
      <c r="E35" s="24">
        <v>6.7999999999999996E-3</v>
      </c>
      <c r="F35" s="24">
        <v>6.4999999999999997E-3</v>
      </c>
      <c r="G35" s="24">
        <v>1.21E-2</v>
      </c>
      <c r="H35" s="24">
        <v>1.3899999999999999E-2</v>
      </c>
      <c r="I35" s="24">
        <v>7.1999999999999998E-3</v>
      </c>
      <c r="J35" s="24">
        <v>6.7999999999999996E-3</v>
      </c>
      <c r="K35" s="24">
        <v>1.2699999999999999E-2</v>
      </c>
      <c r="L35" s="24">
        <v>1.52E-2</v>
      </c>
      <c r="M35" s="24">
        <v>5.7999999999999996E-3</v>
      </c>
      <c r="N35" s="24">
        <v>8.0000000000000002E-3</v>
      </c>
      <c r="O35" s="24">
        <v>3.8999999999999998E-3</v>
      </c>
      <c r="P35" s="24">
        <v>7.1999999999999998E-3</v>
      </c>
      <c r="Q35" s="24">
        <v>3.0999999999999999E-3</v>
      </c>
      <c r="R35" s="24">
        <v>3.0000000000000001E-3</v>
      </c>
      <c r="S35" s="24">
        <v>5.4000000000000003E-3</v>
      </c>
    </row>
    <row r="36" spans="4:19" x14ac:dyDescent="0.2">
      <c r="D36" s="28" t="s">
        <v>37</v>
      </c>
      <c r="E36" s="29">
        <v>5.9999999999999995E-4</v>
      </c>
      <c r="F36" s="29">
        <v>5.9999999999999995E-4</v>
      </c>
      <c r="G36" s="29">
        <v>5.0000000000000001E-4</v>
      </c>
      <c r="H36" s="29">
        <v>5.9999999999999995E-4</v>
      </c>
      <c r="I36" s="29">
        <v>5.9999999999999995E-4</v>
      </c>
      <c r="J36" s="29">
        <v>5.9999999999999995E-4</v>
      </c>
      <c r="K36" s="29">
        <v>5.0000000000000001E-4</v>
      </c>
      <c r="L36" s="29">
        <v>5.9999999999999995E-4</v>
      </c>
      <c r="M36" s="29">
        <v>-2.1899999999999999E-2</v>
      </c>
      <c r="N36" s="29">
        <v>5.9999999999999995E-4</v>
      </c>
      <c r="O36" s="29">
        <v>2.9999999999999997E-4</v>
      </c>
      <c r="P36" s="29">
        <v>5.9999999999999995E-4</v>
      </c>
      <c r="Q36" s="29">
        <v>2.0000000000000001E-4</v>
      </c>
      <c r="R36" s="29">
        <v>2.0000000000000001E-4</v>
      </c>
      <c r="S36" s="29">
        <v>5.0000000000000001E-4</v>
      </c>
    </row>
    <row r="37" spans="4:19" x14ac:dyDescent="0.2">
      <c r="D37" s="28" t="s">
        <v>38</v>
      </c>
      <c r="E37" s="29">
        <v>5.0200000000000002E-2</v>
      </c>
      <c r="F37" s="29">
        <v>5.4199999999999998E-2</v>
      </c>
      <c r="G37" s="29">
        <v>4.4999999999999998E-2</v>
      </c>
      <c r="H37" s="29">
        <v>4.9500000000000002E-2</v>
      </c>
      <c r="I37" s="29">
        <v>4.9700000000000001E-2</v>
      </c>
      <c r="J37" s="29">
        <v>5.0799999999999998E-2</v>
      </c>
      <c r="K37" s="29">
        <v>3.7900000000000003E-2</v>
      </c>
      <c r="L37" s="29">
        <v>5.62E-2</v>
      </c>
      <c r="M37" s="29">
        <v>-2.5428999999999999</v>
      </c>
      <c r="N37" s="29">
        <v>4.5600000000000002E-2</v>
      </c>
      <c r="O37" s="29">
        <v>2.5999999999999999E-2</v>
      </c>
      <c r="P37" s="29">
        <v>4.19E-2</v>
      </c>
      <c r="Q37" s="29">
        <v>2.2700000000000001E-2</v>
      </c>
      <c r="R37" s="29">
        <v>2.29E-2</v>
      </c>
      <c r="S37" s="29">
        <v>4.0500000000000001E-2</v>
      </c>
    </row>
    <row r="38" spans="4:19" x14ac:dyDescent="0.2">
      <c r="D38" s="28" t="s">
        <v>39</v>
      </c>
      <c r="E38" s="24">
        <v>636</v>
      </c>
      <c r="F38" s="24">
        <v>597</v>
      </c>
      <c r="G38" s="24">
        <v>1228</v>
      </c>
      <c r="H38" s="24">
        <v>1095</v>
      </c>
      <c r="I38" s="24">
        <v>512</v>
      </c>
      <c r="J38" s="24">
        <v>504</v>
      </c>
      <c r="K38" s="24">
        <v>1140</v>
      </c>
      <c r="L38" s="24">
        <v>1294</v>
      </c>
      <c r="M38" s="24">
        <v>6</v>
      </c>
      <c r="N38" s="24">
        <v>650</v>
      </c>
      <c r="O38" s="24">
        <v>628</v>
      </c>
      <c r="P38" s="24">
        <v>612</v>
      </c>
      <c r="Q38" s="24">
        <v>610</v>
      </c>
      <c r="R38" s="24">
        <v>541</v>
      </c>
      <c r="S38" s="24">
        <v>627</v>
      </c>
    </row>
    <row r="39" spans="4:19" x14ac:dyDescent="0.2">
      <c r="D39" s="31"/>
    </row>
    <row r="40" spans="4:19" x14ac:dyDescent="0.2">
      <c r="D40" s="40" t="s">
        <v>40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</row>
    <row r="41" spans="4:19" x14ac:dyDescent="0.2">
      <c r="E41" s="28" t="s">
        <v>0</v>
      </c>
      <c r="F41" s="28" t="s">
        <v>1</v>
      </c>
      <c r="G41" s="28" t="s">
        <v>2</v>
      </c>
      <c r="H41" s="28" t="s">
        <v>3</v>
      </c>
      <c r="I41" s="28" t="s">
        <v>4</v>
      </c>
      <c r="J41" s="28" t="s">
        <v>5</v>
      </c>
      <c r="K41" s="28" t="s">
        <v>6</v>
      </c>
      <c r="L41" s="28" t="s">
        <v>7</v>
      </c>
      <c r="M41" s="28" t="s">
        <v>8</v>
      </c>
      <c r="N41" s="28" t="s">
        <v>9</v>
      </c>
      <c r="O41" s="28" t="s">
        <v>10</v>
      </c>
      <c r="P41" s="28" t="s">
        <v>11</v>
      </c>
      <c r="Q41" s="28" t="s">
        <v>12</v>
      </c>
      <c r="R41" s="28" t="s">
        <v>13</v>
      </c>
      <c r="S41" s="28" t="s">
        <v>14</v>
      </c>
    </row>
    <row r="42" spans="4:19" x14ac:dyDescent="0.2">
      <c r="D42" s="28" t="s">
        <v>15</v>
      </c>
      <c r="E42" s="19" t="s">
        <v>56</v>
      </c>
      <c r="F42" s="19" t="s">
        <v>57</v>
      </c>
      <c r="G42" s="19" t="s">
        <v>58</v>
      </c>
      <c r="H42" s="19" t="s">
        <v>59</v>
      </c>
      <c r="I42" s="19" t="s">
        <v>60</v>
      </c>
      <c r="J42" s="19" t="s">
        <v>61</v>
      </c>
      <c r="K42" s="19" t="s">
        <v>62</v>
      </c>
      <c r="L42" s="19" t="s">
        <v>63</v>
      </c>
      <c r="M42" s="19" t="s">
        <v>79</v>
      </c>
      <c r="N42" s="19" t="s">
        <v>64</v>
      </c>
      <c r="O42" s="35" t="s">
        <v>104</v>
      </c>
      <c r="P42" s="19" t="s">
        <v>65</v>
      </c>
      <c r="Q42" s="19" t="s">
        <v>66</v>
      </c>
      <c r="R42" s="19" t="s">
        <v>67</v>
      </c>
      <c r="S42" s="19" t="s">
        <v>68</v>
      </c>
    </row>
    <row r="43" spans="4:19" x14ac:dyDescent="0.2">
      <c r="D43" s="28" t="s">
        <v>16</v>
      </c>
      <c r="E43" s="24" t="s">
        <v>17</v>
      </c>
      <c r="F43" s="24" t="s">
        <v>18</v>
      </c>
      <c r="G43" s="24" t="s">
        <v>19</v>
      </c>
      <c r="H43" s="24" t="s">
        <v>20</v>
      </c>
      <c r="I43" s="24" t="s">
        <v>21</v>
      </c>
      <c r="J43" s="24" t="s">
        <v>22</v>
      </c>
      <c r="K43" s="24" t="s">
        <v>23</v>
      </c>
      <c r="L43" s="24" t="s">
        <v>24</v>
      </c>
      <c r="M43" s="24" t="s">
        <v>25</v>
      </c>
      <c r="N43" s="24" t="s">
        <v>26</v>
      </c>
      <c r="O43" s="24" t="s">
        <v>27</v>
      </c>
      <c r="P43" s="24" t="s">
        <v>28</v>
      </c>
      <c r="Q43" s="24" t="s">
        <v>29</v>
      </c>
      <c r="R43" s="24" t="s">
        <v>30</v>
      </c>
      <c r="S43" s="24" t="s">
        <v>31</v>
      </c>
    </row>
    <row r="44" spans="4:19" x14ac:dyDescent="0.2">
      <c r="D44" s="28" t="s">
        <v>32</v>
      </c>
      <c r="E44" s="24">
        <v>0.40500000000000003</v>
      </c>
      <c r="F44" s="24">
        <v>0.26400000000000001</v>
      </c>
      <c r="G44" s="24">
        <v>0.19600000000000001</v>
      </c>
      <c r="H44" s="24">
        <v>0.185</v>
      </c>
      <c r="I44" s="24">
        <v>0.254</v>
      </c>
      <c r="J44" s="24">
        <v>0.26200000000000001</v>
      </c>
      <c r="K44" s="24">
        <v>0.28299999999999997</v>
      </c>
      <c r="L44" s="24">
        <v>0.26800000000000002</v>
      </c>
      <c r="M44" s="24">
        <v>1.1000000000000001</v>
      </c>
      <c r="N44" s="24">
        <v>0.26800000000000002</v>
      </c>
      <c r="O44" s="24">
        <v>0.26700000000000002</v>
      </c>
      <c r="P44" s="24">
        <v>0.255</v>
      </c>
      <c r="Q44" s="24">
        <v>0.247</v>
      </c>
      <c r="R44" s="24">
        <v>0.23300000000000001</v>
      </c>
      <c r="S44" s="24">
        <v>0.26100000000000001</v>
      </c>
    </row>
    <row r="45" spans="4:19" x14ac:dyDescent="0.2">
      <c r="D45" s="32" t="s">
        <v>33</v>
      </c>
      <c r="E45" s="33">
        <v>11.891999999999999</v>
      </c>
      <c r="F45" s="33">
        <v>11.515000000000001</v>
      </c>
      <c r="G45" s="33">
        <v>23.2898</v>
      </c>
      <c r="H45" s="33">
        <v>22.657800000000002</v>
      </c>
      <c r="I45" s="33">
        <v>11.169499999999999</v>
      </c>
      <c r="J45" s="33">
        <v>11.3805</v>
      </c>
      <c r="K45" s="33">
        <v>23.414000000000001</v>
      </c>
      <c r="L45" s="33">
        <v>23.4345</v>
      </c>
      <c r="M45" s="33">
        <v>-0.28520000000000001</v>
      </c>
      <c r="N45" s="33">
        <v>13.3</v>
      </c>
      <c r="O45" s="33">
        <v>13.9207</v>
      </c>
      <c r="P45" s="33">
        <v>12.415800000000001</v>
      </c>
      <c r="Q45" s="33">
        <v>13.5565</v>
      </c>
      <c r="R45" s="33">
        <v>12.7758</v>
      </c>
      <c r="S45" s="33">
        <v>11.722099999999999</v>
      </c>
    </row>
    <row r="46" spans="4:19" x14ac:dyDescent="0.2">
      <c r="D46" s="32" t="s">
        <v>34</v>
      </c>
      <c r="E46" s="33">
        <v>0.1231</v>
      </c>
      <c r="F46" s="33">
        <v>0.11940000000000001</v>
      </c>
      <c r="G46" s="33">
        <v>0.2291</v>
      </c>
      <c r="H46" s="33">
        <v>0.22969999999999999</v>
      </c>
      <c r="I46" s="33">
        <v>0.1201</v>
      </c>
      <c r="J46" s="33">
        <v>0.1181</v>
      </c>
      <c r="K46" s="33">
        <v>0.22839999999999999</v>
      </c>
      <c r="L46" s="33">
        <v>0.2394</v>
      </c>
      <c r="M46" s="33">
        <v>0.1024</v>
      </c>
      <c r="N46" s="33">
        <v>0.1384</v>
      </c>
      <c r="O46" s="33">
        <v>7.1499999999999994E-2</v>
      </c>
      <c r="P46" s="33">
        <v>0.12989999999999999</v>
      </c>
      <c r="Q46" s="33">
        <v>5.74E-2</v>
      </c>
      <c r="R46" s="33">
        <v>5.1400000000000001E-2</v>
      </c>
      <c r="S46" s="33">
        <v>9.1399999999999995E-2</v>
      </c>
    </row>
    <row r="47" spans="4:19" x14ac:dyDescent="0.2">
      <c r="D47" s="28" t="s">
        <v>35</v>
      </c>
      <c r="E47" s="29">
        <v>1.03E-2</v>
      </c>
      <c r="F47" s="29">
        <v>1.04E-2</v>
      </c>
      <c r="G47" s="29">
        <v>9.7999999999999997E-3</v>
      </c>
      <c r="H47" s="29">
        <v>1.01E-2</v>
      </c>
      <c r="I47" s="29">
        <v>1.0699999999999999E-2</v>
      </c>
      <c r="J47" s="29">
        <v>1.04E-2</v>
      </c>
      <c r="K47" s="29">
        <v>9.7999999999999997E-3</v>
      </c>
      <c r="L47" s="29">
        <v>1.0200000000000001E-2</v>
      </c>
      <c r="M47" s="29">
        <v>-0.35899999999999999</v>
      </c>
      <c r="N47" s="29">
        <v>1.04E-2</v>
      </c>
      <c r="O47" s="29">
        <v>5.1000000000000004E-3</v>
      </c>
      <c r="P47" s="29">
        <v>1.0500000000000001E-2</v>
      </c>
      <c r="Q47" s="29">
        <v>4.1999999999999997E-3</v>
      </c>
      <c r="R47" s="29">
        <v>4.0000000000000001E-3</v>
      </c>
      <c r="S47" s="29">
        <v>7.7999999999999996E-3</v>
      </c>
    </row>
    <row r="48" spans="4:19" x14ac:dyDescent="0.2">
      <c r="D48" s="28" t="s">
        <v>36</v>
      </c>
      <c r="E48" s="24">
        <v>6.8999999999999999E-3</v>
      </c>
      <c r="F48" s="24">
        <v>6.7000000000000002E-3</v>
      </c>
      <c r="G48" s="24">
        <v>1.2800000000000001E-2</v>
      </c>
      <c r="H48" s="24">
        <v>1.2800000000000001E-2</v>
      </c>
      <c r="I48" s="24">
        <v>6.7000000000000002E-3</v>
      </c>
      <c r="J48" s="24">
        <v>6.6E-3</v>
      </c>
      <c r="K48" s="24">
        <v>1.2800000000000001E-2</v>
      </c>
      <c r="L48" s="24">
        <v>1.34E-2</v>
      </c>
      <c r="M48" s="24">
        <v>5.7000000000000002E-3</v>
      </c>
      <c r="N48" s="24">
        <v>7.7000000000000002E-3</v>
      </c>
      <c r="O48" s="24">
        <v>4.0000000000000001E-3</v>
      </c>
      <c r="P48" s="24">
        <v>7.3000000000000001E-3</v>
      </c>
      <c r="Q48" s="24">
        <v>3.2000000000000002E-3</v>
      </c>
      <c r="R48" s="24">
        <v>2.8999999999999998E-3</v>
      </c>
      <c r="S48" s="24">
        <v>5.1000000000000004E-3</v>
      </c>
    </row>
    <row r="49" spans="4:19" x14ac:dyDescent="0.2">
      <c r="D49" s="28" t="s">
        <v>37</v>
      </c>
      <c r="E49" s="29">
        <v>5.9999999999999995E-4</v>
      </c>
      <c r="F49" s="29">
        <v>5.9999999999999995E-4</v>
      </c>
      <c r="G49" s="29">
        <v>5.0000000000000001E-4</v>
      </c>
      <c r="H49" s="29">
        <v>5.9999999999999995E-4</v>
      </c>
      <c r="I49" s="29">
        <v>5.9999999999999995E-4</v>
      </c>
      <c r="J49" s="29">
        <v>5.9999999999999995E-4</v>
      </c>
      <c r="K49" s="29">
        <v>5.0000000000000001E-4</v>
      </c>
      <c r="L49" s="29">
        <v>5.9999999999999995E-4</v>
      </c>
      <c r="M49" s="29">
        <v>-2.01E-2</v>
      </c>
      <c r="N49" s="29">
        <v>5.9999999999999995E-4</v>
      </c>
      <c r="O49" s="29">
        <v>2.9999999999999997E-4</v>
      </c>
      <c r="P49" s="29">
        <v>5.9999999999999995E-4</v>
      </c>
      <c r="Q49" s="29">
        <v>2.0000000000000001E-4</v>
      </c>
      <c r="R49" s="29">
        <v>2.0000000000000001E-4</v>
      </c>
      <c r="S49" s="29">
        <v>4.0000000000000002E-4</v>
      </c>
    </row>
    <row r="50" spans="4:19" x14ac:dyDescent="0.2">
      <c r="D50" s="28" t="s">
        <v>38</v>
      </c>
      <c r="E50" s="29">
        <v>5.2900000000000003E-2</v>
      </c>
      <c r="F50" s="29">
        <v>4.53E-2</v>
      </c>
      <c r="G50" s="29">
        <v>4.3099999999999999E-2</v>
      </c>
      <c r="H50" s="29">
        <v>3.9899999999999998E-2</v>
      </c>
      <c r="I50" s="29">
        <v>5.0200000000000002E-2</v>
      </c>
      <c r="J50" s="29">
        <v>4.8000000000000001E-2</v>
      </c>
      <c r="K50" s="29">
        <v>3.9E-2</v>
      </c>
      <c r="L50" s="29">
        <v>4.4600000000000001E-2</v>
      </c>
      <c r="M50" s="29">
        <v>-2.1191</v>
      </c>
      <c r="N50" s="29">
        <v>4.4299999999999999E-2</v>
      </c>
      <c r="O50" s="29">
        <v>2.8400000000000002E-2</v>
      </c>
      <c r="P50" s="29">
        <v>4.8800000000000003E-2</v>
      </c>
      <c r="Q50" s="29">
        <v>2.3900000000000001E-2</v>
      </c>
      <c r="R50" s="29">
        <v>2.35E-2</v>
      </c>
      <c r="S50" s="29">
        <v>4.1099999999999998E-2</v>
      </c>
    </row>
    <row r="51" spans="4:19" x14ac:dyDescent="0.2">
      <c r="D51" s="28" t="s">
        <v>39</v>
      </c>
      <c r="E51" s="24">
        <v>633</v>
      </c>
      <c r="F51" s="24">
        <v>599</v>
      </c>
      <c r="G51" s="24">
        <v>1209</v>
      </c>
      <c r="H51" s="24">
        <v>1079</v>
      </c>
      <c r="I51" s="24">
        <v>505</v>
      </c>
      <c r="J51" s="24">
        <v>503</v>
      </c>
      <c r="K51" s="24">
        <v>1128</v>
      </c>
      <c r="L51" s="24">
        <v>1288</v>
      </c>
      <c r="M51" s="24">
        <v>6</v>
      </c>
      <c r="N51" s="24">
        <v>629</v>
      </c>
      <c r="O51" s="24">
        <v>621</v>
      </c>
      <c r="P51" s="24">
        <v>611</v>
      </c>
      <c r="Q51" s="24">
        <v>604</v>
      </c>
      <c r="R51" s="24">
        <v>532</v>
      </c>
      <c r="S51" s="24">
        <v>616</v>
      </c>
    </row>
    <row r="53" spans="4:19" x14ac:dyDescent="0.2"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4:19" x14ac:dyDescent="0.2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4:19" x14ac:dyDescent="0.2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4:19" x14ac:dyDescent="0.2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4:19" x14ac:dyDescent="0.2">
      <c r="D57" s="22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4:19" x14ac:dyDescent="0.2">
      <c r="D58" s="22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4:19" x14ac:dyDescent="0.2">
      <c r="D59" s="22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4:19" x14ac:dyDescent="0.2">
      <c r="D60" s="26"/>
      <c r="E60" s="27"/>
      <c r="F60" s="2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4:19" x14ac:dyDescent="0.2"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4:19" x14ac:dyDescent="0.2"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4:19" x14ac:dyDescent="0.2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4:19" x14ac:dyDescent="0.2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6" spans="4:18" x14ac:dyDescent="0.2"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4:18" x14ac:dyDescent="0.2"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4:18" x14ac:dyDescent="0.2"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4:18" x14ac:dyDescent="0.2"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4:18" x14ac:dyDescent="0.2"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4:18" x14ac:dyDescent="0.2"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4:18" x14ac:dyDescent="0.2"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4:18" x14ac:dyDescent="0.2"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4:18" x14ac:dyDescent="0.2"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4:18" x14ac:dyDescent="0.2"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4:18" x14ac:dyDescent="0.2"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4:18" x14ac:dyDescent="0.2"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4:18" x14ac:dyDescent="0.2"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4:18" x14ac:dyDescent="0.2"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4:18" x14ac:dyDescent="0.2"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4:18" x14ac:dyDescent="0.2"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4:18" x14ac:dyDescent="0.2"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4:18" x14ac:dyDescent="0.2"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4:18" x14ac:dyDescent="0.2"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4:18" x14ac:dyDescent="0.2"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4:18" x14ac:dyDescent="0.2"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4:18" x14ac:dyDescent="0.2"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4:18" x14ac:dyDescent="0.2"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4:18" x14ac:dyDescent="0.2"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4:18" x14ac:dyDescent="0.2"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4:18" x14ac:dyDescent="0.2"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4:18" x14ac:dyDescent="0.2"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4:18" x14ac:dyDescent="0.2"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4:18" x14ac:dyDescent="0.2"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4:18" x14ac:dyDescent="0.2"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4:18" x14ac:dyDescent="0.2"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4:18" x14ac:dyDescent="0.2"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4:18" x14ac:dyDescent="0.2"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4:18" x14ac:dyDescent="0.2"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4:18" x14ac:dyDescent="0.2"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4:18" x14ac:dyDescent="0.2"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4:18" x14ac:dyDescent="0.2"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4:18" x14ac:dyDescent="0.2"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4:18" x14ac:dyDescent="0.2"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4:18" x14ac:dyDescent="0.2"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4:18" x14ac:dyDescent="0.2"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4:18" x14ac:dyDescent="0.2"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4:18" x14ac:dyDescent="0.2"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4:18" x14ac:dyDescent="0.2"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4:18" x14ac:dyDescent="0.2"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4:18" x14ac:dyDescent="0.2"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4:18" x14ac:dyDescent="0.2"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4:18" x14ac:dyDescent="0.2"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4:18" x14ac:dyDescent="0.2"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4:18" x14ac:dyDescent="0.2"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4:18" x14ac:dyDescent="0.2"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4:18" x14ac:dyDescent="0.2"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4:18" x14ac:dyDescent="0.2"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4:18" x14ac:dyDescent="0.2"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4:18" x14ac:dyDescent="0.2"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4:18" x14ac:dyDescent="0.2"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4:18" x14ac:dyDescent="0.2"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4:18" x14ac:dyDescent="0.2"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4:18" x14ac:dyDescent="0.2"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4:18" x14ac:dyDescent="0.2"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4:18" x14ac:dyDescent="0.2"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4:18" x14ac:dyDescent="0.2"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4:18" x14ac:dyDescent="0.2"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4:18" x14ac:dyDescent="0.2"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</sheetData>
  <mergeCells count="4">
    <mergeCell ref="D1:S1"/>
    <mergeCell ref="D14:S14"/>
    <mergeCell ref="D27:S27"/>
    <mergeCell ref="D40:S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B63C-EAD5-4018-BCDA-A5E896FA83F4}">
  <dimension ref="A1:R45"/>
  <sheetViews>
    <sheetView zoomScale="141" zoomScaleNormal="141" workbookViewId="0">
      <selection activeCell="B15" sqref="B15"/>
    </sheetView>
  </sheetViews>
  <sheetFormatPr baseColWidth="10" defaultColWidth="14.5" defaultRowHeight="15.75" customHeight="1" x14ac:dyDescent="0.2"/>
  <cols>
    <col min="1" max="1" width="24.83203125" style="18" customWidth="1"/>
    <col min="2" max="2" width="17.33203125" style="18" customWidth="1"/>
    <col min="3" max="3" width="28.83203125" style="18" customWidth="1"/>
    <col min="4" max="16384" width="14.5" style="18"/>
  </cols>
  <sheetData>
    <row r="1" spans="1:3" ht="14" x14ac:dyDescent="0.2"/>
    <row r="2" spans="1:3" ht="14" x14ac:dyDescent="0.2"/>
    <row r="3" spans="1:3" ht="14" x14ac:dyDescent="0.2"/>
    <row r="4" spans="1:3" ht="14" x14ac:dyDescent="0.2"/>
    <row r="5" spans="1:3" ht="14" x14ac:dyDescent="0.2"/>
    <row r="6" spans="1:3" ht="14" x14ac:dyDescent="0.2"/>
    <row r="7" spans="1:3" ht="14" x14ac:dyDescent="0.2"/>
    <row r="8" spans="1:3" ht="14" x14ac:dyDescent="0.2"/>
    <row r="9" spans="1:3" ht="14" x14ac:dyDescent="0.2"/>
    <row r="10" spans="1:3" ht="14" x14ac:dyDescent="0.2"/>
    <row r="11" spans="1:3" ht="14" x14ac:dyDescent="0.2"/>
    <row r="12" spans="1:3" ht="14" x14ac:dyDescent="0.2"/>
    <row r="13" spans="1:3" ht="14" x14ac:dyDescent="0.2">
      <c r="B13" s="19" t="s">
        <v>43</v>
      </c>
      <c r="C13" s="18" t="s">
        <v>78</v>
      </c>
    </row>
    <row r="14" spans="1:3" ht="14" x14ac:dyDescent="0.2">
      <c r="A14" s="19" t="s">
        <v>41</v>
      </c>
      <c r="B14" s="20">
        <f>'Raw Data'!A28</f>
        <v>0.8</v>
      </c>
      <c r="C14" s="18">
        <f>LN(1-B14)</f>
        <v>-1.6094379124341005</v>
      </c>
    </row>
    <row r="15" spans="1:3" ht="14" x14ac:dyDescent="0.2">
      <c r="A15" s="19" t="s">
        <v>40</v>
      </c>
      <c r="B15" s="20">
        <f>'Raw Data'!A29</f>
        <v>0.67</v>
      </c>
      <c r="C15" s="18">
        <f>LN(1-B15)</f>
        <v>-1.1086626245216114</v>
      </c>
    </row>
    <row r="16" spans="1:3" ht="14" x14ac:dyDescent="0.2"/>
    <row r="17" spans="1:18" ht="14" x14ac:dyDescent="0.2">
      <c r="C17" s="19" t="s">
        <v>44</v>
      </c>
      <c r="D17" s="19" t="s">
        <v>45</v>
      </c>
      <c r="E17" s="19" t="s">
        <v>46</v>
      </c>
      <c r="F17" s="19" t="s">
        <v>47</v>
      </c>
      <c r="G17" s="19" t="s">
        <v>48</v>
      </c>
      <c r="H17" s="19" t="s">
        <v>49</v>
      </c>
      <c r="I17" s="19" t="s">
        <v>50</v>
      </c>
      <c r="J17" s="19" t="s">
        <v>51</v>
      </c>
      <c r="K17" s="19" t="s">
        <v>98</v>
      </c>
      <c r="L17" s="19" t="s">
        <v>52</v>
      </c>
      <c r="M17" s="19" t="s">
        <v>52</v>
      </c>
      <c r="N17" s="19" t="s">
        <v>53</v>
      </c>
      <c r="O17" s="19" t="s">
        <v>54</v>
      </c>
      <c r="P17" s="19" t="s">
        <v>55</v>
      </c>
      <c r="Q17" s="19" t="s">
        <v>71</v>
      </c>
    </row>
    <row r="18" spans="1:18" ht="14" x14ac:dyDescent="0.2">
      <c r="A18" s="19"/>
      <c r="B18" s="19"/>
      <c r="C18" s="19" t="s">
        <v>56</v>
      </c>
      <c r="D18" s="19" t="s">
        <v>57</v>
      </c>
      <c r="E18" s="19" t="s">
        <v>58</v>
      </c>
      <c r="F18" s="19" t="s">
        <v>59</v>
      </c>
      <c r="G18" s="19" t="s">
        <v>60</v>
      </c>
      <c r="H18" s="19" t="s">
        <v>61</v>
      </c>
      <c r="I18" s="19" t="s">
        <v>62</v>
      </c>
      <c r="J18" s="19" t="s">
        <v>63</v>
      </c>
      <c r="K18" s="19" t="s">
        <v>79</v>
      </c>
      <c r="L18" s="19" t="s">
        <v>64</v>
      </c>
      <c r="M18" s="35" t="s">
        <v>104</v>
      </c>
      <c r="N18" s="19" t="s">
        <v>65</v>
      </c>
      <c r="O18" s="19" t="s">
        <v>66</v>
      </c>
      <c r="P18" s="19" t="s">
        <v>67</v>
      </c>
      <c r="Q18" s="19" t="s">
        <v>68</v>
      </c>
      <c r="R18" s="19" t="s">
        <v>74</v>
      </c>
    </row>
    <row r="19" spans="1:18" ht="14" x14ac:dyDescent="0.2">
      <c r="A19" s="19" t="s">
        <v>42</v>
      </c>
      <c r="B19" s="19" t="s">
        <v>100</v>
      </c>
      <c r="C19" s="24">
        <f>'Raw Data'!E6</f>
        <v>11.8401</v>
      </c>
      <c r="D19" s="24">
        <f>'Raw Data'!F6</f>
        <v>11.404400000000001</v>
      </c>
      <c r="E19" s="24">
        <f>'Raw Data'!G6</f>
        <v>22.7607</v>
      </c>
      <c r="F19" s="24">
        <f>'Raw Data'!H6</f>
        <v>22.134399999999999</v>
      </c>
      <c r="G19" s="24">
        <f>'Raw Data'!I6</f>
        <v>11.1683</v>
      </c>
      <c r="H19" s="24">
        <f>'Raw Data'!J6</f>
        <v>11.272600000000001</v>
      </c>
      <c r="I19" s="24">
        <f>'Raw Data'!K6</f>
        <v>23.130600000000001</v>
      </c>
      <c r="J19" s="24">
        <f>'Raw Data'!L6</f>
        <v>23.716799999999999</v>
      </c>
      <c r="K19" s="24"/>
      <c r="L19" s="24">
        <f>'Raw Data'!N6</f>
        <v>12.725199999999999</v>
      </c>
      <c r="M19" s="24">
        <f>'Raw Data'!O6</f>
        <v>13.7476</v>
      </c>
      <c r="N19" s="24">
        <f>'Raw Data'!P6</f>
        <v>12.3241</v>
      </c>
      <c r="O19" s="24">
        <f>'Raw Data'!Q6</f>
        <v>13.5581</v>
      </c>
      <c r="P19" s="24">
        <f>'Raw Data'!R6</f>
        <v>12.7194</v>
      </c>
      <c r="Q19" s="24">
        <f>'Raw Data'!S6</f>
        <v>11.5466</v>
      </c>
      <c r="R19" s="18">
        <f ca="1">'Raw Data'!B26</f>
        <v>13.7476</v>
      </c>
    </row>
    <row r="20" spans="1:18" ht="14" x14ac:dyDescent="0.2">
      <c r="A20" s="19"/>
      <c r="B20" s="19" t="s">
        <v>69</v>
      </c>
      <c r="C20" s="21">
        <f t="shared" ref="C20:J20" ca="1" si="0">C19/$R19</f>
        <v>0.8612485088306322</v>
      </c>
      <c r="D20" s="21">
        <f t="shared" ca="1" si="0"/>
        <v>0.82955570426838143</v>
      </c>
      <c r="E20" s="21">
        <f t="shared" ca="1" si="0"/>
        <v>1.6556126160202507</v>
      </c>
      <c r="F20" s="21">
        <f t="shared" ca="1" si="0"/>
        <v>1.6100555733364368</v>
      </c>
      <c r="G20" s="21">
        <f t="shared" ca="1" si="0"/>
        <v>0.81238179755011786</v>
      </c>
      <c r="H20" s="21">
        <f t="shared" ca="1" si="0"/>
        <v>0.81996857633332365</v>
      </c>
      <c r="I20" s="21">
        <f t="shared" ca="1" si="0"/>
        <v>1.6825191306118887</v>
      </c>
      <c r="J20" s="21">
        <f t="shared" ca="1" si="0"/>
        <v>1.7251593005324566</v>
      </c>
      <c r="K20" s="21"/>
      <c r="L20" s="21">
        <f t="shared" ref="L20:Q20" ca="1" si="1">L19/$R19</f>
        <v>0.92563065553260193</v>
      </c>
      <c r="M20" s="21">
        <f t="shared" ca="1" si="1"/>
        <v>1</v>
      </c>
      <c r="N20" s="21">
        <f t="shared" ca="1" si="1"/>
        <v>0.89645465390322665</v>
      </c>
      <c r="O20" s="21">
        <f t="shared" ca="1" si="1"/>
        <v>0.98621577584451103</v>
      </c>
      <c r="P20" s="21">
        <f t="shared" ca="1" si="1"/>
        <v>0.92520876371148419</v>
      </c>
      <c r="Q20" s="21">
        <f t="shared" ca="1" si="1"/>
        <v>0.83989932788268495</v>
      </c>
    </row>
    <row r="21" spans="1:18" ht="14" x14ac:dyDescent="0.2">
      <c r="A21" s="19" t="s">
        <v>70</v>
      </c>
      <c r="B21" s="19" t="s">
        <v>100</v>
      </c>
      <c r="C21" s="24">
        <f>'Raw Data'!E19</f>
        <v>11.666399999999999</v>
      </c>
      <c r="D21" s="24">
        <f>'Raw Data'!F19</f>
        <v>11.3691</v>
      </c>
      <c r="E21" s="24">
        <f>'Raw Data'!G19</f>
        <v>23.158300000000001</v>
      </c>
      <c r="F21" s="24">
        <f>'Raw Data'!H19</f>
        <v>22.208100000000002</v>
      </c>
      <c r="G21" s="24">
        <f>'Raw Data'!I19</f>
        <v>10.9587</v>
      </c>
      <c r="H21" s="24">
        <f>'Raw Data'!J19</f>
        <v>11.345700000000001</v>
      </c>
      <c r="I21" s="24">
        <f>'Raw Data'!K19</f>
        <v>22.9239</v>
      </c>
      <c r="J21" s="24">
        <f>'Raw Data'!L19</f>
        <v>23.159700000000001</v>
      </c>
      <c r="K21" s="24"/>
      <c r="L21" s="24">
        <f>'Raw Data'!N19</f>
        <v>12.556800000000001</v>
      </c>
      <c r="M21" s="24">
        <f>'Raw Data'!O19</f>
        <v>13.6328</v>
      </c>
      <c r="N21" s="24">
        <f>'Raw Data'!P19</f>
        <v>12.179399999999999</v>
      </c>
      <c r="O21" s="24">
        <f>'Raw Data'!Q19</f>
        <v>13.428900000000001</v>
      </c>
      <c r="P21" s="24">
        <f>'Raw Data'!R19</f>
        <v>12.5816</v>
      </c>
      <c r="Q21" s="24">
        <f>'Raw Data'!S19</f>
        <v>11.4842</v>
      </c>
      <c r="R21" s="18">
        <f ca="1">'Raw Data'!B27</f>
        <v>13.6328</v>
      </c>
    </row>
    <row r="22" spans="1:18" ht="14" x14ac:dyDescent="0.2">
      <c r="A22" s="19"/>
      <c r="B22" s="19" t="s">
        <v>69</v>
      </c>
      <c r="C22" s="21">
        <f t="shared" ref="C22:J22" ca="1" si="2">C21/$R21</f>
        <v>0.85575963851886627</v>
      </c>
      <c r="D22" s="21">
        <f t="shared" ca="1" si="2"/>
        <v>0.83395193944017365</v>
      </c>
      <c r="E22" s="21">
        <f t="shared" ca="1" si="2"/>
        <v>1.6987192653013321</v>
      </c>
      <c r="F22" s="21">
        <f t="shared" ca="1" si="2"/>
        <v>1.6290197171527494</v>
      </c>
      <c r="G22" s="21">
        <f t="shared" ca="1" si="2"/>
        <v>0.80384807229622679</v>
      </c>
      <c r="H22" s="21">
        <f t="shared" ca="1" si="2"/>
        <v>0.83223549087494875</v>
      </c>
      <c r="I22" s="21">
        <f t="shared" ca="1" si="2"/>
        <v>1.6815254386479668</v>
      </c>
      <c r="J22" s="21">
        <f t="shared" ca="1" si="2"/>
        <v>1.6988219588052345</v>
      </c>
      <c r="K22" s="21"/>
      <c r="L22" s="21">
        <f t="shared" ref="L22:Q22" ca="1" si="3">L21/$R21</f>
        <v>0.92107270700076294</v>
      </c>
      <c r="M22" s="21">
        <f t="shared" ca="1" si="3"/>
        <v>1</v>
      </c>
      <c r="N22" s="21">
        <f t="shared" ca="1" si="3"/>
        <v>0.89338947244879996</v>
      </c>
      <c r="O22" s="21">
        <f t="shared" ca="1" si="3"/>
        <v>0.98504342468165018</v>
      </c>
      <c r="P22" s="21">
        <f t="shared" ca="1" si="3"/>
        <v>0.9228918490698903</v>
      </c>
      <c r="Q22" s="21">
        <f t="shared" ca="1" si="3"/>
        <v>0.8423948125110029</v>
      </c>
    </row>
    <row r="23" spans="1:18" ht="14" x14ac:dyDescent="0.2">
      <c r="A23" s="19" t="s">
        <v>41</v>
      </c>
      <c r="B23" s="19" t="s">
        <v>100</v>
      </c>
      <c r="C23" s="23">
        <f>'Raw Data'!E32</f>
        <v>11.8559</v>
      </c>
      <c r="D23" s="23">
        <f>'Raw Data'!F32</f>
        <v>11.6502</v>
      </c>
      <c r="E23" s="23">
        <f>'Raw Data'!G32</f>
        <v>23.014199999999999</v>
      </c>
      <c r="F23" s="23">
        <f>'Raw Data'!H32</f>
        <v>22.212900000000001</v>
      </c>
      <c r="G23" s="23">
        <f>'Raw Data'!I32</f>
        <v>11.3735</v>
      </c>
      <c r="H23" s="23">
        <f>'Raw Data'!J32</f>
        <v>11.408799999999999</v>
      </c>
      <c r="I23" s="23">
        <f>'Raw Data'!K32</f>
        <v>23.499199999999998</v>
      </c>
      <c r="J23" s="23">
        <f>'Raw Data'!L32</f>
        <v>23.898299999999999</v>
      </c>
      <c r="K23" s="23"/>
      <c r="L23" s="23">
        <f>'Raw Data'!N32</f>
        <v>13.589499999999999</v>
      </c>
      <c r="M23" s="23">
        <f>'Raw Data'!O32</f>
        <v>14.0084</v>
      </c>
      <c r="N23" s="23">
        <f>'Raw Data'!P32</f>
        <v>12.500999999999999</v>
      </c>
      <c r="O23" s="23">
        <f>'Raw Data'!Q32</f>
        <v>13.645799999999999</v>
      </c>
      <c r="P23" s="23">
        <f>'Raw Data'!R32</f>
        <v>12.863799999999999</v>
      </c>
      <c r="Q23" s="23">
        <f>'Raw Data'!S32</f>
        <v>11.756</v>
      </c>
      <c r="R23" s="22">
        <f ca="1">'Raw Data'!B28</f>
        <v>14.0084</v>
      </c>
    </row>
    <row r="24" spans="1:18" ht="14" x14ac:dyDescent="0.2">
      <c r="B24" s="19" t="s">
        <v>76</v>
      </c>
      <c r="C24" s="21">
        <f t="shared" ref="C24:J24" ca="1" si="4">C23/$R23</f>
        <v>0.84634219468319005</v>
      </c>
      <c r="D24" s="21">
        <f t="shared" ca="1" si="4"/>
        <v>0.83165814796836179</v>
      </c>
      <c r="E24" s="21">
        <f t="shared" ca="1" si="4"/>
        <v>1.6428856971531367</v>
      </c>
      <c r="F24" s="21">
        <f t="shared" ca="1" si="4"/>
        <v>1.5856843037034922</v>
      </c>
      <c r="G24" s="21">
        <f t="shared" ca="1" si="4"/>
        <v>0.81190571371462839</v>
      </c>
      <c r="H24" s="21">
        <f t="shared" ca="1" si="4"/>
        <v>0.81442563033608406</v>
      </c>
      <c r="I24" s="21">
        <f t="shared" ca="1" si="4"/>
        <v>1.6775077810456582</v>
      </c>
      <c r="J24" s="21">
        <f t="shared" ca="1" si="4"/>
        <v>1.7059978298735043</v>
      </c>
      <c r="K24" s="21"/>
      <c r="L24" s="21">
        <f t="shared" ref="L24:Q24" ca="1" si="5">L23/$R23</f>
        <v>0.97009651352045911</v>
      </c>
      <c r="M24" s="21">
        <f t="shared" ca="1" si="5"/>
        <v>1</v>
      </c>
      <c r="N24" s="21">
        <f t="shared" ca="1" si="5"/>
        <v>0.89239313554724309</v>
      </c>
      <c r="O24" s="21">
        <f t="shared" ca="1" si="5"/>
        <v>0.97411553068159096</v>
      </c>
      <c r="P24" s="21">
        <f t="shared" ca="1" si="5"/>
        <v>0.91829188201364886</v>
      </c>
      <c r="Q24" s="21">
        <f t="shared" ca="1" si="5"/>
        <v>0.83921075925873045</v>
      </c>
    </row>
    <row r="25" spans="1:18" ht="14" x14ac:dyDescent="0.2">
      <c r="A25" s="19" t="s">
        <v>40</v>
      </c>
      <c r="B25" s="19" t="s">
        <v>100</v>
      </c>
      <c r="C25" s="23">
        <f>'Raw Data'!E45</f>
        <v>11.891999999999999</v>
      </c>
      <c r="D25" s="23">
        <f>'Raw Data'!F45</f>
        <v>11.515000000000001</v>
      </c>
      <c r="E25" s="23">
        <f>'Raw Data'!G45</f>
        <v>23.2898</v>
      </c>
      <c r="F25" s="23">
        <f>'Raw Data'!H45</f>
        <v>22.657800000000002</v>
      </c>
      <c r="G25" s="23">
        <f>'Raw Data'!I45</f>
        <v>11.169499999999999</v>
      </c>
      <c r="H25" s="23">
        <f>'Raw Data'!J45</f>
        <v>11.3805</v>
      </c>
      <c r="I25" s="23">
        <f>'Raw Data'!K45</f>
        <v>23.414000000000001</v>
      </c>
      <c r="J25" s="23">
        <f>'Raw Data'!L45</f>
        <v>23.4345</v>
      </c>
      <c r="K25" s="23"/>
      <c r="L25" s="23">
        <f>'Raw Data'!N45</f>
        <v>13.3</v>
      </c>
      <c r="M25" s="23">
        <f>'Raw Data'!O45</f>
        <v>13.9207</v>
      </c>
      <c r="N25" s="23">
        <f>'Raw Data'!P45</f>
        <v>12.415800000000001</v>
      </c>
      <c r="O25" s="23">
        <f>'Raw Data'!Q45</f>
        <v>13.5565</v>
      </c>
      <c r="P25" s="23">
        <f>'Raw Data'!R45</f>
        <v>12.7758</v>
      </c>
      <c r="Q25" s="23">
        <f>'Raw Data'!S45</f>
        <v>11.722099999999999</v>
      </c>
      <c r="R25" s="18">
        <f ca="1">'Raw Data'!B29</f>
        <v>13.9207</v>
      </c>
    </row>
    <row r="26" spans="1:18" ht="14" x14ac:dyDescent="0.2">
      <c r="B26" s="19" t="s">
        <v>73</v>
      </c>
      <c r="C26" s="21">
        <f t="shared" ref="C26:J26" ca="1" si="6">C25/$R25</f>
        <v>0.8542673859791533</v>
      </c>
      <c r="D26" s="21">
        <f t="shared" ca="1" si="6"/>
        <v>0.82718541452656835</v>
      </c>
      <c r="E26" s="21">
        <f t="shared" ca="1" si="6"/>
        <v>1.6730336836509658</v>
      </c>
      <c r="F26" s="21">
        <f t="shared" ca="1" si="6"/>
        <v>1.627633667847163</v>
      </c>
      <c r="G26" s="21">
        <f t="shared" ca="1" si="6"/>
        <v>0.80236626031736902</v>
      </c>
      <c r="H26" s="21">
        <f t="shared" ca="1" si="6"/>
        <v>0.81752354407465133</v>
      </c>
      <c r="I26" s="21">
        <f t="shared" ca="1" si="6"/>
        <v>1.6819556487820297</v>
      </c>
      <c r="J26" s="21">
        <f t="shared" ca="1" si="6"/>
        <v>1.6834282758769314</v>
      </c>
      <c r="K26" s="21"/>
      <c r="L26" s="21">
        <f t="shared" ref="L26:Q26" ca="1" si="7">L25/$R25</f>
        <v>0.95541172498509419</v>
      </c>
      <c r="M26" s="21">
        <f t="shared" ca="1" si="7"/>
        <v>1</v>
      </c>
      <c r="N26" s="21">
        <f t="shared" ca="1" si="7"/>
        <v>0.89189480414059641</v>
      </c>
      <c r="O26" s="21">
        <f t="shared" ca="1" si="7"/>
        <v>0.97383752253837808</v>
      </c>
      <c r="P26" s="21">
        <f t="shared" ca="1" si="7"/>
        <v>0.91775557263643348</v>
      </c>
      <c r="Q26" s="21">
        <f t="shared" ca="1" si="7"/>
        <v>0.84206253995847902</v>
      </c>
    </row>
    <row r="28" spans="1:18" ht="14" x14ac:dyDescent="0.2">
      <c r="A28" s="19"/>
      <c r="B28" s="19" t="s">
        <v>72</v>
      </c>
      <c r="C28" s="21">
        <f t="shared" ref="C28:J28" ca="1" si="8">AVERAGE(C20,C22)</f>
        <v>0.85850407367474924</v>
      </c>
      <c r="D28" s="21">
        <f t="shared" ca="1" si="8"/>
        <v>0.83175382185427749</v>
      </c>
      <c r="E28" s="21">
        <f t="shared" ca="1" si="8"/>
        <v>1.6771659406607915</v>
      </c>
      <c r="F28" s="21">
        <f t="shared" ca="1" si="8"/>
        <v>1.6195376452445931</v>
      </c>
      <c r="G28" s="21">
        <f t="shared" ca="1" si="8"/>
        <v>0.80811493492317232</v>
      </c>
      <c r="H28" s="21">
        <f t="shared" ca="1" si="8"/>
        <v>0.82610203360413625</v>
      </c>
      <c r="I28" s="21">
        <f t="shared" ca="1" si="8"/>
        <v>1.6820222846299278</v>
      </c>
      <c r="J28" s="21">
        <f t="shared" ca="1" si="8"/>
        <v>1.7119906296688456</v>
      </c>
      <c r="K28" s="21"/>
      <c r="L28" s="21">
        <f t="shared" ref="L28:Q28" ca="1" si="9">AVERAGE(L20,L22)</f>
        <v>0.92335168126668243</v>
      </c>
      <c r="M28" s="21">
        <f t="shared" ca="1" si="9"/>
        <v>1</v>
      </c>
      <c r="N28" s="21">
        <f t="shared" ca="1" si="9"/>
        <v>0.8949220631760133</v>
      </c>
      <c r="O28" s="21">
        <f t="shared" ca="1" si="9"/>
        <v>0.98562960026308066</v>
      </c>
      <c r="P28" s="21">
        <f t="shared" ca="1" si="9"/>
        <v>0.9240503063906873</v>
      </c>
      <c r="Q28" s="21">
        <f t="shared" ca="1" si="9"/>
        <v>0.84114707019684398</v>
      </c>
    </row>
    <row r="29" spans="1:18" ht="14" x14ac:dyDescent="0.2">
      <c r="B29" s="19" t="s">
        <v>75</v>
      </c>
      <c r="C29" s="18">
        <f t="shared" ref="C29:I29" ca="1" si="10">C24/C28</f>
        <v>0.98583363857610906</v>
      </c>
      <c r="D29" s="18">
        <f t="shared" ca="1" si="10"/>
        <v>0.99988497331373549</v>
      </c>
      <c r="E29" s="18">
        <f t="shared" ca="1" si="10"/>
        <v>0.97956061312922404</v>
      </c>
      <c r="F29" s="18">
        <f t="shared" ca="1" si="10"/>
        <v>0.9790969097627934</v>
      </c>
      <c r="G29" s="18">
        <f t="shared" ca="1" si="10"/>
        <v>1.0046908906488858</v>
      </c>
      <c r="H29" s="18">
        <f t="shared" ca="1" si="10"/>
        <v>0.98586566453890678</v>
      </c>
      <c r="I29" s="18">
        <f t="shared" ca="1" si="10"/>
        <v>0.99731602629434679</v>
      </c>
      <c r="J29" s="18">
        <f ca="1">J24/J28</f>
        <v>0.99649951367052725</v>
      </c>
      <c r="L29" s="18">
        <f t="shared" ref="L29:Q29" ca="1" si="11">L24/L28</f>
        <v>1.0506251661226746</v>
      </c>
      <c r="M29" s="18">
        <f t="shared" ca="1" si="11"/>
        <v>1</v>
      </c>
      <c r="N29" s="18">
        <f t="shared" ca="1" si="11"/>
        <v>0.99717413646078268</v>
      </c>
      <c r="O29" s="18">
        <f t="shared" ca="1" si="11"/>
        <v>0.98831805621663915</v>
      </c>
      <c r="P29" s="18">
        <f t="shared" ca="1" si="11"/>
        <v>0.99376827826665559</v>
      </c>
      <c r="Q29" s="18">
        <f t="shared" ca="1" si="11"/>
        <v>0.99769801143376702</v>
      </c>
    </row>
    <row r="30" spans="1:18" ht="14" x14ac:dyDescent="0.2">
      <c r="B30" s="19" t="s">
        <v>77</v>
      </c>
      <c r="C30" s="18">
        <f t="shared" ref="C30:J30" ca="1" si="12">C26/C28</f>
        <v>0.99506503483732911</v>
      </c>
      <c r="D30" s="18">
        <f t="shared" ca="1" si="12"/>
        <v>0.99450750064781845</v>
      </c>
      <c r="E30" s="18">
        <f t="shared" ca="1" si="12"/>
        <v>0.99753616686957192</v>
      </c>
      <c r="F30" s="18">
        <f t="shared" ca="1" si="12"/>
        <v>1.0049989715437255</v>
      </c>
      <c r="G30" s="18">
        <f t="shared" ca="1" si="12"/>
        <v>0.99288631560020624</v>
      </c>
      <c r="H30" s="18">
        <f t="shared" ca="1" si="12"/>
        <v>0.98961570220078199</v>
      </c>
      <c r="I30" s="18">
        <f t="shared" ca="1" si="12"/>
        <v>0.99996038349283067</v>
      </c>
      <c r="J30" s="18">
        <f t="shared" ca="1" si="12"/>
        <v>0.98331629081554084</v>
      </c>
      <c r="L30" s="18">
        <f t="shared" ref="L30:Q30" ca="1" si="13">L26/L28</f>
        <v>1.0347213790464223</v>
      </c>
      <c r="M30" s="18">
        <f t="shared" ca="1" si="13"/>
        <v>1</v>
      </c>
      <c r="N30" s="18">
        <f t="shared" ca="1" si="13"/>
        <v>0.9966172931029621</v>
      </c>
      <c r="O30" s="18">
        <f t="shared" ca="1" si="13"/>
        <v>0.98803599473721659</v>
      </c>
      <c r="P30" s="18">
        <f t="shared" ca="1" si="13"/>
        <v>0.99318788846156991</v>
      </c>
      <c r="Q30" s="18">
        <f t="shared" ca="1" si="13"/>
        <v>1.0010883587354358</v>
      </c>
    </row>
    <row r="31" spans="1:18" ht="14" x14ac:dyDescent="0.2">
      <c r="B31" s="19"/>
    </row>
    <row r="32" spans="1:18" ht="15.75" customHeight="1" x14ac:dyDescent="0.2">
      <c r="B32" s="48" t="s">
        <v>80</v>
      </c>
      <c r="C32" s="47">
        <f t="shared" ref="C32:J33" ca="1" si="14">$C14/(LN((1-$B14)*C29))</f>
        <v>0.99121290066885726</v>
      </c>
      <c r="D32" s="47">
        <f t="shared" ca="1" si="14"/>
        <v>0.99992853089881517</v>
      </c>
      <c r="E32" s="47">
        <f t="shared" ca="1" si="14"/>
        <v>0.98733126788327319</v>
      </c>
      <c r="F32" s="47">
        <f t="shared" ca="1" si="14"/>
        <v>0.98704456162618359</v>
      </c>
      <c r="G32" s="47">
        <f t="shared" ca="1" si="14"/>
        <v>1.0029162794250226</v>
      </c>
      <c r="H32" s="47">
        <f t="shared" ca="1" si="14"/>
        <v>0.99123273236504772</v>
      </c>
      <c r="I32" s="47">
        <f t="shared" ca="1" si="14"/>
        <v>0.9983328952800602</v>
      </c>
      <c r="J32" s="47">
        <f t="shared" ca="1" si="14"/>
        <v>0.99782594672012492</v>
      </c>
      <c r="K32" s="47"/>
      <c r="L32" s="47">
        <f t="shared" ref="L32:Q33" ca="1" si="15">$C14/(LN((1-$B14)*L29))</f>
        <v>1.0316562310411772</v>
      </c>
      <c r="M32" s="47">
        <f t="shared" ca="1" si="15"/>
        <v>1</v>
      </c>
      <c r="N32" s="47">
        <f t="shared" ca="1" si="15"/>
        <v>0.99824479291144363</v>
      </c>
      <c r="O32" s="47">
        <f t="shared" ca="1" si="15"/>
        <v>0.99275179112322087</v>
      </c>
      <c r="P32" s="47">
        <f t="shared" ca="1" si="15"/>
        <v>0.9961309265296695</v>
      </c>
      <c r="Q32" s="47">
        <f t="shared" ca="1" si="15"/>
        <v>0.99857009284237541</v>
      </c>
    </row>
    <row r="33" spans="2:17" ht="14" x14ac:dyDescent="0.2">
      <c r="B33" s="48" t="s">
        <v>81</v>
      </c>
      <c r="C33" s="47">
        <f t="shared" ca="1" si="14"/>
        <v>0.995557526268537</v>
      </c>
      <c r="D33" s="47">
        <f t="shared" ca="1" si="14"/>
        <v>0.99505673525009164</v>
      </c>
      <c r="E33" s="47">
        <f t="shared" ca="1" si="14"/>
        <v>0.99777985071339603</v>
      </c>
      <c r="F33" s="47">
        <f t="shared" ca="1" si="14"/>
        <v>1.0045180992342282</v>
      </c>
      <c r="G33" s="47">
        <f t="shared" ca="1" si="14"/>
        <v>0.99360181375614043</v>
      </c>
      <c r="H33" s="47">
        <f t="shared" ca="1" si="14"/>
        <v>0.99067234431804163</v>
      </c>
      <c r="I33" s="47">
        <f t="shared" ca="1" si="14"/>
        <v>0.99996426696868668</v>
      </c>
      <c r="J33" s="47">
        <f t="shared" ca="1" si="14"/>
        <v>0.98505140554356752</v>
      </c>
      <c r="K33" s="47"/>
      <c r="L33" s="47">
        <f t="shared" ca="1" si="15"/>
        <v>1.0317647508516337</v>
      </c>
      <c r="M33" s="47">
        <f t="shared" ca="1" si="15"/>
        <v>1</v>
      </c>
      <c r="N33" s="47">
        <f t="shared" ca="1" si="15"/>
        <v>0.99695298058716186</v>
      </c>
      <c r="O33" s="47">
        <f t="shared" ca="1" si="15"/>
        <v>0.98926013818207859</v>
      </c>
      <c r="P33" s="47">
        <f t="shared" ca="1" si="15"/>
        <v>0.99387231567323031</v>
      </c>
      <c r="Q33" s="47">
        <f t="shared" ca="1" si="15"/>
        <v>1.0009821159219741</v>
      </c>
    </row>
    <row r="34" spans="2:17" ht="15.75" customHeight="1" x14ac:dyDescent="0.2">
      <c r="B34" s="48" t="s">
        <v>82</v>
      </c>
      <c r="C34" s="49">
        <f ca="1">AVERAGE(C32,C33)</f>
        <v>0.99338521346869713</v>
      </c>
      <c r="D34" s="49">
        <f t="shared" ref="D34:Q34" ca="1" si="16">AVERAGE(D32,D33)</f>
        <v>0.99749263307445335</v>
      </c>
      <c r="E34" s="49">
        <f t="shared" ca="1" si="16"/>
        <v>0.99255555929833461</v>
      </c>
      <c r="F34" s="49">
        <f t="shared" ca="1" si="16"/>
        <v>0.99578133043020589</v>
      </c>
      <c r="G34" s="49">
        <f t="shared" ca="1" si="16"/>
        <v>0.99825904659058151</v>
      </c>
      <c r="H34" s="49">
        <f t="shared" ca="1" si="16"/>
        <v>0.99095253834154473</v>
      </c>
      <c r="I34" s="49">
        <f t="shared" ca="1" si="16"/>
        <v>0.99914858112437344</v>
      </c>
      <c r="J34" s="49">
        <f t="shared" ca="1" si="16"/>
        <v>0.99143867613184622</v>
      </c>
      <c r="K34" s="49"/>
      <c r="L34" s="49">
        <f ca="1">AVERAGE(L32,L33)</f>
        <v>1.0317104909464054</v>
      </c>
      <c r="M34" s="49">
        <f t="shared" ref="M34" ca="1" si="17">AVERAGE(M32,M33)</f>
        <v>1</v>
      </c>
      <c r="N34" s="49">
        <f t="shared" ca="1" si="16"/>
        <v>0.99759888674930275</v>
      </c>
      <c r="O34" s="49">
        <f t="shared" ca="1" si="16"/>
        <v>0.99100596465264967</v>
      </c>
      <c r="P34" s="49">
        <f t="shared" ca="1" si="16"/>
        <v>0.99500162110144985</v>
      </c>
      <c r="Q34" s="49">
        <f t="shared" ca="1" si="16"/>
        <v>0.99977610438217468</v>
      </c>
    </row>
    <row r="35" spans="2:17" ht="14" x14ac:dyDescent="0.2">
      <c r="B35" s="48" t="s">
        <v>38</v>
      </c>
      <c r="C35" s="47">
        <f ca="1">ABS(C33-C32)</f>
        <v>4.3446255996797412E-3</v>
      </c>
      <c r="D35" s="47">
        <f t="shared" ref="D35:Q35" ca="1" si="18">ABS(D33-D32)</f>
        <v>4.8717956487235314E-3</v>
      </c>
      <c r="E35" s="47">
        <f t="shared" ca="1" si="18"/>
        <v>1.0448582830122843E-2</v>
      </c>
      <c r="F35" s="47">
        <f t="shared" ca="1" si="18"/>
        <v>1.7473537608044598E-2</v>
      </c>
      <c r="G35" s="47">
        <f t="shared" ca="1" si="18"/>
        <v>9.3144656688821659E-3</v>
      </c>
      <c r="H35" s="47">
        <f t="shared" ca="1" si="18"/>
        <v>5.6038804700608846E-4</v>
      </c>
      <c r="I35" s="47">
        <f t="shared" ca="1" si="18"/>
        <v>1.6313716886264817E-3</v>
      </c>
      <c r="J35" s="47">
        <f t="shared" ca="1" si="18"/>
        <v>1.2774541176557408E-2</v>
      </c>
      <c r="K35" s="47"/>
      <c r="L35" s="47">
        <f t="shared" ca="1" si="18"/>
        <v>1.0851981045645331E-4</v>
      </c>
      <c r="M35" s="47">
        <f t="shared" ref="M35" ca="1" si="19">ABS(M33-M32)</f>
        <v>0</v>
      </c>
      <c r="N35" s="47">
        <f t="shared" ca="1" si="18"/>
        <v>1.2918123242817714E-3</v>
      </c>
      <c r="O35" s="47">
        <f t="shared" ca="1" si="18"/>
        <v>3.491652941142287E-3</v>
      </c>
      <c r="P35" s="47">
        <f t="shared" ca="1" si="18"/>
        <v>2.2586108564391916E-3</v>
      </c>
      <c r="Q35" s="47">
        <f t="shared" ca="1" si="18"/>
        <v>2.4120230795986464E-3</v>
      </c>
    </row>
    <row r="36" spans="2:17" ht="14" x14ac:dyDescent="0.2"/>
    <row r="37" spans="2:17" ht="14" x14ac:dyDescent="0.2"/>
    <row r="39" spans="2:17" ht="14" x14ac:dyDescent="0.2"/>
    <row r="41" spans="2:17" ht="14" x14ac:dyDescent="0.2"/>
    <row r="42" spans="2:17" ht="14" x14ac:dyDescent="0.2"/>
    <row r="43" spans="2:17" ht="14" x14ac:dyDescent="0.2"/>
    <row r="45" spans="2:17" ht="14" x14ac:dyDescent="0.2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4FB5-F66F-43E7-880C-D05CB6BD7440}">
  <dimension ref="A1:U76"/>
  <sheetViews>
    <sheetView zoomScale="125" zoomScaleNormal="125" workbookViewId="0">
      <selection activeCell="A6" sqref="A6"/>
    </sheetView>
  </sheetViews>
  <sheetFormatPr baseColWidth="10" defaultColWidth="8.83203125" defaultRowHeight="15" x14ac:dyDescent="0.2"/>
  <cols>
    <col min="1" max="1" width="45.33203125" customWidth="1"/>
    <col min="2" max="2" width="13.1640625" customWidth="1"/>
    <col min="3" max="3" width="14.83203125" bestFit="1" customWidth="1"/>
    <col min="4" max="4" width="12.1640625" bestFit="1" customWidth="1"/>
    <col min="5" max="5" width="14.83203125" bestFit="1" customWidth="1"/>
    <col min="6" max="9" width="12.1640625" bestFit="1" customWidth="1"/>
    <col min="11" max="11" width="12.1640625" bestFit="1" customWidth="1"/>
    <col min="13" max="13" width="11.83203125" bestFit="1" customWidth="1"/>
    <col min="14" max="14" width="12.1640625" bestFit="1" customWidth="1"/>
    <col min="15" max="15" width="11.83203125" bestFit="1" customWidth="1"/>
    <col min="16" max="16" width="12.1640625" bestFit="1" customWidth="1"/>
  </cols>
  <sheetData>
    <row r="1" spans="1:21" s="25" customFormat="1" x14ac:dyDescent="0.2"/>
    <row r="2" spans="1:21" s="25" customFormat="1" x14ac:dyDescent="0.2"/>
    <row r="3" spans="1:21" s="25" customFormat="1" x14ac:dyDescent="0.2"/>
    <row r="4" spans="1:21" s="25" customFormat="1" x14ac:dyDescent="0.2"/>
    <row r="5" spans="1:21" s="25" customFormat="1" x14ac:dyDescent="0.2"/>
    <row r="6" spans="1:21" s="25" customFormat="1" x14ac:dyDescent="0.2"/>
    <row r="7" spans="1:21" s="25" customFormat="1" x14ac:dyDescent="0.2"/>
    <row r="8" spans="1:21" s="25" customFormat="1" x14ac:dyDescent="0.2"/>
    <row r="9" spans="1:21" s="25" customFormat="1" x14ac:dyDescent="0.2"/>
    <row r="10" spans="1:21" x14ac:dyDescent="0.2">
      <c r="B10" t="s">
        <v>95</v>
      </c>
      <c r="C10" s="1" t="s">
        <v>96</v>
      </c>
      <c r="E10" s="3" t="s">
        <v>93</v>
      </c>
      <c r="F10" s="5" t="s">
        <v>94</v>
      </c>
      <c r="I10" s="2"/>
      <c r="J10" s="45" t="s">
        <v>83</v>
      </c>
    </row>
    <row r="11" spans="1:21" x14ac:dyDescent="0.2">
      <c r="A11" s="59" t="s">
        <v>84</v>
      </c>
      <c r="B11">
        <v>0.8</v>
      </c>
      <c r="C11">
        <v>0.67</v>
      </c>
      <c r="E11" s="14" t="s">
        <v>41</v>
      </c>
      <c r="F11" s="8">
        <f>LN(1-B11)</f>
        <v>-1.6094379124341005</v>
      </c>
      <c r="I11" s="45" t="s">
        <v>106</v>
      </c>
      <c r="J11" s="46">
        <v>320</v>
      </c>
    </row>
    <row r="12" spans="1:21" x14ac:dyDescent="0.2">
      <c r="A12" s="59" t="s">
        <v>85</v>
      </c>
      <c r="B12">
        <v>0.01</v>
      </c>
      <c r="C12">
        <v>0.01</v>
      </c>
      <c r="E12" s="15" t="s">
        <v>40</v>
      </c>
      <c r="F12" s="10">
        <f>LN(1-C11)</f>
        <v>-1.1086626245216114</v>
      </c>
      <c r="S12" s="17"/>
      <c r="T12" s="17"/>
      <c r="U12" s="17"/>
    </row>
    <row r="13" spans="1:21" s="17" customFormat="1" x14ac:dyDescent="0.2"/>
    <row r="15" spans="1:21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S15" s="17"/>
      <c r="T15" s="17"/>
      <c r="U15" s="17"/>
    </row>
    <row r="16" spans="1:21" x14ac:dyDescent="0.2">
      <c r="A16" s="6"/>
      <c r="B16" s="11"/>
      <c r="C16" s="12" t="s">
        <v>44</v>
      </c>
      <c r="D16" s="12" t="s">
        <v>45</v>
      </c>
      <c r="E16" s="12" t="s">
        <v>46</v>
      </c>
      <c r="F16" s="12" t="s">
        <v>47</v>
      </c>
      <c r="G16" s="12" t="s">
        <v>48</v>
      </c>
      <c r="H16" s="12" t="s">
        <v>49</v>
      </c>
      <c r="I16" s="12" t="s">
        <v>50</v>
      </c>
      <c r="J16" s="12" t="s">
        <v>51</v>
      </c>
      <c r="K16" s="12" t="s">
        <v>98</v>
      </c>
      <c r="L16" s="12" t="s">
        <v>52</v>
      </c>
      <c r="M16" s="12" t="s">
        <v>99</v>
      </c>
      <c r="N16" s="12" t="s">
        <v>53</v>
      </c>
      <c r="O16" s="12" t="s">
        <v>54</v>
      </c>
      <c r="P16" s="12" t="s">
        <v>55</v>
      </c>
      <c r="Q16" s="7" t="s">
        <v>71</v>
      </c>
    </row>
    <row r="17" spans="1:17" x14ac:dyDescent="0.2">
      <c r="A17" s="58" t="s">
        <v>34</v>
      </c>
      <c r="B17" s="12" t="s">
        <v>114</v>
      </c>
      <c r="C17" s="12" t="s">
        <v>56</v>
      </c>
      <c r="D17" s="12" t="s">
        <v>57</v>
      </c>
      <c r="E17" s="12" t="s">
        <v>58</v>
      </c>
      <c r="F17" s="12" t="s">
        <v>59</v>
      </c>
      <c r="G17" s="12" t="s">
        <v>60</v>
      </c>
      <c r="H17" s="12" t="s">
        <v>61</v>
      </c>
      <c r="I17" s="12" t="s">
        <v>62</v>
      </c>
      <c r="J17" s="12" t="s">
        <v>63</v>
      </c>
      <c r="K17" s="13" t="s">
        <v>79</v>
      </c>
      <c r="L17" s="12" t="s">
        <v>64</v>
      </c>
      <c r="M17" s="35" t="s">
        <v>104</v>
      </c>
      <c r="N17" s="12" t="s">
        <v>65</v>
      </c>
      <c r="O17" s="12" t="s">
        <v>66</v>
      </c>
      <c r="P17" s="12" t="s">
        <v>67</v>
      </c>
      <c r="Q17" s="7" t="s">
        <v>68</v>
      </c>
    </row>
    <row r="18" spans="1:17" x14ac:dyDescent="0.2">
      <c r="A18" s="60" t="s">
        <v>42</v>
      </c>
      <c r="B18" s="11">
        <f ca="1">'Raw Data'!C26</f>
        <v>6.8599999999999994E-2</v>
      </c>
      <c r="C18" s="11">
        <f>'Raw Data'!E7</f>
        <v>0.12590000000000001</v>
      </c>
      <c r="D18" s="11">
        <f>'Raw Data'!F7</f>
        <v>0.1082</v>
      </c>
      <c r="E18" s="11">
        <f>'Raw Data'!G7</f>
        <v>0.2142</v>
      </c>
      <c r="F18" s="11">
        <f>'Raw Data'!H7</f>
        <v>0.19769999999999999</v>
      </c>
      <c r="G18" s="11">
        <f>'Raw Data'!I7</f>
        <v>0.115</v>
      </c>
      <c r="H18" s="11">
        <f>'Raw Data'!J7</f>
        <v>0.1118</v>
      </c>
      <c r="I18" s="11">
        <f>'Raw Data'!K7</f>
        <v>0.2044</v>
      </c>
      <c r="J18" s="11">
        <f>'Raw Data'!L7</f>
        <v>0.21990000000000001</v>
      </c>
      <c r="K18" s="11"/>
      <c r="L18" s="11">
        <f>'Raw Data'!N7</f>
        <v>0.1133</v>
      </c>
      <c r="M18" s="11"/>
      <c r="N18" s="11">
        <f>'Raw Data'!P7</f>
        <v>0.10589999999999999</v>
      </c>
      <c r="O18" s="11">
        <f>'Raw Data'!Q7</f>
        <v>5.4899999999999997E-2</v>
      </c>
      <c r="P18" s="11">
        <f>'Raw Data'!R7</f>
        <v>4.7E-2</v>
      </c>
      <c r="Q18" s="8">
        <f>'Raw Data'!S7</f>
        <v>9.0999999999999998E-2</v>
      </c>
    </row>
    <row r="19" spans="1:17" x14ac:dyDescent="0.2">
      <c r="A19" s="60" t="s">
        <v>70</v>
      </c>
      <c r="B19" s="11">
        <f ca="1">'Raw Data'!C27</f>
        <v>6.2399999999999997E-2</v>
      </c>
      <c r="C19" s="11">
        <f>'Raw Data'!E20</f>
        <v>0.1255</v>
      </c>
      <c r="D19" s="11">
        <f>'Raw Data'!F20</f>
        <v>0.1125</v>
      </c>
      <c r="E19" s="11">
        <f>'Raw Data'!G20</f>
        <v>0.2235</v>
      </c>
      <c r="F19" s="11">
        <f>'Raw Data'!H20</f>
        <v>0.22309999999999999</v>
      </c>
      <c r="G19" s="11">
        <f>'Raw Data'!I20</f>
        <v>0.12330000000000001</v>
      </c>
      <c r="H19" s="11">
        <f>'Raw Data'!J20</f>
        <v>0.1135</v>
      </c>
      <c r="I19" s="11">
        <f>'Raw Data'!K20</f>
        <v>0.20519999999999999</v>
      </c>
      <c r="J19" s="11">
        <f>'Raw Data'!L20</f>
        <v>0.26290000000000002</v>
      </c>
      <c r="K19" s="11"/>
      <c r="L19" s="11">
        <f>'Raw Data'!N20</f>
        <v>0.11559999999999999</v>
      </c>
      <c r="M19" s="11"/>
      <c r="N19" s="11">
        <f>'Raw Data'!P20</f>
        <v>0.11700000000000001</v>
      </c>
      <c r="O19" s="11">
        <f>'Raw Data'!Q20</f>
        <v>5.3900000000000003E-2</v>
      </c>
      <c r="P19" s="11">
        <f>'Raw Data'!R20</f>
        <v>4.9799999999999997E-2</v>
      </c>
      <c r="Q19" s="8">
        <f>'Raw Data'!S20</f>
        <v>9.2399999999999996E-2</v>
      </c>
    </row>
    <row r="20" spans="1:17" x14ac:dyDescent="0.2">
      <c r="A20" s="60" t="s">
        <v>41</v>
      </c>
      <c r="B20" s="11">
        <f ca="1">'Raw Data'!C28</f>
        <v>6.9099999999999995E-2</v>
      </c>
      <c r="C20" s="11">
        <f>'Raw Data'!E33</f>
        <v>0.12189999999999999</v>
      </c>
      <c r="D20" s="11">
        <f>'Raw Data'!F33</f>
        <v>0.1158</v>
      </c>
      <c r="E20" s="11">
        <f>'Raw Data'!G33</f>
        <v>0.21659999999999999</v>
      </c>
      <c r="F20" s="11">
        <f>'Raw Data'!H33</f>
        <v>0.24779999999999999</v>
      </c>
      <c r="G20" s="11">
        <f>'Raw Data'!I33</f>
        <v>0.12809999999999999</v>
      </c>
      <c r="H20" s="11">
        <f>'Raw Data'!J33</f>
        <v>0.1225</v>
      </c>
      <c r="I20" s="11">
        <f>'Raw Data'!K33</f>
        <v>0.22689999999999999</v>
      </c>
      <c r="J20" s="11">
        <f>'Raw Data'!L33</f>
        <v>0.27179999999999999</v>
      </c>
      <c r="K20" s="11"/>
      <c r="L20" s="11">
        <f>'Raw Data'!N33</f>
        <v>0.14280000000000001</v>
      </c>
      <c r="M20" s="11"/>
      <c r="N20" s="11">
        <f>'Raw Data'!P33</f>
        <v>0.12859999999999999</v>
      </c>
      <c r="O20" s="11">
        <f>'Raw Data'!Q33</f>
        <v>5.62E-2</v>
      </c>
      <c r="P20" s="11">
        <f>'Raw Data'!R33</f>
        <v>5.4300000000000001E-2</v>
      </c>
      <c r="Q20" s="8">
        <f>'Raw Data'!S33</f>
        <v>9.6000000000000002E-2</v>
      </c>
    </row>
    <row r="21" spans="1:17" x14ac:dyDescent="0.2">
      <c r="A21" s="61" t="s">
        <v>40</v>
      </c>
      <c r="B21" s="9">
        <f ca="1">'Raw Data'!C29</f>
        <v>7.1499999999999994E-2</v>
      </c>
      <c r="C21" s="9">
        <f>'Raw Data'!E46</f>
        <v>0.1231</v>
      </c>
      <c r="D21" s="9">
        <f>'Raw Data'!F46</f>
        <v>0.11940000000000001</v>
      </c>
      <c r="E21" s="9">
        <f>'Raw Data'!G46</f>
        <v>0.2291</v>
      </c>
      <c r="F21" s="9">
        <f>'Raw Data'!H46</f>
        <v>0.22969999999999999</v>
      </c>
      <c r="G21" s="9">
        <f>'Raw Data'!I46</f>
        <v>0.1201</v>
      </c>
      <c r="H21" s="9">
        <f>'Raw Data'!J46</f>
        <v>0.1181</v>
      </c>
      <c r="I21" s="9">
        <f>'Raw Data'!K46</f>
        <v>0.22839999999999999</v>
      </c>
      <c r="J21" s="9">
        <f>'Raw Data'!L46</f>
        <v>0.2394</v>
      </c>
      <c r="K21" s="9"/>
      <c r="L21" s="9">
        <f>'Raw Data'!N46</f>
        <v>0.1384</v>
      </c>
      <c r="M21" s="9"/>
      <c r="N21" s="9">
        <f>'Raw Data'!P46</f>
        <v>0.12989999999999999</v>
      </c>
      <c r="O21" s="9">
        <f>'Raw Data'!Q46</f>
        <v>5.74E-2</v>
      </c>
      <c r="P21" s="9">
        <f>'Raw Data'!R46</f>
        <v>5.1400000000000001E-2</v>
      </c>
      <c r="Q21" s="10">
        <f>'Raw Data'!S46</f>
        <v>9.1399999999999995E-2</v>
      </c>
    </row>
    <row r="22" spans="1:17" s="17" customFormat="1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6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2">
      <c r="A24" s="60" t="s">
        <v>42</v>
      </c>
      <c r="B24" s="11">
        <f t="shared" ref="B24:I24" ca="1" si="0">TINV(0.32,$J$11-1)*B18/SQRT($J$11)</f>
        <v>3.819557021445005E-3</v>
      </c>
      <c r="C24" s="11">
        <f t="shared" si="0"/>
        <v>7.0099450291534436E-3</v>
      </c>
      <c r="D24" s="11">
        <f t="shared" si="0"/>
        <v>6.0244325032120941E-3</v>
      </c>
      <c r="E24" s="11">
        <f t="shared" si="0"/>
        <v>1.1926371924103793E-2</v>
      </c>
      <c r="F24" s="11">
        <f t="shared" si="0"/>
        <v>1.1007673806700839E-2</v>
      </c>
      <c r="G24" s="11">
        <f t="shared" si="0"/>
        <v>6.4030474849296739E-3</v>
      </c>
      <c r="H24" s="11">
        <f t="shared" si="0"/>
        <v>6.2248757288272828E-3</v>
      </c>
      <c r="I24" s="11">
        <f t="shared" si="0"/>
        <v>1.1380720921040222E-2</v>
      </c>
      <c r="J24" s="11">
        <f>TINV(0.32,$J$11-1)*J18/SQRT($J$11)</f>
        <v>1.2243740364661177E-2</v>
      </c>
      <c r="K24" s="11"/>
      <c r="L24" s="11">
        <f>TINV(0.32,$J$11-1)*L18/SQRT($J$11)</f>
        <v>6.3083937395002785E-3</v>
      </c>
      <c r="M24" s="11"/>
      <c r="N24" s="11">
        <f t="shared" ref="N24:Q25" si="1">TINV(0.32,$J$11-1)*N18/SQRT($J$11)</f>
        <v>5.896371553513499E-3</v>
      </c>
      <c r="O24" s="11">
        <f t="shared" si="1"/>
        <v>3.0567591906316442E-3</v>
      </c>
      <c r="P24" s="11">
        <f t="shared" si="1"/>
        <v>2.6168976677538665E-3</v>
      </c>
      <c r="Q24" s="8">
        <f t="shared" si="1"/>
        <v>5.0667593141617414E-3</v>
      </c>
    </row>
    <row r="25" spans="1:17" x14ac:dyDescent="0.2">
      <c r="A25" s="60" t="s">
        <v>70</v>
      </c>
      <c r="B25" s="11">
        <f t="shared" ref="B25:J25" ca="1" si="2">TINV(0.32,$J$11-1)*B19/SQRT($J$11)</f>
        <v>3.4743492439966231E-3</v>
      </c>
      <c r="C25" s="11">
        <f>TINV(0.32,$J$11-1)*C19/SQRT($J$11)</f>
        <v>6.9876735596406444E-3</v>
      </c>
      <c r="D25" s="11">
        <f t="shared" si="2"/>
        <v>6.263850800474681E-3</v>
      </c>
      <c r="E25" s="11">
        <f t="shared" si="2"/>
        <v>1.2444183590276367E-2</v>
      </c>
      <c r="F25" s="11">
        <f t="shared" si="2"/>
        <v>1.2421912120763568E-2</v>
      </c>
      <c r="G25" s="11">
        <f t="shared" si="2"/>
        <v>6.8651804773202513E-3</v>
      </c>
      <c r="H25" s="11">
        <f t="shared" si="2"/>
        <v>6.319529474256679E-3</v>
      </c>
      <c r="I25" s="11">
        <f t="shared" si="2"/>
        <v>1.1425263860065819E-2</v>
      </c>
      <c r="J25" s="11">
        <f t="shared" si="2"/>
        <v>1.4637923337287057E-2</v>
      </c>
      <c r="K25" s="11"/>
      <c r="L25" s="11">
        <f>TINV(0.32,$J$11-1)*L19/SQRT($J$11)</f>
        <v>6.4364546891988719E-3</v>
      </c>
      <c r="M25" s="11"/>
      <c r="N25" s="11">
        <f t="shared" si="1"/>
        <v>6.5144048324936692E-3</v>
      </c>
      <c r="O25" s="11">
        <f t="shared" si="1"/>
        <v>3.0010805168496474E-3</v>
      </c>
      <c r="P25" s="11">
        <f>TINV(0.32,$J$11-1)*P19/SQRT($J$11)</f>
        <v>2.7727979543434589E-3</v>
      </c>
      <c r="Q25" s="8">
        <f t="shared" si="1"/>
        <v>5.1447094574565378E-3</v>
      </c>
    </row>
    <row r="26" spans="1:17" x14ac:dyDescent="0.2">
      <c r="A26" s="62" t="s">
        <v>86</v>
      </c>
      <c r="B26" s="11">
        <f ca="1">SQRT((B24^2+B25^2)/2)</f>
        <v>3.6510353674902782E-3</v>
      </c>
      <c r="C26" s="11">
        <f t="shared" ref="C26:J26" si="3">SQRT((C24^2+C25^2)/2)</f>
        <v>6.9988181533689681E-3</v>
      </c>
      <c r="D26" s="11">
        <f t="shared" si="3"/>
        <v>6.145307715499918E-3</v>
      </c>
      <c r="E26" s="11">
        <f t="shared" si="3"/>
        <v>1.2188027988574584E-2</v>
      </c>
      <c r="F26" s="11">
        <f t="shared" si="3"/>
        <v>1.1736114846291779E-2</v>
      </c>
      <c r="G26" s="11">
        <f t="shared" si="3"/>
        <v>6.6381367898094464E-3</v>
      </c>
      <c r="H26" s="11">
        <f t="shared" si="3"/>
        <v>6.2723811513388551E-3</v>
      </c>
      <c r="I26" s="11">
        <f t="shared" si="3"/>
        <v>1.1403014140014224E-2</v>
      </c>
      <c r="J26" s="11">
        <f t="shared" si="3"/>
        <v>1.3494035307229755E-2</v>
      </c>
      <c r="K26" s="11"/>
      <c r="L26" s="11">
        <f>SQRT((L24^2+L25^2)/2)</f>
        <v>6.3727458971261537E-3</v>
      </c>
      <c r="M26" s="11"/>
      <c r="N26" s="11">
        <f t="shared" ref="N26:Q26" si="4">SQRT((N24^2+N25^2)/2)</f>
        <v>6.2130776519652509E-3</v>
      </c>
      <c r="O26" s="11">
        <f t="shared" si="4"/>
        <v>3.0290477891678738E-3</v>
      </c>
      <c r="P26" s="11">
        <f t="shared" si="4"/>
        <v>2.6959749534358527E-3</v>
      </c>
      <c r="Q26" s="11">
        <f t="shared" si="4"/>
        <v>5.1058831434575309E-3</v>
      </c>
    </row>
    <row r="27" spans="1:17" x14ac:dyDescent="0.2">
      <c r="A27" s="60" t="s">
        <v>41</v>
      </c>
      <c r="B27" s="11">
        <f t="shared" ref="B27:J27" ca="1" si="5">TINV(0.32,$J$11-1)*B20/SQRT($J$11)</f>
        <v>3.8473963583360044E-3</v>
      </c>
      <c r="C27" s="11">
        <f t="shared" si="5"/>
        <v>6.787230334025454E-3</v>
      </c>
      <c r="D27" s="11">
        <f t="shared" si="5"/>
        <v>6.4475904239552715E-3</v>
      </c>
      <c r="E27" s="11">
        <f t="shared" si="5"/>
        <v>1.2060000741180587E-2</v>
      </c>
      <c r="F27" s="11">
        <f t="shared" si="5"/>
        <v>1.3797175363178897E-2</v>
      </c>
      <c r="G27" s="11">
        <f t="shared" si="5"/>
        <v>7.1324381114738359E-3</v>
      </c>
      <c r="H27" s="11">
        <f t="shared" si="5"/>
        <v>6.8206375382946528E-3</v>
      </c>
      <c r="I27" s="11">
        <f>TINV(0.32,$J$11-1)*I20/SQRT($J$11)</f>
        <v>1.2633491081135156E-2</v>
      </c>
      <c r="J27" s="11">
        <f t="shared" si="5"/>
        <v>1.5133463533946828E-2</v>
      </c>
      <c r="K27" s="11"/>
      <c r="L27" s="11">
        <f>TINV(0.32,$J$11-1)*L20/SQRT($J$11)</f>
        <v>7.9509146160691956E-3</v>
      </c>
      <c r="M27" s="11"/>
      <c r="N27" s="11">
        <f t="shared" ref="N27:Q28" si="6">TINV(0.32,$J$11-1)*N20/SQRT($J$11)</f>
        <v>7.1602774483648353E-3</v>
      </c>
      <c r="O27" s="11">
        <f t="shared" si="6"/>
        <v>3.1291414665482408E-3</v>
      </c>
      <c r="P27" s="11">
        <f>TINV(0.32,$J$11-1)*P20/SQRT($J$11)</f>
        <v>3.0233519863624462E-3</v>
      </c>
      <c r="Q27" s="8">
        <f t="shared" si="6"/>
        <v>5.3451526830717282E-3</v>
      </c>
    </row>
    <row r="28" spans="1:17" x14ac:dyDescent="0.2">
      <c r="A28" s="61" t="s">
        <v>40</v>
      </c>
      <c r="B28" s="9">
        <f t="shared" ref="B28:J28" ca="1" si="7">TINV(0.32,$J$11-1)*B21/SQRT($J$11)</f>
        <v>3.9810251754127971E-3</v>
      </c>
      <c r="C28" s="9">
        <f t="shared" si="7"/>
        <v>6.8540447425638517E-3</v>
      </c>
      <c r="D28" s="9">
        <f>TINV(0.32,$J$11-1)*D21/SQRT($J$11)</f>
        <v>6.6480336495704619E-3</v>
      </c>
      <c r="E28" s="9">
        <f t="shared" si="7"/>
        <v>1.2755984163455551E-2</v>
      </c>
      <c r="F28" s="9">
        <f t="shared" si="7"/>
        <v>1.2789391367724747E-2</v>
      </c>
      <c r="G28" s="9">
        <f t="shared" si="7"/>
        <v>6.6870087212178601E-3</v>
      </c>
      <c r="H28" s="9">
        <f t="shared" si="7"/>
        <v>6.5756513736538649E-3</v>
      </c>
      <c r="I28" s="9">
        <f t="shared" si="7"/>
        <v>1.2717009091808153E-2</v>
      </c>
      <c r="J28" s="9">
        <f t="shared" si="7"/>
        <v>1.3329474503410122E-2</v>
      </c>
      <c r="K28" s="9"/>
      <c r="L28" s="9">
        <f>TINV(0.32,$J$11-1)*L21/SQRT($J$11)</f>
        <v>7.7059284514284076E-3</v>
      </c>
      <c r="M28" s="9"/>
      <c r="N28" s="9">
        <f t="shared" si="6"/>
        <v>7.2326597242814306E-3</v>
      </c>
      <c r="O28" s="9">
        <f t="shared" si="6"/>
        <v>3.1959558750866372E-3</v>
      </c>
      <c r="P28" s="9">
        <f t="shared" si="6"/>
        <v>2.861883832394654E-3</v>
      </c>
      <c r="Q28" s="10">
        <f t="shared" si="6"/>
        <v>5.0890307836745407E-3</v>
      </c>
    </row>
    <row r="30" spans="1:17" x14ac:dyDescent="0.2">
      <c r="A30" s="63" t="s">
        <v>87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2">
      <c r="A31" s="60" t="s">
        <v>41</v>
      </c>
      <c r="B31" s="11"/>
      <c r="C31" s="11">
        <f ca="1">'KIE '!C29</f>
        <v>0.98583363857610906</v>
      </c>
      <c r="D31" s="11">
        <f ca="1">'KIE '!D29</f>
        <v>0.99988497331373549</v>
      </c>
      <c r="E31" s="11">
        <f ca="1">'KIE '!E29</f>
        <v>0.97956061312922404</v>
      </c>
      <c r="F31" s="11">
        <f ca="1">'KIE '!F29</f>
        <v>0.9790969097627934</v>
      </c>
      <c r="G31" s="11">
        <f ca="1">'KIE '!G29</f>
        <v>1.0046908906488858</v>
      </c>
      <c r="H31" s="11">
        <f ca="1">'KIE '!H29</f>
        <v>0.98586566453890678</v>
      </c>
      <c r="I31" s="11">
        <f ca="1">'KIE '!I29</f>
        <v>0.99731602629434679</v>
      </c>
      <c r="J31" s="11">
        <f ca="1">'KIE '!J29</f>
        <v>0.99649951367052725</v>
      </c>
      <c r="K31" s="11"/>
      <c r="L31" s="11">
        <f ca="1">'KIE '!L29</f>
        <v>1.0506251661226746</v>
      </c>
      <c r="M31" s="11"/>
      <c r="N31" s="11">
        <f ca="1">'KIE '!N29</f>
        <v>0.99717413646078268</v>
      </c>
      <c r="O31" s="11">
        <f ca="1">'KIE '!O29</f>
        <v>0.98831805621663915</v>
      </c>
      <c r="P31" s="11">
        <f ca="1">'KIE '!P29</f>
        <v>0.99376827826665559</v>
      </c>
      <c r="Q31" s="8">
        <f ca="1">'KIE '!Q29</f>
        <v>0.99769801143376702</v>
      </c>
    </row>
    <row r="32" spans="1:17" x14ac:dyDescent="0.2">
      <c r="A32" s="61" t="s">
        <v>40</v>
      </c>
      <c r="B32" s="9"/>
      <c r="C32" s="9">
        <f ca="1">'KIE '!C30</f>
        <v>0.99506503483732911</v>
      </c>
      <c r="D32" s="9">
        <f ca="1">'KIE '!D30</f>
        <v>0.99450750064781845</v>
      </c>
      <c r="E32" s="9">
        <f ca="1">'KIE '!E30</f>
        <v>0.99753616686957192</v>
      </c>
      <c r="F32" s="9">
        <f ca="1">'KIE '!F30</f>
        <v>1.0049989715437255</v>
      </c>
      <c r="G32" s="9">
        <f ca="1">'KIE '!G30</f>
        <v>0.99288631560020624</v>
      </c>
      <c r="H32" s="9">
        <f ca="1">'KIE '!H30</f>
        <v>0.98961570220078199</v>
      </c>
      <c r="I32" s="9">
        <f ca="1">'KIE '!I30</f>
        <v>0.99996038349283067</v>
      </c>
      <c r="J32" s="9">
        <f ca="1">'KIE '!J30</f>
        <v>0.98331629081554084</v>
      </c>
      <c r="K32" s="9"/>
      <c r="L32" s="9">
        <f ca="1">'KIE '!L30</f>
        <v>1.0347213790464223</v>
      </c>
      <c r="M32" s="9"/>
      <c r="N32" s="9">
        <f ca="1">'KIE '!N30</f>
        <v>0.9966172931029621</v>
      </c>
      <c r="O32" s="9">
        <f ca="1">'KIE '!O30</f>
        <v>0.98803599473721659</v>
      </c>
      <c r="P32" s="9">
        <f ca="1">'KIE '!P30</f>
        <v>0.99318788846156991</v>
      </c>
      <c r="Q32" s="10">
        <f ca="1">'KIE '!Q30</f>
        <v>1.0010883587354358</v>
      </c>
    </row>
    <row r="34" spans="1:17" x14ac:dyDescent="0.2">
      <c r="A34" s="64" t="s">
        <v>88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2">
      <c r="A35" s="60" t="s">
        <v>41</v>
      </c>
      <c r="B35" s="11"/>
      <c r="C35" s="11">
        <f ca="1">(C27/'KIE '!C23)^2+($B$27/'KIE '!$R23)^2</f>
        <v>4.0316214444199816E-7</v>
      </c>
      <c r="D35" s="11">
        <f ca="1">(D27/'KIE '!D23)^2+($B$27/'KIE '!$R23)^2</f>
        <v>3.8171889053178163E-7</v>
      </c>
      <c r="E35" s="11">
        <f ca="1">(E27/'KIE '!E23)^2+($B$27/'KIE '!$R23)^2</f>
        <v>3.5003370155621006E-7</v>
      </c>
      <c r="F35" s="11">
        <f ca="1">(F27/'KIE '!F23)^2+($B$27/'KIE '!$R23)^2</f>
        <v>4.6123897405627068E-7</v>
      </c>
      <c r="G35" s="11">
        <f ca="1">(G27/'KIE '!G23)^2+($B$27/'KIE '!$R23)^2</f>
        <v>4.6869943357350448E-7</v>
      </c>
      <c r="H35" s="11">
        <f ca="1">(H27/'KIE '!H23)^2+($B$27/'KIE '!$R23)^2</f>
        <v>4.3284492571842405E-7</v>
      </c>
      <c r="I35" s="11">
        <f ca="1">(I27/'KIE '!I23)^2+($B$27/'KIE '!$R23)^2</f>
        <v>3.6446065769887722E-7</v>
      </c>
      <c r="J35" s="11">
        <f ca="1">(J27/'KIE '!J23)^2+($B$27/'KIE '!$R23)^2</f>
        <v>4.7643061414154571E-7</v>
      </c>
      <c r="K35" s="11"/>
      <c r="L35" s="11">
        <f ca="1">(L27/'KIE '!L23)^2+($B$27/'KIE '!$R23)^2</f>
        <v>4.1774822225734375E-7</v>
      </c>
      <c r="M35" s="11"/>
      <c r="N35" s="11">
        <f ca="1">(N27/'KIE '!N23)^2+($B$27/'KIE '!$R23)^2</f>
        <v>4.0350497720177149E-7</v>
      </c>
      <c r="O35" s="11">
        <f ca="1">(O27/'KIE '!O23)^2+($B$27/'KIE '!$R23)^2</f>
        <v>1.2801605427576908E-7</v>
      </c>
      <c r="P35" s="11">
        <f ca="1">(P27/'KIE '!P23)^2+($B$27/'KIE '!$R23)^2</f>
        <v>1.3067031979838134E-7</v>
      </c>
      <c r="Q35" s="8">
        <f ca="1">(Q27/'KIE '!Q23)^2+($B$27/'KIE '!$R23)^2</f>
        <v>2.8216104665767827E-7</v>
      </c>
    </row>
    <row r="36" spans="1:17" x14ac:dyDescent="0.2">
      <c r="A36" s="61" t="s">
        <v>40</v>
      </c>
      <c r="B36" s="9"/>
      <c r="C36" s="9">
        <f ca="1">(C28/'KIE '!C25)^2+($B$28/'KIE '!$R25)^2</f>
        <v>4.1397197683493294E-7</v>
      </c>
      <c r="D36" s="9">
        <f ca="1">(D28/'KIE '!D25)^2+($B$28/'KIE '!$R25)^2</f>
        <v>4.1510169842284988E-7</v>
      </c>
      <c r="E36" s="9">
        <f ca="1">(E28/'KIE '!E25)^2+($B$28/'KIE '!$R25)^2</f>
        <v>3.8176672641000137E-7</v>
      </c>
      <c r="F36" s="9">
        <f ca="1">(F28/'KIE '!F25)^2+($B$28/'KIE '!$R25)^2</f>
        <v>4.0039745384013644E-7</v>
      </c>
      <c r="G36" s="9">
        <f ca="1">(G28/'KIE '!G25)^2+($B$28/'KIE '!$R25)^2</f>
        <v>4.4020724413775768E-7</v>
      </c>
      <c r="H36" s="9">
        <f ca="1">(H28/'KIE '!H25)^2+($B$28/'KIE '!$R25)^2</f>
        <v>4.1563656293359834E-7</v>
      </c>
      <c r="I36" s="9">
        <f ca="1">(I28/'KIE '!I25)^2+($B$28/'KIE '!$R25)^2</f>
        <v>3.7678164963931529E-7</v>
      </c>
      <c r="J36" s="9">
        <f ca="1">(J28/'KIE '!J25)^2+($B$28/'KIE '!$R25)^2</f>
        <v>4.0531396371870343E-7</v>
      </c>
      <c r="K36" s="9"/>
      <c r="L36" s="9">
        <f ca="1">(L28/'KIE '!L25)^2+($B$28/'KIE '!$R25)^2</f>
        <v>4.1748026154194459E-7</v>
      </c>
      <c r="M36" s="9"/>
      <c r="N36" s="9">
        <f ca="1">(N28/'KIE '!N25)^2+($B$28/'KIE '!$R25)^2</f>
        <v>4.2113293773304007E-7</v>
      </c>
      <c r="O36" s="9">
        <f ca="1">(O28/'KIE '!O25)^2+($B$28/'KIE '!$R25)^2</f>
        <v>1.373623230096618E-7</v>
      </c>
      <c r="P36" s="9">
        <f ca="1">(P28/'KIE '!P25)^2+($B$28/'KIE '!$R25)^2</f>
        <v>1.3196354705971371E-7</v>
      </c>
      <c r="Q36" s="10">
        <f ca="1">(Q28/'KIE '!Q25)^2+($B$28/'KIE '!$R25)^2</f>
        <v>2.7026129083469491E-7</v>
      </c>
    </row>
    <row r="38" spans="1:17" x14ac:dyDescent="0.2">
      <c r="A38" s="64" t="s">
        <v>89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2">
      <c r="A39" s="62" t="s">
        <v>90</v>
      </c>
      <c r="B39" s="11">
        <f ca="1">AVERAGE('KIE '!R19,'KIE '!R21)</f>
        <v>13.690200000000001</v>
      </c>
      <c r="C39" s="11">
        <f>AVERAGE('KIE '!C19,'KIE '!C21)</f>
        <v>11.75325</v>
      </c>
      <c r="D39" s="11">
        <f>AVERAGE('KIE '!D19,'KIE '!D21)</f>
        <v>11.386749999999999</v>
      </c>
      <c r="E39" s="11">
        <f>AVERAGE('KIE '!E19,'KIE '!E21)</f>
        <v>22.959499999999998</v>
      </c>
      <c r="F39" s="11">
        <f>AVERAGE('KIE '!F19,'KIE '!F21)</f>
        <v>22.171250000000001</v>
      </c>
      <c r="G39" s="11">
        <f>AVERAGE('KIE '!G19,'KIE '!G21)</f>
        <v>11.063500000000001</v>
      </c>
      <c r="H39" s="11">
        <f>AVERAGE('KIE '!H19,'KIE '!H21)</f>
        <v>11.309150000000001</v>
      </c>
      <c r="I39" s="11">
        <f>AVERAGE('KIE '!I19,'KIE '!I21)</f>
        <v>23.027250000000002</v>
      </c>
      <c r="J39" s="11">
        <f>AVERAGE('KIE '!J19,'KIE '!J21)</f>
        <v>23.43825</v>
      </c>
      <c r="K39" s="11"/>
      <c r="L39" s="11">
        <f>AVERAGE('KIE '!L19,'KIE '!L21)</f>
        <v>12.641</v>
      </c>
      <c r="M39" s="11"/>
      <c r="N39" s="11">
        <f>AVERAGE('KIE '!N19,'KIE '!N21)</f>
        <v>12.251749999999999</v>
      </c>
      <c r="O39" s="11">
        <f>AVERAGE('KIE '!O19,'KIE '!O21)</f>
        <v>13.493500000000001</v>
      </c>
      <c r="P39" s="11">
        <f>AVERAGE('KIE '!P19,'KIE '!P21)</f>
        <v>12.650500000000001</v>
      </c>
      <c r="Q39" s="8">
        <f>AVERAGE('KIE '!Q19,'KIE '!Q21)</f>
        <v>11.5154</v>
      </c>
    </row>
    <row r="40" spans="1:17" x14ac:dyDescent="0.2">
      <c r="A40" s="65" t="s">
        <v>91</v>
      </c>
      <c r="B40" s="9"/>
      <c r="C40" s="9">
        <f t="shared" ref="C40:J40" ca="1" si="8">((C26/C39)^2)+(($B$26/$B$39)^2)</f>
        <v>4.2571910272712691E-7</v>
      </c>
      <c r="D40" s="9">
        <f t="shared" ca="1" si="8"/>
        <v>3.6238799290339296E-7</v>
      </c>
      <c r="E40" s="9">
        <f t="shared" ca="1" si="8"/>
        <v>3.5292407556290668E-7</v>
      </c>
      <c r="F40" s="9">
        <f t="shared" ca="1" si="8"/>
        <v>3.5132353458787544E-7</v>
      </c>
      <c r="G40" s="9">
        <f t="shared" ca="1" si="8"/>
        <v>4.3112738791944799E-7</v>
      </c>
      <c r="H40" s="9">
        <f t="shared" ca="1" si="8"/>
        <v>3.7873658743869294E-7</v>
      </c>
      <c r="I40" s="9">
        <f t="shared" ca="1" si="8"/>
        <v>3.1634299414924466E-7</v>
      </c>
      <c r="J40" s="9">
        <f t="shared" ca="1" si="8"/>
        <v>4.025850718114695E-7</v>
      </c>
      <c r="K40" s="9"/>
      <c r="L40" s="9">
        <f ca="1">((L26/L39)^2)+(($B$26/$B$39)^2)</f>
        <v>3.2527353057562892E-7</v>
      </c>
      <c r="M40" s="9"/>
      <c r="N40" s="9">
        <f ca="1">((N26/N39)^2)+(($B$26/$B$39)^2)</f>
        <v>3.2829162430926925E-7</v>
      </c>
      <c r="O40" s="9">
        <f ca="1">((O26/O39)^2)+(($B$26/$B$39)^2)</f>
        <v>1.2151556324443528E-7</v>
      </c>
      <c r="P40" s="9">
        <f ca="1">((P26/P39)^2)+(($B$26/$B$39)^2)</f>
        <v>1.1654017587536163E-7</v>
      </c>
      <c r="Q40" s="10">
        <f ca="1">((Q26/Q39)^2)+(($B$26/$B$39)^2)</f>
        <v>2.6772347540334218E-7</v>
      </c>
    </row>
    <row r="41" spans="1:17" x14ac:dyDescent="0.2">
      <c r="L41" s="1"/>
      <c r="N41" s="1"/>
    </row>
    <row r="42" spans="1:17" x14ac:dyDescent="0.2">
      <c r="A42" s="63" t="s">
        <v>92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2">
      <c r="A43" s="60" t="s">
        <v>41</v>
      </c>
      <c r="B43" s="11"/>
      <c r="C43" s="11">
        <f t="shared" ref="C43:J44" ca="1" si="9">C$40+C35</f>
        <v>8.2888124716912502E-7</v>
      </c>
      <c r="D43" s="11">
        <f t="shared" ca="1" si="9"/>
        <v>7.4410688343517459E-7</v>
      </c>
      <c r="E43" s="11">
        <f t="shared" ca="1" si="9"/>
        <v>7.0295777711911668E-7</v>
      </c>
      <c r="F43" s="11">
        <f t="shared" ca="1" si="9"/>
        <v>8.1256250864414612E-7</v>
      </c>
      <c r="G43" s="11">
        <f t="shared" ca="1" si="9"/>
        <v>8.9982682149295246E-7</v>
      </c>
      <c r="H43" s="11">
        <f t="shared" ca="1" si="9"/>
        <v>8.1158151315711694E-7</v>
      </c>
      <c r="I43" s="11">
        <f t="shared" ca="1" si="9"/>
        <v>6.8080365184812193E-7</v>
      </c>
      <c r="J43" s="11">
        <f t="shared" ca="1" si="9"/>
        <v>8.790156859530152E-7</v>
      </c>
      <c r="K43" s="11"/>
      <c r="L43" s="11">
        <f ca="1">L$40+L35</f>
        <v>7.4302175283297267E-7</v>
      </c>
      <c r="M43" s="11"/>
      <c r="N43" s="11">
        <f t="shared" ref="N43:Q44" ca="1" si="10">N$40+N35</f>
        <v>7.3179660151104079E-7</v>
      </c>
      <c r="O43" s="11">
        <f t="shared" ca="1" si="10"/>
        <v>2.4953161752020436E-7</v>
      </c>
      <c r="P43" s="11">
        <f t="shared" ca="1" si="10"/>
        <v>2.4721049567374297E-7</v>
      </c>
      <c r="Q43" s="8">
        <f t="shared" ca="1" si="10"/>
        <v>5.4988452206102046E-7</v>
      </c>
    </row>
    <row r="44" spans="1:17" x14ac:dyDescent="0.2">
      <c r="A44" s="61" t="s">
        <v>40</v>
      </c>
      <c r="B44" s="9"/>
      <c r="C44" s="9">
        <f t="shared" ca="1" si="9"/>
        <v>8.3969107956205985E-7</v>
      </c>
      <c r="D44" s="9">
        <f t="shared" ca="1" si="9"/>
        <v>7.7748969132624284E-7</v>
      </c>
      <c r="E44" s="9">
        <f t="shared" ca="1" si="9"/>
        <v>7.346908019729081E-7</v>
      </c>
      <c r="F44" s="9">
        <f t="shared" ca="1" si="9"/>
        <v>7.5172098842801194E-7</v>
      </c>
      <c r="G44" s="9">
        <f t="shared" ca="1" si="9"/>
        <v>8.7133463205720572E-7</v>
      </c>
      <c r="H44" s="9">
        <f t="shared" ca="1" si="9"/>
        <v>7.9437315037229129E-7</v>
      </c>
      <c r="I44" s="9">
        <f t="shared" ca="1" si="9"/>
        <v>6.9312464378855994E-7</v>
      </c>
      <c r="J44" s="9">
        <f t="shared" ca="1" si="9"/>
        <v>8.0789903553017287E-7</v>
      </c>
      <c r="K44" s="9"/>
      <c r="L44" s="9">
        <f ca="1">L$40+L36</f>
        <v>7.4275379211757346E-7</v>
      </c>
      <c r="M44" s="9"/>
      <c r="N44" s="9">
        <f t="shared" ca="1" si="10"/>
        <v>7.4942456204230932E-7</v>
      </c>
      <c r="O44" s="9">
        <f t="shared" ca="1" si="10"/>
        <v>2.5887788625409708E-7</v>
      </c>
      <c r="P44" s="9">
        <f t="shared" ca="1" si="10"/>
        <v>2.4850372293507534E-7</v>
      </c>
      <c r="Q44" s="10">
        <f t="shared" ca="1" si="10"/>
        <v>5.379847662380371E-7</v>
      </c>
    </row>
    <row r="45" spans="1:17" x14ac:dyDescent="0.2">
      <c r="P45" s="11"/>
    </row>
    <row r="46" spans="1:17" x14ac:dyDescent="0.2">
      <c r="A46" s="63" t="s">
        <v>107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2">
      <c r="A47" s="60" t="s">
        <v>41</v>
      </c>
      <c r="B47" s="25"/>
      <c r="C47" s="11">
        <f t="shared" ref="C47:J47" ca="1" si="11">LN(1-$B$11)*(C31)</f>
        <v>-1.5866380332772465</v>
      </c>
      <c r="D47" s="11">
        <f t="shared" ca="1" si="11"/>
        <v>-1.6092527841242847</v>
      </c>
      <c r="E47" s="11">
        <f t="shared" ca="1" si="11"/>
        <v>-1.5765419882973659</v>
      </c>
      <c r="F47" s="11">
        <f t="shared" ca="1" si="11"/>
        <v>-1.575795686519309</v>
      </c>
      <c r="G47" s="11">
        <f t="shared" ca="1" si="11"/>
        <v>-1.6169876096875</v>
      </c>
      <c r="H47" s="11">
        <f t="shared" ca="1" si="11"/>
        <v>-1.5866895770759553</v>
      </c>
      <c r="I47" s="11">
        <f t="shared" ca="1" si="11"/>
        <v>-1.605118223396246</v>
      </c>
      <c r="J47" s="11">
        <f t="shared" ca="1" si="11"/>
        <v>-1.6038040970234897</v>
      </c>
      <c r="K47" s="11"/>
      <c r="L47" s="11">
        <f ca="1">LN(1-$B$11)*(L31)</f>
        <v>-1.6909159741152076</v>
      </c>
      <c r="M47" s="11"/>
      <c r="N47" s="11">
        <f ca="1">LN(1-$B$11)*(N31)</f>
        <v>-1.604889860518719</v>
      </c>
      <c r="O47" s="11">
        <f ca="1">LN(1-$B$11)*(O31)</f>
        <v>-1.5906365492182357</v>
      </c>
      <c r="P47" s="11">
        <f ca="1">LN(1-$B$11)*(P31)</f>
        <v>-1.5994083432167165</v>
      </c>
      <c r="Q47" s="8">
        <f ca="1">LN(1-$B$11)*(Q31)</f>
        <v>-1.6057330047616154</v>
      </c>
    </row>
    <row r="48" spans="1:17" x14ac:dyDescent="0.2">
      <c r="A48" s="61" t="s">
        <v>40</v>
      </c>
      <c r="B48" s="9"/>
      <c r="C48" s="9">
        <f t="shared" ref="C48:J48" ca="1" si="12">LN(1-$C$11)*(C32)</f>
        <v>-1.1031914130924418</v>
      </c>
      <c r="D48" s="9">
        <f t="shared" ca="1" si="12"/>
        <v>-1.1025732957746386</v>
      </c>
      <c r="E48" s="9">
        <f t="shared" ca="1" si="12"/>
        <v>-1.1059310648168477</v>
      </c>
      <c r="F48" s="9">
        <f t="shared" ca="1" si="12"/>
        <v>-1.114204797433187</v>
      </c>
      <c r="G48" s="9">
        <f t="shared" ca="1" si="12"/>
        <v>-1.1007759485049176</v>
      </c>
      <c r="H48" s="9">
        <f t="shared" ca="1" si="12"/>
        <v>-1.0971499416697164</v>
      </c>
      <c r="I48" s="9">
        <f t="shared" ca="1" si="12"/>
        <v>-1.1086187031807986</v>
      </c>
      <c r="J48" s="9">
        <f t="shared" ca="1" si="12"/>
        <v>-1.0901660197104135</v>
      </c>
      <c r="K48" s="9"/>
      <c r="L48" s="9">
        <f ca="1">LN(1-$C$11)*(L32)</f>
        <v>-1.1471569197422276</v>
      </c>
      <c r="M48" s="9"/>
      <c r="N48" s="9">
        <f ca="1">LN(1-$C$11)*(N32)</f>
        <v>-1.104912343815154</v>
      </c>
      <c r="O48" s="9">
        <f ca="1">LN(1-$C$11)*(O32)</f>
        <v>-1.0953985790471836</v>
      </c>
      <c r="P48" s="9">
        <f ca="1">LN(1-$C$11)*(P32)</f>
        <v>-1.1011102910648816</v>
      </c>
      <c r="Q48" s="10">
        <f ca="1">LN(1-$C$11)*(Q32)</f>
        <v>-1.1098692471736606</v>
      </c>
    </row>
    <row r="49" spans="1:17" x14ac:dyDescent="0.2">
      <c r="B49" s="25"/>
    </row>
    <row r="50" spans="1:17" x14ac:dyDescent="0.2">
      <c r="A50" s="63" t="s">
        <v>108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2">
      <c r="A51" s="60" t="s">
        <v>41</v>
      </c>
      <c r="B51" s="25"/>
      <c r="C51" s="11">
        <f ca="1">(1-$B$11)*(C47^2)</f>
        <v>0.50348404972837768</v>
      </c>
      <c r="D51" s="11">
        <f t="shared" ref="D51:Q51" ca="1" si="13">(1-$B$11)*(D47^2)</f>
        <v>0.51793890464235226</v>
      </c>
      <c r="E51" s="11">
        <f t="shared" ca="1" si="13"/>
        <v>0.49709692817292223</v>
      </c>
      <c r="F51" s="11">
        <f t="shared" ca="1" si="13"/>
        <v>0.49662640913057199</v>
      </c>
      <c r="G51" s="11">
        <f t="shared" ca="1" si="13"/>
        <v>0.52292978597657891</v>
      </c>
      <c r="H51" s="11">
        <f t="shared" ca="1" si="13"/>
        <v>0.50351676280029467</v>
      </c>
      <c r="I51" s="11">
        <f t="shared" ca="1" si="13"/>
        <v>0.51528090221574419</v>
      </c>
      <c r="J51" s="11">
        <f t="shared" ca="1" si="13"/>
        <v>0.51443751632586621</v>
      </c>
      <c r="K51" s="11"/>
      <c r="L51" s="11">
        <f t="shared" ca="1" si="13"/>
        <v>0.57183936630359611</v>
      </c>
      <c r="M51" s="11"/>
      <c r="N51" s="11">
        <f t="shared" ca="1" si="13"/>
        <v>0.51513429287915857</v>
      </c>
      <c r="O51" s="11">
        <f t="shared" ca="1" si="13"/>
        <v>0.50602492634177931</v>
      </c>
      <c r="P51" s="11">
        <f t="shared" ca="1" si="13"/>
        <v>0.51162140967024838</v>
      </c>
      <c r="Q51" s="8">
        <f t="shared" ca="1" si="13"/>
        <v>0.51567569651615308</v>
      </c>
    </row>
    <row r="52" spans="1:17" x14ac:dyDescent="0.2">
      <c r="A52" s="61" t="s">
        <v>40</v>
      </c>
      <c r="B52" s="9"/>
      <c r="C52" s="9">
        <f ca="1">(1-$C$11)*(C48^2)</f>
        <v>0.40162032699389655</v>
      </c>
      <c r="D52" s="9">
        <f t="shared" ref="D52:Q52" ca="1" si="14">(1-$C$11)*(D48^2)</f>
        <v>0.40117039794326503</v>
      </c>
      <c r="E52" s="9">
        <f t="shared" ca="1" si="14"/>
        <v>0.40361756164188572</v>
      </c>
      <c r="F52" s="9">
        <f t="shared" ca="1" si="14"/>
        <v>0.40967926910563263</v>
      </c>
      <c r="G52" s="9">
        <f t="shared" ca="1" si="14"/>
        <v>0.39986353730627727</v>
      </c>
      <c r="H52" s="9">
        <f t="shared" ca="1" si="14"/>
        <v>0.39723353818693441</v>
      </c>
      <c r="I52" s="9">
        <f t="shared" ca="1" si="14"/>
        <v>0.40558169158395091</v>
      </c>
      <c r="J52" s="9">
        <f t="shared" ca="1" si="14"/>
        <v>0.39219244367531103</v>
      </c>
      <c r="K52" s="9"/>
      <c r="L52" s="9">
        <f t="shared" ca="1" si="14"/>
        <v>0.43426976950911689</v>
      </c>
      <c r="M52" s="9"/>
      <c r="N52" s="9">
        <f t="shared" ca="1" si="14"/>
        <v>0.40287432487998198</v>
      </c>
      <c r="O52" s="9">
        <f t="shared" ca="1" si="14"/>
        <v>0.3959663555029343</v>
      </c>
      <c r="P52" s="9">
        <f t="shared" ca="1" si="14"/>
        <v>0.40010647811936606</v>
      </c>
      <c r="Q52" s="10">
        <f t="shared" ca="1" si="14"/>
        <v>0.40649721612120326</v>
      </c>
    </row>
    <row r="53" spans="1:17" x14ac:dyDescent="0.2">
      <c r="B53" s="25"/>
      <c r="Q53" s="11"/>
    </row>
    <row r="54" spans="1:17" x14ac:dyDescent="0.2">
      <c r="A54" s="63" t="s">
        <v>109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1:17" x14ac:dyDescent="0.2">
      <c r="A55" s="60" t="s">
        <v>41</v>
      </c>
      <c r="B55" s="25"/>
      <c r="C55" s="11">
        <f ca="1">(1-$B$11)*(C47)</f>
        <v>-0.31732760665544923</v>
      </c>
      <c r="D55" s="11">
        <f t="shared" ref="D55:Q55" ca="1" si="15">(1-$B$11)*(D47)</f>
        <v>-0.32185055682485686</v>
      </c>
      <c r="E55" s="11">
        <f t="shared" ca="1" si="15"/>
        <v>-0.31530839765947311</v>
      </c>
      <c r="F55" s="11">
        <f t="shared" ca="1" si="15"/>
        <v>-0.31515913730386175</v>
      </c>
      <c r="G55" s="11">
        <f t="shared" ca="1" si="15"/>
        <v>-0.32339752193749993</v>
      </c>
      <c r="H55" s="11">
        <f t="shared" ca="1" si="15"/>
        <v>-0.31733791541519096</v>
      </c>
      <c r="I55" s="11">
        <f t="shared" ca="1" si="15"/>
        <v>-0.32102364467924915</v>
      </c>
      <c r="J55" s="11">
        <f t="shared" ca="1" si="15"/>
        <v>-0.32076081940469786</v>
      </c>
      <c r="K55" s="11"/>
      <c r="L55" s="11">
        <f t="shared" ca="1" si="15"/>
        <v>-0.33818319482304143</v>
      </c>
      <c r="M55" s="11"/>
      <c r="N55" s="11">
        <f t="shared" ca="1" si="15"/>
        <v>-0.32097797210374374</v>
      </c>
      <c r="O55" s="11">
        <f t="shared" ca="1" si="15"/>
        <v>-0.31812730984364707</v>
      </c>
      <c r="P55" s="11">
        <f t="shared" ca="1" si="15"/>
        <v>-0.31988166864334322</v>
      </c>
      <c r="Q55" s="8">
        <f t="shared" ca="1" si="15"/>
        <v>-0.321146600952323</v>
      </c>
    </row>
    <row r="56" spans="1:17" x14ac:dyDescent="0.2">
      <c r="A56" s="61" t="s">
        <v>40</v>
      </c>
      <c r="B56" s="9"/>
      <c r="C56" s="9">
        <f ca="1">(1-$C$11)*(C48)</f>
        <v>-0.36405316632050577</v>
      </c>
      <c r="D56" s="9">
        <f t="shared" ref="D56:Q56" ca="1" si="16">(1-$C$11)*(D48)</f>
        <v>-0.36384918760563068</v>
      </c>
      <c r="E56" s="9">
        <f t="shared" ca="1" si="16"/>
        <v>-0.3649572513895597</v>
      </c>
      <c r="F56" s="9">
        <f t="shared" ca="1" si="16"/>
        <v>-0.36768758315295169</v>
      </c>
      <c r="G56" s="9">
        <f t="shared" ca="1" si="16"/>
        <v>-0.36325606300662278</v>
      </c>
      <c r="H56" s="9">
        <f t="shared" ca="1" si="16"/>
        <v>-0.36205948075100636</v>
      </c>
      <c r="I56" s="9">
        <f t="shared" ca="1" si="16"/>
        <v>-0.36584417204966346</v>
      </c>
      <c r="J56" s="9">
        <f t="shared" ca="1" si="16"/>
        <v>-0.35975478650443643</v>
      </c>
      <c r="K56" s="9"/>
      <c r="L56" s="9">
        <f t="shared" ca="1" si="16"/>
        <v>-0.37856178351493502</v>
      </c>
      <c r="M56" s="9"/>
      <c r="N56" s="9">
        <f t="shared" ca="1" si="16"/>
        <v>-0.3646210734590008</v>
      </c>
      <c r="O56" s="9">
        <f t="shared" ca="1" si="16"/>
        <v>-0.36148153108557057</v>
      </c>
      <c r="P56" s="9">
        <f t="shared" ca="1" si="16"/>
        <v>-0.36336639605141086</v>
      </c>
      <c r="Q56" s="10">
        <f t="shared" ca="1" si="16"/>
        <v>-0.36625685156730797</v>
      </c>
    </row>
    <row r="57" spans="1:17" x14ac:dyDescent="0.2">
      <c r="B57" s="25"/>
      <c r="Q57" s="11"/>
    </row>
    <row r="58" spans="1:17" x14ac:dyDescent="0.2">
      <c r="A58" s="63" t="s">
        <v>110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1:17" x14ac:dyDescent="0.2">
      <c r="A59" s="60" t="s">
        <v>41</v>
      </c>
      <c r="B59" s="25"/>
      <c r="C59" s="11">
        <f ca="1">$F11^2*C43</f>
        <v>2.147043132292542E-6</v>
      </c>
      <c r="D59" s="11">
        <f ca="1">$F11^2*D43</f>
        <v>1.9274529122567035E-6</v>
      </c>
      <c r="E59" s="11">
        <f ca="1">$F11^2*E43</f>
        <v>1.8208647774453473E-6</v>
      </c>
      <c r="F59" s="11">
        <f ca="1">$F11^2*F43</f>
        <v>2.1047728606494138E-6</v>
      </c>
      <c r="G59" s="11">
        <f ca="1">$F11^2*G43</f>
        <v>2.3308127719589629E-6</v>
      </c>
      <c r="H59" s="11">
        <f ca="1">$F11^2*H43</f>
        <v>2.1022317974628243E-6</v>
      </c>
      <c r="I59" s="11">
        <f ca="1">$F11^2*I43</f>
        <v>1.7634791595688549E-6</v>
      </c>
      <c r="J59" s="11">
        <f ca="1">$F11^2*J43</f>
        <v>2.2769058874820427E-6</v>
      </c>
      <c r="K59" s="11"/>
      <c r="L59" s="11">
        <f ca="1">$F11^2*L43</f>
        <v>1.9246421088816059E-6</v>
      </c>
      <c r="M59" s="11"/>
      <c r="N59" s="11">
        <f ca="1">$F11^2*N43</f>
        <v>1.8955657072414312E-6</v>
      </c>
      <c r="O59" s="11">
        <f ca="1">$F11^2*O43</f>
        <v>6.4635935185693561E-7</v>
      </c>
      <c r="P59" s="11">
        <f ca="1">$F11^2*P43</f>
        <v>6.4034697223478902E-7</v>
      </c>
      <c r="Q59" s="8">
        <f ca="1">$F11^2*Q43</f>
        <v>1.4243605952930742E-6</v>
      </c>
    </row>
    <row r="60" spans="1:17" x14ac:dyDescent="0.2">
      <c r="A60" s="61" t="s">
        <v>40</v>
      </c>
      <c r="B60" s="9"/>
      <c r="C60" s="9">
        <f ca="1">$F12^2*C44</f>
        <v>1.0320918603618639E-6</v>
      </c>
      <c r="D60" s="9">
        <f ca="1">$F12^2*D44</f>
        <v>9.5563809294197297E-7</v>
      </c>
      <c r="E60" s="9">
        <f ca="1">$F12^2*E44</f>
        <v>9.0303257359175794E-7</v>
      </c>
      <c r="F60" s="9">
        <f ca="1">$F12^2*F44</f>
        <v>9.2396493460948438E-7</v>
      </c>
      <c r="G60" s="9">
        <f ca="1">$F12^2*G44</f>
        <v>1.0709859891171757E-6</v>
      </c>
      <c r="H60" s="9">
        <f ca="1">$F12^2*H44</f>
        <v>9.7639010648636778E-7</v>
      </c>
      <c r="I60" s="9">
        <f ca="1">$F12^2*I44</f>
        <v>8.5194224457343144E-7</v>
      </c>
      <c r="J60" s="9">
        <f ca="1">$F12^2*J44</f>
        <v>9.9301521578599225E-7</v>
      </c>
      <c r="K60" s="9"/>
      <c r="L60" s="9">
        <f ca="1">$F12^2*L44</f>
        <v>9.1294305936567757E-7</v>
      </c>
      <c r="M60" s="9"/>
      <c r="N60" s="9">
        <f ca="1">$F12^2*N44</f>
        <v>9.2114232158155986E-7</v>
      </c>
      <c r="O60" s="9">
        <f ca="1">$F12^2*O44</f>
        <v>3.1819530507563395E-7</v>
      </c>
      <c r="P60" s="9">
        <f ca="1">$F12^2*P44</f>
        <v>3.0544408051193935E-7</v>
      </c>
      <c r="Q60" s="10">
        <f ca="1">$F12^2*Q44</f>
        <v>6.6125473015927261E-7</v>
      </c>
    </row>
    <row r="61" spans="1:17" x14ac:dyDescent="0.2">
      <c r="B61" s="25"/>
      <c r="K61" s="1"/>
      <c r="Q61" s="11"/>
    </row>
    <row r="62" spans="1:17" x14ac:dyDescent="0.2">
      <c r="A62" s="63" t="s">
        <v>111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2">
      <c r="A63" s="60" t="s">
        <v>41</v>
      </c>
      <c r="B63" s="25"/>
      <c r="C63" s="11">
        <f t="shared" ref="C63:J64" ca="1" si="17">(C31^2)*(C47^4)</f>
        <v>6.1591206042068904</v>
      </c>
      <c r="D63" s="11">
        <f t="shared" ca="1" si="17"/>
        <v>6.7049749552676294</v>
      </c>
      <c r="E63" s="11">
        <f t="shared" ca="1" si="17"/>
        <v>5.9276806225869079</v>
      </c>
      <c r="F63" s="11">
        <f t="shared" ca="1" si="17"/>
        <v>5.9108642997320766</v>
      </c>
      <c r="G63" s="11">
        <f t="shared" ca="1" si="17"/>
        <v>6.9006769642664745</v>
      </c>
      <c r="H63" s="11">
        <f t="shared" ca="1" si="17"/>
        <v>6.1603212192814798</v>
      </c>
      <c r="I63" s="11">
        <f t="shared" ca="1" si="17"/>
        <v>6.6022763374564617</v>
      </c>
      <c r="J63" s="11">
        <f t="shared" ca="1" si="17"/>
        <v>6.5699105474957271</v>
      </c>
      <c r="K63" s="11"/>
      <c r="L63" s="11">
        <f ca="1">(L31^2)*(L47^4)</f>
        <v>9.0236804328344125</v>
      </c>
      <c r="M63" s="11"/>
      <c r="N63" s="11">
        <f t="shared" ref="N63:Q64" ca="1" si="18">(N31^2)*(N47^4)</f>
        <v>6.5966424396927854</v>
      </c>
      <c r="O63" s="11">
        <f t="shared" ca="1" si="18"/>
        <v>6.25283961244459</v>
      </c>
      <c r="P63" s="11">
        <f t="shared" ca="1" si="18"/>
        <v>6.4626061262578798</v>
      </c>
      <c r="Q63" s="8">
        <f t="shared" ca="1" si="18"/>
        <v>6.6174634245067532</v>
      </c>
    </row>
    <row r="64" spans="1:17" x14ac:dyDescent="0.2">
      <c r="A64" s="61" t="s">
        <v>40</v>
      </c>
      <c r="B64" s="9"/>
      <c r="C64" s="9">
        <f t="shared" ca="1" si="17"/>
        <v>1.4665822454713089</v>
      </c>
      <c r="D64" s="9">
        <f t="shared" ca="1" si="17"/>
        <v>1.4616587969271584</v>
      </c>
      <c r="E64" s="9">
        <f t="shared" ca="1" si="17"/>
        <v>1.4885709181926698</v>
      </c>
      <c r="F64" s="9">
        <f t="shared" ca="1" si="17"/>
        <v>1.5566512722283277</v>
      </c>
      <c r="G64" s="9">
        <f t="shared" ca="1" si="17"/>
        <v>1.4474206941747236</v>
      </c>
      <c r="H64" s="9">
        <f t="shared" ca="1" si="17"/>
        <v>1.4190480219581079</v>
      </c>
      <c r="I64" s="9">
        <f t="shared" ca="1" si="17"/>
        <v>1.5104084045183712</v>
      </c>
      <c r="J64" s="9">
        <f t="shared" ca="1" si="17"/>
        <v>1.3657054188782556</v>
      </c>
      <c r="K64" s="9"/>
      <c r="L64" s="9">
        <f ca="1">(L32^2)*(L48^4)</f>
        <v>1.8541213786055817</v>
      </c>
      <c r="M64" s="9"/>
      <c r="N64" s="9">
        <f t="shared" ca="1" si="18"/>
        <v>1.4803627179808514</v>
      </c>
      <c r="O64" s="9">
        <f t="shared" ca="1" si="18"/>
        <v>1.4055109254817864</v>
      </c>
      <c r="P64" s="9">
        <f t="shared" ca="1" si="18"/>
        <v>1.4500604790870943</v>
      </c>
      <c r="Q64" s="10">
        <f t="shared" ca="1" si="18"/>
        <v>1.5206599009284449</v>
      </c>
    </row>
    <row r="65" spans="1:17" x14ac:dyDescent="0.2">
      <c r="B65" s="25"/>
      <c r="K65" s="1"/>
      <c r="Q65" s="11"/>
    </row>
    <row r="66" spans="1:17" x14ac:dyDescent="0.2">
      <c r="A66" s="63" t="s">
        <v>112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1:17" x14ac:dyDescent="0.2">
      <c r="A67" s="60" t="s">
        <v>41</v>
      </c>
      <c r="B67" s="25"/>
      <c r="C67" s="11">
        <f ca="1">(($F11/C51)-(1/C55))^2*($B$12)^2</f>
        <v>2.0506599842384804E-7</v>
      </c>
      <c r="D67" s="11">
        <f ca="1">(($F11/D51)-(1/D55))^2*($B$12)^2</f>
        <v>1.2775814702942509E-11</v>
      </c>
      <c r="E67" s="11">
        <f ca="1">(($F11/E51)-(1/E55))^2*($B$12)^2</f>
        <v>4.3792730450341531E-7</v>
      </c>
      <c r="F67" s="11">
        <f ca="1">(($F11/F51)-(1/F55))^2*($B$12)^2</f>
        <v>4.588913010343356E-7</v>
      </c>
      <c r="G67" s="11">
        <f ca="1">(($F11/G51)-(1/G55))^2*($B$12)^2</f>
        <v>2.084357999403441E-8</v>
      </c>
      <c r="H67" s="11">
        <f ca="1">(($F11/H51)-(1/H55))^2*($B$12)^2</f>
        <v>2.0411333431686607E-7</v>
      </c>
      <c r="I67" s="11">
        <f ca="1">(($F11/I51)-(1/I55))^2*($B$12)^2</f>
        <v>7.0277592508381394E-9</v>
      </c>
      <c r="J67" s="11">
        <f ca="1">(($F11/J51)-(1/J55))^2*($B$12)^2</f>
        <v>1.1993334905354123E-8</v>
      </c>
      <c r="K67" s="11"/>
      <c r="L67" s="11">
        <f ca="1">(($F11/L51)-(1/L55))^2*($B$12)^2</f>
        <v>2.0301740793608163E-6</v>
      </c>
      <c r="M67" s="11"/>
      <c r="N67" s="11">
        <f ca="1">(($F11/N51)-(1/N55))^2*($B$12)^2</f>
        <v>7.794888415400785E-9</v>
      </c>
      <c r="O67" s="11">
        <f ca="1">(($F11/O51)-(1/O55))^2*($B$12)^2</f>
        <v>1.3804950643543529E-7</v>
      </c>
      <c r="P67" s="11">
        <f ca="1">(($F11/P51)-(1/P55))^2*($B$12)^2</f>
        <v>3.8429712894343206E-8</v>
      </c>
      <c r="Q67" s="8">
        <f ca="1">(($F11/Q51)-(1/Q55))^2*($B$12)^2</f>
        <v>5.1618033087862516E-9</v>
      </c>
    </row>
    <row r="68" spans="1:17" x14ac:dyDescent="0.2">
      <c r="A68" s="61" t="s">
        <v>40</v>
      </c>
      <c r="B68" s="9"/>
      <c r="C68" s="9">
        <f ca="1">(($F12/C52)-(1/C56))^2*($B$12)^2</f>
        <v>1.8558190356593262E-8</v>
      </c>
      <c r="D68" s="9">
        <f ca="1">(($F12/D52)-(1/D56))^2*($B$12)^2</f>
        <v>2.3039926201662914E-8</v>
      </c>
      <c r="E68" s="9">
        <f ca="1">(($F12/E52)-(1/E56))^2*($B$12)^2</f>
        <v>4.5801667139234685E-9</v>
      </c>
      <c r="F68" s="9">
        <f ca="1">(($F12/F52)-(1/F56))^2*($B$12)^2</f>
        <v>1.8300888143848783E-8</v>
      </c>
      <c r="G68" s="9">
        <f ca="1">(($F12/G52)-(1/G56))^2*($B$12)^2</f>
        <v>3.8901324990526333E-8</v>
      </c>
      <c r="H68" s="9">
        <f ca="1">(($F12/H52)-(1/H56))^2*($B$12)^2</f>
        <v>8.3996514457048792E-8</v>
      </c>
      <c r="I68" s="9">
        <f ca="1">(($F12/I52)-(1/I56))^2*($B$12)^2</f>
        <v>1.1727204399723788E-12</v>
      </c>
      <c r="J68" s="9">
        <f ca="1">(($F12/J52)-(1/J56))^2*($B$12)^2</f>
        <v>2.2242602043236927E-7</v>
      </c>
      <c r="K68" s="9"/>
      <c r="L68" s="9">
        <f ca="1">(($F12/L52)-(1/L56))^2*($B$12)^2</f>
        <v>7.8573038658609244E-7</v>
      </c>
      <c r="M68" s="9"/>
      <c r="N68" s="9">
        <f ca="1">(($F12/N52)-(1/N56))^2*($B$12)^2</f>
        <v>8.6653951114985322E-9</v>
      </c>
      <c r="O68" s="9">
        <f ca="1">(($F12/O52)-(1/O56))^2*($B$12)^2</f>
        <v>1.1221099971693458E-7</v>
      </c>
      <c r="P68" s="9">
        <f ca="1">(($F12/P52)-(1/P56))^2*($B$12)^2</f>
        <v>3.5629616503517424E-8</v>
      </c>
      <c r="Q68" s="10">
        <f ca="1">(($F12/Q52)-(1/Q56))^2*($B$12)^2</f>
        <v>8.8110526597655989E-10</v>
      </c>
    </row>
    <row r="69" spans="1:17" x14ac:dyDescent="0.2">
      <c r="B69" s="25"/>
      <c r="K69" s="1"/>
      <c r="Q69" s="11"/>
    </row>
    <row r="70" spans="1:17" x14ac:dyDescent="0.2">
      <c r="A70" s="63" t="s">
        <v>113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</row>
    <row r="71" spans="1:17" x14ac:dyDescent="0.2">
      <c r="A71" s="60" t="s">
        <v>41</v>
      </c>
      <c r="B71" s="25"/>
      <c r="C71" s="11">
        <f t="shared" ref="C71:J72" ca="1" si="19">C59/C63</f>
        <v>3.4859572823205278E-7</v>
      </c>
      <c r="D71" s="11">
        <f t="shared" ca="1" si="19"/>
        <v>2.874660867662807E-7</v>
      </c>
      <c r="E71" s="11">
        <f t="shared" ca="1" si="19"/>
        <v>3.0717997364890097E-7</v>
      </c>
      <c r="F71" s="11">
        <f t="shared" ca="1" si="19"/>
        <v>3.5608546464936057E-7</v>
      </c>
      <c r="G71" s="11">
        <f t="shared" ca="1" si="19"/>
        <v>3.377658139960074E-7</v>
      </c>
      <c r="H71" s="11">
        <f t="shared" ca="1" si="19"/>
        <v>3.4125360068610542E-7</v>
      </c>
      <c r="I71" s="11">
        <f t="shared" ca="1" si="19"/>
        <v>2.6710168878636155E-7</v>
      </c>
      <c r="J71" s="11">
        <f t="shared" ca="1" si="19"/>
        <v>3.4656573647717898E-7</v>
      </c>
      <c r="K71" s="11"/>
      <c r="L71" s="11">
        <f ca="1">L59/L63</f>
        <v>2.1328792871237131E-7</v>
      </c>
      <c r="M71" s="11"/>
      <c r="N71" s="11">
        <f t="shared" ref="N71:Q72" ca="1" si="20">N59/N63</f>
        <v>2.8735310797438195E-7</v>
      </c>
      <c r="O71" s="11">
        <f t="shared" ca="1" si="20"/>
        <v>1.0337053113765012E-7</v>
      </c>
      <c r="P71" s="11">
        <f t="shared" ca="1" si="20"/>
        <v>9.908494494705912E-8</v>
      </c>
      <c r="Q71" s="8">
        <f t="shared" ca="1" si="20"/>
        <v>2.152426849868448E-7</v>
      </c>
    </row>
    <row r="72" spans="1:17" x14ac:dyDescent="0.2">
      <c r="A72" s="61" t="s">
        <v>40</v>
      </c>
      <c r="B72" s="9"/>
      <c r="C72" s="9">
        <f t="shared" ca="1" si="19"/>
        <v>7.0373950288085282E-7</v>
      </c>
      <c r="D72" s="9">
        <f t="shared" ca="1" si="19"/>
        <v>6.5380381177263015E-7</v>
      </c>
      <c r="E72" s="9">
        <f t="shared" ca="1" si="19"/>
        <v>6.0664397144622701E-7</v>
      </c>
      <c r="F72" s="9">
        <f t="shared" ca="1" si="19"/>
        <v>5.9355936110651142E-7</v>
      </c>
      <c r="G72" s="9">
        <f t="shared" ca="1" si="19"/>
        <v>7.3992723292368022E-7</v>
      </c>
      <c r="H72" s="9">
        <f t="shared" ca="1" si="19"/>
        <v>6.8805994679381757E-7</v>
      </c>
      <c r="I72" s="9">
        <f t="shared" ca="1" si="19"/>
        <v>5.6404760594873208E-7</v>
      </c>
      <c r="J72" s="9">
        <f t="shared" ca="1" si="19"/>
        <v>7.271079121891612E-7</v>
      </c>
      <c r="K72" s="9"/>
      <c r="L72" s="9">
        <f ca="1">L60/L64</f>
        <v>4.9238581136056438E-7</v>
      </c>
      <c r="M72" s="9"/>
      <c r="N72" s="9">
        <f t="shared" ca="1" si="20"/>
        <v>6.222409618893651E-7</v>
      </c>
      <c r="O72" s="9">
        <f t="shared" ca="1" si="20"/>
        <v>2.2639120003038166E-7</v>
      </c>
      <c r="P72" s="9">
        <f t="shared" ca="1" si="20"/>
        <v>2.1064230417770982E-7</v>
      </c>
      <c r="Q72" s="10">
        <f t="shared" ca="1" si="20"/>
        <v>4.3484721978631834E-7</v>
      </c>
    </row>
    <row r="73" spans="1:17" x14ac:dyDescent="0.2">
      <c r="B73" s="25"/>
      <c r="K73" s="1"/>
      <c r="Q73" s="11"/>
    </row>
    <row r="74" spans="1:17" x14ac:dyDescent="0.2">
      <c r="A74" s="66" t="s">
        <v>115</v>
      </c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1"/>
    </row>
    <row r="75" spans="1:17" x14ac:dyDescent="0.2">
      <c r="A75" s="67" t="s">
        <v>41</v>
      </c>
      <c r="B75" s="52"/>
      <c r="C75" s="54">
        <f t="shared" ref="C75:J76" ca="1" si="21">SQRT(C67+C71)</f>
        <v>7.4408448892306631E-4</v>
      </c>
      <c r="D75" s="54">
        <f t="shared" ca="1" si="21"/>
        <v>5.3617055363100984E-4</v>
      </c>
      <c r="E75" s="54">
        <f t="shared" ca="1" si="21"/>
        <v>8.6319596740967004E-4</v>
      </c>
      <c r="F75" s="54">
        <f t="shared" ca="1" si="21"/>
        <v>9.027606358740373E-4</v>
      </c>
      <c r="G75" s="54">
        <f t="shared" ca="1" si="21"/>
        <v>5.9884004040314622E-4</v>
      </c>
      <c r="H75" s="54">
        <f t="shared" ca="1" si="21"/>
        <v>7.38489630938019E-4</v>
      </c>
      <c r="I75" s="54">
        <f t="shared" ca="1" si="21"/>
        <v>5.2357372741305465E-4</v>
      </c>
      <c r="J75" s="54">
        <f t="shared" ca="1" si="21"/>
        <v>5.9879802219323769E-4</v>
      </c>
      <c r="K75" s="54"/>
      <c r="L75" s="54">
        <f ca="1">SQRT(L67+L71)</f>
        <v>1.4978190838927069E-3</v>
      </c>
      <c r="M75" s="54"/>
      <c r="N75" s="54">
        <f t="shared" ref="N75:Q76" ca="1" si="22">SQRT(N67+N71)</f>
        <v>5.4327524919674252E-4</v>
      </c>
      <c r="O75" s="54">
        <f t="shared" ca="1" si="22"/>
        <v>4.9134513081243154E-4</v>
      </c>
      <c r="P75" s="54">
        <f t="shared" ca="1" si="22"/>
        <v>3.7082968845738646E-4</v>
      </c>
      <c r="Q75" s="55">
        <f t="shared" ca="1" si="22"/>
        <v>4.6947256394344394E-4</v>
      </c>
    </row>
    <row r="76" spans="1:17" x14ac:dyDescent="0.2">
      <c r="A76" s="68" t="s">
        <v>40</v>
      </c>
      <c r="B76" s="53"/>
      <c r="C76" s="56">
        <f t="shared" ca="1" si="21"/>
        <v>8.4988098769030369E-4</v>
      </c>
      <c r="D76" s="56">
        <f t="shared" ca="1" si="21"/>
        <v>8.2270513428220023E-4</v>
      </c>
      <c r="E76" s="56">
        <f t="shared" ca="1" si="21"/>
        <v>7.8180824897167113E-4</v>
      </c>
      <c r="F76" s="56">
        <f t="shared" ca="1" si="21"/>
        <v>7.8221496358121421E-4</v>
      </c>
      <c r="G76" s="56">
        <f t="shared" ca="1" si="21"/>
        <v>8.8251263895437022E-4</v>
      </c>
      <c r="H76" s="56">
        <f t="shared" ca="1" si="21"/>
        <v>8.7866743495526589E-4</v>
      </c>
      <c r="I76" s="56">
        <f t="shared" ca="1" si="21"/>
        <v>7.5103180935907909E-4</v>
      </c>
      <c r="J76" s="56">
        <f t="shared" ca="1" si="21"/>
        <v>9.7444031762932023E-4</v>
      </c>
      <c r="K76" s="56"/>
      <c r="L76" s="56">
        <f ca="1">SQRT(L68+L72)</f>
        <v>1.1305380126057933E-3</v>
      </c>
      <c r="M76" s="56"/>
      <c r="N76" s="56">
        <f t="shared" ca="1" si="22"/>
        <v>7.9429613935915844E-4</v>
      </c>
      <c r="O76" s="56">
        <f t="shared" ca="1" si="22"/>
        <v>5.8189535119926522E-4</v>
      </c>
      <c r="P76" s="56">
        <f t="shared" ca="1" si="22"/>
        <v>4.9625791749978887E-4</v>
      </c>
      <c r="Q76" s="57">
        <f t="shared" ca="1" si="22"/>
        <v>6.6009720878995918E-4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KIE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Microsoft Office User</cp:lastModifiedBy>
  <dcterms:created xsi:type="dcterms:W3CDTF">2021-08-29T05:59:25Z</dcterms:created>
  <dcterms:modified xsi:type="dcterms:W3CDTF">2021-09-12T16:50:12Z</dcterms:modified>
</cp:coreProperties>
</file>