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aneu/Downloads/"/>
    </mc:Choice>
  </mc:AlternateContent>
  <xr:revisionPtr revIDLastSave="0" documentId="13_ncr:1_{D70C0078-A66C-714F-B157-5AFDFC5B14C8}" xr6:coauthVersionLast="47" xr6:coauthVersionMax="47" xr10:uidLastSave="{00000000-0000-0000-0000-000000000000}"/>
  <bookViews>
    <workbookView xWindow="0" yWindow="500" windowWidth="32360" windowHeight="19260" tabRatio="816" xr2:uid="{10B95BD4-66A4-414A-8E44-1343FECF20D4}"/>
  </bookViews>
  <sheets>
    <sheet name="Summary Hammett Analysis" sheetId="16" r:id="rId1"/>
    <sheet name="Standard Curve Raw Data" sheetId="2" r:id="rId2"/>
    <sheet name="Raw Data 4H" sheetId="15" r:id="rId3"/>
    <sheet name="Analysis 4H" sheetId="14" r:id="rId4"/>
    <sheet name="Raw Data 4TMS" sheetId="12" r:id="rId5"/>
    <sheet name="Analysis 4TMS" sheetId="13" r:id="rId6"/>
    <sheet name="Raw Data 4F" sheetId="11" r:id="rId7"/>
    <sheet name="Analysis 4F" sheetId="9" r:id="rId8"/>
    <sheet name="Raw Data 4I" sheetId="17" r:id="rId9"/>
    <sheet name="Analysis 4I" sheetId="18" r:id="rId10"/>
    <sheet name="Raw Data 4Br" sheetId="8" r:id="rId11"/>
    <sheet name="Analysis 4Br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6" l="1"/>
  <c r="L170" i="2"/>
  <c r="L169" i="2"/>
  <c r="L168" i="2"/>
  <c r="L167" i="2"/>
  <c r="L166" i="2"/>
  <c r="L165" i="2"/>
  <c r="L164" i="2"/>
  <c r="L138" i="2"/>
  <c r="L137" i="2"/>
  <c r="L136" i="2"/>
  <c r="L135" i="2"/>
  <c r="L134" i="2"/>
  <c r="L133" i="2"/>
  <c r="L132" i="2"/>
  <c r="L100" i="2"/>
  <c r="L106" i="2"/>
  <c r="L105" i="2"/>
  <c r="L104" i="2"/>
  <c r="L103" i="2"/>
  <c r="L102" i="2"/>
  <c r="L101" i="2"/>
  <c r="L72" i="2"/>
  <c r="L73" i="2"/>
  <c r="L74" i="2"/>
  <c r="L75" i="2"/>
  <c r="L76" i="2"/>
  <c r="L71" i="2"/>
  <c r="L44" i="2"/>
  <c r="L39" i="2"/>
  <c r="L40" i="2"/>
  <c r="L41" i="2"/>
  <c r="L42" i="2"/>
  <c r="L43" i="2"/>
  <c r="L38" i="2"/>
  <c r="K9" i="2"/>
  <c r="K4" i="2"/>
  <c r="K5" i="2"/>
  <c r="K6" i="2"/>
  <c r="K7" i="2"/>
  <c r="K8" i="2"/>
  <c r="K3" i="2"/>
  <c r="L77" i="2" l="1"/>
  <c r="D35" i="16" l="1"/>
  <c r="N145" i="2" l="1"/>
  <c r="N151" i="2"/>
  <c r="F30" i="13" l="1"/>
  <c r="F31" i="13"/>
  <c r="F32" i="13" s="1"/>
  <c r="F33" i="13" s="1"/>
  <c r="F34" i="13" s="1"/>
  <c r="F29" i="13"/>
  <c r="F18" i="13"/>
  <c r="F19" i="13" s="1"/>
  <c r="F20" i="13" s="1"/>
  <c r="F21" i="13" s="1"/>
  <c r="F22" i="13" s="1"/>
  <c r="F17" i="13"/>
  <c r="E2" i="17"/>
  <c r="F18" i="18"/>
  <c r="F19" i="18" s="1"/>
  <c r="F20" i="18" s="1"/>
  <c r="F21" i="18" s="1"/>
  <c r="F22" i="18" s="1"/>
  <c r="F17" i="18"/>
  <c r="F16" i="18"/>
  <c r="G16" i="18" s="1"/>
  <c r="F30" i="18"/>
  <c r="F31" i="18" s="1"/>
  <c r="F32" i="18" s="1"/>
  <c r="F33" i="18" s="1"/>
  <c r="F34" i="18" s="1"/>
  <c r="F29" i="18"/>
  <c r="F18" i="9"/>
  <c r="F19" i="9"/>
  <c r="F20" i="9" s="1"/>
  <c r="F21" i="9" s="1"/>
  <c r="F22" i="9" s="1"/>
  <c r="F17" i="9"/>
  <c r="F30" i="9"/>
  <c r="F31" i="9" s="1"/>
  <c r="F32" i="9" s="1"/>
  <c r="F33" i="9" s="1"/>
  <c r="F34" i="9" s="1"/>
  <c r="F29" i="9"/>
  <c r="F28" i="18"/>
  <c r="E34" i="18"/>
  <c r="B34" i="18"/>
  <c r="E33" i="18"/>
  <c r="B33" i="18"/>
  <c r="E32" i="18"/>
  <c r="B32" i="18"/>
  <c r="E31" i="18"/>
  <c r="B31" i="18"/>
  <c r="E30" i="18"/>
  <c r="B30" i="18"/>
  <c r="E29" i="18"/>
  <c r="B29" i="18"/>
  <c r="E28" i="18"/>
  <c r="B28" i="18"/>
  <c r="E22" i="18"/>
  <c r="E21" i="18"/>
  <c r="E20" i="18"/>
  <c r="E19" i="18"/>
  <c r="E18" i="18"/>
  <c r="E17" i="18"/>
  <c r="E16" i="18"/>
  <c r="E10" i="18"/>
  <c r="B10" i="18"/>
  <c r="E9" i="18"/>
  <c r="B9" i="18"/>
  <c r="E8" i="18"/>
  <c r="B8" i="18"/>
  <c r="E7" i="18"/>
  <c r="B7" i="18"/>
  <c r="E6" i="18"/>
  <c r="B6" i="18"/>
  <c r="B5" i="18"/>
  <c r="F4" i="18"/>
  <c r="F5" i="18" s="1"/>
  <c r="E4" i="18"/>
  <c r="B4" i="18"/>
  <c r="J50" i="17"/>
  <c r="F50" i="17"/>
  <c r="J49" i="17"/>
  <c r="F49" i="17"/>
  <c r="J48" i="17"/>
  <c r="F48" i="17"/>
  <c r="J47" i="17"/>
  <c r="F47" i="17"/>
  <c r="J46" i="17"/>
  <c r="F46" i="17"/>
  <c r="J45" i="17"/>
  <c r="F45" i="17"/>
  <c r="J44" i="17"/>
  <c r="F44" i="17"/>
  <c r="J36" i="17"/>
  <c r="F36" i="17"/>
  <c r="J35" i="17"/>
  <c r="F35" i="17"/>
  <c r="J34" i="17"/>
  <c r="F34" i="17"/>
  <c r="J33" i="17"/>
  <c r="F33" i="17"/>
  <c r="J32" i="17"/>
  <c r="F32" i="17"/>
  <c r="J31" i="17"/>
  <c r="F31" i="17"/>
  <c r="J30" i="17"/>
  <c r="F30" i="17"/>
  <c r="J22" i="17"/>
  <c r="F22" i="17"/>
  <c r="J21" i="17"/>
  <c r="F21" i="17"/>
  <c r="J20" i="17"/>
  <c r="F20" i="17"/>
  <c r="J19" i="17"/>
  <c r="F19" i="17"/>
  <c r="J18" i="17"/>
  <c r="F18" i="17"/>
  <c r="J17" i="17"/>
  <c r="F17" i="17"/>
  <c r="J16" i="17"/>
  <c r="F16" i="17"/>
  <c r="I2" i="17"/>
  <c r="C5" i="17"/>
  <c r="E151" i="2"/>
  <c r="F134" i="2"/>
  <c r="E139" i="2"/>
  <c r="D138" i="2"/>
  <c r="B128" i="2"/>
  <c r="H16" i="18" l="1"/>
  <c r="F6" i="18"/>
  <c r="G5" i="18"/>
  <c r="G29" i="18"/>
  <c r="H29" i="18" s="1"/>
  <c r="G28" i="18"/>
  <c r="H28" i="18" s="1"/>
  <c r="G4" i="18"/>
  <c r="H4" i="18" s="1"/>
  <c r="D5" i="17"/>
  <c r="K46" i="17" s="1"/>
  <c r="H2" i="17"/>
  <c r="K49" i="17" l="1"/>
  <c r="K36" i="17"/>
  <c r="K30" i="17"/>
  <c r="K32" i="17"/>
  <c r="K19" i="17"/>
  <c r="K20" i="17"/>
  <c r="K21" i="17"/>
  <c r="K45" i="17"/>
  <c r="K35" i="17"/>
  <c r="K47" i="17"/>
  <c r="K17" i="17"/>
  <c r="K34" i="17"/>
  <c r="K16" i="17"/>
  <c r="K50" i="17"/>
  <c r="K31" i="17"/>
  <c r="G17" i="18"/>
  <c r="H17" i="18" s="1"/>
  <c r="G30" i="18"/>
  <c r="H30" i="18" s="1"/>
  <c r="G6" i="18"/>
  <c r="H6" i="18" s="1"/>
  <c r="F7" i="18"/>
  <c r="C8" i="17"/>
  <c r="D8" i="17"/>
  <c r="K48" i="17"/>
  <c r="K33" i="17"/>
  <c r="K22" i="17"/>
  <c r="K44" i="17"/>
  <c r="K18" i="17"/>
  <c r="K16" i="15"/>
  <c r="G18" i="18" l="1"/>
  <c r="H18" i="18" s="1"/>
  <c r="F8" i="18"/>
  <c r="G7" i="18"/>
  <c r="H7" i="18" s="1"/>
  <c r="G31" i="18"/>
  <c r="H31" i="18" s="1"/>
  <c r="E8" i="17"/>
  <c r="H25" i="12"/>
  <c r="C28" i="12"/>
  <c r="E25" i="12"/>
  <c r="K53" i="12"/>
  <c r="C18" i="16"/>
  <c r="F28" i="13"/>
  <c r="F16" i="13"/>
  <c r="D26" i="16"/>
  <c r="C26" i="16"/>
  <c r="F28" i="9"/>
  <c r="F16" i="9"/>
  <c r="H25" i="11"/>
  <c r="H2" i="11"/>
  <c r="C46" i="16"/>
  <c r="C47" i="16" s="1"/>
  <c r="C45" i="16"/>
  <c r="D45" i="16"/>
  <c r="C36" i="16"/>
  <c r="C35" i="16"/>
  <c r="D17" i="16"/>
  <c r="D8" i="16"/>
  <c r="J54" i="12"/>
  <c r="J55" i="12"/>
  <c r="J56" i="12"/>
  <c r="J57" i="12"/>
  <c r="J58" i="12"/>
  <c r="J59" i="12"/>
  <c r="J53" i="12"/>
  <c r="C9" i="16"/>
  <c r="C8" i="16"/>
  <c r="F50" i="14"/>
  <c r="F51" i="14" s="1"/>
  <c r="F52" i="14" s="1"/>
  <c r="F53" i="14" s="1"/>
  <c r="F54" i="14" s="1"/>
  <c r="F49" i="14"/>
  <c r="F62" i="14"/>
  <c r="F63" i="14" s="1"/>
  <c r="F64" i="14" s="1"/>
  <c r="F65" i="14" s="1"/>
  <c r="F66" i="14" s="1"/>
  <c r="F61" i="14"/>
  <c r="F60" i="14"/>
  <c r="F48" i="14"/>
  <c r="E63" i="14"/>
  <c r="E50" i="14"/>
  <c r="E61" i="14"/>
  <c r="E62" i="14"/>
  <c r="E64" i="14"/>
  <c r="E65" i="14"/>
  <c r="E66" i="14"/>
  <c r="E60" i="14"/>
  <c r="E49" i="14"/>
  <c r="E51" i="14"/>
  <c r="E52" i="14"/>
  <c r="E53" i="14"/>
  <c r="E54" i="14"/>
  <c r="E48" i="14"/>
  <c r="E37" i="14"/>
  <c r="E38" i="14"/>
  <c r="E39" i="14"/>
  <c r="E40" i="14"/>
  <c r="E41" i="14"/>
  <c r="E42" i="14"/>
  <c r="E36" i="14"/>
  <c r="F36" i="14"/>
  <c r="E29" i="14"/>
  <c r="H29" i="14" s="1"/>
  <c r="G11" i="14"/>
  <c r="G12" i="14"/>
  <c r="G13" i="14"/>
  <c r="G14" i="14"/>
  <c r="G15" i="14"/>
  <c r="G16" i="14"/>
  <c r="G17" i="14"/>
  <c r="G18" i="14"/>
  <c r="F11" i="14"/>
  <c r="F12" i="14" s="1"/>
  <c r="F13" i="14" s="1"/>
  <c r="F14" i="14" s="1"/>
  <c r="F15" i="14" s="1"/>
  <c r="F16" i="14" s="1"/>
  <c r="F17" i="14" s="1"/>
  <c r="F18" i="14" s="1"/>
  <c r="B11" i="14"/>
  <c r="B12" i="14"/>
  <c r="B13" i="14"/>
  <c r="B14" i="14"/>
  <c r="B15" i="14"/>
  <c r="B16" i="14"/>
  <c r="B17" i="14"/>
  <c r="B18" i="14"/>
  <c r="G28" i="14"/>
  <c r="G29" i="14"/>
  <c r="G30" i="14"/>
  <c r="F28" i="14"/>
  <c r="F29" i="14"/>
  <c r="F30" i="14"/>
  <c r="E28" i="14"/>
  <c r="H28" i="14" s="1"/>
  <c r="E30" i="14"/>
  <c r="H30" i="14" s="1"/>
  <c r="B28" i="14"/>
  <c r="B29" i="14"/>
  <c r="B30" i="14"/>
  <c r="B66" i="14"/>
  <c r="B65" i="14"/>
  <c r="B64" i="14"/>
  <c r="B63" i="14"/>
  <c r="B62" i="14"/>
  <c r="B61" i="14"/>
  <c r="G60" i="14"/>
  <c r="B60" i="14"/>
  <c r="J30" i="15"/>
  <c r="F30" i="15"/>
  <c r="J29" i="15"/>
  <c r="F29" i="15"/>
  <c r="J28" i="15"/>
  <c r="F28" i="15"/>
  <c r="J27" i="15"/>
  <c r="F27" i="15"/>
  <c r="J26" i="15"/>
  <c r="F26" i="15"/>
  <c r="J25" i="15"/>
  <c r="F25" i="15"/>
  <c r="J24" i="15"/>
  <c r="F24" i="15"/>
  <c r="J23" i="15"/>
  <c r="F23" i="15"/>
  <c r="C11" i="16" l="1"/>
  <c r="E6" i="16"/>
  <c r="E44" i="16"/>
  <c r="E41" i="16"/>
  <c r="E24" i="16"/>
  <c r="E25" i="16"/>
  <c r="E42" i="16"/>
  <c r="E43" i="16"/>
  <c r="C38" i="16"/>
  <c r="C37" i="16"/>
  <c r="E35" i="16"/>
  <c r="E15" i="16"/>
  <c r="E5" i="16"/>
  <c r="E33" i="16"/>
  <c r="E8" i="16"/>
  <c r="E32" i="16"/>
  <c r="E14" i="16"/>
  <c r="E4" i="16"/>
  <c r="E34" i="16"/>
  <c r="E45" i="16"/>
  <c r="E26" i="16"/>
  <c r="E7" i="16"/>
  <c r="E3" i="16"/>
  <c r="E16" i="16"/>
  <c r="F9" i="18"/>
  <c r="G8" i="18"/>
  <c r="H8" i="18" s="1"/>
  <c r="G32" i="18"/>
  <c r="H32" i="18" s="1"/>
  <c r="G19" i="18"/>
  <c r="H19" i="18" s="1"/>
  <c r="C17" i="16"/>
  <c r="C27" i="16"/>
  <c r="C29" i="16" s="1"/>
  <c r="C48" i="16"/>
  <c r="C10" i="16"/>
  <c r="C19" i="16"/>
  <c r="H60" i="14"/>
  <c r="G62" i="14"/>
  <c r="H62" i="14" s="1"/>
  <c r="G61" i="14"/>
  <c r="H61" i="14" s="1"/>
  <c r="J86" i="15"/>
  <c r="F86" i="15"/>
  <c r="J85" i="15"/>
  <c r="F85" i="15"/>
  <c r="J84" i="15"/>
  <c r="F84" i="15"/>
  <c r="J83" i="15"/>
  <c r="F83" i="15"/>
  <c r="J82" i="15"/>
  <c r="F82" i="15"/>
  <c r="J81" i="15"/>
  <c r="F81" i="15"/>
  <c r="J80" i="15"/>
  <c r="F80" i="15"/>
  <c r="J72" i="15"/>
  <c r="F72" i="15"/>
  <c r="J71" i="15"/>
  <c r="F71" i="15"/>
  <c r="J70" i="15"/>
  <c r="F70" i="15"/>
  <c r="J69" i="15"/>
  <c r="F69" i="15"/>
  <c r="J68" i="15"/>
  <c r="F68" i="15"/>
  <c r="J67" i="15"/>
  <c r="F67" i="15"/>
  <c r="J66" i="15"/>
  <c r="F66" i="15"/>
  <c r="J58" i="15"/>
  <c r="F58" i="15"/>
  <c r="J57" i="15"/>
  <c r="F57" i="15"/>
  <c r="J56" i="15"/>
  <c r="F56" i="15"/>
  <c r="J55" i="15"/>
  <c r="F55" i="15"/>
  <c r="J54" i="15"/>
  <c r="F54" i="15"/>
  <c r="J53" i="15"/>
  <c r="F53" i="15"/>
  <c r="J52" i="15"/>
  <c r="F52" i="15"/>
  <c r="J22" i="15"/>
  <c r="F22" i="15"/>
  <c r="J21" i="15"/>
  <c r="F21" i="15"/>
  <c r="J20" i="15"/>
  <c r="F20" i="15"/>
  <c r="J19" i="15"/>
  <c r="F19" i="15"/>
  <c r="J18" i="15"/>
  <c r="F18" i="15"/>
  <c r="J17" i="15"/>
  <c r="F17" i="15"/>
  <c r="J16" i="15"/>
  <c r="F16" i="15"/>
  <c r="J43" i="15"/>
  <c r="J41" i="15"/>
  <c r="J39" i="15"/>
  <c r="J44" i="15"/>
  <c r="F44" i="15"/>
  <c r="F43" i="15"/>
  <c r="J42" i="15"/>
  <c r="F42" i="15"/>
  <c r="F41" i="15"/>
  <c r="J40" i="15"/>
  <c r="F40" i="15"/>
  <c r="F39" i="15"/>
  <c r="J38" i="15"/>
  <c r="F38" i="15"/>
  <c r="I2" i="15"/>
  <c r="E2" i="15"/>
  <c r="C5" i="15" s="1"/>
  <c r="H2" i="15" s="1"/>
  <c r="B54" i="14"/>
  <c r="B53" i="14"/>
  <c r="B52" i="14"/>
  <c r="B51" i="14"/>
  <c r="B50" i="14"/>
  <c r="B49" i="14"/>
  <c r="B48" i="14"/>
  <c r="G36" i="14"/>
  <c r="E27" i="14"/>
  <c r="B27" i="14"/>
  <c r="E26" i="14"/>
  <c r="B26" i="14"/>
  <c r="E25" i="14"/>
  <c r="B25" i="14"/>
  <c r="F24" i="14"/>
  <c r="F25" i="14" s="1"/>
  <c r="E24" i="14"/>
  <c r="B24" i="14"/>
  <c r="B10" i="14"/>
  <c r="B9" i="14"/>
  <c r="B8" i="14"/>
  <c r="B7" i="14"/>
  <c r="B6" i="14"/>
  <c r="B5" i="14"/>
  <c r="F4" i="14"/>
  <c r="F5" i="14" s="1"/>
  <c r="B4" i="14"/>
  <c r="E29" i="13"/>
  <c r="E30" i="13"/>
  <c r="E31" i="13"/>
  <c r="E32" i="13"/>
  <c r="E33" i="13"/>
  <c r="E34" i="13"/>
  <c r="E28" i="13"/>
  <c r="E17" i="13"/>
  <c r="E18" i="13"/>
  <c r="E19" i="13"/>
  <c r="E20" i="13"/>
  <c r="E21" i="13"/>
  <c r="E22" i="13"/>
  <c r="E16" i="13"/>
  <c r="E29" i="9"/>
  <c r="E30" i="9"/>
  <c r="E31" i="9"/>
  <c r="E32" i="9"/>
  <c r="E33" i="9"/>
  <c r="E34" i="9"/>
  <c r="E28" i="9"/>
  <c r="E17" i="9"/>
  <c r="E18" i="9"/>
  <c r="E19" i="9"/>
  <c r="E20" i="9"/>
  <c r="E21" i="9"/>
  <c r="E22" i="9"/>
  <c r="E16" i="9"/>
  <c r="G16" i="13"/>
  <c r="B34" i="13"/>
  <c r="B33" i="13"/>
  <c r="B32" i="13"/>
  <c r="B31" i="13"/>
  <c r="B30" i="13"/>
  <c r="B29" i="13"/>
  <c r="B28" i="13"/>
  <c r="B10" i="13"/>
  <c r="B9" i="13"/>
  <c r="B8" i="13"/>
  <c r="B7" i="13"/>
  <c r="B6" i="13"/>
  <c r="B5" i="13"/>
  <c r="F4" i="13"/>
  <c r="F5" i="13" s="1"/>
  <c r="B4" i="13"/>
  <c r="F59" i="12"/>
  <c r="F58" i="12"/>
  <c r="F57" i="12"/>
  <c r="F56" i="12"/>
  <c r="F55" i="12"/>
  <c r="F54" i="12"/>
  <c r="F53" i="12"/>
  <c r="J45" i="12"/>
  <c r="F45" i="12"/>
  <c r="J44" i="12"/>
  <c r="F44" i="12"/>
  <c r="J43" i="12"/>
  <c r="F43" i="12"/>
  <c r="J42" i="12"/>
  <c r="F42" i="12"/>
  <c r="J41" i="12"/>
  <c r="F41" i="12"/>
  <c r="J40" i="12"/>
  <c r="F40" i="12"/>
  <c r="J39" i="12"/>
  <c r="F39" i="12"/>
  <c r="I25" i="12"/>
  <c r="C31" i="12"/>
  <c r="J22" i="12"/>
  <c r="F22" i="12"/>
  <c r="J21" i="12"/>
  <c r="F21" i="12"/>
  <c r="J20" i="12"/>
  <c r="F20" i="12"/>
  <c r="J19" i="12"/>
  <c r="F19" i="12"/>
  <c r="J18" i="12"/>
  <c r="F18" i="12"/>
  <c r="J17" i="12"/>
  <c r="F17" i="12"/>
  <c r="J16" i="12"/>
  <c r="F16" i="12"/>
  <c r="I2" i="12"/>
  <c r="E2" i="12"/>
  <c r="C5" i="12" s="1"/>
  <c r="H2" i="12" s="1"/>
  <c r="D8" i="12" s="1"/>
  <c r="J56" i="11"/>
  <c r="J54" i="11"/>
  <c r="G28" i="9"/>
  <c r="G16" i="9"/>
  <c r="K31" i="8"/>
  <c r="K32" i="8"/>
  <c r="K33" i="8"/>
  <c r="K30" i="8"/>
  <c r="K17" i="8"/>
  <c r="K18" i="8"/>
  <c r="K19" i="8"/>
  <c r="K20" i="8"/>
  <c r="K21" i="8"/>
  <c r="K22" i="8"/>
  <c r="K16" i="8"/>
  <c r="K17" i="11"/>
  <c r="K18" i="11"/>
  <c r="K19" i="11"/>
  <c r="K20" i="11"/>
  <c r="K21" i="11"/>
  <c r="K22" i="11"/>
  <c r="K16" i="11"/>
  <c r="J44" i="11"/>
  <c r="J42" i="11"/>
  <c r="J40" i="11"/>
  <c r="J45" i="11"/>
  <c r="J43" i="11"/>
  <c r="J41" i="11"/>
  <c r="J58" i="11"/>
  <c r="J57" i="11"/>
  <c r="F54" i="11"/>
  <c r="F55" i="11"/>
  <c r="F56" i="11"/>
  <c r="F57" i="11"/>
  <c r="F58" i="11"/>
  <c r="F59" i="11"/>
  <c r="F53" i="11"/>
  <c r="J55" i="11"/>
  <c r="J59" i="11"/>
  <c r="J53" i="11"/>
  <c r="F45" i="11"/>
  <c r="F44" i="11"/>
  <c r="F43" i="11"/>
  <c r="F42" i="11"/>
  <c r="F41" i="11"/>
  <c r="F40" i="11"/>
  <c r="J39" i="11"/>
  <c r="K39" i="11" s="1"/>
  <c r="F39" i="11"/>
  <c r="I25" i="11"/>
  <c r="E25" i="11"/>
  <c r="C28" i="11" s="1"/>
  <c r="J22" i="11"/>
  <c r="F22" i="11"/>
  <c r="J21" i="11"/>
  <c r="F21" i="11"/>
  <c r="J20" i="11"/>
  <c r="F20" i="11"/>
  <c r="J19" i="11"/>
  <c r="F19" i="11"/>
  <c r="J18" i="11"/>
  <c r="F18" i="11"/>
  <c r="J17" i="11"/>
  <c r="F17" i="11"/>
  <c r="J16" i="11"/>
  <c r="F16" i="11"/>
  <c r="I2" i="11"/>
  <c r="E2" i="11"/>
  <c r="C5" i="11" s="1"/>
  <c r="H36" i="8"/>
  <c r="C42" i="8" s="1"/>
  <c r="C39" i="8"/>
  <c r="K51" i="8" s="1"/>
  <c r="E2" i="8"/>
  <c r="C5" i="8" s="1"/>
  <c r="D5" i="8" s="1"/>
  <c r="I36" i="8"/>
  <c r="E36" i="8"/>
  <c r="E40" i="10"/>
  <c r="E37" i="10"/>
  <c r="E43" i="10"/>
  <c r="B43" i="10"/>
  <c r="E42" i="10"/>
  <c r="B42" i="10"/>
  <c r="E41" i="10"/>
  <c r="B41" i="10"/>
  <c r="B40" i="10"/>
  <c r="E39" i="10"/>
  <c r="B39" i="10"/>
  <c r="E38" i="10"/>
  <c r="B38" i="10"/>
  <c r="F37" i="10"/>
  <c r="F38" i="10" s="1"/>
  <c r="B37" i="10"/>
  <c r="E31" i="10"/>
  <c r="E30" i="10"/>
  <c r="E29" i="10"/>
  <c r="E28" i="10"/>
  <c r="E27" i="10"/>
  <c r="E26" i="10"/>
  <c r="F25" i="10"/>
  <c r="G25" i="10" s="1"/>
  <c r="H25" i="10" s="1"/>
  <c r="E25" i="10"/>
  <c r="E19" i="10"/>
  <c r="B19" i="10"/>
  <c r="E18" i="10"/>
  <c r="B18" i="10"/>
  <c r="E17" i="10"/>
  <c r="B17" i="10"/>
  <c r="F16" i="10"/>
  <c r="F17" i="10" s="1"/>
  <c r="E16" i="10"/>
  <c r="B16" i="10"/>
  <c r="E10" i="10"/>
  <c r="B10" i="10"/>
  <c r="E9" i="10"/>
  <c r="B9" i="10"/>
  <c r="E8" i="10"/>
  <c r="B8" i="10"/>
  <c r="E7" i="10"/>
  <c r="B7" i="10"/>
  <c r="E6" i="10"/>
  <c r="B6" i="10"/>
  <c r="E5" i="10"/>
  <c r="B5" i="10"/>
  <c r="F4" i="10"/>
  <c r="F5" i="10" s="1"/>
  <c r="E4" i="10"/>
  <c r="B4" i="10"/>
  <c r="F4" i="9"/>
  <c r="F5" i="9" s="1"/>
  <c r="B5" i="9"/>
  <c r="B6" i="9"/>
  <c r="B7" i="9"/>
  <c r="B8" i="9"/>
  <c r="B9" i="9"/>
  <c r="B10" i="9"/>
  <c r="B4" i="9"/>
  <c r="B29" i="9"/>
  <c r="B30" i="9"/>
  <c r="B31" i="9"/>
  <c r="B32" i="9"/>
  <c r="B33" i="9"/>
  <c r="B34" i="9"/>
  <c r="B28" i="9"/>
  <c r="J67" i="8"/>
  <c r="K67" i="8" s="1"/>
  <c r="J69" i="8"/>
  <c r="J65" i="8"/>
  <c r="J55" i="8"/>
  <c r="J53" i="8"/>
  <c r="J51" i="8"/>
  <c r="J50" i="8"/>
  <c r="I2" i="8"/>
  <c r="J22" i="8"/>
  <c r="J21" i="8"/>
  <c r="J20" i="8"/>
  <c r="J19" i="8"/>
  <c r="J18" i="8"/>
  <c r="J17" i="8"/>
  <c r="J16" i="8"/>
  <c r="J31" i="8"/>
  <c r="J32" i="8"/>
  <c r="J33" i="8"/>
  <c r="J30" i="8"/>
  <c r="J56" i="8"/>
  <c r="J54" i="8"/>
  <c r="J52" i="8"/>
  <c r="J70" i="8"/>
  <c r="J68" i="8"/>
  <c r="J66" i="8"/>
  <c r="J64" i="8"/>
  <c r="F70" i="8"/>
  <c r="K70" i="8" s="1"/>
  <c r="F69" i="8"/>
  <c r="K69" i="8" s="1"/>
  <c r="F68" i="8"/>
  <c r="F67" i="8"/>
  <c r="F66" i="8"/>
  <c r="K66" i="8" s="1"/>
  <c r="F65" i="8"/>
  <c r="K65" i="8" s="1"/>
  <c r="F64" i="8"/>
  <c r="F56" i="8"/>
  <c r="K56" i="8" s="1"/>
  <c r="F55" i="8"/>
  <c r="F54" i="8"/>
  <c r="K54" i="8" s="1"/>
  <c r="F53" i="8"/>
  <c r="K53" i="8" s="1"/>
  <c r="F52" i="8"/>
  <c r="K52" i="8" s="1"/>
  <c r="F51" i="8"/>
  <c r="F50" i="8"/>
  <c r="K50" i="8" s="1"/>
  <c r="F33" i="8"/>
  <c r="F32" i="8"/>
  <c r="F31" i="8"/>
  <c r="F30" i="8"/>
  <c r="F22" i="8"/>
  <c r="F21" i="8"/>
  <c r="F20" i="8"/>
  <c r="F19" i="8"/>
  <c r="F18" i="8"/>
  <c r="F17" i="8"/>
  <c r="F16" i="8"/>
  <c r="D55" i="2"/>
  <c r="N24" i="2"/>
  <c r="I24" i="2"/>
  <c r="I25" i="2"/>
  <c r="I26" i="2"/>
  <c r="I27" i="2"/>
  <c r="I28" i="2"/>
  <c r="I23" i="2"/>
  <c r="D75" i="2"/>
  <c r="D42" i="2"/>
  <c r="F41" i="2"/>
  <c r="F102" i="2"/>
  <c r="F73" i="2"/>
  <c r="E17" i="16" l="1"/>
  <c r="G20" i="18"/>
  <c r="H20" i="18" s="1"/>
  <c r="G34" i="18"/>
  <c r="H34" i="18" s="1"/>
  <c r="G33" i="18"/>
  <c r="H33" i="18" s="1"/>
  <c r="G9" i="18"/>
  <c r="H9" i="18" s="1"/>
  <c r="F10" i="18"/>
  <c r="G10" i="18" s="1"/>
  <c r="H10" i="18" s="1"/>
  <c r="C20" i="16"/>
  <c r="C28" i="16"/>
  <c r="K68" i="8"/>
  <c r="H36" i="14"/>
  <c r="G63" i="14"/>
  <c r="H63" i="14" s="1"/>
  <c r="K53" i="15"/>
  <c r="K85" i="15"/>
  <c r="K80" i="15"/>
  <c r="K66" i="15"/>
  <c r="K68" i="15"/>
  <c r="K72" i="15"/>
  <c r="K67" i="15"/>
  <c r="K69" i="15"/>
  <c r="K82" i="15"/>
  <c r="K84" i="15"/>
  <c r="K86" i="15"/>
  <c r="K57" i="15"/>
  <c r="K54" i="15"/>
  <c r="K58" i="15"/>
  <c r="K22" i="15"/>
  <c r="C8" i="15"/>
  <c r="D8" i="15"/>
  <c r="D5" i="15"/>
  <c r="K81" i="15" s="1"/>
  <c r="F26" i="14"/>
  <c r="G25" i="14"/>
  <c r="H25" i="14" s="1"/>
  <c r="F6" i="14"/>
  <c r="G5" i="14"/>
  <c r="G49" i="14"/>
  <c r="H49" i="14" s="1"/>
  <c r="G4" i="14"/>
  <c r="G24" i="14"/>
  <c r="H24" i="14" s="1"/>
  <c r="F37" i="14"/>
  <c r="G48" i="14"/>
  <c r="H48" i="14" s="1"/>
  <c r="H16" i="13"/>
  <c r="F6" i="13"/>
  <c r="G5" i="13"/>
  <c r="G29" i="13"/>
  <c r="H29" i="13" s="1"/>
  <c r="G28" i="13"/>
  <c r="H28" i="13" s="1"/>
  <c r="G4" i="13"/>
  <c r="K56" i="12"/>
  <c r="K41" i="12"/>
  <c r="K45" i="12"/>
  <c r="K58" i="12"/>
  <c r="K54" i="12"/>
  <c r="K39" i="12"/>
  <c r="K43" i="12"/>
  <c r="K40" i="12"/>
  <c r="K44" i="12"/>
  <c r="K55" i="12"/>
  <c r="K59" i="12"/>
  <c r="C8" i="12"/>
  <c r="D31" i="12"/>
  <c r="K42" i="12"/>
  <c r="K57" i="12"/>
  <c r="D5" i="12"/>
  <c r="K53" i="11"/>
  <c r="K41" i="11"/>
  <c r="K56" i="11"/>
  <c r="K45" i="11"/>
  <c r="K54" i="11"/>
  <c r="C31" i="11"/>
  <c r="K58" i="11"/>
  <c r="K43" i="11"/>
  <c r="K40" i="11"/>
  <c r="K44" i="11"/>
  <c r="K55" i="11"/>
  <c r="K59" i="11"/>
  <c r="C8" i="11"/>
  <c r="D8" i="11"/>
  <c r="D31" i="11" s="1"/>
  <c r="K42" i="11"/>
  <c r="K57" i="11"/>
  <c r="D5" i="11"/>
  <c r="G4" i="9"/>
  <c r="H16" i="9"/>
  <c r="F6" i="9"/>
  <c r="G5" i="9"/>
  <c r="G17" i="9"/>
  <c r="H17" i="9" s="1"/>
  <c r="K64" i="8"/>
  <c r="K55" i="8"/>
  <c r="F18" i="10"/>
  <c r="G17" i="10"/>
  <c r="H17" i="10" s="1"/>
  <c r="F6" i="10"/>
  <c r="G5" i="10"/>
  <c r="H5" i="10" s="1"/>
  <c r="F39" i="10"/>
  <c r="G38" i="10"/>
  <c r="H38" i="10" s="1"/>
  <c r="G4" i="10"/>
  <c r="H4" i="10" s="1"/>
  <c r="G16" i="10"/>
  <c r="H16" i="10" s="1"/>
  <c r="F26" i="10"/>
  <c r="G37" i="10"/>
  <c r="H37" i="10" s="1"/>
  <c r="G21" i="18" l="1"/>
  <c r="H21" i="18" s="1"/>
  <c r="G22" i="18"/>
  <c r="H22" i="18" s="1"/>
  <c r="H23" i="18" s="1"/>
  <c r="H36" i="18"/>
  <c r="H35" i="18"/>
  <c r="G29" i="9"/>
  <c r="G64" i="14"/>
  <c r="H64" i="14" s="1"/>
  <c r="K40" i="15"/>
  <c r="K29" i="15"/>
  <c r="K28" i="15"/>
  <c r="K30" i="15"/>
  <c r="K23" i="15"/>
  <c r="K24" i="15"/>
  <c r="K27" i="15"/>
  <c r="K25" i="15"/>
  <c r="K26" i="15"/>
  <c r="K55" i="15"/>
  <c r="K56" i="15"/>
  <c r="K71" i="15"/>
  <c r="K70" i="15"/>
  <c r="K52" i="15"/>
  <c r="K83" i="15"/>
  <c r="K18" i="15"/>
  <c r="K19" i="15"/>
  <c r="K21" i="15"/>
  <c r="K17" i="15"/>
  <c r="K20" i="15"/>
  <c r="K39" i="15"/>
  <c r="E8" i="15"/>
  <c r="K42" i="15"/>
  <c r="K38" i="15"/>
  <c r="K41" i="15"/>
  <c r="K43" i="15"/>
  <c r="K44" i="15"/>
  <c r="G26" i="14"/>
  <c r="H26" i="14" s="1"/>
  <c r="H32" i="14" s="1"/>
  <c r="F27" i="14"/>
  <c r="G27" i="14" s="1"/>
  <c r="H27" i="14" s="1"/>
  <c r="F7" i="14"/>
  <c r="G6" i="14"/>
  <c r="G37" i="14"/>
  <c r="H37" i="14" s="1"/>
  <c r="F38" i="14"/>
  <c r="G50" i="14"/>
  <c r="H50" i="14" s="1"/>
  <c r="G30" i="13"/>
  <c r="H30" i="13" s="1"/>
  <c r="G17" i="13"/>
  <c r="H17" i="13" s="1"/>
  <c r="F7" i="13"/>
  <c r="G6" i="13"/>
  <c r="K16" i="12"/>
  <c r="K20" i="12"/>
  <c r="K19" i="12"/>
  <c r="K17" i="12"/>
  <c r="E8" i="12"/>
  <c r="K22" i="12"/>
  <c r="K21" i="12"/>
  <c r="E31" i="12"/>
  <c r="K18" i="12"/>
  <c r="E8" i="11"/>
  <c r="E31" i="11"/>
  <c r="G30" i="9"/>
  <c r="F7" i="9"/>
  <c r="G6" i="9"/>
  <c r="F40" i="10"/>
  <c r="G39" i="10"/>
  <c r="H39" i="10" s="1"/>
  <c r="G26" i="10"/>
  <c r="H26" i="10" s="1"/>
  <c r="F27" i="10"/>
  <c r="F19" i="10"/>
  <c r="G19" i="10" s="1"/>
  <c r="H19" i="10" s="1"/>
  <c r="G18" i="10"/>
  <c r="H18" i="10" s="1"/>
  <c r="H20" i="10" s="1"/>
  <c r="F7" i="10"/>
  <c r="G6" i="10"/>
  <c r="H6" i="10" s="1"/>
  <c r="H2" i="8"/>
  <c r="D8" i="8" s="1"/>
  <c r="D42" i="8" s="1"/>
  <c r="E42" i="8" s="1"/>
  <c r="H24" i="18" l="1"/>
  <c r="G18" i="9"/>
  <c r="H18" i="9" s="1"/>
  <c r="H31" i="14"/>
  <c r="G66" i="14"/>
  <c r="H66" i="14" s="1"/>
  <c r="G65" i="14"/>
  <c r="H65" i="14" s="1"/>
  <c r="H68" i="14" s="1"/>
  <c r="G51" i="14"/>
  <c r="H51" i="14" s="1"/>
  <c r="G38" i="14"/>
  <c r="H38" i="14" s="1"/>
  <c r="F39" i="14"/>
  <c r="F8" i="14"/>
  <c r="G7" i="14"/>
  <c r="G18" i="13"/>
  <c r="H18" i="13" s="1"/>
  <c r="F8" i="13"/>
  <c r="G7" i="13"/>
  <c r="G31" i="13"/>
  <c r="H31" i="13" s="1"/>
  <c r="G7" i="9"/>
  <c r="F8" i="9"/>
  <c r="G31" i="9"/>
  <c r="H21" i="10"/>
  <c r="G27" i="10"/>
  <c r="H27" i="10" s="1"/>
  <c r="F28" i="10"/>
  <c r="F8" i="10"/>
  <c r="G7" i="10"/>
  <c r="H7" i="10" s="1"/>
  <c r="F41" i="10"/>
  <c r="G40" i="10"/>
  <c r="H40" i="10" s="1"/>
  <c r="G19" i="9"/>
  <c r="H19" i="9" s="1"/>
  <c r="C8" i="8"/>
  <c r="E8" i="8" s="1"/>
  <c r="H67" i="14" l="1"/>
  <c r="G39" i="14"/>
  <c r="H39" i="14" s="1"/>
  <c r="F40" i="14"/>
  <c r="G52" i="14"/>
  <c r="H52" i="14" s="1"/>
  <c r="F9" i="14"/>
  <c r="G8" i="14"/>
  <c r="F9" i="13"/>
  <c r="G8" i="13"/>
  <c r="G32" i="13"/>
  <c r="H32" i="13" s="1"/>
  <c r="G19" i="13"/>
  <c r="H19" i="13" s="1"/>
  <c r="G8" i="9"/>
  <c r="F9" i="9"/>
  <c r="G32" i="9"/>
  <c r="F42" i="10"/>
  <c r="G41" i="10"/>
  <c r="H41" i="10" s="1"/>
  <c r="F9" i="10"/>
  <c r="G8" i="10"/>
  <c r="H8" i="10" s="1"/>
  <c r="G28" i="10"/>
  <c r="H28" i="10" s="1"/>
  <c r="F29" i="10"/>
  <c r="G20" i="9"/>
  <c r="H20" i="9" s="1"/>
  <c r="F10" i="14" l="1"/>
  <c r="G10" i="14" s="1"/>
  <c r="G9" i="14"/>
  <c r="G54" i="14"/>
  <c r="H54" i="14" s="1"/>
  <c r="G53" i="14"/>
  <c r="H53" i="14" s="1"/>
  <c r="H55" i="14" s="1"/>
  <c r="G40" i="14"/>
  <c r="H40" i="14" s="1"/>
  <c r="F41" i="14"/>
  <c r="G20" i="13"/>
  <c r="H20" i="13" s="1"/>
  <c r="G34" i="13"/>
  <c r="H34" i="13" s="1"/>
  <c r="G33" i="13"/>
  <c r="H33" i="13" s="1"/>
  <c r="F10" i="13"/>
  <c r="G10" i="13" s="1"/>
  <c r="G9" i="13"/>
  <c r="F10" i="9"/>
  <c r="G10" i="9" s="1"/>
  <c r="G9" i="9"/>
  <c r="G34" i="9"/>
  <c r="G33" i="9"/>
  <c r="F10" i="10"/>
  <c r="G10" i="10" s="1"/>
  <c r="H10" i="10" s="1"/>
  <c r="G9" i="10"/>
  <c r="H9" i="10" s="1"/>
  <c r="H12" i="10" s="1"/>
  <c r="H11" i="10"/>
  <c r="G29" i="10"/>
  <c r="H29" i="10" s="1"/>
  <c r="F30" i="10"/>
  <c r="F43" i="10"/>
  <c r="G43" i="10" s="1"/>
  <c r="H43" i="10" s="1"/>
  <c r="G42" i="10"/>
  <c r="H42" i="10" s="1"/>
  <c r="G22" i="9"/>
  <c r="H22" i="9" s="1"/>
  <c r="G21" i="9"/>
  <c r="H21" i="9" s="1"/>
  <c r="G41" i="14" l="1"/>
  <c r="H41" i="14" s="1"/>
  <c r="F42" i="14"/>
  <c r="G42" i="14" s="1"/>
  <c r="H42" i="14" s="1"/>
  <c r="H44" i="14" s="1"/>
  <c r="H56" i="14"/>
  <c r="G21" i="13"/>
  <c r="H21" i="13" s="1"/>
  <c r="G22" i="13"/>
  <c r="H22" i="13" s="1"/>
  <c r="H36" i="13"/>
  <c r="H35" i="13"/>
  <c r="H23" i="9"/>
  <c r="H24" i="9"/>
  <c r="H45" i="10"/>
  <c r="H44" i="10"/>
  <c r="G30" i="10"/>
  <c r="H30" i="10" s="1"/>
  <c r="F31" i="10"/>
  <c r="G31" i="10" s="1"/>
  <c r="H31" i="10" s="1"/>
  <c r="D85" i="2"/>
  <c r="D86" i="2"/>
  <c r="D87" i="2"/>
  <c r="D88" i="2"/>
  <c r="D89" i="2"/>
  <c r="D84" i="2"/>
  <c r="F74" i="2"/>
  <c r="F75" i="2"/>
  <c r="F76" i="2"/>
  <c r="F77" i="2"/>
  <c r="F78" i="2"/>
  <c r="D74" i="2"/>
  <c r="D76" i="2"/>
  <c r="D77" i="2"/>
  <c r="D78" i="2"/>
  <c r="D73" i="2"/>
  <c r="E75" i="2"/>
  <c r="C75" i="2"/>
  <c r="F103" i="2"/>
  <c r="F105" i="2"/>
  <c r="F106" i="2"/>
  <c r="F107" i="2"/>
  <c r="F104" i="2"/>
  <c r="D102" i="2"/>
  <c r="D103" i="2"/>
  <c r="D104" i="2"/>
  <c r="D105" i="2"/>
  <c r="D106" i="2"/>
  <c r="D107" i="2"/>
  <c r="C134" i="2"/>
  <c r="D135" i="2"/>
  <c r="D136" i="2"/>
  <c r="D137" i="2"/>
  <c r="D139" i="2"/>
  <c r="D134" i="2"/>
  <c r="N178" i="2"/>
  <c r="C166" i="2"/>
  <c r="D167" i="2"/>
  <c r="D168" i="2"/>
  <c r="D169" i="2"/>
  <c r="D170" i="2"/>
  <c r="D171" i="2"/>
  <c r="D166" i="2"/>
  <c r="C179" i="2"/>
  <c r="D179" i="2" s="1"/>
  <c r="I179" i="2" s="1"/>
  <c r="F168" i="2"/>
  <c r="B160" i="2"/>
  <c r="G166" i="2"/>
  <c r="C167" i="2"/>
  <c r="E167" i="2" s="1"/>
  <c r="F167" i="2" s="1"/>
  <c r="G167" i="2"/>
  <c r="C168" i="2"/>
  <c r="E168" i="2" s="1"/>
  <c r="G168" i="2"/>
  <c r="C169" i="2"/>
  <c r="E169" i="2" s="1"/>
  <c r="F169" i="2" s="1"/>
  <c r="G169" i="2"/>
  <c r="C170" i="2"/>
  <c r="G170" i="2"/>
  <c r="C171" i="2"/>
  <c r="E171" i="2" s="1"/>
  <c r="F171" i="2" s="1"/>
  <c r="G171" i="2"/>
  <c r="H177" i="2"/>
  <c r="M177" i="2"/>
  <c r="H178" i="2"/>
  <c r="M178" i="2"/>
  <c r="H179" i="2"/>
  <c r="M179" i="2"/>
  <c r="H180" i="2"/>
  <c r="M180" i="2"/>
  <c r="H181" i="2"/>
  <c r="M181" i="2"/>
  <c r="H182" i="2"/>
  <c r="M182" i="2"/>
  <c r="E183" i="2"/>
  <c r="J183" i="2"/>
  <c r="N53" i="2"/>
  <c r="I53" i="2"/>
  <c r="I54" i="2"/>
  <c r="I55" i="2"/>
  <c r="I56" i="2"/>
  <c r="I57" i="2"/>
  <c r="I52" i="2"/>
  <c r="G135" i="2"/>
  <c r="G136" i="2"/>
  <c r="G137" i="2"/>
  <c r="G138" i="2"/>
  <c r="G139" i="2"/>
  <c r="G134" i="2"/>
  <c r="J151" i="2"/>
  <c r="M150" i="2"/>
  <c r="H150" i="2"/>
  <c r="M149" i="2"/>
  <c r="H149" i="2"/>
  <c r="M148" i="2"/>
  <c r="H148" i="2"/>
  <c r="M147" i="2"/>
  <c r="H147" i="2"/>
  <c r="M146" i="2"/>
  <c r="H146" i="2"/>
  <c r="M145" i="2"/>
  <c r="H145" i="2"/>
  <c r="C139" i="2"/>
  <c r="C138" i="2"/>
  <c r="C137" i="2"/>
  <c r="E137" i="2" s="1"/>
  <c r="F137" i="2" s="1"/>
  <c r="C136" i="2"/>
  <c r="E136" i="2" s="1"/>
  <c r="F136" i="2" s="1"/>
  <c r="C135" i="2"/>
  <c r="E135" i="2" s="1"/>
  <c r="F135" i="2" s="1"/>
  <c r="H135" i="2" s="1"/>
  <c r="E134" i="2"/>
  <c r="G74" i="2"/>
  <c r="G75" i="2"/>
  <c r="G76" i="2"/>
  <c r="G77" i="2"/>
  <c r="G78" i="2"/>
  <c r="G73" i="2"/>
  <c r="J119" i="2"/>
  <c r="E119" i="2"/>
  <c r="M118" i="2"/>
  <c r="H118" i="2"/>
  <c r="M117" i="2"/>
  <c r="H117" i="2"/>
  <c r="M116" i="2"/>
  <c r="H116" i="2"/>
  <c r="M115" i="2"/>
  <c r="H115" i="2"/>
  <c r="M114" i="2"/>
  <c r="H114" i="2"/>
  <c r="M113" i="2"/>
  <c r="H113" i="2"/>
  <c r="E107" i="2"/>
  <c r="C107" i="2"/>
  <c r="C106" i="2"/>
  <c r="E106" i="2" s="1"/>
  <c r="C105" i="2"/>
  <c r="E105" i="2" s="1"/>
  <c r="C104" i="2"/>
  <c r="E104" i="2" s="1"/>
  <c r="C103" i="2"/>
  <c r="E103" i="2" s="1"/>
  <c r="C102" i="2"/>
  <c r="B99" i="2"/>
  <c r="J90" i="2"/>
  <c r="E90" i="2"/>
  <c r="M89" i="2"/>
  <c r="H89" i="2"/>
  <c r="M88" i="2"/>
  <c r="H88" i="2"/>
  <c r="M87" i="2"/>
  <c r="H87" i="2"/>
  <c r="M86" i="2"/>
  <c r="H86" i="2"/>
  <c r="M85" i="2"/>
  <c r="H85" i="2"/>
  <c r="M84" i="2"/>
  <c r="H84" i="2"/>
  <c r="C78" i="2"/>
  <c r="E78" i="2" s="1"/>
  <c r="C77" i="2"/>
  <c r="C76" i="2"/>
  <c r="E76" i="2" s="1"/>
  <c r="E74" i="2"/>
  <c r="C74" i="2"/>
  <c r="C73" i="2"/>
  <c r="E73" i="2" s="1"/>
  <c r="B67" i="2"/>
  <c r="F7" i="2"/>
  <c r="F8" i="2" s="1"/>
  <c r="G43" i="2" s="1"/>
  <c r="F6" i="2"/>
  <c r="G103" i="2" s="1"/>
  <c r="F139" i="2" l="1"/>
  <c r="H139" i="2" s="1"/>
  <c r="H23" i="13"/>
  <c r="H43" i="14"/>
  <c r="H24" i="13"/>
  <c r="H33" i="10"/>
  <c r="H32" i="10"/>
  <c r="E77" i="2"/>
  <c r="E102" i="2"/>
  <c r="E138" i="2"/>
  <c r="F138" i="2" s="1"/>
  <c r="E170" i="2"/>
  <c r="F170" i="2" s="1"/>
  <c r="E166" i="2"/>
  <c r="F166" i="2" s="1"/>
  <c r="C178" i="2"/>
  <c r="D178" i="2" s="1"/>
  <c r="I178" i="2" s="1"/>
  <c r="H170" i="2"/>
  <c r="C182" i="2"/>
  <c r="D182" i="2" s="1"/>
  <c r="I182" i="2" s="1"/>
  <c r="H168" i="2"/>
  <c r="C177" i="2"/>
  <c r="D177" i="2" s="1"/>
  <c r="I177" i="2" s="1"/>
  <c r="C180" i="2"/>
  <c r="D180" i="2" s="1"/>
  <c r="I180" i="2" s="1"/>
  <c r="C181" i="2"/>
  <c r="D181" i="2" s="1"/>
  <c r="I181" i="2" s="1"/>
  <c r="H171" i="2"/>
  <c r="H169" i="2"/>
  <c r="H167" i="2"/>
  <c r="C150" i="2"/>
  <c r="D150" i="2" s="1"/>
  <c r="C145" i="2"/>
  <c r="D145" i="2" s="1"/>
  <c r="H136" i="2"/>
  <c r="C147" i="2"/>
  <c r="D147" i="2" s="1"/>
  <c r="C149" i="2"/>
  <c r="D149" i="2" s="1"/>
  <c r="I149" i="2" s="1"/>
  <c r="H134" i="2"/>
  <c r="H138" i="2"/>
  <c r="C146" i="2"/>
  <c r="D146" i="2" s="1"/>
  <c r="H137" i="2"/>
  <c r="C148" i="2"/>
  <c r="D148" i="2" s="1"/>
  <c r="G105" i="2"/>
  <c r="G45" i="2"/>
  <c r="G104" i="2"/>
  <c r="G107" i="2"/>
  <c r="G13" i="2"/>
  <c r="G42" i="2"/>
  <c r="G102" i="2"/>
  <c r="G16" i="2"/>
  <c r="G15" i="2"/>
  <c r="G44" i="2"/>
  <c r="G106" i="2"/>
  <c r="G17" i="2"/>
  <c r="G46" i="2"/>
  <c r="G12" i="2"/>
  <c r="G14" i="2"/>
  <c r="G41" i="2"/>
  <c r="C87" i="2"/>
  <c r="C85" i="2"/>
  <c r="C115" i="2"/>
  <c r="D115" i="2" s="1"/>
  <c r="C118" i="2"/>
  <c r="D118" i="2" s="1"/>
  <c r="C84" i="2"/>
  <c r="C117" i="2"/>
  <c r="D117" i="2" s="1"/>
  <c r="C86" i="2"/>
  <c r="C114" i="2"/>
  <c r="D114" i="2" s="1"/>
  <c r="N93" i="2"/>
  <c r="C88" i="2"/>
  <c r="C89" i="2"/>
  <c r="C113" i="2"/>
  <c r="D113" i="2" s="1"/>
  <c r="C116" i="2"/>
  <c r="D116" i="2" s="1"/>
  <c r="N88" i="2" l="1"/>
  <c r="I88" i="2"/>
  <c r="I85" i="2"/>
  <c r="N85" i="2"/>
  <c r="N87" i="2"/>
  <c r="I87" i="2"/>
  <c r="I89" i="2"/>
  <c r="N89" i="2"/>
  <c r="N84" i="2"/>
  <c r="I84" i="2"/>
  <c r="I86" i="2"/>
  <c r="N86" i="2"/>
  <c r="I117" i="2"/>
  <c r="N117" i="2"/>
  <c r="I116" i="2"/>
  <c r="N116" i="2"/>
  <c r="I114" i="2"/>
  <c r="N114" i="2"/>
  <c r="I118" i="2"/>
  <c r="N118" i="2"/>
  <c r="I115" i="2"/>
  <c r="N115" i="2"/>
  <c r="N113" i="2"/>
  <c r="I113" i="2"/>
  <c r="I146" i="2"/>
  <c r="N146" i="2"/>
  <c r="N150" i="2"/>
  <c r="I150" i="2"/>
  <c r="I147" i="2"/>
  <c r="N147" i="2"/>
  <c r="N149" i="2"/>
  <c r="I148" i="2"/>
  <c r="N148" i="2"/>
  <c r="I145" i="2"/>
  <c r="N154" i="2"/>
  <c r="N180" i="2"/>
  <c r="N181" i="2"/>
  <c r="F172" i="2"/>
  <c r="N182" i="2"/>
  <c r="N177" i="2"/>
  <c r="N186" i="2"/>
  <c r="N179" i="2"/>
  <c r="H166" i="2"/>
  <c r="F140" i="2"/>
  <c r="N122" i="2"/>
  <c r="N91" i="2" l="1"/>
  <c r="N90" i="2"/>
  <c r="N183" i="2"/>
  <c r="N184" i="2"/>
  <c r="N185" i="2" s="1"/>
  <c r="N152" i="2"/>
  <c r="N120" i="2"/>
  <c r="N119" i="2"/>
  <c r="N92" i="2" l="1"/>
  <c r="N153" i="2"/>
  <c r="N121" i="2"/>
  <c r="B6" i="2" l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H23" i="2"/>
  <c r="M23" i="2"/>
  <c r="H24" i="2"/>
  <c r="M24" i="2"/>
  <c r="H25" i="2"/>
  <c r="M25" i="2"/>
  <c r="H26" i="2"/>
  <c r="M26" i="2"/>
  <c r="H27" i="2"/>
  <c r="M27" i="2"/>
  <c r="H28" i="2"/>
  <c r="M28" i="2"/>
  <c r="E29" i="2"/>
  <c r="J29" i="2"/>
  <c r="B38" i="2"/>
  <c r="C41" i="2"/>
  <c r="D41" i="2"/>
  <c r="E41" i="2" s="1"/>
  <c r="C42" i="2"/>
  <c r="E42" i="2" s="1"/>
  <c r="C43" i="2"/>
  <c r="D43" i="2"/>
  <c r="E43" i="2" s="1"/>
  <c r="F43" i="2" s="1"/>
  <c r="C44" i="2"/>
  <c r="D44" i="2" s="1"/>
  <c r="E44" i="2" s="1"/>
  <c r="C45" i="2"/>
  <c r="D45" i="2"/>
  <c r="E45" i="2" s="1"/>
  <c r="F45" i="2" s="1"/>
  <c r="C46" i="2"/>
  <c r="D46" i="2" s="1"/>
  <c r="E46" i="2" s="1"/>
  <c r="H52" i="2"/>
  <c r="M52" i="2"/>
  <c r="H53" i="2"/>
  <c r="M53" i="2"/>
  <c r="H54" i="2"/>
  <c r="M54" i="2"/>
  <c r="H55" i="2"/>
  <c r="M55" i="2"/>
  <c r="H56" i="2"/>
  <c r="M56" i="2"/>
  <c r="H57" i="2"/>
  <c r="M57" i="2"/>
  <c r="E58" i="2"/>
  <c r="J58" i="2"/>
  <c r="H107" i="2" l="1"/>
  <c r="H103" i="2"/>
  <c r="H106" i="2"/>
  <c r="H104" i="2"/>
  <c r="H105" i="2"/>
  <c r="H77" i="2"/>
  <c r="H74" i="2"/>
  <c r="H76" i="2"/>
  <c r="H75" i="2"/>
  <c r="H78" i="2"/>
  <c r="H43" i="2"/>
  <c r="H45" i="2"/>
  <c r="C53" i="2"/>
  <c r="D53" i="2" s="1"/>
  <c r="F42" i="2"/>
  <c r="H42" i="2" s="1"/>
  <c r="C27" i="2"/>
  <c r="D27" i="2" s="1"/>
  <c r="N27" i="2" s="1"/>
  <c r="F16" i="2"/>
  <c r="H16" i="2" s="1"/>
  <c r="C25" i="2"/>
  <c r="D25" i="2" s="1"/>
  <c r="N25" i="2" s="1"/>
  <c r="F14" i="2"/>
  <c r="H14" i="2" s="1"/>
  <c r="C55" i="2"/>
  <c r="N55" i="2" s="1"/>
  <c r="F44" i="2"/>
  <c r="H44" i="2" s="1"/>
  <c r="F17" i="2"/>
  <c r="C28" i="2"/>
  <c r="D28" i="2" s="1"/>
  <c r="N28" i="2" s="1"/>
  <c r="F15" i="2"/>
  <c r="H15" i="2" s="1"/>
  <c r="C26" i="2"/>
  <c r="D26" i="2" s="1"/>
  <c r="N26" i="2" s="1"/>
  <c r="F13" i="2"/>
  <c r="H13" i="2" s="1"/>
  <c r="C24" i="2"/>
  <c r="D24" i="2" s="1"/>
  <c r="C57" i="2"/>
  <c r="D57" i="2" s="1"/>
  <c r="N57" i="2" s="1"/>
  <c r="F46" i="2"/>
  <c r="H46" i="2" s="1"/>
  <c r="H17" i="2"/>
  <c r="H41" i="2"/>
  <c r="F47" i="2"/>
  <c r="C23" i="2"/>
  <c r="D23" i="2" s="1"/>
  <c r="N23" i="2" s="1"/>
  <c r="F12" i="2"/>
  <c r="H12" i="2" s="1"/>
  <c r="C54" i="2"/>
  <c r="D54" i="2" s="1"/>
  <c r="N54" i="2" s="1"/>
  <c r="C56" i="2"/>
  <c r="D56" i="2" s="1"/>
  <c r="N56" i="2" s="1"/>
  <c r="C52" i="2"/>
  <c r="D52" i="2" s="1"/>
  <c r="N52" i="2" s="1"/>
  <c r="H102" i="2" l="1"/>
  <c r="F108" i="2"/>
  <c r="H73" i="2"/>
  <c r="F79" i="2"/>
  <c r="N32" i="2"/>
  <c r="N61" i="2"/>
  <c r="F18" i="2"/>
  <c r="N58" i="2" l="1"/>
  <c r="N59" i="2"/>
  <c r="N60" i="2" s="1"/>
  <c r="N30" i="2"/>
  <c r="N29" i="2"/>
  <c r="N31" i="2" l="1"/>
  <c r="E6" i="9" l="1"/>
  <c r="H6" i="9" s="1"/>
  <c r="E8" i="9"/>
  <c r="H8" i="9" s="1"/>
  <c r="E9" i="9"/>
  <c r="H9" i="9" s="1"/>
  <c r="E10" i="9"/>
  <c r="H10" i="9"/>
  <c r="E5" i="9"/>
  <c r="H5" i="9" s="1"/>
  <c r="E7" i="9"/>
  <c r="H7" i="9"/>
  <c r="E4" i="9"/>
  <c r="H4" i="9" s="1"/>
  <c r="H11" i="9" l="1"/>
  <c r="H12" i="9"/>
  <c r="H31" i="9"/>
  <c r="H29" i="9"/>
  <c r="H34" i="9"/>
  <c r="H30" i="9"/>
  <c r="H33" i="9"/>
  <c r="H32" i="9"/>
  <c r="H28" i="9"/>
  <c r="H36" i="9" l="1"/>
  <c r="H35" i="9"/>
  <c r="E10" i="13"/>
  <c r="H10" i="13" s="1"/>
  <c r="E9" i="13"/>
  <c r="H9" i="13" s="1"/>
  <c r="E8" i="13"/>
  <c r="H8" i="13" s="1"/>
  <c r="E7" i="13"/>
  <c r="H7" i="13" s="1"/>
  <c r="E6" i="13"/>
  <c r="H6" i="13" s="1"/>
  <c r="E4" i="13"/>
  <c r="H4" i="13" s="1"/>
  <c r="E5" i="13"/>
  <c r="H5" i="13" s="1"/>
  <c r="H11" i="13" l="1"/>
  <c r="H12" i="13"/>
  <c r="H10" i="14"/>
  <c r="E10" i="14"/>
  <c r="E9" i="14"/>
  <c r="H9" i="14" s="1"/>
  <c r="H8" i="14"/>
  <c r="E8" i="14"/>
  <c r="E7" i="14"/>
  <c r="H7" i="14" s="1"/>
  <c r="H6" i="14"/>
  <c r="E6" i="14"/>
  <c r="E5" i="14"/>
  <c r="H5" i="14" s="1"/>
  <c r="H4" i="14"/>
  <c r="H20" i="14" s="1"/>
  <c r="E4" i="14"/>
  <c r="E16" i="14"/>
  <c r="H16" i="14" s="1"/>
  <c r="H12" i="14"/>
  <c r="E12" i="14"/>
  <c r="E13" i="14"/>
  <c r="H13" i="14" s="1"/>
  <c r="E15" i="14"/>
  <c r="H15" i="14" s="1"/>
  <c r="E11" i="14"/>
  <c r="H11" i="14"/>
  <c r="H17" i="14"/>
  <c r="E17" i="14"/>
  <c r="E18" i="14"/>
  <c r="H18" i="14"/>
  <c r="E14" i="14"/>
  <c r="H14" i="14" s="1"/>
  <c r="H19" i="14" l="1"/>
  <c r="E5" i="18" l="1"/>
  <c r="H5" i="18" s="1"/>
  <c r="H12" i="18" l="1"/>
  <c r="H11" i="18"/>
</calcChain>
</file>

<file path=xl/sharedStrings.xml><?xml version="1.0" encoding="utf-8"?>
<sst xmlns="http://schemas.openxmlformats.org/spreadsheetml/2006/main" count="1001" uniqueCount="183">
  <si>
    <t>R^2</t>
  </si>
  <si>
    <t>Rel. St. Dev.</t>
  </si>
  <si>
    <t>St. Dev.</t>
  </si>
  <si>
    <t>Average (Rf)</t>
  </si>
  <si>
    <t>RT (caff.)</t>
  </si>
  <si>
    <t>RT (PDT)</t>
  </si>
  <si>
    <t>Rf</t>
  </si>
  <si>
    <t>Average Area (caff.)</t>
  </si>
  <si>
    <t>RT / min</t>
  </si>
  <si>
    <t>n ratio</t>
  </si>
  <si>
    <t>mg/mL after 1:10 dil.</t>
  </si>
  <si>
    <t>RSM%</t>
  </si>
  <si>
    <t>Caffeine</t>
  </si>
  <si>
    <t>Total V (µL):</t>
  </si>
  <si>
    <t>V(MeCN) / µL</t>
  </si>
  <si>
    <t>V-IS(stock) / µL</t>
  </si>
  <si>
    <t>MW</t>
  </si>
  <si>
    <t>RT (SM)</t>
  </si>
  <si>
    <t>carbonyl olefin metathesis product</t>
  </si>
  <si>
    <t>Internal Standard</t>
  </si>
  <si>
    <t>caffeine</t>
  </si>
  <si>
    <t>4-H styrene beta-ketoester</t>
  </si>
  <si>
    <t>starting material</t>
  </si>
  <si>
    <t>MW (g/mol)</t>
  </si>
  <si>
    <t>mg for stock solution</t>
  </si>
  <si>
    <t>mL for stock solution</t>
  </si>
  <si>
    <t>stock solution: mg/mL</t>
  </si>
  <si>
    <t>mol caffeine / sample</t>
  </si>
  <si>
    <t>UPLC vial: mg/mL</t>
  </si>
  <si>
    <t>product</t>
  </si>
  <si>
    <t>4-TMS styrene beta-ketoester</t>
  </si>
  <si>
    <t>4-F styrene beta-ketoester</t>
  </si>
  <si>
    <t>4-Br styrene beta-ketoester</t>
  </si>
  <si>
    <t>4-I styrene beta-ketoester</t>
  </si>
  <si>
    <t>mmol</t>
  </si>
  <si>
    <t>mg of 4H</t>
  </si>
  <si>
    <t>V-4H (stock) / µL</t>
  </si>
  <si>
    <t>V-IS (stock) / µL</t>
  </si>
  <si>
    <t>V (MeCN) / µL</t>
  </si>
  <si>
    <t>mg of 4Br</t>
  </si>
  <si>
    <t>V-4Br (stock) / µL</t>
  </si>
  <si>
    <t>mg of 4I</t>
  </si>
  <si>
    <t>V-4I (stock) / µL</t>
  </si>
  <si>
    <t>mg of 4F</t>
  </si>
  <si>
    <t>V-4F (stock) / µL</t>
  </si>
  <si>
    <t>mg of 4TMS</t>
  </si>
  <si>
    <t>V-4TMS (stock) / µL</t>
  </si>
  <si>
    <t>mg of pdt</t>
  </si>
  <si>
    <t>V-pdt (stock) / µL</t>
  </si>
  <si>
    <t xml:space="preserve"> mol of 4H</t>
  </si>
  <si>
    <t>Area (4H) 1</t>
  </si>
  <si>
    <t>Area (4H) 2</t>
  </si>
  <si>
    <t>Average Area (4H)</t>
  </si>
  <si>
    <t>Area (caff.) 1</t>
  </si>
  <si>
    <t>Area (caff.) 2</t>
  </si>
  <si>
    <t>4-TMS SM</t>
  </si>
  <si>
    <t xml:space="preserve"> mol of 4TMS</t>
  </si>
  <si>
    <t>Area (4TMS) 1</t>
  </si>
  <si>
    <t>Area (4TMS) 2</t>
  </si>
  <si>
    <t>Average Area (4TMS)</t>
  </si>
  <si>
    <t>mol of pdt</t>
  </si>
  <si>
    <t>Area (pdt) 1</t>
  </si>
  <si>
    <t>Area (pdt) 2</t>
  </si>
  <si>
    <t>Average Area (pdt)</t>
  </si>
  <si>
    <t>4-H SM</t>
  </si>
  <si>
    <t>COM pdt</t>
  </si>
  <si>
    <t xml:space="preserve"> mol of 4F</t>
  </si>
  <si>
    <t>Area (4F) 1</t>
  </si>
  <si>
    <t>Area (4F) 2</t>
  </si>
  <si>
    <t>Average Area (4F)</t>
  </si>
  <si>
    <t>4F SM</t>
  </si>
  <si>
    <t>4I SM</t>
  </si>
  <si>
    <t xml:space="preserve"> mol of 4I</t>
  </si>
  <si>
    <t>Area (4I) 1</t>
  </si>
  <si>
    <t>Area (4I) 2</t>
  </si>
  <si>
    <t>Average Area (4I)</t>
  </si>
  <si>
    <t>Area (4Br) 1</t>
  </si>
  <si>
    <t>Area (4Br) 2</t>
  </si>
  <si>
    <t>Average Area (4Br)</t>
  </si>
  <si>
    <t>4Br SM</t>
  </si>
  <si>
    <t>MW bke</t>
  </si>
  <si>
    <t>mg/1 mLsample if 100%</t>
  </si>
  <si>
    <t>moles per 1 mL</t>
  </si>
  <si>
    <t>[M] of rxn</t>
  </si>
  <si>
    <t>UPLC vial (L)</t>
  </si>
  <si>
    <t>[M] of UPLC vial</t>
  </si>
  <si>
    <t>[M] of caff std</t>
  </si>
  <si>
    <t>L to uL</t>
  </si>
  <si>
    <t>moles per 20 uL aliquots</t>
  </si>
  <si>
    <t>M1V1 = M2V2</t>
  </si>
  <si>
    <t>caff. MW</t>
  </si>
  <si>
    <t>uL of rxn</t>
  </si>
  <si>
    <t>uL of caffiene</t>
  </si>
  <si>
    <t>uL of MeCN</t>
  </si>
  <si>
    <t>Reaction Number:</t>
  </si>
  <si>
    <t>HV21 0874</t>
  </si>
  <si>
    <t>Number</t>
  </si>
  <si>
    <t>Sample Name</t>
  </si>
  <si>
    <t>RT (caff.) / min</t>
  </si>
  <si>
    <t>Area 1 (caff.)</t>
  </si>
  <si>
    <t>Area 2 (caff.)</t>
  </si>
  <si>
    <t>Correction Factor</t>
  </si>
  <si>
    <t>A</t>
  </si>
  <si>
    <t>B</t>
  </si>
  <si>
    <t>C</t>
  </si>
  <si>
    <t>D</t>
  </si>
  <si>
    <t>E</t>
  </si>
  <si>
    <t>F</t>
  </si>
  <si>
    <t>G</t>
  </si>
  <si>
    <t>RT (pdt) / min</t>
  </si>
  <si>
    <t>Area 1 (Product)</t>
  </si>
  <si>
    <t>Area 2 (Product)</t>
  </si>
  <si>
    <t>Yield</t>
  </si>
  <si>
    <t>HV21 0875</t>
  </si>
  <si>
    <t>HV21 0876</t>
  </si>
  <si>
    <t>HV21 0877</t>
  </si>
  <si>
    <t>HV21 0882</t>
  </si>
  <si>
    <t>HV21 0885</t>
  </si>
  <si>
    <t>HV21 0888</t>
  </si>
  <si>
    <t>HV21 0883</t>
  </si>
  <si>
    <t>HV21 0886</t>
  </si>
  <si>
    <t>HV21 0889</t>
  </si>
  <si>
    <t>HV21 0878</t>
  </si>
  <si>
    <t>HV21 0880</t>
  </si>
  <si>
    <t>HV21 0878 4-Br 15 mol% FeCl3 35 C - 20 uL aliquots</t>
  </si>
  <si>
    <t>seconds</t>
  </si>
  <si>
    <t>minutes</t>
  </si>
  <si>
    <t>yield</t>
  </si>
  <si>
    <t>moles</t>
  </si>
  <si>
    <t>uL</t>
  </si>
  <si>
    <t>L</t>
  </si>
  <si>
    <t>[M]</t>
  </si>
  <si>
    <t>slope</t>
  </si>
  <si>
    <t>R2</t>
  </si>
  <si>
    <t>HV21 0880 4-Br 15 mol% FeCl3 35 C - 20 uL aliquots</t>
  </si>
  <si>
    <t>HV21 0890</t>
  </si>
  <si>
    <t>moles per 19 uL aliquots</t>
  </si>
  <si>
    <t>moles per 9.46 uL aliquots</t>
  </si>
  <si>
    <t>HV21 0883 4-F 15 mol% FeCl3 35 C - 20 uL aliquots</t>
  </si>
  <si>
    <t>HV21 0890 4-Br 15 mol% FeCl3 35 C - 19 uL aliquots</t>
  </si>
  <si>
    <t>HV21 0887 4-Br 15 mol% FeCl3 35 C - 19 uL aliquots</t>
  </si>
  <si>
    <t>HV21 0886 4-F 15 mol% FeCl3 35 C - 17 uL aliquots</t>
  </si>
  <si>
    <t>HV21 0889 4-F 15 mol% FeCl3 35 C - 17 uL aliquots</t>
  </si>
  <si>
    <t>HV21 0864</t>
  </si>
  <si>
    <t>I</t>
  </si>
  <si>
    <t>J</t>
  </si>
  <si>
    <t>K</t>
  </si>
  <si>
    <t>M</t>
  </si>
  <si>
    <t>O</t>
  </si>
  <si>
    <t>N</t>
  </si>
  <si>
    <t>H</t>
  </si>
  <si>
    <t>HV21 0882 4-TMS 15 mol% FeCl3 35 C - 20 uL aliquots</t>
  </si>
  <si>
    <t>HV21 0885 4-TMS 15 mol% FeCl3 35 C - 17 uL aliquots</t>
  </si>
  <si>
    <t>HV21 0888 4-TMS 15 mol% FeCl3 35 C - 17 uL aliquots</t>
  </si>
  <si>
    <t>HV21 0876 4-H 15 mol% FeCl3 35 C - 20 uL aliquots</t>
  </si>
  <si>
    <t>HV21 0877 4-H 15 mol% FeCl3 35 C - 20 uL aliquots</t>
  </si>
  <si>
    <t>HV21 0864 4-H 15 mol% FeCl3 35 C - 20 uL aliquots</t>
  </si>
  <si>
    <t>HV21 0874 4-H 15 mol% FeCl3 35 C - 20 uL aliquots</t>
  </si>
  <si>
    <t>HV21 0875 4-H 15 mol% FeCl3 35 C - 20 uL aliquots</t>
  </si>
  <si>
    <t>4H Rate</t>
  </si>
  <si>
    <t>4TMS Rate</t>
  </si>
  <si>
    <t>4Br Rate</t>
  </si>
  <si>
    <t>4I Rate</t>
  </si>
  <si>
    <t>Sigma</t>
  </si>
  <si>
    <t>4F Rate</t>
  </si>
  <si>
    <t>Average</t>
  </si>
  <si>
    <t>std. dev.</t>
  </si>
  <si>
    <t>std. error</t>
  </si>
  <si>
    <t>% rel. std. dev.</t>
  </si>
  <si>
    <t>log(kF/kH)</t>
  </si>
  <si>
    <t>log(kBr/kH)</t>
  </si>
  <si>
    <t>log(kI/kH)</t>
  </si>
  <si>
    <t>log(kTMS/kH)</t>
  </si>
  <si>
    <t>log(kH/kH)</t>
  </si>
  <si>
    <t>Experiment #</t>
  </si>
  <si>
    <t>HV21 0887</t>
  </si>
  <si>
    <t>HV21 0893 4-I 15 mol% FeCl3 35 C - 20 uL aliquots</t>
  </si>
  <si>
    <t>HV21 0895 4-I 15 mol% FeCl3 35 C - 20 uL aliquots</t>
  </si>
  <si>
    <t>HV21 0894 4-I 15 mol% FeCl3 35 C - 20 uL aliquots</t>
  </si>
  <si>
    <t>HV21 0893</t>
  </si>
  <si>
    <t>HV21 0894</t>
  </si>
  <si>
    <t>HV21 0895</t>
  </si>
  <si>
    <t>R2=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</si>
</sst>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%"/>
    <numFmt numFmtId="165" formatCode="0.0%"/>
    <numFmt numFmtId="166" formatCode="0.0000"/>
    <numFmt numFmtId="167" formatCode="0.000"/>
    <numFmt numFmtId="168" formatCode="0.0"/>
    <numFmt numFmtId="169" formatCode="0.000E+00"/>
    <numFmt numFmtId="170" formatCode="0.0E+00"/>
    <numFmt numFmtId="171" formatCode="0.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2"/>
      <color rgb="FF9C0006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1D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44">
    <xf numFmtId="0" fontId="0" fillId="0" borderId="0" xfId="0"/>
    <xf numFmtId="0" fontId="4" fillId="0" borderId="0" xfId="2" applyFont="1"/>
    <xf numFmtId="1" fontId="4" fillId="0" borderId="0" xfId="2" applyNumberFormat="1" applyFont="1"/>
    <xf numFmtId="0" fontId="5" fillId="0" borderId="0" xfId="2" applyFont="1" applyAlignment="1">
      <alignment horizontal="center" vertical="center"/>
    </xf>
    <xf numFmtId="167" fontId="4" fillId="0" borderId="0" xfId="2" applyNumberFormat="1" applyFont="1" applyAlignment="1">
      <alignment horizontal="center"/>
    </xf>
    <xf numFmtId="0" fontId="5" fillId="0" borderId="0" xfId="2" applyFont="1" applyAlignment="1">
      <alignment horizontal="center"/>
    </xf>
    <xf numFmtId="166" fontId="4" fillId="0" borderId="0" xfId="2" applyNumberFormat="1" applyFont="1" applyAlignment="1">
      <alignment horizontal="center" vertical="center"/>
    </xf>
    <xf numFmtId="1" fontId="4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167" fontId="4" fillId="0" borderId="0" xfId="2" applyNumberFormat="1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11" fontId="4" fillId="0" borderId="0" xfId="2" applyNumberFormat="1" applyFont="1" applyAlignment="1">
      <alignment horizontal="center" vertical="center"/>
    </xf>
    <xf numFmtId="168" fontId="4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right" vertical="center"/>
    </xf>
    <xf numFmtId="1" fontId="4" fillId="0" borderId="0" xfId="2" applyNumberFormat="1" applyFont="1" applyAlignment="1">
      <alignment horizontal="center"/>
    </xf>
    <xf numFmtId="168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applyFont="1"/>
    <xf numFmtId="2" fontId="4" fillId="0" borderId="0" xfId="2" applyNumberFormat="1" applyFont="1"/>
    <xf numFmtId="165" fontId="4" fillId="0" borderId="0" xfId="3" applyNumberFormat="1" applyFont="1"/>
    <xf numFmtId="11" fontId="4" fillId="0" borderId="0" xfId="2" applyNumberFormat="1" applyFont="1"/>
    <xf numFmtId="167" fontId="4" fillId="0" borderId="0" xfId="2" applyNumberFormat="1" applyFont="1"/>
    <xf numFmtId="166" fontId="4" fillId="0" borderId="0" xfId="2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4" fillId="0" borderId="0" xfId="2" applyNumberFormat="1" applyFont="1" applyAlignment="1">
      <alignment horizontal="center"/>
    </xf>
    <xf numFmtId="0" fontId="4" fillId="0" borderId="0" xfId="2" applyFont="1" applyAlignment="1">
      <alignment horizontal="left" vertical="center"/>
    </xf>
    <xf numFmtId="0" fontId="5" fillId="0" borderId="0" xfId="2" applyFont="1" applyAlignment="1">
      <alignment horizontal="right"/>
    </xf>
    <xf numFmtId="2" fontId="4" fillId="0" borderId="0" xfId="0" applyNumberFormat="1" applyFont="1" applyAlignment="1">
      <alignment horizontal="center"/>
    </xf>
    <xf numFmtId="170" fontId="4" fillId="0" borderId="0" xfId="0" applyNumberFormat="1" applyFont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center" vertical="center"/>
    </xf>
    <xf numFmtId="11" fontId="4" fillId="2" borderId="0" xfId="2" applyNumberFormat="1" applyFont="1" applyFill="1"/>
    <xf numFmtId="0" fontId="5" fillId="2" borderId="0" xfId="2" applyFont="1" applyFill="1" applyAlignment="1">
      <alignment horizontal="center" vertical="center"/>
    </xf>
    <xf numFmtId="1" fontId="4" fillId="2" borderId="0" xfId="2" applyNumberFormat="1" applyFont="1" applyFill="1"/>
    <xf numFmtId="9" fontId="4" fillId="0" borderId="0" xfId="3" applyFont="1" applyAlignment="1">
      <alignment horizontal="center"/>
    </xf>
    <xf numFmtId="164" fontId="4" fillId="0" borderId="0" xfId="3" applyNumberFormat="1" applyFont="1" applyAlignment="1">
      <alignment horizontal="center"/>
    </xf>
    <xf numFmtId="2" fontId="4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center"/>
    </xf>
    <xf numFmtId="2" fontId="4" fillId="0" borderId="0" xfId="2" applyNumberFormat="1" applyFont="1" applyFill="1" applyAlignment="1">
      <alignment horizontal="center"/>
    </xf>
    <xf numFmtId="9" fontId="4" fillId="0" borderId="0" xfId="3" applyFont="1" applyFill="1" applyAlignment="1">
      <alignment horizontal="center"/>
    </xf>
    <xf numFmtId="164" fontId="4" fillId="0" borderId="0" xfId="3" applyNumberFormat="1" applyFont="1" applyFill="1" applyAlignment="1">
      <alignment horizontal="center"/>
    </xf>
    <xf numFmtId="166" fontId="4" fillId="3" borderId="0" xfId="2" applyNumberFormat="1" applyFont="1" applyFill="1" applyAlignment="1">
      <alignment horizontal="center"/>
    </xf>
    <xf numFmtId="166" fontId="4" fillId="3" borderId="1" xfId="2" applyNumberFormat="1" applyFont="1" applyFill="1" applyBorder="1" applyAlignment="1">
      <alignment horizontal="center"/>
    </xf>
    <xf numFmtId="166" fontId="4" fillId="3" borderId="0" xfId="2" applyNumberFormat="1" applyFont="1" applyFill="1" applyBorder="1" applyAlignment="1">
      <alignment horizontal="center"/>
    </xf>
    <xf numFmtId="2" fontId="4" fillId="3" borderId="0" xfId="2" applyNumberFormat="1" applyFont="1" applyFill="1" applyAlignment="1">
      <alignment horizontal="center"/>
    </xf>
    <xf numFmtId="168" fontId="4" fillId="3" borderId="0" xfId="2" applyNumberFormat="1" applyFont="1" applyFill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10" fontId="4" fillId="0" borderId="0" xfId="3" applyNumberFormat="1" applyFont="1"/>
    <xf numFmtId="170" fontId="4" fillId="0" borderId="0" xfId="2" applyNumberFormat="1" applyFont="1" applyAlignment="1">
      <alignment horizontal="center"/>
    </xf>
    <xf numFmtId="0" fontId="6" fillId="0" borderId="0" xfId="2" applyFont="1"/>
    <xf numFmtId="0" fontId="4" fillId="0" borderId="0" xfId="2" applyFont="1" applyAlignment="1">
      <alignment horizontal="left"/>
    </xf>
    <xf numFmtId="170" fontId="4" fillId="0" borderId="0" xfId="2" applyNumberFormat="1" applyFont="1"/>
    <xf numFmtId="0" fontId="4" fillId="0" borderId="0" xfId="2" applyFont="1" applyAlignment="1">
      <alignment horizontal="right"/>
    </xf>
    <xf numFmtId="2" fontId="4" fillId="0" borderId="0" xfId="2" applyNumberFormat="1" applyFont="1" applyAlignment="1">
      <alignment horizontal="left"/>
    </xf>
    <xf numFmtId="10" fontId="5" fillId="0" borderId="0" xfId="3" applyNumberFormat="1" applyFont="1" applyBorder="1" applyAlignment="1">
      <alignment horizontal="center" vertical="center"/>
    </xf>
    <xf numFmtId="10" fontId="4" fillId="0" borderId="0" xfId="2" applyNumberFormat="1" applyFont="1" applyAlignment="1">
      <alignment horizontal="center"/>
    </xf>
    <xf numFmtId="10" fontId="5" fillId="0" borderId="0" xfId="3" applyNumberFormat="1" applyFont="1" applyFill="1" applyBorder="1" applyAlignment="1">
      <alignment horizontal="center" vertical="center"/>
    </xf>
    <xf numFmtId="10" fontId="4" fillId="0" borderId="0" xfId="3" applyNumberFormat="1" applyFont="1" applyBorder="1"/>
    <xf numFmtId="0" fontId="4" fillId="4" borderId="0" xfId="2" applyFont="1" applyFill="1" applyAlignment="1">
      <alignment horizontal="center"/>
    </xf>
    <xf numFmtId="2" fontId="4" fillId="5" borderId="0" xfId="2" applyNumberFormat="1" applyFont="1" applyFill="1" applyAlignment="1">
      <alignment horizontal="center"/>
    </xf>
    <xf numFmtId="0" fontId="4" fillId="6" borderId="0" xfId="2" applyFont="1" applyFill="1"/>
    <xf numFmtId="10" fontId="4" fillId="6" borderId="0" xfId="3" applyNumberFormat="1" applyFont="1" applyFill="1"/>
    <xf numFmtId="10" fontId="4" fillId="0" borderId="0" xfId="3" applyNumberFormat="1" applyFont="1" applyAlignment="1">
      <alignment horizontal="center" vertical="center"/>
    </xf>
    <xf numFmtId="2" fontId="4" fillId="0" borderId="0" xfId="2" applyNumberFormat="1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10" fontId="8" fillId="7" borderId="0" xfId="0" applyNumberFormat="1" applyFont="1" applyFill="1" applyAlignment="1">
      <alignment horizontal="center"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11" fontId="0" fillId="0" borderId="0" xfId="0" applyNumberFormat="1"/>
    <xf numFmtId="11" fontId="11" fillId="0" borderId="0" xfId="0" applyNumberFormat="1" applyFont="1" applyAlignment="1">
      <alignment horizontal="center" wrapText="1"/>
    </xf>
    <xf numFmtId="0" fontId="9" fillId="0" borderId="0" xfId="0" applyFont="1" applyAlignment="1">
      <alignment wrapText="1"/>
    </xf>
    <xf numFmtId="0" fontId="0" fillId="2" borderId="0" xfId="0" applyFill="1"/>
    <xf numFmtId="11" fontId="11" fillId="3" borderId="0" xfId="0" applyNumberFormat="1" applyFont="1" applyFill="1" applyAlignment="1">
      <alignment horizontal="center" wrapText="1"/>
    </xf>
    <xf numFmtId="11" fontId="0" fillId="2" borderId="0" xfId="0" applyNumberFormat="1" applyFill="1"/>
    <xf numFmtId="11" fontId="9" fillId="0" borderId="0" xfId="0" applyNumberFormat="1" applyFont="1" applyAlignment="1">
      <alignment horizontal="center" wrapText="1"/>
    </xf>
    <xf numFmtId="166" fontId="11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 vertical="center"/>
    </xf>
    <xf numFmtId="170" fontId="5" fillId="0" borderId="0" xfId="2" applyNumberFormat="1" applyFont="1" applyFill="1" applyAlignment="1">
      <alignment horizontal="center"/>
    </xf>
    <xf numFmtId="0" fontId="4" fillId="0" borderId="0" xfId="2" applyFont="1" applyFill="1" applyAlignment="1">
      <alignment horizontal="left"/>
    </xf>
    <xf numFmtId="170" fontId="4" fillId="0" borderId="0" xfId="2" applyNumberFormat="1" applyFont="1" applyFill="1" applyAlignment="1">
      <alignment horizontal="center"/>
    </xf>
    <xf numFmtId="169" fontId="4" fillId="0" borderId="0" xfId="2" applyNumberFormat="1" applyFont="1" applyAlignment="1">
      <alignment horizontal="center"/>
    </xf>
    <xf numFmtId="0" fontId="4" fillId="0" borderId="0" xfId="2" applyFont="1" applyFill="1" applyAlignment="1">
      <alignment horizontal="center"/>
    </xf>
    <xf numFmtId="10" fontId="5" fillId="0" borderId="0" xfId="1" applyNumberFormat="1" applyFont="1" applyBorder="1" applyAlignment="1">
      <alignment horizontal="center" vertical="center"/>
    </xf>
    <xf numFmtId="0" fontId="4" fillId="8" borderId="0" xfId="2" applyFont="1" applyFill="1"/>
    <xf numFmtId="10" fontId="4" fillId="8" borderId="0" xfId="3" applyNumberFormat="1" applyFont="1" applyFill="1"/>
    <xf numFmtId="168" fontId="5" fillId="9" borderId="0" xfId="2" applyNumberFormat="1" applyFont="1" applyFill="1" applyAlignment="1">
      <alignment horizontal="center"/>
    </xf>
    <xf numFmtId="2" fontId="5" fillId="9" borderId="0" xfId="2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 vertical="center"/>
    </xf>
    <xf numFmtId="11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1" fontId="11" fillId="0" borderId="0" xfId="0" applyNumberFormat="1" applyFont="1" applyAlignment="1">
      <alignment horizontal="center" vertical="center"/>
    </xf>
    <xf numFmtId="10" fontId="11" fillId="0" borderId="0" xfId="1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11" fontId="11" fillId="3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11" fillId="3" borderId="0" xfId="0" applyNumberFormat="1" applyFont="1" applyFill="1" applyAlignment="1">
      <alignment horizontal="center" vertical="center"/>
    </xf>
    <xf numFmtId="11" fontId="11" fillId="10" borderId="0" xfId="0" applyNumberFormat="1" applyFont="1" applyFill="1" applyAlignment="1">
      <alignment horizontal="center" vertical="center"/>
    </xf>
    <xf numFmtId="166" fontId="11" fillId="10" borderId="0" xfId="0" applyNumberFormat="1" applyFont="1" applyFill="1" applyAlignment="1">
      <alignment horizontal="center" vertical="center"/>
    </xf>
    <xf numFmtId="11" fontId="11" fillId="8" borderId="0" xfId="0" applyNumberFormat="1" applyFont="1" applyFill="1" applyAlignment="1">
      <alignment horizontal="center" vertical="center"/>
    </xf>
    <xf numFmtId="166" fontId="11" fillId="8" borderId="0" xfId="0" applyNumberFormat="1" applyFont="1" applyFill="1" applyAlignment="1">
      <alignment horizontal="center" vertical="center"/>
    </xf>
    <xf numFmtId="11" fontId="11" fillId="11" borderId="0" xfId="0" applyNumberFormat="1" applyFont="1" applyFill="1" applyAlignment="1">
      <alignment horizontal="center" vertical="center"/>
    </xf>
    <xf numFmtId="166" fontId="11" fillId="11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171" fontId="11" fillId="0" borderId="0" xfId="0" applyNumberFormat="1" applyFont="1" applyAlignment="1">
      <alignment horizontal="center" vertical="center"/>
    </xf>
    <xf numFmtId="171" fontId="4" fillId="0" borderId="0" xfId="2" applyNumberFormat="1" applyFont="1" applyAlignment="1">
      <alignment horizontal="center"/>
    </xf>
    <xf numFmtId="10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166" fontId="11" fillId="9" borderId="0" xfId="0" applyNumberFormat="1" applyFont="1" applyFill="1" applyAlignment="1">
      <alignment horizontal="center" vertical="center"/>
    </xf>
    <xf numFmtId="11" fontId="11" fillId="9" borderId="0" xfId="0" applyNumberFormat="1" applyFont="1" applyFill="1" applyAlignment="1">
      <alignment horizontal="center" vertical="center"/>
    </xf>
    <xf numFmtId="10" fontId="4" fillId="0" borderId="0" xfId="2" applyNumberFormat="1" applyFont="1" applyFill="1" applyAlignment="1">
      <alignment horizontal="center"/>
    </xf>
    <xf numFmtId="0" fontId="4" fillId="0" borderId="0" xfId="2" applyFont="1" applyFill="1"/>
    <xf numFmtId="0" fontId="5" fillId="0" borderId="0" xfId="2" applyFont="1" applyFill="1" applyAlignment="1">
      <alignment horizontal="center"/>
    </xf>
    <xf numFmtId="0" fontId="5" fillId="0" borderId="0" xfId="2" applyFont="1" applyFill="1" applyAlignment="1">
      <alignment horizontal="center" vertical="center"/>
    </xf>
    <xf numFmtId="0" fontId="5" fillId="0" borderId="0" xfId="2" applyFont="1" applyFill="1"/>
    <xf numFmtId="0" fontId="4" fillId="0" borderId="0" xfId="2" applyFont="1" applyFill="1" applyAlignment="1">
      <alignment horizontal="center" vertical="center"/>
    </xf>
    <xf numFmtId="10" fontId="4" fillId="0" borderId="0" xfId="1" applyNumberFormat="1" applyFont="1" applyFill="1" applyAlignment="1">
      <alignment horizontal="center"/>
    </xf>
    <xf numFmtId="1" fontId="4" fillId="0" borderId="0" xfId="2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5" fillId="0" borderId="5" xfId="2" applyFont="1" applyBorder="1" applyAlignment="1">
      <alignment horizontal="center"/>
    </xf>
    <xf numFmtId="0" fontId="5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9" fillId="0" borderId="0" xfId="0" applyFont="1" applyAlignment="1">
      <alignment horizontal="center" wrapText="1"/>
    </xf>
  </cellXfs>
  <cellStyles count="4">
    <cellStyle name="Normal" xfId="0" builtinId="0"/>
    <cellStyle name="Normal 2" xfId="2" xr:uid="{9F7E5C75-087A-403C-B97C-9C08AC64BBFE}"/>
    <cellStyle name="Percent" xfId="1" builtinId="5"/>
    <cellStyle name="Percent 2" xfId="3" xr:uid="{010EB9A8-01A2-42B4-ADFF-E87487F97374}"/>
  </cellStyles>
  <dxfs count="1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8A3E"/>
      <color rgb="FFFF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</xdr:row>
          <xdr:rowOff>165100</xdr:rowOff>
        </xdr:from>
        <xdr:to>
          <xdr:col>12</xdr:col>
          <xdr:colOff>203200</xdr:colOff>
          <xdr:row>24</xdr:row>
          <xdr:rowOff>50800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7F03-5E11-4126-94AA-4B492CB6CB50}">
  <dimension ref="A1:H48"/>
  <sheetViews>
    <sheetView tabSelected="1" zoomScale="60" zoomScaleNormal="60" workbookViewId="0">
      <selection activeCell="N38" sqref="N38"/>
    </sheetView>
  </sheetViews>
  <sheetFormatPr baseColWidth="10" defaultColWidth="8.83203125" defaultRowHeight="15" x14ac:dyDescent="0.2"/>
  <cols>
    <col min="1" max="1" width="15.5" style="101" customWidth="1"/>
    <col min="2" max="5" width="17.5" style="101" customWidth="1"/>
    <col min="6" max="7" width="8.83203125" style="97"/>
    <col min="8" max="8" width="13.5" style="97" customWidth="1"/>
  </cols>
  <sheetData>
    <row r="1" spans="1:8" x14ac:dyDescent="0.2">
      <c r="F1" s="133"/>
      <c r="G1" s="133"/>
      <c r="H1" s="133"/>
    </row>
    <row r="2" spans="1:8" x14ac:dyDescent="0.2">
      <c r="A2" s="115" t="s">
        <v>174</v>
      </c>
      <c r="B2" s="115" t="s">
        <v>163</v>
      </c>
      <c r="C2" s="115" t="s">
        <v>159</v>
      </c>
      <c r="D2" s="115" t="s">
        <v>133</v>
      </c>
      <c r="E2" s="115" t="s">
        <v>173</v>
      </c>
      <c r="F2" s="100"/>
      <c r="G2" s="100"/>
      <c r="H2" s="100"/>
    </row>
    <row r="3" spans="1:8" x14ac:dyDescent="0.2">
      <c r="A3" s="101" t="s">
        <v>143</v>
      </c>
      <c r="B3" s="101">
        <v>0</v>
      </c>
      <c r="C3" s="98">
        <v>1.362487759126528E-5</v>
      </c>
      <c r="D3" s="99">
        <v>0.98919137626269737</v>
      </c>
      <c r="E3" s="104">
        <f>LOG(C3/$C$8)</f>
        <v>-2.4147815230301708E-2</v>
      </c>
      <c r="F3" s="101"/>
      <c r="H3" s="106"/>
    </row>
    <row r="4" spans="1:8" x14ac:dyDescent="0.2">
      <c r="A4" s="101" t="s">
        <v>95</v>
      </c>
      <c r="B4" s="101">
        <v>0</v>
      </c>
      <c r="C4" s="98">
        <v>1.7185647685281434E-5</v>
      </c>
      <c r="D4" s="99">
        <v>0.99888745989862537</v>
      </c>
      <c r="E4" s="104">
        <f t="shared" ref="E4:E8" si="0">LOG(C4/$C$8)</f>
        <v>7.6685479880356941E-2</v>
      </c>
      <c r="F4" s="101"/>
      <c r="H4" s="106"/>
    </row>
    <row r="5" spans="1:8" x14ac:dyDescent="0.2">
      <c r="A5" s="101" t="s">
        <v>113</v>
      </c>
      <c r="B5" s="101">
        <v>0</v>
      </c>
      <c r="C5" s="98">
        <v>1.6556448587830146E-5</v>
      </c>
      <c r="D5" s="99">
        <v>0.99891559803343144</v>
      </c>
      <c r="E5" s="104">
        <f t="shared" si="0"/>
        <v>6.0486760452720278E-2</v>
      </c>
      <c r="F5" s="101"/>
      <c r="H5" s="106"/>
    </row>
    <row r="6" spans="1:8" x14ac:dyDescent="0.2">
      <c r="A6" s="101" t="s">
        <v>114</v>
      </c>
      <c r="B6" s="101">
        <v>0</v>
      </c>
      <c r="C6" s="98">
        <v>1.1813464206381068E-5</v>
      </c>
      <c r="D6" s="99">
        <v>0.99942405469232398</v>
      </c>
      <c r="E6" s="104">
        <f t="shared" si="0"/>
        <v>-8.6103154639915913E-2</v>
      </c>
      <c r="F6" s="101"/>
      <c r="H6" s="106"/>
    </row>
    <row r="7" spans="1:8" x14ac:dyDescent="0.2">
      <c r="A7" s="101" t="s">
        <v>115</v>
      </c>
      <c r="B7" s="101">
        <v>0</v>
      </c>
      <c r="C7" s="98">
        <v>1.2839116124853528E-5</v>
      </c>
      <c r="D7" s="99">
        <v>0.99639357571073872</v>
      </c>
      <c r="E7" s="104">
        <f t="shared" si="0"/>
        <v>-4.9945297502813769E-2</v>
      </c>
      <c r="F7" s="101"/>
      <c r="H7" s="106"/>
    </row>
    <row r="8" spans="1:8" x14ac:dyDescent="0.2">
      <c r="B8" s="115" t="s">
        <v>165</v>
      </c>
      <c r="C8" s="108">
        <f>AVERAGE(C3:C7)</f>
        <v>1.4403910839122292E-5</v>
      </c>
      <c r="D8" s="109">
        <f>AVERAGE(D3:D7)</f>
        <v>0.99656241291956338</v>
      </c>
      <c r="E8" s="109">
        <f t="shared" si="0"/>
        <v>0</v>
      </c>
      <c r="F8" s="101"/>
      <c r="H8" s="106"/>
    </row>
    <row r="9" spans="1:8" x14ac:dyDescent="0.2">
      <c r="B9" s="101" t="s">
        <v>166</v>
      </c>
      <c r="C9" s="102">
        <f>STDEV(C3:C7)</f>
        <v>2.3525182091241155E-6</v>
      </c>
      <c r="F9" s="101"/>
      <c r="H9" s="106"/>
    </row>
    <row r="10" spans="1:8" x14ac:dyDescent="0.2">
      <c r="B10" s="101" t="s">
        <v>167</v>
      </c>
      <c r="C10" s="102">
        <f>C9/SQRT(COUNT(C3:C7))</f>
        <v>1.0520781267815176E-6</v>
      </c>
      <c r="F10" s="101"/>
      <c r="H10" s="106"/>
    </row>
    <row r="11" spans="1:8" x14ac:dyDescent="0.2">
      <c r="B11" s="101" t="s">
        <v>168</v>
      </c>
      <c r="C11" s="103">
        <f>C9/C8</f>
        <v>0.16332496329638951</v>
      </c>
      <c r="F11" s="101"/>
      <c r="H11" s="106"/>
    </row>
    <row r="12" spans="1:8" x14ac:dyDescent="0.2">
      <c r="F12" s="101"/>
      <c r="H12" s="106"/>
    </row>
    <row r="13" spans="1:8" x14ac:dyDescent="0.2">
      <c r="A13" s="114" t="s">
        <v>174</v>
      </c>
      <c r="B13" s="114" t="s">
        <v>163</v>
      </c>
      <c r="C13" s="114" t="s">
        <v>160</v>
      </c>
      <c r="D13" s="114" t="s">
        <v>133</v>
      </c>
      <c r="E13" s="114" t="s">
        <v>172</v>
      </c>
      <c r="F13" s="101"/>
      <c r="H13" s="106"/>
    </row>
    <row r="14" spans="1:8" x14ac:dyDescent="0.2">
      <c r="A14" s="101" t="s">
        <v>116</v>
      </c>
      <c r="B14" s="101">
        <v>-7.0000000000000007E-2</v>
      </c>
      <c r="C14" s="98">
        <v>1.7768705898969882E-5</v>
      </c>
      <c r="D14" s="99">
        <v>0.99618295272621948</v>
      </c>
      <c r="E14" s="104">
        <f>LOG(C14/$C$8)</f>
        <v>9.1175374734362144E-2</v>
      </c>
      <c r="F14" s="101"/>
      <c r="H14" s="106"/>
    </row>
    <row r="15" spans="1:8" x14ac:dyDescent="0.2">
      <c r="A15" s="101" t="s">
        <v>117</v>
      </c>
      <c r="B15" s="101">
        <v>-7.0000000000000007E-2</v>
      </c>
      <c r="C15" s="98">
        <v>1.3985793514453473E-5</v>
      </c>
      <c r="D15" s="99">
        <v>0.99832832922116799</v>
      </c>
      <c r="E15" s="104">
        <f>LOG(C15/$C$8)</f>
        <v>-1.2793312354700062E-2</v>
      </c>
      <c r="F15" s="101"/>
      <c r="H15" s="106"/>
    </row>
    <row r="16" spans="1:8" x14ac:dyDescent="0.2">
      <c r="A16" s="101" t="s">
        <v>118</v>
      </c>
      <c r="B16" s="101">
        <v>-7.0000000000000007E-2</v>
      </c>
      <c r="C16" s="98">
        <v>9.906613748366399E-6</v>
      </c>
      <c r="D16" s="104">
        <v>0.99762086727552268</v>
      </c>
      <c r="E16" s="104">
        <f t="shared" ref="E16:E17" si="1">LOG(C16/$C$8)</f>
        <v>-0.16255519390650605</v>
      </c>
      <c r="F16" s="101"/>
      <c r="H16" s="106"/>
    </row>
    <row r="17" spans="1:8" x14ac:dyDescent="0.2">
      <c r="B17" s="114" t="s">
        <v>165</v>
      </c>
      <c r="C17" s="105">
        <f>AVERAGE(C14:C16)</f>
        <v>1.3887037720596587E-5</v>
      </c>
      <c r="D17" s="107">
        <f>AVERAGE(D14:D16)</f>
        <v>0.99737738307430346</v>
      </c>
      <c r="E17" s="107">
        <f t="shared" si="1"/>
        <v>-1.5870809250251004E-2</v>
      </c>
      <c r="H17" s="106"/>
    </row>
    <row r="18" spans="1:8" x14ac:dyDescent="0.2">
      <c r="B18" s="101" t="s">
        <v>166</v>
      </c>
      <c r="C18" s="102">
        <f>STDEV(C14:C16)</f>
        <v>3.9319763193921262E-6</v>
      </c>
      <c r="H18" s="106"/>
    </row>
    <row r="19" spans="1:8" x14ac:dyDescent="0.2">
      <c r="B19" s="101" t="s">
        <v>167</v>
      </c>
      <c r="C19" s="102">
        <f>C18/SQRT(COUNT(C14:C16))</f>
        <v>2.2701275864482782E-6</v>
      </c>
      <c r="H19" s="106"/>
    </row>
    <row r="20" spans="1:8" x14ac:dyDescent="0.2">
      <c r="B20" s="101" t="s">
        <v>168</v>
      </c>
      <c r="C20" s="103">
        <f>C18/C17</f>
        <v>0.28314003306554053</v>
      </c>
      <c r="H20" s="106"/>
    </row>
    <row r="21" spans="1:8" x14ac:dyDescent="0.2">
      <c r="F21" s="101"/>
      <c r="H21" s="106"/>
    </row>
    <row r="22" spans="1:8" x14ac:dyDescent="0.2">
      <c r="A22" s="116" t="s">
        <v>174</v>
      </c>
      <c r="B22" s="116" t="s">
        <v>163</v>
      </c>
      <c r="C22" s="116" t="s">
        <v>164</v>
      </c>
      <c r="D22" s="116" t="s">
        <v>133</v>
      </c>
      <c r="E22" s="116" t="s">
        <v>169</v>
      </c>
      <c r="F22" s="101"/>
      <c r="H22" s="106"/>
    </row>
    <row r="23" spans="1:8" x14ac:dyDescent="0.2">
      <c r="A23" s="101" t="s">
        <v>119</v>
      </c>
      <c r="B23" s="101">
        <v>0.06</v>
      </c>
      <c r="C23" s="98">
        <v>7.5576550299140171E-6</v>
      </c>
      <c r="D23" s="99">
        <v>0.98426575354087309</v>
      </c>
      <c r="E23" s="104">
        <f>LOG(C23/$C$8)</f>
        <v>-0.28009335979574884</v>
      </c>
      <c r="F23" s="101"/>
      <c r="H23" s="106"/>
    </row>
    <row r="24" spans="1:8" x14ac:dyDescent="0.2">
      <c r="A24" s="101" t="s">
        <v>120</v>
      </c>
      <c r="B24" s="101">
        <v>0.06</v>
      </c>
      <c r="C24" s="98">
        <v>4.6389641427128601E-6</v>
      </c>
      <c r="D24" s="99">
        <v>0.9929768755287206</v>
      </c>
      <c r="E24" s="104">
        <f t="shared" ref="E24:E25" si="2">LOG(C24/$C$8)</f>
        <v>-0.49205940879073934</v>
      </c>
      <c r="F24" s="101"/>
      <c r="H24" s="106"/>
    </row>
    <row r="25" spans="1:8" x14ac:dyDescent="0.2">
      <c r="A25" s="101" t="s">
        <v>121</v>
      </c>
      <c r="B25" s="101">
        <v>0.06</v>
      </c>
      <c r="C25" s="102">
        <v>3.9432854404343446E-6</v>
      </c>
      <c r="D25" s="104">
        <v>0.99172273722136461</v>
      </c>
      <c r="E25" s="104">
        <f t="shared" si="2"/>
        <v>-0.56262220915765282</v>
      </c>
      <c r="F25" s="101"/>
      <c r="H25" s="106"/>
    </row>
    <row r="26" spans="1:8" x14ac:dyDescent="0.2">
      <c r="B26" s="116" t="s">
        <v>165</v>
      </c>
      <c r="C26" s="110">
        <f>AVERAGE(C23:C25)</f>
        <v>5.37996820435374E-6</v>
      </c>
      <c r="D26" s="111">
        <f>AVERAGE(D23:D25)</f>
        <v>0.98965512209698614</v>
      </c>
      <c r="E26" s="111">
        <f>LOG(C26/$C$8)</f>
        <v>-0.42770071541370824</v>
      </c>
    </row>
    <row r="27" spans="1:8" x14ac:dyDescent="0.2">
      <c r="B27" s="101" t="s">
        <v>166</v>
      </c>
      <c r="C27" s="102">
        <f>STDEV(C23:C25)</f>
        <v>1.9177414181440299E-6</v>
      </c>
      <c r="F27" s="133"/>
      <c r="G27" s="133"/>
      <c r="H27" s="133"/>
    </row>
    <row r="28" spans="1:8" x14ac:dyDescent="0.2">
      <c r="B28" s="101" t="s">
        <v>167</v>
      </c>
      <c r="C28" s="102">
        <f>C27/SQRT(COUNT(C23:C25))</f>
        <v>1.1072085240015505E-6</v>
      </c>
      <c r="F28" s="100"/>
      <c r="G28" s="100"/>
      <c r="H28" s="100"/>
    </row>
    <row r="29" spans="1:8" x14ac:dyDescent="0.2">
      <c r="B29" s="101" t="s">
        <v>168</v>
      </c>
      <c r="C29" s="103">
        <f>C27/C26</f>
        <v>0.35645961933234055</v>
      </c>
      <c r="F29" s="101"/>
      <c r="G29" s="101"/>
      <c r="H29" s="104"/>
    </row>
    <row r="30" spans="1:8" x14ac:dyDescent="0.2">
      <c r="F30" s="101"/>
      <c r="G30" s="101"/>
      <c r="H30" s="104"/>
    </row>
    <row r="31" spans="1:8" x14ac:dyDescent="0.2">
      <c r="A31" s="117" t="s">
        <v>174</v>
      </c>
      <c r="B31" s="117" t="s">
        <v>163</v>
      </c>
      <c r="C31" s="117" t="s">
        <v>162</v>
      </c>
      <c r="D31" s="117" t="s">
        <v>133</v>
      </c>
      <c r="E31" s="117" t="s">
        <v>171</v>
      </c>
      <c r="F31" s="101"/>
      <c r="G31" s="101"/>
      <c r="H31" s="104"/>
    </row>
    <row r="32" spans="1:8" x14ac:dyDescent="0.2">
      <c r="A32" s="101" t="s">
        <v>179</v>
      </c>
      <c r="B32" s="101">
        <v>0.18</v>
      </c>
      <c r="C32" s="102">
        <v>4.8164972407525343E-6</v>
      </c>
      <c r="D32" s="104">
        <v>0.98236830673933806</v>
      </c>
      <c r="E32" s="104">
        <f>LOG(C32/$C$8)</f>
        <v>-0.47574910857842595</v>
      </c>
      <c r="F32" s="101"/>
      <c r="G32" s="101"/>
      <c r="H32" s="104"/>
    </row>
    <row r="33" spans="1:8" x14ac:dyDescent="0.2">
      <c r="A33" s="101" t="s">
        <v>180</v>
      </c>
      <c r="B33" s="101">
        <v>0.18</v>
      </c>
      <c r="C33" s="102">
        <v>3.7456596044732538E-6</v>
      </c>
      <c r="D33" s="104">
        <v>0.99046180120864535</v>
      </c>
      <c r="E33" s="104">
        <f t="shared" ref="E33:E35" si="3">LOG(C33/$C$8)</f>
        <v>-0.5849521170930293</v>
      </c>
      <c r="F33" s="101"/>
      <c r="G33" s="101"/>
      <c r="H33" s="119"/>
    </row>
    <row r="34" spans="1:8" x14ac:dyDescent="0.2">
      <c r="A34" s="101" t="s">
        <v>181</v>
      </c>
      <c r="B34" s="101">
        <v>0.18</v>
      </c>
      <c r="C34" s="102">
        <v>3.9959760245938165E-6</v>
      </c>
      <c r="D34" s="104">
        <v>0.99091242443830774</v>
      </c>
      <c r="E34" s="104">
        <f t="shared" si="3"/>
        <v>-0.5568575505607618</v>
      </c>
    </row>
    <row r="35" spans="1:8" x14ac:dyDescent="0.2">
      <c r="A35" s="100"/>
      <c r="B35" s="117" t="s">
        <v>165</v>
      </c>
      <c r="C35" s="124">
        <f>AVERAGE(C32:C34)</f>
        <v>4.186044289939868E-6</v>
      </c>
      <c r="D35" s="123">
        <f>AVERAGE(D32:D34)</f>
        <v>0.98791417746209709</v>
      </c>
      <c r="E35" s="123">
        <f t="shared" si="3"/>
        <v>-0.53667660537684814</v>
      </c>
    </row>
    <row r="36" spans="1:8" x14ac:dyDescent="0.2">
      <c r="B36" s="101" t="s">
        <v>166</v>
      </c>
      <c r="C36" s="102">
        <f>STDEV(C32:C34)</f>
        <v>5.6014977455747672E-7</v>
      </c>
    </row>
    <row r="37" spans="1:8" x14ac:dyDescent="0.2">
      <c r="B37" s="101" t="s">
        <v>167</v>
      </c>
      <c r="C37" s="102">
        <f>C36/(SQRT(COUNT(C32:C34)))</f>
        <v>3.2340262312726737E-7</v>
      </c>
    </row>
    <row r="38" spans="1:8" x14ac:dyDescent="0.2">
      <c r="B38" s="101" t="s">
        <v>168</v>
      </c>
      <c r="C38" s="103">
        <f>C36/C35</f>
        <v>0.13381362827518559</v>
      </c>
    </row>
    <row r="40" spans="1:8" x14ac:dyDescent="0.2">
      <c r="A40" s="118" t="s">
        <v>174</v>
      </c>
      <c r="B40" s="118" t="s">
        <v>163</v>
      </c>
      <c r="C40" s="118" t="s">
        <v>161</v>
      </c>
      <c r="D40" s="118" t="s">
        <v>133</v>
      </c>
      <c r="E40" s="118" t="s">
        <v>170</v>
      </c>
    </row>
    <row r="41" spans="1:8" x14ac:dyDescent="0.2">
      <c r="A41" s="101" t="s">
        <v>122</v>
      </c>
      <c r="B41" s="101">
        <v>0.23</v>
      </c>
      <c r="C41" s="98">
        <v>4.1372051155312286E-6</v>
      </c>
      <c r="D41" s="99">
        <v>0.99751318630980945</v>
      </c>
      <c r="E41" s="104">
        <f>LOG(C41/$C$8)</f>
        <v>-0.54177337139998316</v>
      </c>
    </row>
    <row r="42" spans="1:8" x14ac:dyDescent="0.2">
      <c r="A42" s="101" t="s">
        <v>123</v>
      </c>
      <c r="B42" s="101">
        <v>0.23</v>
      </c>
      <c r="C42" s="98">
        <v>3.6231679455860244E-6</v>
      </c>
      <c r="D42" s="99">
        <v>0.99672639800296936</v>
      </c>
      <c r="E42" s="104">
        <f t="shared" ref="E42:E44" si="4">LOG(C42/$C$8)</f>
        <v>-0.59939195894554609</v>
      </c>
    </row>
    <row r="43" spans="1:8" x14ac:dyDescent="0.2">
      <c r="A43" s="101" t="s">
        <v>175</v>
      </c>
      <c r="B43" s="101">
        <v>0.23</v>
      </c>
      <c r="C43" s="98">
        <v>1.9510241152299609E-6</v>
      </c>
      <c r="D43" s="99">
        <v>0.99782107492223182</v>
      </c>
      <c r="E43" s="104">
        <f t="shared" si="4"/>
        <v>-0.8682177869697425</v>
      </c>
    </row>
    <row r="44" spans="1:8" x14ac:dyDescent="0.2">
      <c r="A44" s="101" t="s">
        <v>135</v>
      </c>
      <c r="B44" s="101">
        <v>0.23</v>
      </c>
      <c r="C44" s="98">
        <v>1.4876729178783908E-6</v>
      </c>
      <c r="D44" s="104">
        <v>0.99799907097204532</v>
      </c>
      <c r="E44" s="104">
        <f t="shared" si="4"/>
        <v>-0.98597296737146611</v>
      </c>
    </row>
    <row r="45" spans="1:8" x14ac:dyDescent="0.2">
      <c r="B45" s="118" t="s">
        <v>165</v>
      </c>
      <c r="C45" s="112">
        <f>AVERAGE(C41:C44)</f>
        <v>2.799767523556401E-6</v>
      </c>
      <c r="D45" s="113">
        <f>AVERAGE(D41:D44)</f>
        <v>0.99751493255176404</v>
      </c>
      <c r="E45" s="113">
        <f>LOG(C45/$C$8)</f>
        <v>-0.71135845285810617</v>
      </c>
    </row>
    <row r="46" spans="1:8" x14ac:dyDescent="0.2">
      <c r="B46" s="101" t="s">
        <v>166</v>
      </c>
      <c r="C46" s="102">
        <f>STDEV(C41:C44)</f>
        <v>1.2791514368065655E-6</v>
      </c>
    </row>
    <row r="47" spans="1:8" x14ac:dyDescent="0.2">
      <c r="B47" s="101" t="s">
        <v>167</v>
      </c>
      <c r="C47" s="102">
        <f>C46/SQRT(COUNT(C41:C44))</f>
        <v>6.3957571840328275E-7</v>
      </c>
    </row>
    <row r="48" spans="1:8" x14ac:dyDescent="0.2">
      <c r="B48" s="101" t="s">
        <v>168</v>
      </c>
      <c r="C48" s="103">
        <f>C46/C45</f>
        <v>0.45687773218460836</v>
      </c>
    </row>
  </sheetData>
  <mergeCells count="2">
    <mergeCell ref="F27:H27"/>
    <mergeCell ref="F1:H1"/>
  </mergeCells>
  <phoneticPr fontId="14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ChemDraw.Document.6.0" shapeId="1025" r:id="rId4">
          <objectPr defaultSize="0" autoPict="0" r:id="rId5">
            <anchor moveWithCells="1">
              <from>
                <xdr:col>5</xdr:col>
                <xdr:colOff>393700</xdr:colOff>
                <xdr:row>1</xdr:row>
                <xdr:rowOff>165100</xdr:rowOff>
              </from>
              <to>
                <xdr:col>12</xdr:col>
                <xdr:colOff>203200</xdr:colOff>
                <xdr:row>24</xdr:row>
                <xdr:rowOff>50800</xdr:rowOff>
              </to>
            </anchor>
          </objectPr>
        </oleObject>
      </mc:Choice>
      <mc:Fallback>
        <oleObject progId="ChemDraw.Document.6.0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AC34-A592-46D7-9155-4FB6DA4C69EF}">
  <dimension ref="A1:I37"/>
  <sheetViews>
    <sheetView topLeftCell="A13" workbookViewId="0">
      <selection activeCell="H35" sqref="H35:H36"/>
    </sheetView>
  </sheetViews>
  <sheetFormatPr baseColWidth="10" defaultColWidth="8.83203125" defaultRowHeight="15" x14ac:dyDescent="0.2"/>
  <cols>
    <col min="2" max="4" width="15.5" customWidth="1"/>
    <col min="5" max="5" width="15.5" style="76" customWidth="1"/>
    <col min="6" max="8" width="15.5" customWidth="1"/>
  </cols>
  <sheetData>
    <row r="1" spans="1:9" x14ac:dyDescent="0.2">
      <c r="A1" s="79"/>
      <c r="B1" s="79"/>
      <c r="C1" s="79"/>
      <c r="D1" s="79"/>
      <c r="E1" s="81"/>
      <c r="F1" s="79"/>
      <c r="G1" s="79"/>
      <c r="H1" s="79"/>
      <c r="I1" s="79"/>
    </row>
    <row r="2" spans="1:9" ht="14.5" customHeight="1" x14ac:dyDescent="0.2">
      <c r="B2" s="143" t="s">
        <v>176</v>
      </c>
      <c r="C2" s="143"/>
      <c r="D2" s="143"/>
      <c r="E2" s="143"/>
      <c r="F2" s="143"/>
      <c r="G2" s="143"/>
      <c r="H2" s="143"/>
      <c r="I2" s="78"/>
    </row>
    <row r="3" spans="1:9" ht="16" x14ac:dyDescent="0.2">
      <c r="B3" s="122" t="s">
        <v>125</v>
      </c>
      <c r="C3" s="122" t="s">
        <v>126</v>
      </c>
      <c r="D3" s="122" t="s">
        <v>127</v>
      </c>
      <c r="E3" s="82" t="s">
        <v>128</v>
      </c>
      <c r="F3" s="122" t="s">
        <v>129</v>
      </c>
      <c r="G3" s="122" t="s">
        <v>130</v>
      </c>
      <c r="H3" s="122" t="s">
        <v>131</v>
      </c>
      <c r="I3" s="71"/>
    </row>
    <row r="4" spans="1:9" ht="16" x14ac:dyDescent="0.2">
      <c r="B4" s="72">
        <f>C4*60</f>
        <v>180</v>
      </c>
      <c r="C4" s="72">
        <v>3</v>
      </c>
      <c r="D4" s="73">
        <v>8.0463632887189298E-3</v>
      </c>
      <c r="E4" s="77">
        <f>D4*0.0001</f>
        <v>8.04636328871893E-7</v>
      </c>
      <c r="F4" s="72">
        <f>2000-20</f>
        <v>1980</v>
      </c>
      <c r="G4" s="72">
        <f>F4/1000000</f>
        <v>1.98E-3</v>
      </c>
      <c r="H4" s="77">
        <f>E4/G4</f>
        <v>4.0638198427873386E-4</v>
      </c>
      <c r="I4" s="74"/>
    </row>
    <row r="5" spans="1:9" ht="16" x14ac:dyDescent="0.2">
      <c r="B5" s="72">
        <f t="shared" ref="B5:B10" si="0">C5*60</f>
        <v>360</v>
      </c>
      <c r="C5" s="72">
        <v>6</v>
      </c>
      <c r="D5" s="73">
        <v>1.9923094958968348E-2</v>
      </c>
      <c r="E5" s="77">
        <f t="shared" ref="E5:E10" si="1">D5*0.0001</f>
        <v>1.9923094958968349E-6</v>
      </c>
      <c r="F5" s="72">
        <f>F4-20</f>
        <v>1960</v>
      </c>
      <c r="G5" s="72">
        <f t="shared" ref="G5:G10" si="2">F5/1000000</f>
        <v>1.9599999999999999E-3</v>
      </c>
      <c r="H5" s="77">
        <f t="shared" ref="H5:H10" si="3">E5/G5</f>
        <v>1.0164844366820586E-3</v>
      </c>
      <c r="I5" s="74"/>
    </row>
    <row r="6" spans="1:9" ht="16" x14ac:dyDescent="0.2">
      <c r="B6" s="72">
        <f t="shared" si="0"/>
        <v>540</v>
      </c>
      <c r="C6" s="72">
        <v>9</v>
      </c>
      <c r="D6" s="73">
        <v>3.1819597620713784E-2</v>
      </c>
      <c r="E6" s="77">
        <f t="shared" si="1"/>
        <v>3.1819597620713788E-6</v>
      </c>
      <c r="F6" s="72">
        <f t="shared" ref="F6:F10" si="4">F5-20</f>
        <v>1940</v>
      </c>
      <c r="G6" s="72">
        <f t="shared" si="2"/>
        <v>1.9400000000000001E-3</v>
      </c>
      <c r="H6" s="77">
        <f t="shared" si="3"/>
        <v>1.6401854443666901E-3</v>
      </c>
      <c r="I6" s="74"/>
    </row>
    <row r="7" spans="1:9" ht="16" x14ac:dyDescent="0.2">
      <c r="B7" s="72">
        <f t="shared" si="0"/>
        <v>720</v>
      </c>
      <c r="C7" s="72">
        <v>12</v>
      </c>
      <c r="D7" s="73">
        <v>4.7587017586123818E-2</v>
      </c>
      <c r="E7" s="77">
        <f t="shared" si="1"/>
        <v>4.7587017586123825E-6</v>
      </c>
      <c r="F7" s="72">
        <f t="shared" si="4"/>
        <v>1920</v>
      </c>
      <c r="G7" s="72">
        <f t="shared" si="2"/>
        <v>1.92E-3</v>
      </c>
      <c r="H7" s="77">
        <f t="shared" si="3"/>
        <v>2.4784904992772826E-3</v>
      </c>
      <c r="I7" s="74"/>
    </row>
    <row r="8" spans="1:9" ht="16" x14ac:dyDescent="0.2">
      <c r="B8" s="72">
        <f t="shared" si="0"/>
        <v>900</v>
      </c>
      <c r="C8" s="72">
        <v>15</v>
      </c>
      <c r="D8" s="73">
        <v>6.3690511167740965E-2</v>
      </c>
      <c r="E8" s="77">
        <f t="shared" si="1"/>
        <v>6.3690511167740965E-6</v>
      </c>
      <c r="F8" s="72">
        <f t="shared" si="4"/>
        <v>1900</v>
      </c>
      <c r="G8" s="72">
        <f t="shared" si="2"/>
        <v>1.9E-3</v>
      </c>
      <c r="H8" s="77">
        <f t="shared" si="3"/>
        <v>3.3521321667232089E-3</v>
      </c>
      <c r="I8" s="74"/>
    </row>
    <row r="9" spans="1:9" ht="16" x14ac:dyDescent="0.2">
      <c r="B9" s="72">
        <f t="shared" si="0"/>
        <v>1080</v>
      </c>
      <c r="C9" s="72">
        <v>18</v>
      </c>
      <c r="D9" s="73">
        <v>8.2394482016967391E-2</v>
      </c>
      <c r="E9" s="77">
        <f t="shared" si="1"/>
        <v>8.2394482016967397E-6</v>
      </c>
      <c r="F9" s="72">
        <f t="shared" si="4"/>
        <v>1880</v>
      </c>
      <c r="G9" s="72">
        <f t="shared" si="2"/>
        <v>1.8799999999999999E-3</v>
      </c>
      <c r="H9" s="77">
        <f t="shared" si="3"/>
        <v>4.3826852136684786E-3</v>
      </c>
      <c r="I9" s="74"/>
    </row>
    <row r="10" spans="1:9" ht="16" x14ac:dyDescent="0.2">
      <c r="B10" s="72">
        <f t="shared" si="0"/>
        <v>1260</v>
      </c>
      <c r="C10" s="72">
        <v>21</v>
      </c>
      <c r="D10" s="73">
        <v>0.10570965137337761</v>
      </c>
      <c r="E10" s="77">
        <f t="shared" si="1"/>
        <v>1.0570965137337761E-5</v>
      </c>
      <c r="F10" s="72">
        <f t="shared" si="4"/>
        <v>1860</v>
      </c>
      <c r="G10" s="72">
        <f t="shared" si="2"/>
        <v>1.8600000000000001E-3</v>
      </c>
      <c r="H10" s="77">
        <f t="shared" si="3"/>
        <v>5.6833145899665384E-3</v>
      </c>
      <c r="I10" s="74"/>
    </row>
    <row r="11" spans="1:9" ht="16" x14ac:dyDescent="0.2">
      <c r="B11" s="72"/>
      <c r="C11" s="72"/>
      <c r="D11" s="75"/>
      <c r="E11" s="77"/>
      <c r="F11" s="72"/>
      <c r="G11" s="122" t="s">
        <v>132</v>
      </c>
      <c r="H11" s="80">
        <f>SLOPE(H4:H10,B4:B10)</f>
        <v>4.8164972407525343E-6</v>
      </c>
      <c r="I11" s="75"/>
    </row>
    <row r="12" spans="1:9" ht="16" x14ac:dyDescent="0.2">
      <c r="B12" s="72"/>
      <c r="C12" s="72"/>
      <c r="D12" s="75"/>
      <c r="E12" s="77"/>
      <c r="F12" s="72"/>
      <c r="G12" s="122" t="s">
        <v>133</v>
      </c>
      <c r="H12" s="83">
        <f>RSQ(H4:H10,B4:B10)</f>
        <v>0.98236830673933806</v>
      </c>
      <c r="I12" s="75"/>
    </row>
    <row r="13" spans="1:9" x14ac:dyDescent="0.2">
      <c r="A13" s="79"/>
      <c r="B13" s="79"/>
      <c r="C13" s="79"/>
      <c r="D13" s="79"/>
      <c r="E13" s="81"/>
      <c r="F13" s="79"/>
      <c r="G13" s="79"/>
      <c r="H13" s="79"/>
      <c r="I13" s="79"/>
    </row>
    <row r="14" spans="1:9" ht="14.5" customHeight="1" x14ac:dyDescent="0.2">
      <c r="B14" s="143" t="s">
        <v>178</v>
      </c>
      <c r="C14" s="143"/>
      <c r="D14" s="143"/>
      <c r="E14" s="143"/>
      <c r="F14" s="143"/>
      <c r="G14" s="143"/>
      <c r="H14" s="143"/>
    </row>
    <row r="15" spans="1:9" ht="16" x14ac:dyDescent="0.2">
      <c r="B15" s="122" t="s">
        <v>125</v>
      </c>
      <c r="C15" s="122" t="s">
        <v>126</v>
      </c>
      <c r="D15" s="122" t="s">
        <v>127</v>
      </c>
      <c r="E15" s="82" t="s">
        <v>128</v>
      </c>
      <c r="F15" s="122" t="s">
        <v>129</v>
      </c>
      <c r="G15" s="122" t="s">
        <v>130</v>
      </c>
      <c r="H15" s="122" t="s">
        <v>131</v>
      </c>
    </row>
    <row r="16" spans="1:9" ht="16" x14ac:dyDescent="0.2">
      <c r="B16" s="72">
        <v>180</v>
      </c>
      <c r="C16" s="72">
        <v>3</v>
      </c>
      <c r="D16" s="73">
        <v>7.9887519153085396E-3</v>
      </c>
      <c r="E16" s="77">
        <f>D16*0.0000852</f>
        <v>6.8064166318428751E-7</v>
      </c>
      <c r="F16" s="72">
        <f>2000-20</f>
        <v>1980</v>
      </c>
      <c r="G16" s="72">
        <f>F16/1000000</f>
        <v>1.98E-3</v>
      </c>
      <c r="H16" s="77">
        <f>E16/G16</f>
        <v>3.4375841574964017E-4</v>
      </c>
    </row>
    <row r="17" spans="1:9" ht="16" x14ac:dyDescent="0.2">
      <c r="B17" s="72">
        <v>360</v>
      </c>
      <c r="C17" s="72">
        <v>6</v>
      </c>
      <c r="D17" s="73">
        <v>1.873177221427063E-2</v>
      </c>
      <c r="E17" s="77">
        <f t="shared" ref="E17:E22" si="5">D17*0.0000852</f>
        <v>1.5959469926558577E-6</v>
      </c>
      <c r="F17" s="72">
        <f>F16-20</f>
        <v>1960</v>
      </c>
      <c r="G17" s="72">
        <f t="shared" ref="G17:G22" si="6">F17/1000000</f>
        <v>1.9599999999999999E-3</v>
      </c>
      <c r="H17" s="77">
        <f t="shared" ref="H17:H22" si="7">E17/G17</f>
        <v>8.142586697223764E-4</v>
      </c>
    </row>
    <row r="18" spans="1:9" ht="16" x14ac:dyDescent="0.2">
      <c r="B18" s="72">
        <v>540</v>
      </c>
      <c r="C18" s="72">
        <v>9</v>
      </c>
      <c r="D18" s="73">
        <v>3.0712079538693881E-2</v>
      </c>
      <c r="E18" s="77">
        <f t="shared" si="5"/>
        <v>2.6166691766967188E-6</v>
      </c>
      <c r="F18" s="72">
        <f t="shared" ref="F18:F22" si="8">F17-20</f>
        <v>1940</v>
      </c>
      <c r="G18" s="72">
        <f t="shared" si="6"/>
        <v>1.9400000000000001E-3</v>
      </c>
      <c r="H18" s="77">
        <f t="shared" si="7"/>
        <v>1.3487985446890302E-3</v>
      </c>
    </row>
    <row r="19" spans="1:9" ht="16" x14ac:dyDescent="0.2">
      <c r="B19" s="72">
        <v>720</v>
      </c>
      <c r="C19" s="72">
        <v>12</v>
      </c>
      <c r="D19" s="73">
        <v>4.4861965623622747E-2</v>
      </c>
      <c r="E19" s="77">
        <f t="shared" si="5"/>
        <v>3.8222394711326582E-6</v>
      </c>
      <c r="F19" s="72">
        <f t="shared" si="8"/>
        <v>1920</v>
      </c>
      <c r="G19" s="72">
        <f t="shared" si="6"/>
        <v>1.92E-3</v>
      </c>
      <c r="H19" s="77">
        <f t="shared" si="7"/>
        <v>1.9907497245482595E-3</v>
      </c>
    </row>
    <row r="20" spans="1:9" ht="16" x14ac:dyDescent="0.2">
      <c r="B20" s="72">
        <v>900</v>
      </c>
      <c r="C20" s="72">
        <v>15</v>
      </c>
      <c r="D20" s="73">
        <v>6.6973979297726749E-2</v>
      </c>
      <c r="E20" s="77">
        <f t="shared" si="5"/>
        <v>5.7061830361663187E-6</v>
      </c>
      <c r="F20" s="72">
        <f t="shared" si="8"/>
        <v>1900</v>
      </c>
      <c r="G20" s="72">
        <f t="shared" si="6"/>
        <v>1.9E-3</v>
      </c>
      <c r="H20" s="77">
        <f t="shared" si="7"/>
        <v>3.0032542295612202E-3</v>
      </c>
    </row>
    <row r="21" spans="1:9" ht="16" x14ac:dyDescent="0.2">
      <c r="B21" s="72">
        <v>1080</v>
      </c>
      <c r="C21" s="72">
        <v>18</v>
      </c>
      <c r="D21" s="73">
        <v>7.7896211294987916E-2</v>
      </c>
      <c r="E21" s="77">
        <f t="shared" si="5"/>
        <v>6.6367572023329705E-6</v>
      </c>
      <c r="F21" s="72">
        <f t="shared" si="8"/>
        <v>1880</v>
      </c>
      <c r="G21" s="72">
        <f t="shared" si="6"/>
        <v>1.8799999999999999E-3</v>
      </c>
      <c r="H21" s="77">
        <f t="shared" si="7"/>
        <v>3.5301900012409417E-3</v>
      </c>
    </row>
    <row r="22" spans="1:9" ht="16" x14ac:dyDescent="0.2">
      <c r="B22" s="72">
        <v>1260</v>
      </c>
      <c r="C22" s="72">
        <v>21</v>
      </c>
      <c r="D22" s="73">
        <v>9.3313502460664041E-2</v>
      </c>
      <c r="E22" s="77">
        <f t="shared" si="5"/>
        <v>7.9503104096485756E-6</v>
      </c>
      <c r="F22" s="72">
        <f t="shared" si="8"/>
        <v>1860</v>
      </c>
      <c r="G22" s="72">
        <f t="shared" si="6"/>
        <v>1.8600000000000001E-3</v>
      </c>
      <c r="H22" s="77">
        <f t="shared" si="7"/>
        <v>4.2743604352949325E-3</v>
      </c>
    </row>
    <row r="23" spans="1:9" ht="16" x14ac:dyDescent="0.2">
      <c r="B23" s="72"/>
      <c r="C23" s="72"/>
      <c r="D23" s="75"/>
      <c r="E23" s="77"/>
      <c r="F23" s="72"/>
      <c r="G23" s="122" t="s">
        <v>132</v>
      </c>
      <c r="H23" s="80">
        <f>SLOPE(H16:H22,B16:B22)</f>
        <v>3.7456596044732538E-6</v>
      </c>
    </row>
    <row r="24" spans="1:9" ht="16" x14ac:dyDescent="0.2">
      <c r="B24" s="72"/>
      <c r="C24" s="72"/>
      <c r="D24" s="75"/>
      <c r="E24" s="77"/>
      <c r="F24" s="72"/>
      <c r="G24" s="122" t="s">
        <v>133</v>
      </c>
      <c r="H24" s="83">
        <f>RSQ(H16:H22,B16:B22)</f>
        <v>0.99046180120864535</v>
      </c>
    </row>
    <row r="25" spans="1:9" x14ac:dyDescent="0.2">
      <c r="A25" s="79"/>
      <c r="B25" s="79"/>
      <c r="C25" s="79"/>
      <c r="D25" s="79"/>
      <c r="E25" s="81"/>
      <c r="F25" s="79"/>
      <c r="G25" s="79"/>
      <c r="H25" s="79"/>
      <c r="I25" s="79"/>
    </row>
    <row r="26" spans="1:9" ht="14.5" customHeight="1" x14ac:dyDescent="0.2">
      <c r="B26" s="143" t="s">
        <v>177</v>
      </c>
      <c r="C26" s="143"/>
      <c r="D26" s="143"/>
      <c r="E26" s="143"/>
      <c r="F26" s="143"/>
      <c r="G26" s="143"/>
      <c r="H26" s="143"/>
    </row>
    <row r="27" spans="1:9" ht="16" x14ac:dyDescent="0.2">
      <c r="B27" s="122" t="s">
        <v>125</v>
      </c>
      <c r="C27" s="122" t="s">
        <v>126</v>
      </c>
      <c r="D27" s="122" t="s">
        <v>127</v>
      </c>
      <c r="E27" s="82" t="s">
        <v>128</v>
      </c>
      <c r="F27" s="122" t="s">
        <v>129</v>
      </c>
      <c r="G27" s="122" t="s">
        <v>130</v>
      </c>
      <c r="H27" s="122" t="s">
        <v>131</v>
      </c>
    </row>
    <row r="28" spans="1:9" ht="16" x14ac:dyDescent="0.2">
      <c r="B28" s="72">
        <f>C28*60</f>
        <v>180</v>
      </c>
      <c r="C28" s="72">
        <v>3</v>
      </c>
      <c r="D28" s="73">
        <v>9.5215379530681956E-3</v>
      </c>
      <c r="E28" s="77">
        <f>D28*0.0000852</f>
        <v>8.1123503360141021E-7</v>
      </c>
      <c r="F28" s="72">
        <f>2000-20</f>
        <v>1980</v>
      </c>
      <c r="G28" s="72">
        <f>F28/1000000</f>
        <v>1.98E-3</v>
      </c>
      <c r="H28" s="77">
        <f>E28/G28</f>
        <v>4.0971466343505569E-4</v>
      </c>
    </row>
    <row r="29" spans="1:9" ht="16" x14ac:dyDescent="0.2">
      <c r="B29" s="72">
        <f t="shared" ref="B29:B34" si="9">C29*60</f>
        <v>360</v>
      </c>
      <c r="C29" s="72">
        <v>6</v>
      </c>
      <c r="D29" s="73">
        <v>2.0095998745839568E-2</v>
      </c>
      <c r="E29" s="77">
        <f t="shared" ref="E29:E34" si="10">D29*0.0000852</f>
        <v>1.712179093145531E-6</v>
      </c>
      <c r="F29" s="72">
        <f>F28-20</f>
        <v>1960</v>
      </c>
      <c r="G29" s="72">
        <f t="shared" ref="G29:G34" si="11">F29/1000000</f>
        <v>1.9599999999999999E-3</v>
      </c>
      <c r="H29" s="77">
        <f t="shared" ref="H29:H34" si="12">E29/G29</f>
        <v>8.7356076180894438E-4</v>
      </c>
    </row>
    <row r="30" spans="1:9" ht="16" x14ac:dyDescent="0.2">
      <c r="B30" s="72">
        <f t="shared" si="9"/>
        <v>540</v>
      </c>
      <c r="C30" s="72">
        <v>9</v>
      </c>
      <c r="D30" s="73">
        <v>3.3873136778983438E-2</v>
      </c>
      <c r="E30" s="77">
        <f t="shared" si="10"/>
        <v>2.885991253569389E-6</v>
      </c>
      <c r="F30" s="72">
        <f t="shared" ref="F30:F34" si="13">F29-20</f>
        <v>1940</v>
      </c>
      <c r="G30" s="72">
        <f t="shared" si="11"/>
        <v>1.9400000000000001E-3</v>
      </c>
      <c r="H30" s="77">
        <f t="shared" si="12"/>
        <v>1.4876243575099942E-3</v>
      </c>
    </row>
    <row r="31" spans="1:9" ht="16" x14ac:dyDescent="0.2">
      <c r="B31" s="72">
        <f t="shared" si="9"/>
        <v>720</v>
      </c>
      <c r="C31" s="72">
        <v>12</v>
      </c>
      <c r="D31" s="73">
        <v>5.0389737315581148E-2</v>
      </c>
      <c r="E31" s="77">
        <f t="shared" si="10"/>
        <v>4.2932056192875135E-6</v>
      </c>
      <c r="F31" s="72">
        <f t="shared" si="13"/>
        <v>1920</v>
      </c>
      <c r="G31" s="72">
        <f t="shared" si="11"/>
        <v>1.92E-3</v>
      </c>
      <c r="H31" s="77">
        <f t="shared" si="12"/>
        <v>2.2360445933789132E-3</v>
      </c>
    </row>
    <row r="32" spans="1:9" ht="16" x14ac:dyDescent="0.2">
      <c r="B32" s="72">
        <f t="shared" si="9"/>
        <v>900</v>
      </c>
      <c r="C32" s="72">
        <v>15</v>
      </c>
      <c r="D32" s="73">
        <v>6.619791364339242E-2</v>
      </c>
      <c r="E32" s="77">
        <f t="shared" si="10"/>
        <v>5.6400622424170338E-6</v>
      </c>
      <c r="F32" s="72">
        <f t="shared" si="13"/>
        <v>1900</v>
      </c>
      <c r="G32" s="72">
        <f t="shared" si="11"/>
        <v>1.9E-3</v>
      </c>
      <c r="H32" s="77">
        <f t="shared" si="12"/>
        <v>2.968453811798439E-3</v>
      </c>
    </row>
    <row r="33" spans="1:9" ht="16" x14ac:dyDescent="0.2">
      <c r="B33" s="72">
        <f t="shared" si="9"/>
        <v>1080</v>
      </c>
      <c r="C33" s="72">
        <v>18</v>
      </c>
      <c r="D33" s="73">
        <v>8.2915012037954983E-2</v>
      </c>
      <c r="E33" s="77">
        <f t="shared" si="10"/>
        <v>7.064359025633764E-6</v>
      </c>
      <c r="F33" s="72">
        <f t="shared" si="13"/>
        <v>1880</v>
      </c>
      <c r="G33" s="72">
        <f t="shared" si="11"/>
        <v>1.8799999999999999E-3</v>
      </c>
      <c r="H33" s="77">
        <f t="shared" si="12"/>
        <v>3.7576377795924278E-3</v>
      </c>
    </row>
    <row r="34" spans="1:9" ht="16" x14ac:dyDescent="0.2">
      <c r="B34" s="72">
        <f t="shared" si="9"/>
        <v>1260</v>
      </c>
      <c r="C34" s="72">
        <v>21</v>
      </c>
      <c r="D34" s="73">
        <v>0.10275029802734281</v>
      </c>
      <c r="E34" s="77">
        <f t="shared" si="10"/>
        <v>8.7543253919296073E-6</v>
      </c>
      <c r="F34" s="72">
        <f t="shared" si="13"/>
        <v>1860</v>
      </c>
      <c r="G34" s="72">
        <f t="shared" si="11"/>
        <v>1.8600000000000001E-3</v>
      </c>
      <c r="H34" s="77">
        <f t="shared" si="12"/>
        <v>4.7066265548008634E-3</v>
      </c>
    </row>
    <row r="35" spans="1:9" ht="16" x14ac:dyDescent="0.2">
      <c r="B35" s="72"/>
      <c r="C35" s="72"/>
      <c r="D35" s="75"/>
      <c r="E35" s="77"/>
      <c r="F35" s="72"/>
      <c r="G35" s="122" t="s">
        <v>132</v>
      </c>
      <c r="H35" s="80">
        <f>SLOPE(H28:H34,B28:B34)</f>
        <v>3.9959760245938165E-6</v>
      </c>
    </row>
    <row r="36" spans="1:9" ht="16" x14ac:dyDescent="0.2">
      <c r="B36" s="72"/>
      <c r="C36" s="72"/>
      <c r="D36" s="75"/>
      <c r="E36" s="77"/>
      <c r="F36" s="72"/>
      <c r="G36" s="122" t="s">
        <v>133</v>
      </c>
      <c r="H36" s="83">
        <f>RSQ(H28:H34,B28:B34)</f>
        <v>0.99091242443830774</v>
      </c>
    </row>
    <row r="37" spans="1:9" x14ac:dyDescent="0.2">
      <c r="A37" s="79"/>
      <c r="B37" s="79"/>
      <c r="C37" s="79"/>
      <c r="D37" s="79"/>
      <c r="E37" s="81"/>
      <c r="F37" s="79"/>
      <c r="G37" s="79"/>
      <c r="H37" s="79"/>
      <c r="I37" s="79"/>
    </row>
  </sheetData>
  <mergeCells count="3">
    <mergeCell ref="B2:H2"/>
    <mergeCell ref="B14:H14"/>
    <mergeCell ref="B26:H2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8591-A060-4948-9150-A12E690925C6}">
  <dimension ref="A1:R71"/>
  <sheetViews>
    <sheetView topLeftCell="A20" zoomScale="60" zoomScaleNormal="60" workbookViewId="0">
      <selection activeCell="A45" sqref="A45"/>
    </sheetView>
  </sheetViews>
  <sheetFormatPr baseColWidth="10" defaultColWidth="11.5" defaultRowHeight="16" x14ac:dyDescent="0.2"/>
  <cols>
    <col min="1" max="1" width="25.6640625" style="1" bestFit="1" customWidth="1"/>
    <col min="2" max="2" width="19" style="1" bestFit="1" customWidth="1"/>
    <col min="3" max="3" width="31.1640625" style="1" customWidth="1"/>
    <col min="4" max="4" width="31.83203125" style="1" customWidth="1"/>
    <col min="5" max="5" width="24.33203125" style="1" bestFit="1" customWidth="1"/>
    <col min="6" max="6" width="19.83203125" style="1" bestFit="1" customWidth="1"/>
    <col min="7" max="7" width="19.83203125" style="1" customWidth="1"/>
    <col min="8" max="8" width="21.1640625" style="1" bestFit="1" customWidth="1"/>
    <col min="9" max="9" width="23" style="1" bestFit="1" customWidth="1"/>
    <col min="10" max="10" width="27.83203125" style="1" customWidth="1"/>
    <col min="11" max="11" width="12.83203125" style="53" bestFit="1" customWidth="1"/>
    <col min="12" max="12" width="11.5" style="1"/>
    <col min="13" max="13" width="12" style="1" bestFit="1" customWidth="1"/>
    <col min="14" max="14" width="11.5" style="1"/>
    <col min="15" max="15" width="21" style="1" customWidth="1"/>
    <col min="16" max="16" width="21.6640625" style="1" customWidth="1"/>
    <col min="17" max="17" width="23" style="1" customWidth="1"/>
    <col min="18" max="18" width="18.1640625" style="16" customWidth="1"/>
    <col min="19" max="16384" width="11.5" style="1"/>
  </cols>
  <sheetData>
    <row r="1" spans="1:18" x14ac:dyDescent="0.2">
      <c r="C1" s="16" t="s">
        <v>80</v>
      </c>
      <c r="D1" s="16" t="s">
        <v>81</v>
      </c>
      <c r="E1" s="16" t="s">
        <v>82</v>
      </c>
      <c r="F1" s="16" t="s">
        <v>83</v>
      </c>
      <c r="G1" s="16" t="s">
        <v>84</v>
      </c>
      <c r="H1" s="16" t="s">
        <v>85</v>
      </c>
      <c r="I1" s="16" t="s">
        <v>86</v>
      </c>
      <c r="J1" s="16" t="s">
        <v>87</v>
      </c>
    </row>
    <row r="2" spans="1:18" x14ac:dyDescent="0.2">
      <c r="C2" s="18">
        <v>401.3</v>
      </c>
      <c r="D2" s="10">
        <v>4.01</v>
      </c>
      <c r="E2" s="54">
        <f>(D2)/(1000*C2)</f>
        <v>9.9925242960378764E-6</v>
      </c>
      <c r="F2" s="16">
        <v>0.05</v>
      </c>
      <c r="G2" s="16">
        <v>5.0000000000000001E-4</v>
      </c>
      <c r="H2" s="4">
        <f>C5/G2</f>
        <v>1.9985048592075752E-3</v>
      </c>
      <c r="I2" s="4">
        <f>(J7/(1000*J6))/0.001</f>
        <v>0.10566970492816313</v>
      </c>
      <c r="J2" s="16">
        <v>1000000</v>
      </c>
    </row>
    <row r="3" spans="1:18" ht="20" x14ac:dyDescent="0.2">
      <c r="B3" s="55"/>
      <c r="C3" s="16"/>
      <c r="D3" s="16"/>
      <c r="J3" s="56"/>
    </row>
    <row r="4" spans="1:18" x14ac:dyDescent="0.2">
      <c r="C4" s="89" t="s">
        <v>88</v>
      </c>
      <c r="D4" s="89" t="s">
        <v>137</v>
      </c>
      <c r="F4" s="85"/>
    </row>
    <row r="5" spans="1:18" x14ac:dyDescent="0.2">
      <c r="C5" s="87">
        <f>E2/10</f>
        <v>9.9925242960378756E-7</v>
      </c>
      <c r="D5" s="87">
        <f>C5</f>
        <v>9.9925242960378756E-7</v>
      </c>
      <c r="E5" s="87"/>
    </row>
    <row r="6" spans="1:18" x14ac:dyDescent="0.2">
      <c r="C6" s="16" t="s">
        <v>89</v>
      </c>
      <c r="D6" s="16" t="s">
        <v>89</v>
      </c>
      <c r="F6" s="57"/>
      <c r="I6" s="58" t="s">
        <v>90</v>
      </c>
      <c r="J6" s="56">
        <v>194.19</v>
      </c>
    </row>
    <row r="7" spans="1:18" x14ac:dyDescent="0.2">
      <c r="A7" s="8"/>
      <c r="B7" s="8"/>
      <c r="C7" s="5" t="s">
        <v>91</v>
      </c>
      <c r="D7" s="5" t="s">
        <v>92</v>
      </c>
      <c r="E7" s="5" t="s">
        <v>93</v>
      </c>
      <c r="G7" s="16"/>
      <c r="I7" s="58" t="s">
        <v>26</v>
      </c>
      <c r="J7" s="56">
        <v>20.52</v>
      </c>
    </row>
    <row r="8" spans="1:18" x14ac:dyDescent="0.2">
      <c r="C8" s="93">
        <f>((H2*G2)/F2)*J2</f>
        <v>19.985048592075749</v>
      </c>
      <c r="D8" s="94">
        <f>((H2*G2)/I2)*J2</f>
        <v>9.456375697113037</v>
      </c>
      <c r="E8" s="93">
        <f>500-C8-D8</f>
        <v>470.55857571081117</v>
      </c>
      <c r="G8" s="54"/>
      <c r="I8" s="58"/>
      <c r="J8" s="59"/>
    </row>
    <row r="9" spans="1:18" ht="15.25" customHeight="1" x14ac:dyDescent="0.2">
      <c r="A9" s="66"/>
      <c r="B9" s="66"/>
      <c r="C9" s="66"/>
      <c r="D9" s="66"/>
      <c r="E9" s="66"/>
      <c r="F9" s="66"/>
      <c r="G9" s="66"/>
      <c r="H9" s="66"/>
      <c r="I9" s="66"/>
      <c r="J9" s="66"/>
      <c r="K9" s="67"/>
      <c r="L9" s="66"/>
      <c r="M9" s="66"/>
      <c r="O9" s="17"/>
      <c r="P9" s="5"/>
    </row>
    <row r="10" spans="1:18" ht="20" x14ac:dyDescent="0.2">
      <c r="A10" s="55" t="s">
        <v>94</v>
      </c>
      <c r="P10" s="16"/>
    </row>
    <row r="11" spans="1:18" ht="17" thickBot="1" x14ac:dyDescent="0.25">
      <c r="A11" s="16" t="s">
        <v>122</v>
      </c>
      <c r="B11" s="8"/>
      <c r="C11" s="9"/>
      <c r="D11" s="26"/>
      <c r="E11" s="8"/>
      <c r="F11" s="8"/>
      <c r="G11" s="9"/>
      <c r="H11" s="8"/>
      <c r="I11" s="8"/>
      <c r="J11" s="8"/>
      <c r="K11" s="62"/>
      <c r="M11" s="8"/>
      <c r="O11" s="8"/>
      <c r="P11" s="16"/>
      <c r="Q11" s="16"/>
      <c r="R11" s="61"/>
    </row>
    <row r="12" spans="1:18" x14ac:dyDescent="0.2">
      <c r="A12" s="136" t="s">
        <v>65</v>
      </c>
      <c r="B12" s="137"/>
      <c r="C12" s="9"/>
      <c r="D12" s="8"/>
      <c r="E12" s="8"/>
      <c r="F12" s="8"/>
      <c r="G12" s="8"/>
      <c r="H12" s="8"/>
      <c r="I12" s="8"/>
      <c r="J12" s="8"/>
      <c r="K12" s="60"/>
    </row>
    <row r="13" spans="1:18" ht="17" thickBot="1" x14ac:dyDescent="0.25">
      <c r="A13" s="138"/>
      <c r="B13" s="139"/>
      <c r="D13" s="17"/>
      <c r="G13" s="16"/>
      <c r="K13" s="63"/>
      <c r="O13" s="17"/>
      <c r="P13" s="5"/>
    </row>
    <row r="14" spans="1:18" x14ac:dyDescent="0.2">
      <c r="A14" s="8"/>
      <c r="E14" s="5" t="s">
        <v>101</v>
      </c>
      <c r="F14" s="64">
        <v>0.3201</v>
      </c>
      <c r="K14" s="63"/>
      <c r="P14" s="16"/>
    </row>
    <row r="15" spans="1:18" x14ac:dyDescent="0.2">
      <c r="A15" s="3" t="s">
        <v>96</v>
      </c>
      <c r="B15" s="3" t="s">
        <v>97</v>
      </c>
      <c r="C15" s="3" t="s">
        <v>109</v>
      </c>
      <c r="D15" s="3" t="s">
        <v>110</v>
      </c>
      <c r="E15" s="3" t="s">
        <v>111</v>
      </c>
      <c r="F15" s="3" t="s">
        <v>63</v>
      </c>
      <c r="G15" s="3" t="s">
        <v>98</v>
      </c>
      <c r="H15" s="3" t="s">
        <v>99</v>
      </c>
      <c r="I15" s="3" t="s">
        <v>100</v>
      </c>
      <c r="J15" s="3" t="s">
        <v>7</v>
      </c>
      <c r="K15" s="60" t="s">
        <v>112</v>
      </c>
      <c r="O15" s="3"/>
      <c r="P15" s="5"/>
      <c r="Q15" s="5"/>
      <c r="R15" s="5"/>
    </row>
    <row r="16" spans="1:18" x14ac:dyDescent="0.2">
      <c r="A16" s="8" t="s">
        <v>102</v>
      </c>
      <c r="B16" s="8">
        <v>3</v>
      </c>
      <c r="C16" s="9">
        <v>1.3</v>
      </c>
      <c r="D16" s="26">
        <v>9.35</v>
      </c>
      <c r="E16" s="26">
        <v>8.81</v>
      </c>
      <c r="F16" s="8">
        <f t="shared" ref="F16:F22" si="0">AVERAGE(D16:E16)</f>
        <v>9.08</v>
      </c>
      <c r="G16" s="9">
        <v>0.32</v>
      </c>
      <c r="H16" s="8">
        <v>189.74</v>
      </c>
      <c r="I16" s="8">
        <v>186.7</v>
      </c>
      <c r="J16" s="8">
        <f>AVERAGE(H16:I16)</f>
        <v>188.22</v>
      </c>
      <c r="K16" s="60">
        <f>(F16/J16)*$F$14*($D$5/$C$5)</f>
        <v>1.5442078418871534E-2</v>
      </c>
      <c r="O16" s="8"/>
      <c r="P16" s="16"/>
      <c r="Q16" s="16"/>
      <c r="R16" s="61"/>
    </row>
    <row r="17" spans="1:18" x14ac:dyDescent="0.2">
      <c r="A17" s="8" t="s">
        <v>103</v>
      </c>
      <c r="B17" s="8">
        <v>6</v>
      </c>
      <c r="C17" s="9">
        <v>1.3</v>
      </c>
      <c r="D17" s="26">
        <v>17.54</v>
      </c>
      <c r="E17" s="65">
        <v>17.46</v>
      </c>
      <c r="F17" s="8">
        <f t="shared" si="0"/>
        <v>17.5</v>
      </c>
      <c r="G17" s="9">
        <v>0.32</v>
      </c>
      <c r="H17" s="8">
        <v>193.83</v>
      </c>
      <c r="I17" s="8">
        <v>194.35</v>
      </c>
      <c r="J17" s="8">
        <f t="shared" ref="J17:J20" si="1">AVERAGE(H17:I17)</f>
        <v>194.09</v>
      </c>
      <c r="K17" s="60">
        <f t="shared" ref="K17:K22" si="2">(F17/J17)*$F$14*($D$5/$C$5)</f>
        <v>2.8861610593023855E-2</v>
      </c>
      <c r="O17" s="8"/>
      <c r="P17" s="16"/>
      <c r="Q17" s="16"/>
      <c r="R17" s="61"/>
    </row>
    <row r="18" spans="1:18" ht="14.5" customHeight="1" x14ac:dyDescent="0.2">
      <c r="A18" s="8" t="s">
        <v>104</v>
      </c>
      <c r="B18" s="8">
        <v>9</v>
      </c>
      <c r="C18" s="9">
        <v>1.3</v>
      </c>
      <c r="D18" s="26">
        <v>24.63</v>
      </c>
      <c r="E18" s="8">
        <v>26.47</v>
      </c>
      <c r="F18" s="8">
        <f t="shared" si="0"/>
        <v>25.549999999999997</v>
      </c>
      <c r="G18" s="9">
        <v>0.32</v>
      </c>
      <c r="H18" s="26">
        <v>199.54</v>
      </c>
      <c r="I18" s="8">
        <v>215.17</v>
      </c>
      <c r="J18" s="8">
        <f t="shared" si="1"/>
        <v>207.35499999999999</v>
      </c>
      <c r="K18" s="60">
        <f t="shared" si="2"/>
        <v>3.9442284970220148E-2</v>
      </c>
      <c r="O18" s="8"/>
      <c r="P18" s="16"/>
      <c r="Q18" s="16"/>
      <c r="R18" s="61"/>
    </row>
    <row r="19" spans="1:18" x14ac:dyDescent="0.2">
      <c r="A19" s="8" t="s">
        <v>105</v>
      </c>
      <c r="B19" s="8">
        <v>12</v>
      </c>
      <c r="C19" s="9">
        <v>1.3</v>
      </c>
      <c r="D19" s="26">
        <v>33.520000000000003</v>
      </c>
      <c r="E19" s="26">
        <v>33.340000000000003</v>
      </c>
      <c r="F19" s="8">
        <f t="shared" si="0"/>
        <v>33.430000000000007</v>
      </c>
      <c r="G19" s="9">
        <v>0.32</v>
      </c>
      <c r="H19" s="26">
        <v>194.32</v>
      </c>
      <c r="I19" s="26">
        <v>193.8</v>
      </c>
      <c r="J19" s="8">
        <f t="shared" si="1"/>
        <v>194.06</v>
      </c>
      <c r="K19" s="60">
        <f t="shared" si="2"/>
        <v>5.5142445635370518E-2</v>
      </c>
      <c r="O19" s="8"/>
      <c r="P19" s="16"/>
      <c r="Q19" s="16"/>
      <c r="R19" s="61"/>
    </row>
    <row r="20" spans="1:18" x14ac:dyDescent="0.2">
      <c r="A20" s="8" t="s">
        <v>106</v>
      </c>
      <c r="B20" s="8">
        <v>15</v>
      </c>
      <c r="C20" s="9">
        <v>1.3</v>
      </c>
      <c r="D20" s="26">
        <v>40.94</v>
      </c>
      <c r="E20" s="26">
        <v>40.56</v>
      </c>
      <c r="F20" s="8">
        <f t="shared" si="0"/>
        <v>40.75</v>
      </c>
      <c r="G20" s="9">
        <v>0.32</v>
      </c>
      <c r="H20" s="26">
        <v>188.31</v>
      </c>
      <c r="I20" s="26">
        <v>188.43</v>
      </c>
      <c r="J20" s="8">
        <f t="shared" si="1"/>
        <v>188.37</v>
      </c>
      <c r="K20" s="60">
        <f t="shared" si="2"/>
        <v>6.9247093486223918E-2</v>
      </c>
      <c r="O20" s="8"/>
      <c r="P20" s="16"/>
      <c r="Q20" s="16"/>
      <c r="R20" s="61"/>
    </row>
    <row r="21" spans="1:18" x14ac:dyDescent="0.2">
      <c r="A21" s="8" t="s">
        <v>107</v>
      </c>
      <c r="B21" s="8">
        <v>18</v>
      </c>
      <c r="C21" s="9">
        <v>1.3</v>
      </c>
      <c r="D21" s="26">
        <v>49.94</v>
      </c>
      <c r="E21" s="26">
        <v>49.21</v>
      </c>
      <c r="F21" s="8">
        <f t="shared" si="0"/>
        <v>49.575000000000003</v>
      </c>
      <c r="G21" s="9">
        <v>0.32</v>
      </c>
      <c r="H21" s="8">
        <v>190.33</v>
      </c>
      <c r="I21" s="8">
        <v>189.47</v>
      </c>
      <c r="J21" s="8">
        <f>AVERAGE(H21:I21)</f>
        <v>189.9</v>
      </c>
      <c r="K21" s="60">
        <f t="shared" si="2"/>
        <v>8.3564810426540279E-2</v>
      </c>
      <c r="O21" s="8"/>
      <c r="P21" s="16"/>
      <c r="Q21" s="16"/>
      <c r="R21" s="61"/>
    </row>
    <row r="22" spans="1:18" x14ac:dyDescent="0.2">
      <c r="A22" s="8" t="s">
        <v>108</v>
      </c>
      <c r="B22" s="8">
        <v>21</v>
      </c>
      <c r="C22" s="9">
        <v>1.3</v>
      </c>
      <c r="D22" s="26">
        <v>61.21</v>
      </c>
      <c r="E22" s="26">
        <v>61.94</v>
      </c>
      <c r="F22" s="8">
        <f t="shared" si="0"/>
        <v>61.575000000000003</v>
      </c>
      <c r="G22" s="9">
        <v>0.32</v>
      </c>
      <c r="H22" s="8">
        <v>201.58</v>
      </c>
      <c r="I22" s="8">
        <v>205.15</v>
      </c>
      <c r="J22" s="8">
        <f t="shared" ref="J22" si="3">AVERAGE(H22:I22)</f>
        <v>203.36500000000001</v>
      </c>
      <c r="K22" s="60">
        <f t="shared" si="2"/>
        <v>9.6920106704693532E-2</v>
      </c>
      <c r="O22" s="8"/>
      <c r="P22" s="16"/>
      <c r="Q22" s="16"/>
      <c r="R22" s="61"/>
    </row>
    <row r="23" spans="1:18" x14ac:dyDescent="0.2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7"/>
      <c r="L23" s="66"/>
      <c r="M23" s="66"/>
    </row>
    <row r="24" spans="1:18" ht="20" x14ac:dyDescent="0.2">
      <c r="A24" s="55" t="s">
        <v>94</v>
      </c>
      <c r="B24" s="8"/>
      <c r="C24" s="9"/>
      <c r="D24" s="8"/>
      <c r="E24" s="8"/>
      <c r="F24" s="8"/>
      <c r="G24" s="9"/>
      <c r="H24" s="8"/>
      <c r="I24" s="8"/>
      <c r="J24" s="8"/>
      <c r="K24" s="68"/>
    </row>
    <row r="25" spans="1:18" ht="17" thickBot="1" x14ac:dyDescent="0.25">
      <c r="A25" s="16" t="s">
        <v>123</v>
      </c>
      <c r="B25" s="8"/>
      <c r="C25" s="9"/>
      <c r="D25" s="8"/>
      <c r="E25" s="8"/>
      <c r="F25" s="8"/>
      <c r="G25" s="9"/>
      <c r="H25" s="8"/>
      <c r="I25" s="8"/>
      <c r="J25" s="8"/>
      <c r="K25" s="68"/>
    </row>
    <row r="26" spans="1:18" x14ac:dyDescent="0.2">
      <c r="A26" s="136" t="s">
        <v>65</v>
      </c>
      <c r="B26" s="137"/>
      <c r="C26" s="9"/>
      <c r="D26" s="8"/>
      <c r="E26" s="8"/>
      <c r="F26" s="8"/>
      <c r="G26" s="8"/>
      <c r="H26" s="8"/>
      <c r="I26" s="8"/>
      <c r="J26" s="8"/>
      <c r="K26" s="60"/>
    </row>
    <row r="27" spans="1:18" ht="17" thickBot="1" x14ac:dyDescent="0.25">
      <c r="A27" s="138"/>
      <c r="B27" s="139"/>
      <c r="D27" s="17"/>
      <c r="G27" s="16"/>
      <c r="K27" s="63"/>
    </row>
    <row r="28" spans="1:18" x14ac:dyDescent="0.2">
      <c r="A28" s="8"/>
      <c r="E28" s="5" t="s">
        <v>101</v>
      </c>
      <c r="F28" s="64">
        <v>0.3201</v>
      </c>
      <c r="K28" s="63"/>
    </row>
    <row r="29" spans="1:18" x14ac:dyDescent="0.2">
      <c r="A29" s="3" t="s">
        <v>96</v>
      </c>
      <c r="B29" s="3" t="s">
        <v>97</v>
      </c>
      <c r="C29" s="3" t="s">
        <v>109</v>
      </c>
      <c r="D29" s="3" t="s">
        <v>110</v>
      </c>
      <c r="E29" s="3" t="s">
        <v>111</v>
      </c>
      <c r="F29" s="3" t="s">
        <v>63</v>
      </c>
      <c r="G29" s="3" t="s">
        <v>98</v>
      </c>
      <c r="H29" s="3" t="s">
        <v>99</v>
      </c>
      <c r="I29" s="3" t="s">
        <v>100</v>
      </c>
      <c r="J29" s="3" t="s">
        <v>7</v>
      </c>
      <c r="K29" s="60" t="s">
        <v>112</v>
      </c>
    </row>
    <row r="30" spans="1:18" x14ac:dyDescent="0.2">
      <c r="A30" s="8" t="s">
        <v>102</v>
      </c>
      <c r="B30" s="8">
        <v>3</v>
      </c>
      <c r="C30" s="9">
        <v>1.3</v>
      </c>
      <c r="D30" s="26">
        <v>7.23</v>
      </c>
      <c r="E30" s="26">
        <v>7.39</v>
      </c>
      <c r="F30" s="8">
        <f t="shared" ref="F30:F33" si="4">AVERAGE(D30:E30)</f>
        <v>7.3100000000000005</v>
      </c>
      <c r="G30" s="9">
        <v>0.32</v>
      </c>
      <c r="H30" s="8">
        <v>193.04</v>
      </c>
      <c r="I30" s="26">
        <v>195.3</v>
      </c>
      <c r="J30" s="8">
        <f>AVERAGE(H30:I30)</f>
        <v>194.17000000000002</v>
      </c>
      <c r="K30" s="60">
        <f>(F30/J30)*$F$14*($D$5/$C$5)</f>
        <v>1.2050939898027501E-2</v>
      </c>
    </row>
    <row r="31" spans="1:18" x14ac:dyDescent="0.2">
      <c r="A31" s="8" t="s">
        <v>103</v>
      </c>
      <c r="B31" s="8">
        <v>6</v>
      </c>
      <c r="C31" s="9">
        <v>1.3</v>
      </c>
      <c r="D31" s="26">
        <v>14.32</v>
      </c>
      <c r="E31" s="65">
        <v>14.78</v>
      </c>
      <c r="F31" s="8">
        <f t="shared" si="4"/>
        <v>14.55</v>
      </c>
      <c r="G31" s="9">
        <v>0.32</v>
      </c>
      <c r="H31" s="8">
        <v>193.7</v>
      </c>
      <c r="I31" s="8">
        <v>200.92</v>
      </c>
      <c r="J31" s="8">
        <f t="shared" ref="J31:J33" si="5">AVERAGE(H31:I31)</f>
        <v>197.31</v>
      </c>
      <c r="K31" s="60">
        <f t="shared" ref="K31:K33" si="6">(F31/J31)*$F$14*($D$5/$C$5)</f>
        <v>2.3604759008666567E-2</v>
      </c>
    </row>
    <row r="32" spans="1:18" x14ac:dyDescent="0.2">
      <c r="A32" s="8" t="s">
        <v>104</v>
      </c>
      <c r="B32" s="8">
        <v>9</v>
      </c>
      <c r="C32" s="9">
        <v>1.3</v>
      </c>
      <c r="D32" s="26">
        <v>21.24</v>
      </c>
      <c r="E32" s="8">
        <v>21.02</v>
      </c>
      <c r="F32" s="8">
        <f t="shared" si="4"/>
        <v>21.13</v>
      </c>
      <c r="G32" s="9">
        <v>0.32</v>
      </c>
      <c r="H32" s="26">
        <v>191.83</v>
      </c>
      <c r="I32" s="8">
        <v>190.38</v>
      </c>
      <c r="J32" s="8">
        <f t="shared" si="5"/>
        <v>191.10500000000002</v>
      </c>
      <c r="K32" s="60">
        <f t="shared" si="6"/>
        <v>3.5392653253447051E-2</v>
      </c>
    </row>
    <row r="33" spans="1:13" x14ac:dyDescent="0.2">
      <c r="A33" s="8" t="s">
        <v>105</v>
      </c>
      <c r="B33" s="8">
        <v>12</v>
      </c>
      <c r="C33" s="9">
        <v>1.3</v>
      </c>
      <c r="D33" s="26">
        <v>31.43</v>
      </c>
      <c r="E33" s="26">
        <v>31.73</v>
      </c>
      <c r="F33" s="8">
        <f t="shared" si="4"/>
        <v>31.58</v>
      </c>
      <c r="G33" s="9">
        <v>0.32</v>
      </c>
      <c r="H33" s="26">
        <v>203.36</v>
      </c>
      <c r="I33" s="26">
        <v>205.14</v>
      </c>
      <c r="J33" s="8">
        <f t="shared" si="5"/>
        <v>204.25</v>
      </c>
      <c r="K33" s="60">
        <f t="shared" si="6"/>
        <v>4.9492083231334145E-2</v>
      </c>
    </row>
    <row r="34" spans="1:13" x14ac:dyDescent="0.2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7"/>
      <c r="L34" s="66"/>
      <c r="M34" s="66"/>
    </row>
    <row r="35" spans="1:13" x14ac:dyDescent="0.2">
      <c r="A35" s="8"/>
      <c r="B35" s="8"/>
      <c r="C35" s="16" t="s">
        <v>80</v>
      </c>
      <c r="D35" s="16" t="s">
        <v>81</v>
      </c>
      <c r="E35" s="16" t="s">
        <v>82</v>
      </c>
      <c r="F35" s="16" t="s">
        <v>83</v>
      </c>
      <c r="G35" s="16" t="s">
        <v>84</v>
      </c>
      <c r="H35" s="16" t="s">
        <v>85</v>
      </c>
      <c r="I35" s="16" t="s">
        <v>86</v>
      </c>
      <c r="J35" s="16" t="s">
        <v>87</v>
      </c>
      <c r="K35" s="62"/>
    </row>
    <row r="36" spans="1:13" x14ac:dyDescent="0.2">
      <c r="A36" s="8"/>
      <c r="B36" s="8"/>
      <c r="C36" s="18">
        <v>401.3</v>
      </c>
      <c r="D36" s="10">
        <v>3.8</v>
      </c>
      <c r="E36" s="54">
        <f>(D36)/(1000*C36)</f>
        <v>9.4692250186892593E-6</v>
      </c>
      <c r="F36" s="16">
        <v>0.05</v>
      </c>
      <c r="G36" s="16">
        <v>5.0000000000000001E-4</v>
      </c>
      <c r="H36" s="120">
        <f>C39/G36</f>
        <v>1.8938450037378519E-3</v>
      </c>
      <c r="I36" s="4">
        <f>(J41/(1000*J40))/0.001</f>
        <v>0.10566970492816313</v>
      </c>
      <c r="J36" s="16">
        <v>1000000</v>
      </c>
      <c r="K36" s="62"/>
    </row>
    <row r="37" spans="1:13" x14ac:dyDescent="0.2">
      <c r="A37" s="8"/>
      <c r="B37" s="8"/>
      <c r="C37" s="16"/>
      <c r="D37" s="16"/>
      <c r="E37" s="86"/>
      <c r="J37" s="56"/>
      <c r="K37" s="62"/>
    </row>
    <row r="38" spans="1:13" x14ac:dyDescent="0.2">
      <c r="A38" s="8"/>
      <c r="B38" s="8"/>
      <c r="C38" s="54" t="s">
        <v>136</v>
      </c>
      <c r="D38" s="54" t="s">
        <v>137</v>
      </c>
      <c r="E38" s="87"/>
      <c r="F38" s="85"/>
      <c r="K38" s="62"/>
    </row>
    <row r="39" spans="1:13" x14ac:dyDescent="0.2">
      <c r="A39" s="8"/>
      <c r="B39" s="8"/>
      <c r="C39" s="88">
        <f>E36/10</f>
        <v>9.4692250186892597E-7</v>
      </c>
      <c r="D39" s="54">
        <v>9.9925242960378756E-7</v>
      </c>
      <c r="E39" s="54"/>
      <c r="K39" s="62"/>
    </row>
    <row r="40" spans="1:13" x14ac:dyDescent="0.2">
      <c r="A40" s="8"/>
      <c r="B40" s="8"/>
      <c r="C40" s="16" t="s">
        <v>89</v>
      </c>
      <c r="D40" s="16"/>
      <c r="F40" s="57"/>
      <c r="I40" s="58" t="s">
        <v>90</v>
      </c>
      <c r="J40" s="56">
        <v>194.19</v>
      </c>
      <c r="K40" s="62"/>
    </row>
    <row r="41" spans="1:13" x14ac:dyDescent="0.2">
      <c r="A41" s="8"/>
      <c r="B41" s="8"/>
      <c r="C41" s="5" t="s">
        <v>91</v>
      </c>
      <c r="D41" s="5" t="s">
        <v>92</v>
      </c>
      <c r="E41" s="5" t="s">
        <v>93</v>
      </c>
      <c r="G41" s="16"/>
      <c r="I41" s="58" t="s">
        <v>26</v>
      </c>
      <c r="J41" s="56">
        <v>20.52</v>
      </c>
      <c r="K41" s="62"/>
    </row>
    <row r="42" spans="1:13" x14ac:dyDescent="0.2">
      <c r="A42" s="8"/>
      <c r="B42" s="8"/>
      <c r="C42" s="93">
        <f>((H36*G36)/F36)*J36</f>
        <v>18.938450037378519</v>
      </c>
      <c r="D42" s="94">
        <f>D8</f>
        <v>9.456375697113037</v>
      </c>
      <c r="E42" s="93">
        <f>500-C42-D42</f>
        <v>471.60517426550842</v>
      </c>
      <c r="G42" s="54"/>
      <c r="I42" s="58"/>
      <c r="J42" s="59"/>
      <c r="K42" s="62"/>
    </row>
    <row r="43" spans="1:13" x14ac:dyDescent="0.2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2"/>
      <c r="L43" s="91"/>
      <c r="M43" s="91"/>
    </row>
    <row r="44" spans="1:13" ht="20" x14ac:dyDescent="0.2">
      <c r="A44" s="55" t="s">
        <v>94</v>
      </c>
      <c r="B44" s="8"/>
      <c r="C44" s="9"/>
      <c r="D44" s="8"/>
      <c r="E44" s="8"/>
      <c r="F44" s="8"/>
      <c r="G44" s="9"/>
      <c r="H44" s="8"/>
      <c r="I44" s="8"/>
      <c r="J44" s="8"/>
      <c r="K44" s="68"/>
    </row>
    <row r="45" spans="1:13" ht="17" thickBot="1" x14ac:dyDescent="0.25">
      <c r="A45" s="16" t="s">
        <v>175</v>
      </c>
      <c r="B45" s="8"/>
      <c r="C45" s="9"/>
      <c r="D45" s="8"/>
      <c r="E45" s="8"/>
      <c r="F45" s="8"/>
      <c r="G45" s="9"/>
      <c r="H45" s="8"/>
      <c r="I45" s="8"/>
      <c r="J45" s="8"/>
      <c r="K45" s="68"/>
    </row>
    <row r="46" spans="1:13" x14ac:dyDescent="0.2">
      <c r="A46" s="136" t="s">
        <v>65</v>
      </c>
      <c r="B46" s="137"/>
      <c r="C46" s="9"/>
      <c r="D46" s="8"/>
      <c r="E46" s="8"/>
      <c r="F46" s="8"/>
      <c r="G46" s="8"/>
      <c r="H46" s="8"/>
      <c r="I46" s="8"/>
      <c r="J46" s="8"/>
      <c r="K46" s="60"/>
    </row>
    <row r="47" spans="1:13" ht="17" thickBot="1" x14ac:dyDescent="0.25">
      <c r="A47" s="138"/>
      <c r="B47" s="139"/>
      <c r="D47" s="5"/>
      <c r="E47" s="16"/>
      <c r="G47" s="16"/>
      <c r="K47" s="63"/>
    </row>
    <row r="48" spans="1:13" x14ac:dyDescent="0.2">
      <c r="A48" s="8"/>
      <c r="D48" s="16"/>
      <c r="E48" s="5" t="s">
        <v>101</v>
      </c>
      <c r="F48" s="64">
        <v>0.3201</v>
      </c>
      <c r="K48" s="63"/>
    </row>
    <row r="49" spans="1:13" x14ac:dyDescent="0.2">
      <c r="A49" s="3" t="s">
        <v>96</v>
      </c>
      <c r="B49" s="3" t="s">
        <v>97</v>
      </c>
      <c r="C49" s="3" t="s">
        <v>109</v>
      </c>
      <c r="D49" s="3" t="s">
        <v>110</v>
      </c>
      <c r="E49" s="3" t="s">
        <v>111</v>
      </c>
      <c r="F49" s="3" t="s">
        <v>63</v>
      </c>
      <c r="G49" s="3" t="s">
        <v>98</v>
      </c>
      <c r="H49" s="3" t="s">
        <v>99</v>
      </c>
      <c r="I49" s="3" t="s">
        <v>100</v>
      </c>
      <c r="J49" s="3" t="s">
        <v>7</v>
      </c>
      <c r="K49" s="60" t="s">
        <v>112</v>
      </c>
    </row>
    <row r="50" spans="1:13" x14ac:dyDescent="0.2">
      <c r="A50" s="8" t="s">
        <v>102</v>
      </c>
      <c r="B50" s="8">
        <v>3</v>
      </c>
      <c r="C50" s="9">
        <v>1.3</v>
      </c>
      <c r="D50" s="26">
        <v>4.6399999999999997</v>
      </c>
      <c r="E50" s="26">
        <v>4.8600000000000003</v>
      </c>
      <c r="F50" s="8">
        <f t="shared" ref="F50:F56" si="7">AVERAGE(D50:E50)</f>
        <v>4.75</v>
      </c>
      <c r="G50" s="9">
        <v>0.32</v>
      </c>
      <c r="H50" s="8">
        <v>205.88</v>
      </c>
      <c r="I50" s="26">
        <v>204.24</v>
      </c>
      <c r="J50" s="8">
        <f>AVERAGE(H50:I50)</f>
        <v>205.06</v>
      </c>
      <c r="K50" s="90">
        <f>(F50/J50)*$F$14*($D$39/$C$39)</f>
        <v>7.8245452550473014E-3</v>
      </c>
    </row>
    <row r="51" spans="1:13" x14ac:dyDescent="0.2">
      <c r="A51" s="8" t="s">
        <v>103</v>
      </c>
      <c r="B51" s="8">
        <v>6</v>
      </c>
      <c r="C51" s="9">
        <v>1.3</v>
      </c>
      <c r="D51" s="26">
        <v>9.89</v>
      </c>
      <c r="E51" s="65">
        <v>10.199999999999999</v>
      </c>
      <c r="F51" s="8">
        <f t="shared" si="7"/>
        <v>10.045</v>
      </c>
      <c r="G51" s="9">
        <v>0.32</v>
      </c>
      <c r="H51" s="8">
        <v>206.96</v>
      </c>
      <c r="I51" s="8">
        <v>214.79</v>
      </c>
      <c r="J51" s="8">
        <f t="shared" ref="J51:J54" si="8">AVERAGE(H51:I51)</f>
        <v>210.875</v>
      </c>
      <c r="K51" s="90">
        <f t="shared" ref="K51:K56" si="9">(F51/J51)*$F$14*($D$39/$C$39)</f>
        <v>1.6090565057872895E-2</v>
      </c>
    </row>
    <row r="52" spans="1:13" x14ac:dyDescent="0.2">
      <c r="A52" s="8" t="s">
        <v>104</v>
      </c>
      <c r="B52" s="8">
        <v>9</v>
      </c>
      <c r="C52" s="9">
        <v>1.3</v>
      </c>
      <c r="D52" s="26">
        <v>13.55</v>
      </c>
      <c r="E52" s="8">
        <v>14.65</v>
      </c>
      <c r="F52" s="8">
        <f t="shared" si="7"/>
        <v>14.100000000000001</v>
      </c>
      <c r="G52" s="9">
        <v>0.32</v>
      </c>
      <c r="H52" s="26">
        <v>217.89</v>
      </c>
      <c r="I52" s="8">
        <v>218.26</v>
      </c>
      <c r="J52" s="8">
        <f t="shared" si="8"/>
        <v>218.07499999999999</v>
      </c>
      <c r="K52" s="90">
        <f t="shared" si="9"/>
        <v>2.1840354416937678E-2</v>
      </c>
    </row>
    <row r="53" spans="1:13" x14ac:dyDescent="0.2">
      <c r="A53" s="8" t="s">
        <v>105</v>
      </c>
      <c r="B53" s="8">
        <v>12</v>
      </c>
      <c r="C53" s="9">
        <v>1.3</v>
      </c>
      <c r="D53" s="26">
        <v>18.54</v>
      </c>
      <c r="E53" s="26">
        <v>18.28</v>
      </c>
      <c r="F53" s="8">
        <f t="shared" si="7"/>
        <v>18.41</v>
      </c>
      <c r="G53" s="9">
        <v>0.32</v>
      </c>
      <c r="H53" s="26">
        <v>228.28</v>
      </c>
      <c r="I53" s="26">
        <v>218.81</v>
      </c>
      <c r="J53" s="8">
        <f t="shared" si="8"/>
        <v>223.54500000000002</v>
      </c>
      <c r="K53" s="90">
        <f t="shared" si="9"/>
        <v>2.781860052903512E-2</v>
      </c>
    </row>
    <row r="54" spans="1:13" ht="15" customHeight="1" x14ac:dyDescent="0.2">
      <c r="A54" s="8" t="s">
        <v>106</v>
      </c>
      <c r="B54" s="8">
        <v>15</v>
      </c>
      <c r="C54" s="9">
        <v>1.3</v>
      </c>
      <c r="D54" s="69">
        <v>23.09</v>
      </c>
      <c r="E54" s="69">
        <v>22.88</v>
      </c>
      <c r="F54" s="8">
        <f t="shared" si="7"/>
        <v>22.984999999999999</v>
      </c>
      <c r="G54" s="9">
        <v>0.32</v>
      </c>
      <c r="H54" s="26">
        <v>223.74</v>
      </c>
      <c r="I54" s="26">
        <v>217.91</v>
      </c>
      <c r="J54" s="8">
        <f t="shared" si="8"/>
        <v>220.82499999999999</v>
      </c>
      <c r="K54" s="90">
        <f t="shared" si="9"/>
        <v>3.5159502326800811E-2</v>
      </c>
    </row>
    <row r="55" spans="1:13" x14ac:dyDescent="0.2">
      <c r="A55" s="8" t="s">
        <v>107</v>
      </c>
      <c r="B55" s="8">
        <v>18</v>
      </c>
      <c r="C55" s="9">
        <v>1.3</v>
      </c>
      <c r="D55" s="69">
        <v>19.04</v>
      </c>
      <c r="E55" s="69">
        <v>27.69</v>
      </c>
      <c r="F55" s="8">
        <f t="shared" si="7"/>
        <v>23.365000000000002</v>
      </c>
      <c r="G55" s="9">
        <v>0.32</v>
      </c>
      <c r="H55" s="8">
        <v>164.18</v>
      </c>
      <c r="I55" s="8">
        <v>230.04</v>
      </c>
      <c r="J55" s="8">
        <f>AVERAGE(H55:I55)</f>
        <v>197.11</v>
      </c>
      <c r="K55" s="90">
        <f t="shared" si="9"/>
        <v>4.0040876674525841E-2</v>
      </c>
    </row>
    <row r="56" spans="1:13" x14ac:dyDescent="0.2">
      <c r="A56" s="8" t="s">
        <v>108</v>
      </c>
      <c r="B56" s="8">
        <v>21</v>
      </c>
      <c r="C56" s="9">
        <v>1.3</v>
      </c>
      <c r="D56" s="69">
        <v>30.46</v>
      </c>
      <c r="E56" s="69">
        <v>31.42</v>
      </c>
      <c r="F56" s="8">
        <f t="shared" si="7"/>
        <v>30.94</v>
      </c>
      <c r="G56" s="9">
        <v>0.32</v>
      </c>
      <c r="H56" s="8">
        <v>214</v>
      </c>
      <c r="I56" s="8">
        <v>224.97</v>
      </c>
      <c r="J56" s="8">
        <f t="shared" ref="J56" si="10">AVERAGE(H56:I56)</f>
        <v>219.48500000000001</v>
      </c>
      <c r="K56" s="90">
        <f t="shared" si="9"/>
        <v>4.7616987301613942E-2</v>
      </c>
    </row>
    <row r="57" spans="1:13" x14ac:dyDescent="0.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2"/>
      <c r="L57" s="91"/>
      <c r="M57" s="91"/>
    </row>
    <row r="58" spans="1:13" ht="20" x14ac:dyDescent="0.2">
      <c r="A58" s="55" t="s">
        <v>94</v>
      </c>
      <c r="B58" s="8"/>
      <c r="C58" s="9"/>
      <c r="D58" s="8"/>
      <c r="E58" s="8"/>
      <c r="F58" s="8"/>
      <c r="G58" s="9"/>
      <c r="H58" s="8"/>
      <c r="I58" s="8"/>
      <c r="J58" s="8"/>
      <c r="K58" s="68"/>
    </row>
    <row r="59" spans="1:13" ht="17" thickBot="1" x14ac:dyDescent="0.25">
      <c r="A59" s="16" t="s">
        <v>135</v>
      </c>
      <c r="B59" s="8"/>
      <c r="C59" s="9"/>
      <c r="D59" s="8"/>
      <c r="E59" s="8"/>
      <c r="F59" s="8"/>
      <c r="G59" s="9"/>
      <c r="H59" s="8"/>
      <c r="I59" s="8"/>
      <c r="J59" s="8"/>
      <c r="K59" s="68"/>
    </row>
    <row r="60" spans="1:13" x14ac:dyDescent="0.2">
      <c r="A60" s="136" t="s">
        <v>65</v>
      </c>
      <c r="B60" s="137"/>
      <c r="C60" s="9"/>
      <c r="D60" s="8"/>
      <c r="E60" s="8"/>
      <c r="F60" s="8"/>
      <c r="G60" s="8"/>
      <c r="H60" s="8"/>
      <c r="I60" s="8"/>
      <c r="J60" s="8"/>
      <c r="K60" s="60"/>
    </row>
    <row r="61" spans="1:13" ht="17" thickBot="1" x14ac:dyDescent="0.25">
      <c r="A61" s="138"/>
      <c r="B61" s="139"/>
      <c r="D61" s="17"/>
      <c r="G61" s="16"/>
      <c r="K61" s="63"/>
    </row>
    <row r="62" spans="1:13" x14ac:dyDescent="0.2">
      <c r="A62" s="8"/>
      <c r="E62" s="5" t="s">
        <v>101</v>
      </c>
      <c r="F62" s="64">
        <v>0.3201</v>
      </c>
      <c r="K62" s="63"/>
    </row>
    <row r="63" spans="1:13" x14ac:dyDescent="0.2">
      <c r="A63" s="3" t="s">
        <v>96</v>
      </c>
      <c r="B63" s="3" t="s">
        <v>97</v>
      </c>
      <c r="C63" s="3" t="s">
        <v>109</v>
      </c>
      <c r="D63" s="3" t="s">
        <v>110</v>
      </c>
      <c r="E63" s="3" t="s">
        <v>111</v>
      </c>
      <c r="F63" s="3" t="s">
        <v>63</v>
      </c>
      <c r="G63" s="3" t="s">
        <v>98</v>
      </c>
      <c r="H63" s="3" t="s">
        <v>99</v>
      </c>
      <c r="I63" s="3" t="s">
        <v>100</v>
      </c>
      <c r="J63" s="3" t="s">
        <v>7</v>
      </c>
      <c r="K63" s="60" t="s">
        <v>112</v>
      </c>
    </row>
    <row r="64" spans="1:13" x14ac:dyDescent="0.2">
      <c r="A64" s="8" t="s">
        <v>102</v>
      </c>
      <c r="B64" s="8">
        <v>3</v>
      </c>
      <c r="C64" s="9">
        <v>1.3</v>
      </c>
      <c r="D64" s="26">
        <v>4.0999999999999996</v>
      </c>
      <c r="E64" s="26">
        <v>3.93</v>
      </c>
      <c r="F64" s="8">
        <f t="shared" ref="F64:F70" si="11">AVERAGE(D64:E64)</f>
        <v>4.0149999999999997</v>
      </c>
      <c r="G64" s="9">
        <v>0.32</v>
      </c>
      <c r="H64" s="25">
        <v>226.39</v>
      </c>
      <c r="I64" s="84">
        <v>212.32</v>
      </c>
      <c r="J64" s="8">
        <f>AVERAGE(H64:I64)</f>
        <v>219.35499999999999</v>
      </c>
      <c r="K64" s="60">
        <f>(F64/J64)*$F$14*($D$39/$C$39)</f>
        <v>6.1827895120742738E-3</v>
      </c>
    </row>
    <row r="65" spans="1:13" x14ac:dyDescent="0.2">
      <c r="A65" s="8" t="s">
        <v>103</v>
      </c>
      <c r="B65" s="8">
        <v>6</v>
      </c>
      <c r="C65" s="9">
        <v>1.3</v>
      </c>
      <c r="D65" s="26">
        <v>6.99</v>
      </c>
      <c r="E65" s="26">
        <v>6.96</v>
      </c>
      <c r="F65" s="8">
        <f t="shared" si="11"/>
        <v>6.9749999999999996</v>
      </c>
      <c r="G65" s="9">
        <v>0.32</v>
      </c>
      <c r="H65" s="25">
        <v>214.35</v>
      </c>
      <c r="I65" s="84">
        <v>206.49</v>
      </c>
      <c r="J65" s="8">
        <f t="shared" ref="J65:J68" si="12">AVERAGE(H65:I65)</f>
        <v>210.42000000000002</v>
      </c>
      <c r="K65" s="60">
        <f t="shared" ref="K65:K70" si="13">(F65/J65)*$F$14*($D$39/$C$39)</f>
        <v>1.1197050729368328E-2</v>
      </c>
    </row>
    <row r="66" spans="1:13" x14ac:dyDescent="0.2">
      <c r="A66" s="8" t="s">
        <v>104</v>
      </c>
      <c r="B66" s="8">
        <v>9</v>
      </c>
      <c r="C66" s="9">
        <v>1.3</v>
      </c>
      <c r="D66" s="26">
        <v>10.09</v>
      </c>
      <c r="E66" s="8">
        <v>10.27</v>
      </c>
      <c r="F66" s="8">
        <f t="shared" si="11"/>
        <v>10.18</v>
      </c>
      <c r="G66" s="9">
        <v>0.32</v>
      </c>
      <c r="H66" s="25">
        <v>199.4</v>
      </c>
      <c r="I66" s="84">
        <v>202.8</v>
      </c>
      <c r="J66" s="8">
        <f t="shared" si="12"/>
        <v>201.10000000000002</v>
      </c>
      <c r="K66" s="60">
        <f t="shared" si="13"/>
        <v>1.7099450626815667E-2</v>
      </c>
    </row>
    <row r="67" spans="1:13" x14ac:dyDescent="0.2">
      <c r="A67" s="8" t="s">
        <v>105</v>
      </c>
      <c r="B67" s="8">
        <v>12</v>
      </c>
      <c r="C67" s="9">
        <v>1.3</v>
      </c>
      <c r="D67" s="26">
        <v>12.86</v>
      </c>
      <c r="E67" s="26">
        <v>13.13</v>
      </c>
      <c r="F67" s="8">
        <f t="shared" si="11"/>
        <v>12.995000000000001</v>
      </c>
      <c r="G67" s="9">
        <v>0.32</v>
      </c>
      <c r="H67" s="25">
        <v>201.38</v>
      </c>
      <c r="I67" s="84">
        <v>208.91</v>
      </c>
      <c r="J67" s="8">
        <f t="shared" si="12"/>
        <v>205.14499999999998</v>
      </c>
      <c r="K67" s="60">
        <f t="shared" si="13"/>
        <v>2.139743903221213E-2</v>
      </c>
    </row>
    <row r="68" spans="1:13" x14ac:dyDescent="0.2">
      <c r="A68" s="8" t="s">
        <v>106</v>
      </c>
      <c r="B68" s="8">
        <v>15</v>
      </c>
      <c r="C68" s="9">
        <v>1.3</v>
      </c>
      <c r="D68" s="69">
        <v>16.46</v>
      </c>
      <c r="E68" s="69">
        <v>15.75</v>
      </c>
      <c r="F68" s="8">
        <f t="shared" si="11"/>
        <v>16.105</v>
      </c>
      <c r="G68" s="9">
        <v>0.32</v>
      </c>
      <c r="H68" s="25">
        <v>216.94</v>
      </c>
      <c r="I68" s="84">
        <v>211.87</v>
      </c>
      <c r="J68" s="8">
        <f t="shared" si="12"/>
        <v>214.405</v>
      </c>
      <c r="K68" s="60">
        <f t="shared" si="13"/>
        <v>2.5373026337268741E-2</v>
      </c>
    </row>
    <row r="69" spans="1:13" x14ac:dyDescent="0.2">
      <c r="A69" s="8" t="s">
        <v>107</v>
      </c>
      <c r="B69" s="8">
        <v>18</v>
      </c>
      <c r="C69" s="9">
        <v>1.3</v>
      </c>
      <c r="D69" s="69">
        <v>18.670000000000002</v>
      </c>
      <c r="E69" s="69">
        <v>18.98</v>
      </c>
      <c r="F69" s="8">
        <f t="shared" si="11"/>
        <v>18.825000000000003</v>
      </c>
      <c r="G69" s="9">
        <v>0.32</v>
      </c>
      <c r="H69" s="25">
        <v>208.49</v>
      </c>
      <c r="I69" s="84">
        <v>201.38</v>
      </c>
      <c r="J69" s="8">
        <f>AVERAGE(H69:I69)</f>
        <v>204.935</v>
      </c>
      <c r="K69" s="60">
        <f t="shared" si="13"/>
        <v>3.1028822778210806E-2</v>
      </c>
    </row>
    <row r="70" spans="1:13" x14ac:dyDescent="0.2">
      <c r="A70" s="8" t="s">
        <v>108</v>
      </c>
      <c r="B70" s="8">
        <v>21</v>
      </c>
      <c r="C70" s="9">
        <v>1.3</v>
      </c>
      <c r="D70" s="69">
        <v>22.37</v>
      </c>
      <c r="E70" s="69">
        <v>23.36</v>
      </c>
      <c r="F70" s="8">
        <f t="shared" si="11"/>
        <v>22.865000000000002</v>
      </c>
      <c r="G70" s="9">
        <v>0.32</v>
      </c>
      <c r="H70" s="25">
        <v>211.57</v>
      </c>
      <c r="I70" s="84">
        <v>216.13</v>
      </c>
      <c r="J70" s="8">
        <f t="shared" ref="J70" si="14">AVERAGE(H70:I70)</f>
        <v>213.85</v>
      </c>
      <c r="K70" s="60">
        <f t="shared" si="13"/>
        <v>3.6116728234251744E-2</v>
      </c>
    </row>
    <row r="71" spans="1:13" x14ac:dyDescent="0.2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2"/>
      <c r="L71" s="91"/>
      <c r="M71" s="91"/>
    </row>
  </sheetData>
  <mergeCells count="4">
    <mergeCell ref="A46:B47"/>
    <mergeCell ref="A60:B61"/>
    <mergeCell ref="A12:B13"/>
    <mergeCell ref="A26:B27"/>
  </mergeCells>
  <conditionalFormatting sqref="K16:K22">
    <cfRule type="cellIs" dxfId="23" priority="28" operator="between">
      <formula>0.51</formula>
      <formula>0.149</formula>
    </cfRule>
    <cfRule type="cellIs" dxfId="22" priority="32" operator="greaterThan">
      <formula>0.15</formula>
    </cfRule>
    <cfRule type="cellIs" dxfId="21" priority="33" operator="lessThan">
      <formula>0.05</formula>
    </cfRule>
  </conditionalFormatting>
  <conditionalFormatting sqref="K15:K22">
    <cfRule type="cellIs" dxfId="20" priority="29" operator="between">
      <formula>0.151</formula>
      <formula>0.849</formula>
    </cfRule>
    <cfRule type="cellIs" dxfId="19" priority="30" operator="greaterThan">
      <formula>0.85</formula>
    </cfRule>
    <cfRule type="cellIs" dxfId="18" priority="31" operator="lessThan">
      <formula>0.15</formula>
    </cfRule>
  </conditionalFormatting>
  <conditionalFormatting sqref="K30:K33">
    <cfRule type="cellIs" dxfId="17" priority="19" operator="between">
      <formula>0.51</formula>
      <formula>0.149</formula>
    </cfRule>
    <cfRule type="cellIs" dxfId="16" priority="23" operator="greaterThan">
      <formula>0.15</formula>
    </cfRule>
    <cfRule type="cellIs" dxfId="15" priority="24" operator="lessThan">
      <formula>0.05</formula>
    </cfRule>
  </conditionalFormatting>
  <conditionalFormatting sqref="K29:K33">
    <cfRule type="cellIs" dxfId="14" priority="20" operator="between">
      <formula>0.151</formula>
      <formula>0.849</formula>
    </cfRule>
    <cfRule type="cellIs" dxfId="13" priority="21" operator="greaterThan">
      <formula>0.85</formula>
    </cfRule>
    <cfRule type="cellIs" dxfId="12" priority="22" operator="lessThan">
      <formula>0.15</formula>
    </cfRule>
  </conditionalFormatting>
  <conditionalFormatting sqref="K50:K56">
    <cfRule type="cellIs" dxfId="11" priority="10" operator="between">
      <formula>0.51</formula>
      <formula>0.149</formula>
    </cfRule>
    <cfRule type="cellIs" dxfId="10" priority="14" operator="greaterThan">
      <formula>0.15</formula>
    </cfRule>
    <cfRule type="cellIs" dxfId="9" priority="15" operator="lessThan">
      <formula>0.05</formula>
    </cfRule>
  </conditionalFormatting>
  <conditionalFormatting sqref="K49:K56">
    <cfRule type="cellIs" dxfId="8" priority="11" operator="between">
      <formula>0.151</formula>
      <formula>0.849</formula>
    </cfRule>
    <cfRule type="cellIs" dxfId="7" priority="12" operator="greaterThan">
      <formula>0.85</formula>
    </cfRule>
    <cfRule type="cellIs" dxfId="6" priority="13" operator="lessThan">
      <formula>0.15</formula>
    </cfRule>
  </conditionalFormatting>
  <conditionalFormatting sqref="K64:K70">
    <cfRule type="cellIs" dxfId="5" priority="1" operator="between">
      <formula>0.51</formula>
      <formula>0.149</formula>
    </cfRule>
    <cfRule type="cellIs" dxfId="4" priority="5" operator="greaterThan">
      <formula>0.15</formula>
    </cfRule>
    <cfRule type="cellIs" dxfId="3" priority="6" operator="lessThan">
      <formula>0.05</formula>
    </cfRule>
  </conditionalFormatting>
  <conditionalFormatting sqref="K63:K70">
    <cfRule type="cellIs" dxfId="2" priority="2" operator="between">
      <formula>0.151</formula>
      <formula>0.849</formula>
    </cfRule>
    <cfRule type="cellIs" dxfId="1" priority="3" operator="greaterThan">
      <formula>0.85</formula>
    </cfRule>
    <cfRule type="cellIs" dxfId="0" priority="4" operator="lessThan">
      <formula>0.15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88F68-E8E5-43B2-A146-7BC61193DBF0}">
  <dimension ref="A1:I46"/>
  <sheetViews>
    <sheetView zoomScale="55" zoomScaleNormal="55" workbookViewId="0">
      <selection activeCell="H44" sqref="H44"/>
    </sheetView>
  </sheetViews>
  <sheetFormatPr baseColWidth="10" defaultColWidth="8.83203125" defaultRowHeight="15" x14ac:dyDescent="0.2"/>
  <cols>
    <col min="2" max="4" width="15.5" customWidth="1"/>
    <col min="5" max="5" width="15.5" style="76" customWidth="1"/>
    <col min="6" max="8" width="15.5" customWidth="1"/>
  </cols>
  <sheetData>
    <row r="1" spans="1:9" x14ac:dyDescent="0.2">
      <c r="A1" s="79"/>
      <c r="B1" s="79"/>
      <c r="C1" s="79"/>
      <c r="D1" s="79"/>
      <c r="E1" s="81"/>
      <c r="F1" s="79"/>
      <c r="G1" s="79"/>
      <c r="H1" s="79"/>
      <c r="I1" s="79"/>
    </row>
    <row r="2" spans="1:9" ht="14.5" customHeight="1" x14ac:dyDescent="0.2">
      <c r="B2" s="143" t="s">
        <v>124</v>
      </c>
      <c r="C2" s="143"/>
      <c r="D2" s="143"/>
      <c r="E2" s="143"/>
      <c r="F2" s="143"/>
      <c r="G2" s="143"/>
      <c r="H2" s="143"/>
      <c r="I2" s="78"/>
    </row>
    <row r="3" spans="1:9" ht="16" x14ac:dyDescent="0.2">
      <c r="B3" s="70" t="s">
        <v>125</v>
      </c>
      <c r="C3" s="70" t="s">
        <v>126</v>
      </c>
      <c r="D3" s="70" t="s">
        <v>127</v>
      </c>
      <c r="E3" s="82" t="s">
        <v>128</v>
      </c>
      <c r="F3" s="70" t="s">
        <v>129</v>
      </c>
      <c r="G3" s="70" t="s">
        <v>130</v>
      </c>
      <c r="H3" s="70" t="s">
        <v>131</v>
      </c>
      <c r="I3" s="71"/>
    </row>
    <row r="4" spans="1:9" ht="16" x14ac:dyDescent="0.2">
      <c r="B4" s="72">
        <f>C4*60</f>
        <v>180</v>
      </c>
      <c r="C4" s="72">
        <v>3</v>
      </c>
      <c r="D4" s="73">
        <v>1.54E-2</v>
      </c>
      <c r="E4" s="77">
        <f>D4*0.0001</f>
        <v>1.5400000000000001E-6</v>
      </c>
      <c r="F4" s="72">
        <f>2000-20</f>
        <v>1980</v>
      </c>
      <c r="G4" s="72">
        <f>F4/1000000</f>
        <v>1.98E-3</v>
      </c>
      <c r="H4" s="77">
        <f>E4/G4</f>
        <v>7.7777777777777784E-4</v>
      </c>
      <c r="I4" s="74"/>
    </row>
    <row r="5" spans="1:9" ht="16" x14ac:dyDescent="0.2">
      <c r="B5" s="72">
        <f t="shared" ref="B5:B10" si="0">C5*60</f>
        <v>360</v>
      </c>
      <c r="C5" s="72">
        <v>6</v>
      </c>
      <c r="D5" s="73">
        <v>2.8899999999999999E-2</v>
      </c>
      <c r="E5" s="77">
        <f t="shared" ref="E5:E10" si="1">D5*0.0001</f>
        <v>2.8899999999999999E-6</v>
      </c>
      <c r="F5" s="72">
        <f>F4-20</f>
        <v>1960</v>
      </c>
      <c r="G5" s="72">
        <f t="shared" ref="G5:G10" si="2">F5/1000000</f>
        <v>1.9599999999999999E-3</v>
      </c>
      <c r="H5" s="77">
        <f t="shared" ref="H5:H10" si="3">E5/G5</f>
        <v>1.4744897959183673E-3</v>
      </c>
      <c r="I5" s="74"/>
    </row>
    <row r="6" spans="1:9" ht="16" x14ac:dyDescent="0.2">
      <c r="B6" s="72">
        <f t="shared" si="0"/>
        <v>540</v>
      </c>
      <c r="C6" s="72">
        <v>9</v>
      </c>
      <c r="D6" s="73">
        <v>3.9399999999999998E-2</v>
      </c>
      <c r="E6" s="77">
        <f t="shared" si="1"/>
        <v>3.9399999999999995E-6</v>
      </c>
      <c r="F6" s="72">
        <f t="shared" ref="F6:F10" si="4">F5-20</f>
        <v>1940</v>
      </c>
      <c r="G6" s="72">
        <f t="shared" si="2"/>
        <v>1.9400000000000001E-3</v>
      </c>
      <c r="H6" s="77">
        <f t="shared" si="3"/>
        <v>2.0309278350515462E-3</v>
      </c>
      <c r="I6" s="74"/>
    </row>
    <row r="7" spans="1:9" ht="16" x14ac:dyDescent="0.2">
      <c r="B7" s="72">
        <f t="shared" si="0"/>
        <v>720</v>
      </c>
      <c r="C7" s="72">
        <v>12</v>
      </c>
      <c r="D7" s="73">
        <v>5.5100000000000003E-2</v>
      </c>
      <c r="E7" s="77">
        <f t="shared" si="1"/>
        <v>5.5100000000000006E-6</v>
      </c>
      <c r="F7" s="72">
        <f t="shared" si="4"/>
        <v>1920</v>
      </c>
      <c r="G7" s="72">
        <f t="shared" si="2"/>
        <v>1.92E-3</v>
      </c>
      <c r="H7" s="77">
        <f t="shared" si="3"/>
        <v>2.8697916666666668E-3</v>
      </c>
      <c r="I7" s="74"/>
    </row>
    <row r="8" spans="1:9" ht="16" x14ac:dyDescent="0.2">
      <c r="B8" s="72">
        <f t="shared" si="0"/>
        <v>900</v>
      </c>
      <c r="C8" s="72">
        <v>15</v>
      </c>
      <c r="D8" s="73">
        <v>6.9199999999999998E-2</v>
      </c>
      <c r="E8" s="77">
        <f t="shared" si="1"/>
        <v>6.9199999999999998E-6</v>
      </c>
      <c r="F8" s="72">
        <f t="shared" si="4"/>
        <v>1900</v>
      </c>
      <c r="G8" s="72">
        <f t="shared" si="2"/>
        <v>1.9E-3</v>
      </c>
      <c r="H8" s="77">
        <f t="shared" si="3"/>
        <v>3.6421052631578949E-3</v>
      </c>
      <c r="I8" s="74"/>
    </row>
    <row r="9" spans="1:9" ht="16" x14ac:dyDescent="0.2">
      <c r="B9" s="72">
        <f t="shared" si="0"/>
        <v>1080</v>
      </c>
      <c r="C9" s="72">
        <v>18</v>
      </c>
      <c r="D9" s="73">
        <v>8.3599999999999994E-2</v>
      </c>
      <c r="E9" s="77">
        <f t="shared" si="1"/>
        <v>8.3599999999999996E-6</v>
      </c>
      <c r="F9" s="72">
        <f t="shared" si="4"/>
        <v>1880</v>
      </c>
      <c r="G9" s="72">
        <f t="shared" si="2"/>
        <v>1.8799999999999999E-3</v>
      </c>
      <c r="H9" s="77">
        <f t="shared" si="3"/>
        <v>4.4468085106382981E-3</v>
      </c>
      <c r="I9" s="74"/>
    </row>
    <row r="10" spans="1:9" ht="16" x14ac:dyDescent="0.2">
      <c r="B10" s="72">
        <f t="shared" si="0"/>
        <v>1260</v>
      </c>
      <c r="C10" s="72">
        <v>21</v>
      </c>
      <c r="D10" s="73">
        <v>9.69E-2</v>
      </c>
      <c r="E10" s="77">
        <f t="shared" si="1"/>
        <v>9.6900000000000004E-6</v>
      </c>
      <c r="F10" s="72">
        <f t="shared" si="4"/>
        <v>1860</v>
      </c>
      <c r="G10" s="72">
        <f t="shared" si="2"/>
        <v>1.8600000000000001E-3</v>
      </c>
      <c r="H10" s="77">
        <f t="shared" si="3"/>
        <v>5.2096774193548384E-3</v>
      </c>
      <c r="I10" s="74"/>
    </row>
    <row r="11" spans="1:9" ht="16" x14ac:dyDescent="0.2">
      <c r="B11" s="72"/>
      <c r="C11" s="72"/>
      <c r="D11" s="75"/>
      <c r="E11" s="77"/>
      <c r="F11" s="72"/>
      <c r="G11" s="70" t="s">
        <v>132</v>
      </c>
      <c r="H11" s="80">
        <f>SLOPE(H4:H10,B4:B10)</f>
        <v>4.1372051155312286E-6</v>
      </c>
      <c r="I11" s="75"/>
    </row>
    <row r="12" spans="1:9" ht="16" x14ac:dyDescent="0.2">
      <c r="B12" s="72"/>
      <c r="C12" s="72"/>
      <c r="D12" s="75"/>
      <c r="E12" s="77"/>
      <c r="F12" s="72"/>
      <c r="G12" s="70" t="s">
        <v>133</v>
      </c>
      <c r="H12" s="83">
        <f>RSQ(H4:H10,B4:B10)</f>
        <v>0.99751318630980945</v>
      </c>
      <c r="I12" s="75"/>
    </row>
    <row r="13" spans="1:9" x14ac:dyDescent="0.2">
      <c r="A13" s="79"/>
      <c r="B13" s="79"/>
      <c r="C13" s="79"/>
      <c r="D13" s="79"/>
      <c r="E13" s="81"/>
      <c r="F13" s="79"/>
      <c r="G13" s="79"/>
      <c r="H13" s="79"/>
      <c r="I13" s="79"/>
    </row>
    <row r="14" spans="1:9" ht="14.5" customHeight="1" x14ac:dyDescent="0.2">
      <c r="B14" s="143" t="s">
        <v>134</v>
      </c>
      <c r="C14" s="143"/>
      <c r="D14" s="143"/>
      <c r="E14" s="143"/>
      <c r="F14" s="143"/>
      <c r="G14" s="143"/>
      <c r="H14" s="143"/>
    </row>
    <row r="15" spans="1:9" ht="16" x14ac:dyDescent="0.2">
      <c r="B15" s="70" t="s">
        <v>125</v>
      </c>
      <c r="C15" s="70" t="s">
        <v>126</v>
      </c>
      <c r="D15" s="70" t="s">
        <v>127</v>
      </c>
      <c r="E15" s="82" t="s">
        <v>128</v>
      </c>
      <c r="F15" s="70" t="s">
        <v>129</v>
      </c>
      <c r="G15" s="70" t="s">
        <v>130</v>
      </c>
      <c r="H15" s="70" t="s">
        <v>131</v>
      </c>
    </row>
    <row r="16" spans="1:9" ht="16" x14ac:dyDescent="0.2">
      <c r="B16" s="72">
        <f>C16*60</f>
        <v>180</v>
      </c>
      <c r="C16" s="72">
        <v>3</v>
      </c>
      <c r="D16" s="73">
        <v>1.21E-2</v>
      </c>
      <c r="E16" s="77">
        <f>D16*0.0001</f>
        <v>1.2100000000000001E-6</v>
      </c>
      <c r="F16" s="72">
        <f>2000-20</f>
        <v>1980</v>
      </c>
      <c r="G16" s="72">
        <f>F16/1000000</f>
        <v>1.98E-3</v>
      </c>
      <c r="H16" s="77">
        <f>E16/G16</f>
        <v>6.111111111111111E-4</v>
      </c>
    </row>
    <row r="17" spans="1:9" ht="16" x14ac:dyDescent="0.2">
      <c r="B17" s="72">
        <f t="shared" ref="B17:B19" si="5">C17*60</f>
        <v>360</v>
      </c>
      <c r="C17" s="72">
        <v>6</v>
      </c>
      <c r="D17" s="73">
        <v>2.3599999999999999E-2</v>
      </c>
      <c r="E17" s="77">
        <f t="shared" ref="E17:E19" si="6">D17*0.0001</f>
        <v>2.3599999999999999E-6</v>
      </c>
      <c r="F17" s="72">
        <f>F16-20</f>
        <v>1960</v>
      </c>
      <c r="G17" s="72">
        <f t="shared" ref="G17:G19" si="7">F17/1000000</f>
        <v>1.9599999999999999E-3</v>
      </c>
      <c r="H17" s="77">
        <f t="shared" ref="H17:H19" si="8">E17/G17</f>
        <v>1.2040816326530611E-3</v>
      </c>
    </row>
    <row r="18" spans="1:9" ht="16" x14ac:dyDescent="0.2">
      <c r="B18" s="72">
        <f t="shared" si="5"/>
        <v>540</v>
      </c>
      <c r="C18" s="72">
        <v>9</v>
      </c>
      <c r="D18" s="73">
        <v>3.5400000000000001E-2</v>
      </c>
      <c r="E18" s="77">
        <f t="shared" si="6"/>
        <v>3.5400000000000004E-6</v>
      </c>
      <c r="F18" s="72">
        <f t="shared" ref="F18:F19" si="9">F17-20</f>
        <v>1940</v>
      </c>
      <c r="G18" s="72">
        <f t="shared" si="7"/>
        <v>1.9400000000000001E-3</v>
      </c>
      <c r="H18" s="77">
        <f t="shared" si="8"/>
        <v>1.8247422680412373E-3</v>
      </c>
    </row>
    <row r="19" spans="1:9" ht="16" x14ac:dyDescent="0.2">
      <c r="B19" s="72">
        <f t="shared" si="5"/>
        <v>720</v>
      </c>
      <c r="C19" s="72">
        <v>12</v>
      </c>
      <c r="D19" s="73">
        <v>4.9500000000000002E-2</v>
      </c>
      <c r="E19" s="77">
        <f t="shared" si="6"/>
        <v>4.9500000000000009E-6</v>
      </c>
      <c r="F19" s="72">
        <f t="shared" si="9"/>
        <v>1920</v>
      </c>
      <c r="G19" s="72">
        <f t="shared" si="7"/>
        <v>1.92E-3</v>
      </c>
      <c r="H19" s="77">
        <f t="shared" si="8"/>
        <v>2.5781250000000006E-3</v>
      </c>
    </row>
    <row r="20" spans="1:9" ht="16" x14ac:dyDescent="0.2">
      <c r="B20" s="72"/>
      <c r="C20" s="72"/>
      <c r="D20" s="75"/>
      <c r="E20" s="77"/>
      <c r="F20" s="72"/>
      <c r="G20" s="70" t="s">
        <v>132</v>
      </c>
      <c r="H20" s="80">
        <f>SLOPE(H16:H19,B16:B19)</f>
        <v>3.6231679455860244E-6</v>
      </c>
    </row>
    <row r="21" spans="1:9" ht="16" x14ac:dyDescent="0.2">
      <c r="B21" s="72"/>
      <c r="C21" s="72"/>
      <c r="D21" s="75"/>
      <c r="E21" s="77"/>
      <c r="F21" s="72"/>
      <c r="G21" s="70" t="s">
        <v>133</v>
      </c>
      <c r="H21" s="83">
        <f>RSQ(H16:H19,B16:B19)</f>
        <v>0.99672639800296936</v>
      </c>
    </row>
    <row r="22" spans="1:9" x14ac:dyDescent="0.2">
      <c r="A22" s="79"/>
      <c r="B22" s="79"/>
      <c r="C22" s="79"/>
      <c r="D22" s="79"/>
      <c r="E22" s="81"/>
      <c r="F22" s="79"/>
      <c r="G22" s="79"/>
      <c r="H22" s="79"/>
      <c r="I22" s="79"/>
    </row>
    <row r="23" spans="1:9" x14ac:dyDescent="0.2">
      <c r="B23" s="143" t="s">
        <v>140</v>
      </c>
      <c r="C23" s="143"/>
      <c r="D23" s="143"/>
      <c r="E23" s="143"/>
      <c r="F23" s="143"/>
      <c r="G23" s="143"/>
      <c r="H23" s="143"/>
    </row>
    <row r="24" spans="1:9" ht="16" x14ac:dyDescent="0.2">
      <c r="B24" s="70" t="s">
        <v>125</v>
      </c>
      <c r="C24" s="70" t="s">
        <v>126</v>
      </c>
      <c r="D24" s="70" t="s">
        <v>127</v>
      </c>
      <c r="E24" s="82" t="s">
        <v>128</v>
      </c>
      <c r="F24" s="70" t="s">
        <v>129</v>
      </c>
      <c r="G24" s="70" t="s">
        <v>130</v>
      </c>
      <c r="H24" s="70" t="s">
        <v>131</v>
      </c>
    </row>
    <row r="25" spans="1:9" ht="16" x14ac:dyDescent="0.2">
      <c r="B25" s="72">
        <v>180</v>
      </c>
      <c r="C25" s="72">
        <v>3</v>
      </c>
      <c r="D25" s="73">
        <v>7.8245452550473014E-3</v>
      </c>
      <c r="E25" s="77">
        <f>D25*0.00009469</f>
        <v>7.4090619020042904E-7</v>
      </c>
      <c r="F25" s="72">
        <f>1895-19</f>
        <v>1876</v>
      </c>
      <c r="G25" s="72">
        <f>F25/1000000</f>
        <v>1.8760000000000001E-3</v>
      </c>
      <c r="H25" s="77">
        <f>E25/G25</f>
        <v>3.9493933379553784E-4</v>
      </c>
    </row>
    <row r="26" spans="1:9" ht="16" x14ac:dyDescent="0.2">
      <c r="B26" s="72">
        <v>360</v>
      </c>
      <c r="C26" s="72">
        <v>6</v>
      </c>
      <c r="D26" s="73">
        <v>1.6090565057872895E-2</v>
      </c>
      <c r="E26" s="77">
        <f t="shared" ref="E26:E31" si="10">D26*0.00009469</f>
        <v>1.5236156053299844E-6</v>
      </c>
      <c r="F26" s="72">
        <f>F25-19</f>
        <v>1857</v>
      </c>
      <c r="G26" s="72">
        <f t="shared" ref="G26:G31" si="11">F26/1000000</f>
        <v>1.8569999999999999E-3</v>
      </c>
      <c r="H26" s="77">
        <f t="shared" ref="H26:H31" si="12">E26/G26</f>
        <v>8.2047151606353503E-4</v>
      </c>
    </row>
    <row r="27" spans="1:9" ht="16" x14ac:dyDescent="0.2">
      <c r="B27" s="72">
        <v>540</v>
      </c>
      <c r="C27" s="72">
        <v>9</v>
      </c>
      <c r="D27" s="73">
        <v>2.1840354416937678E-2</v>
      </c>
      <c r="E27" s="77">
        <f t="shared" si="10"/>
        <v>2.0680631597398287E-6</v>
      </c>
      <c r="F27" s="72">
        <f t="shared" ref="F27:F31" si="13">F26-19</f>
        <v>1838</v>
      </c>
      <c r="G27" s="72">
        <f t="shared" si="11"/>
        <v>1.838E-3</v>
      </c>
      <c r="H27" s="77">
        <f t="shared" si="12"/>
        <v>1.1251703807071973E-3</v>
      </c>
    </row>
    <row r="28" spans="1:9" ht="16" x14ac:dyDescent="0.2">
      <c r="B28" s="72">
        <v>720</v>
      </c>
      <c r="C28" s="72">
        <v>12</v>
      </c>
      <c r="D28" s="73">
        <v>2.781860052903512E-2</v>
      </c>
      <c r="E28" s="77">
        <f t="shared" si="10"/>
        <v>2.6341432840943355E-6</v>
      </c>
      <c r="F28" s="72">
        <f t="shared" si="13"/>
        <v>1819</v>
      </c>
      <c r="G28" s="72">
        <f t="shared" si="11"/>
        <v>1.8190000000000001E-3</v>
      </c>
      <c r="H28" s="77">
        <f t="shared" si="12"/>
        <v>1.4481271490348188E-3</v>
      </c>
    </row>
    <row r="29" spans="1:9" ht="16" x14ac:dyDescent="0.2">
      <c r="B29" s="72">
        <v>900</v>
      </c>
      <c r="C29" s="72">
        <v>15</v>
      </c>
      <c r="D29" s="73">
        <v>3.5159502326800811E-2</v>
      </c>
      <c r="E29" s="77">
        <f t="shared" si="10"/>
        <v>3.329253275324769E-6</v>
      </c>
      <c r="F29" s="72">
        <f t="shared" si="13"/>
        <v>1800</v>
      </c>
      <c r="G29" s="72">
        <f t="shared" si="11"/>
        <v>1.8E-3</v>
      </c>
      <c r="H29" s="77">
        <f t="shared" si="12"/>
        <v>1.8495851529582051E-3</v>
      </c>
    </row>
    <row r="30" spans="1:9" ht="16" x14ac:dyDescent="0.2">
      <c r="B30" s="72">
        <v>1080</v>
      </c>
      <c r="C30" s="72">
        <v>18</v>
      </c>
      <c r="D30" s="73">
        <v>4.0040876674525841E-2</v>
      </c>
      <c r="E30" s="77">
        <f t="shared" si="10"/>
        <v>3.7914706123108519E-6</v>
      </c>
      <c r="F30" s="72">
        <f t="shared" si="13"/>
        <v>1781</v>
      </c>
      <c r="G30" s="72">
        <f t="shared" si="11"/>
        <v>1.781E-3</v>
      </c>
      <c r="H30" s="77">
        <f t="shared" si="12"/>
        <v>2.1288436902363009E-3</v>
      </c>
    </row>
    <row r="31" spans="1:9" ht="16" x14ac:dyDescent="0.2">
      <c r="B31" s="72">
        <v>1260</v>
      </c>
      <c r="C31" s="72">
        <v>21</v>
      </c>
      <c r="D31" s="73">
        <v>4.7616987301613942E-2</v>
      </c>
      <c r="E31" s="77">
        <f t="shared" si="10"/>
        <v>4.5088525275898242E-6</v>
      </c>
      <c r="F31" s="72">
        <f t="shared" si="13"/>
        <v>1762</v>
      </c>
      <c r="G31" s="72">
        <f t="shared" si="11"/>
        <v>1.7619999999999999E-3</v>
      </c>
      <c r="H31" s="77">
        <f t="shared" si="12"/>
        <v>2.558940140516359E-3</v>
      </c>
    </row>
    <row r="32" spans="1:9" ht="16" x14ac:dyDescent="0.2">
      <c r="B32" s="72"/>
      <c r="C32" s="72"/>
      <c r="D32" s="75"/>
      <c r="E32" s="77"/>
      <c r="F32" s="72"/>
      <c r="G32" s="70" t="s">
        <v>132</v>
      </c>
      <c r="H32" s="80">
        <f>SLOPE(H25:H31,B25:B31)</f>
        <v>1.9510241152299609E-6</v>
      </c>
    </row>
    <row r="33" spans="1:9" ht="16" x14ac:dyDescent="0.2">
      <c r="B33" s="72"/>
      <c r="C33" s="72"/>
      <c r="D33" s="75"/>
      <c r="E33" s="77"/>
      <c r="F33" s="72"/>
      <c r="G33" s="70" t="s">
        <v>133</v>
      </c>
      <c r="H33" s="83">
        <f>RSQ(H25:H31,B25:B31)</f>
        <v>0.99782107492223182</v>
      </c>
    </row>
    <row r="34" spans="1:9" x14ac:dyDescent="0.2">
      <c r="A34" s="79"/>
      <c r="B34" s="79"/>
      <c r="C34" s="79"/>
      <c r="D34" s="79"/>
      <c r="E34" s="81"/>
      <c r="F34" s="79"/>
      <c r="G34" s="79"/>
      <c r="H34" s="79"/>
      <c r="I34" s="79"/>
    </row>
    <row r="35" spans="1:9" x14ac:dyDescent="0.2">
      <c r="B35" s="143" t="s">
        <v>139</v>
      </c>
      <c r="C35" s="143"/>
      <c r="D35" s="143"/>
      <c r="E35" s="143"/>
      <c r="F35" s="143"/>
      <c r="G35" s="143"/>
      <c r="H35" s="143"/>
    </row>
    <row r="36" spans="1:9" ht="16" x14ac:dyDescent="0.2">
      <c r="B36" s="70" t="s">
        <v>125</v>
      </c>
      <c r="C36" s="70" t="s">
        <v>126</v>
      </c>
      <c r="D36" s="70" t="s">
        <v>127</v>
      </c>
      <c r="E36" s="82" t="s">
        <v>128</v>
      </c>
      <c r="F36" s="70" t="s">
        <v>129</v>
      </c>
      <c r="G36" s="70" t="s">
        <v>130</v>
      </c>
      <c r="H36" s="70" t="s">
        <v>131</v>
      </c>
    </row>
    <row r="37" spans="1:9" ht="16" x14ac:dyDescent="0.2">
      <c r="B37" s="72">
        <f>C37*60</f>
        <v>180</v>
      </c>
      <c r="C37" s="72">
        <v>3</v>
      </c>
      <c r="D37" s="73">
        <v>6.1827895120742738E-3</v>
      </c>
      <c r="E37" s="77">
        <f>D37*0.00009469</f>
        <v>5.8544833889831301E-7</v>
      </c>
      <c r="F37" s="72">
        <f>1895-19</f>
        <v>1876</v>
      </c>
      <c r="G37" s="72">
        <f>F37/1000000</f>
        <v>1.8760000000000001E-3</v>
      </c>
      <c r="H37" s="77">
        <f>E37/G37</f>
        <v>3.1207267531893016E-4</v>
      </c>
    </row>
    <row r="38" spans="1:9" ht="16" x14ac:dyDescent="0.2">
      <c r="B38" s="72">
        <f t="shared" ref="B38:B43" si="14">C38*60</f>
        <v>360</v>
      </c>
      <c r="C38" s="72">
        <v>6</v>
      </c>
      <c r="D38" s="73">
        <v>1.1197050729368328E-2</v>
      </c>
      <c r="E38" s="77">
        <f t="shared" ref="E38:E43" si="15">D38*0.00009469</f>
        <v>1.0602487335638871E-6</v>
      </c>
      <c r="F38" s="72">
        <f>F37-19</f>
        <v>1857</v>
      </c>
      <c r="G38" s="72">
        <f t="shared" ref="G38:G43" si="16">F38/1000000</f>
        <v>1.8569999999999999E-3</v>
      </c>
      <c r="H38" s="77">
        <f t="shared" ref="H38:H43" si="17">E38/G38</f>
        <v>5.7094708323311098E-4</v>
      </c>
    </row>
    <row r="39" spans="1:9" ht="16" x14ac:dyDescent="0.2">
      <c r="B39" s="72">
        <f t="shared" si="14"/>
        <v>540</v>
      </c>
      <c r="C39" s="72">
        <v>9</v>
      </c>
      <c r="D39" s="73">
        <v>1.7099450626815667E-2</v>
      </c>
      <c r="E39" s="77">
        <f t="shared" si="15"/>
        <v>1.6191469798531756E-6</v>
      </c>
      <c r="F39" s="72">
        <f t="shared" ref="F39:F43" si="18">F38-19</f>
        <v>1838</v>
      </c>
      <c r="G39" s="72">
        <f t="shared" si="16"/>
        <v>1.838E-3</v>
      </c>
      <c r="H39" s="77">
        <f t="shared" si="17"/>
        <v>8.8092871591576472E-4</v>
      </c>
    </row>
    <row r="40" spans="1:9" ht="16" x14ac:dyDescent="0.2">
      <c r="B40" s="72">
        <f t="shared" si="14"/>
        <v>720</v>
      </c>
      <c r="C40" s="72">
        <v>12</v>
      </c>
      <c r="D40" s="73">
        <v>2.139743903221213E-2</v>
      </c>
      <c r="E40" s="77">
        <f t="shared" si="15"/>
        <v>2.0261235019601665E-6</v>
      </c>
      <c r="F40" s="72">
        <f t="shared" si="18"/>
        <v>1819</v>
      </c>
      <c r="G40" s="72">
        <f t="shared" si="16"/>
        <v>1.8190000000000001E-3</v>
      </c>
      <c r="H40" s="77">
        <f t="shared" si="17"/>
        <v>1.1138666860693602E-3</v>
      </c>
    </row>
    <row r="41" spans="1:9" ht="16" x14ac:dyDescent="0.2">
      <c r="B41" s="72">
        <f t="shared" si="14"/>
        <v>900</v>
      </c>
      <c r="C41" s="72">
        <v>15</v>
      </c>
      <c r="D41" s="73">
        <v>2.5373026337268741E-2</v>
      </c>
      <c r="E41" s="77">
        <f t="shared" si="15"/>
        <v>2.4025718638759771E-6</v>
      </c>
      <c r="F41" s="72">
        <f t="shared" si="18"/>
        <v>1800</v>
      </c>
      <c r="G41" s="72">
        <f t="shared" si="16"/>
        <v>1.8E-3</v>
      </c>
      <c r="H41" s="77">
        <f t="shared" si="17"/>
        <v>1.3347621465977651E-3</v>
      </c>
    </row>
    <row r="42" spans="1:9" ht="16" x14ac:dyDescent="0.2">
      <c r="B42" s="72">
        <f t="shared" si="14"/>
        <v>1080</v>
      </c>
      <c r="C42" s="72">
        <v>18</v>
      </c>
      <c r="D42" s="73">
        <v>3.1028822778210806E-2</v>
      </c>
      <c r="E42" s="77">
        <f t="shared" si="15"/>
        <v>2.9381192288687811E-6</v>
      </c>
      <c r="F42" s="72">
        <f t="shared" si="18"/>
        <v>1781</v>
      </c>
      <c r="G42" s="72">
        <f t="shared" si="16"/>
        <v>1.781E-3</v>
      </c>
      <c r="H42" s="77">
        <f t="shared" si="17"/>
        <v>1.6497019813974066E-3</v>
      </c>
    </row>
    <row r="43" spans="1:9" ht="16" x14ac:dyDescent="0.2">
      <c r="B43" s="72">
        <f t="shared" si="14"/>
        <v>1260</v>
      </c>
      <c r="C43" s="72">
        <v>21</v>
      </c>
      <c r="D43" s="73">
        <v>3.6116728234251744E-2</v>
      </c>
      <c r="E43" s="77">
        <f t="shared" si="15"/>
        <v>3.4198929965012979E-6</v>
      </c>
      <c r="F43" s="72">
        <f t="shared" si="18"/>
        <v>1762</v>
      </c>
      <c r="G43" s="72">
        <f t="shared" si="16"/>
        <v>1.7619999999999999E-3</v>
      </c>
      <c r="H43" s="77">
        <f t="shared" si="17"/>
        <v>1.9409154350177628E-3</v>
      </c>
    </row>
    <row r="44" spans="1:9" ht="16" x14ac:dyDescent="0.2">
      <c r="B44" s="72"/>
      <c r="C44" s="72"/>
      <c r="D44" s="75"/>
      <c r="E44" s="77"/>
      <c r="F44" s="72"/>
      <c r="G44" s="70" t="s">
        <v>132</v>
      </c>
      <c r="H44" s="80">
        <f>SLOPE(H37:H43,B37:B43)</f>
        <v>1.4876729178783908E-6</v>
      </c>
    </row>
    <row r="45" spans="1:9" ht="16" x14ac:dyDescent="0.2">
      <c r="B45" s="72"/>
      <c r="C45" s="72"/>
      <c r="D45" s="75"/>
      <c r="E45" s="77"/>
      <c r="F45" s="72"/>
      <c r="G45" s="70" t="s">
        <v>133</v>
      </c>
      <c r="H45" s="83">
        <f>RSQ(H37:H43,B37:B43)</f>
        <v>0.99799907097204532</v>
      </c>
    </row>
    <row r="46" spans="1:9" x14ac:dyDescent="0.2">
      <c r="A46" s="79"/>
      <c r="B46" s="79"/>
      <c r="C46" s="79"/>
      <c r="D46" s="79"/>
      <c r="E46" s="81"/>
      <c r="F46" s="79"/>
      <c r="G46" s="79"/>
      <c r="H46" s="79"/>
      <c r="I46" s="79"/>
    </row>
  </sheetData>
  <mergeCells count="4">
    <mergeCell ref="B2:H2"/>
    <mergeCell ref="B23:H23"/>
    <mergeCell ref="B35:H35"/>
    <mergeCell ref="B14:H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730AF-C45D-4DD5-BC5C-2948E0CA9FE3}">
  <dimension ref="A2:P187"/>
  <sheetViews>
    <sheetView topLeftCell="B1" zoomScale="60" zoomScaleNormal="60" workbookViewId="0">
      <selection activeCell="E206" sqref="E206"/>
    </sheetView>
  </sheetViews>
  <sheetFormatPr baseColWidth="10" defaultColWidth="11.5" defaultRowHeight="16" x14ac:dyDescent="0.2"/>
  <cols>
    <col min="1" max="1" width="28.1640625" style="1" customWidth="1"/>
    <col min="2" max="2" width="11.5" style="8"/>
    <col min="3" max="3" width="27.6640625" style="1" customWidth="1"/>
    <col min="4" max="4" width="29.83203125" style="1" customWidth="1"/>
    <col min="5" max="5" width="29.6640625" style="1" customWidth="1"/>
    <col min="6" max="6" width="26.83203125" style="8" customWidth="1"/>
    <col min="7" max="7" width="26.5" style="1" customWidth="1"/>
    <col min="8" max="8" width="29.33203125" style="1" customWidth="1"/>
    <col min="9" max="9" width="17.1640625" style="1" customWidth="1"/>
    <col min="10" max="10" width="27.83203125" style="1" bestFit="1" customWidth="1"/>
    <col min="11" max="12" width="22.1640625" style="1" bestFit="1" customWidth="1"/>
    <col min="13" max="13" width="26.83203125" style="1" customWidth="1"/>
    <col min="14" max="14" width="15.1640625" style="16" customWidth="1"/>
    <col min="15" max="16384" width="11.5" style="1"/>
  </cols>
  <sheetData>
    <row r="2" spans="1:14" x14ac:dyDescent="0.2">
      <c r="A2" s="28" t="s">
        <v>22</v>
      </c>
      <c r="B2" s="27" t="s">
        <v>21</v>
      </c>
      <c r="E2" s="23" t="s">
        <v>19</v>
      </c>
      <c r="F2" s="24" t="s">
        <v>20</v>
      </c>
    </row>
    <row r="3" spans="1:14" x14ac:dyDescent="0.2">
      <c r="A3" s="23" t="s">
        <v>23</v>
      </c>
      <c r="B3" s="10">
        <v>322.39999999999998</v>
      </c>
      <c r="E3" s="23" t="s">
        <v>24</v>
      </c>
      <c r="F3" s="24">
        <v>102.6</v>
      </c>
      <c r="H3" s="17"/>
      <c r="J3" s="132">
        <v>5</v>
      </c>
      <c r="K3" s="22">
        <f>H23/M23</f>
        <v>0.38390793630600262</v>
      </c>
      <c r="L3" s="21"/>
    </row>
    <row r="4" spans="1:14" x14ac:dyDescent="0.2">
      <c r="A4" s="23" t="s">
        <v>24</v>
      </c>
      <c r="B4" s="12">
        <v>22.2</v>
      </c>
      <c r="E4" s="23" t="s">
        <v>25</v>
      </c>
      <c r="F4" s="24">
        <v>5</v>
      </c>
      <c r="H4" s="17"/>
      <c r="J4" s="132">
        <v>25</v>
      </c>
      <c r="K4" s="22">
        <f t="shared" ref="K4:K8" si="0">H24/M24</f>
        <v>1.8352094666121646</v>
      </c>
    </row>
    <row r="5" spans="1:14" x14ac:dyDescent="0.2">
      <c r="A5" s="23" t="s">
        <v>25</v>
      </c>
      <c r="B5" s="12">
        <v>3</v>
      </c>
      <c r="E5" s="23" t="s">
        <v>23</v>
      </c>
      <c r="F5" s="24">
        <v>194.19</v>
      </c>
      <c r="J5" s="132">
        <v>50</v>
      </c>
      <c r="K5" s="22">
        <f t="shared" si="0"/>
        <v>3.7727350081899211</v>
      </c>
      <c r="M5" s="5"/>
      <c r="N5" s="5"/>
    </row>
    <row r="6" spans="1:14" x14ac:dyDescent="0.2">
      <c r="A6" s="23" t="s">
        <v>26</v>
      </c>
      <c r="B6" s="12">
        <f>B4/B5</f>
        <v>7.3999999999999995</v>
      </c>
      <c r="E6" s="23" t="s">
        <v>26</v>
      </c>
      <c r="F6" s="29">
        <f>F3/F4</f>
        <v>20.52</v>
      </c>
      <c r="J6" s="132">
        <v>75</v>
      </c>
      <c r="K6" s="22">
        <f t="shared" si="0"/>
        <v>6.1437348442454773</v>
      </c>
      <c r="M6" s="22"/>
      <c r="N6" s="14"/>
    </row>
    <row r="7" spans="1:14" x14ac:dyDescent="0.2">
      <c r="E7" s="23" t="s">
        <v>27</v>
      </c>
      <c r="F7" s="30">
        <f>(1.94/(1000*194.19))</f>
        <v>9.9902157680622062E-6</v>
      </c>
      <c r="J7" s="132">
        <v>100</v>
      </c>
      <c r="K7" s="22">
        <f t="shared" si="0"/>
        <v>7.5020791597579288</v>
      </c>
      <c r="M7" s="22"/>
      <c r="N7" s="14"/>
    </row>
    <row r="8" spans="1:14" x14ac:dyDescent="0.2">
      <c r="E8" s="23" t="s">
        <v>28</v>
      </c>
      <c r="F8" s="29">
        <f>F7*F5*1000</f>
        <v>1.94</v>
      </c>
      <c r="I8" s="16"/>
      <c r="J8" s="132">
        <v>125</v>
      </c>
      <c r="K8" s="22">
        <f t="shared" si="0"/>
        <v>9.3621943021516767</v>
      </c>
      <c r="L8" s="16"/>
      <c r="M8" s="22"/>
      <c r="N8" s="14"/>
    </row>
    <row r="9" spans="1:14" x14ac:dyDescent="0.2">
      <c r="I9" s="16"/>
      <c r="J9" s="58" t="s">
        <v>182</v>
      </c>
      <c r="K9" s="22">
        <f>RSQ(J3:J8,K3:K8)</f>
        <v>0.99618199499956173</v>
      </c>
      <c r="L9" s="16"/>
      <c r="M9" s="22"/>
      <c r="N9" s="14"/>
    </row>
    <row r="10" spans="1:14" ht="17" thickBot="1" x14ac:dyDescent="0.25">
      <c r="I10" s="16"/>
      <c r="J10" s="16"/>
      <c r="K10" s="16"/>
      <c r="L10" s="16"/>
      <c r="M10" s="22"/>
      <c r="N10" s="14"/>
    </row>
    <row r="11" spans="1:14" ht="17" thickBot="1" x14ac:dyDescent="0.25">
      <c r="A11" s="16"/>
      <c r="B11" s="48" t="s">
        <v>11</v>
      </c>
      <c r="C11" s="49" t="s">
        <v>34</v>
      </c>
      <c r="D11" s="49" t="s">
        <v>35</v>
      </c>
      <c r="E11" s="49" t="s">
        <v>10</v>
      </c>
      <c r="F11" s="50" t="s">
        <v>36</v>
      </c>
      <c r="G11" s="50" t="s">
        <v>37</v>
      </c>
      <c r="H11" s="51" t="s">
        <v>38</v>
      </c>
      <c r="I11" s="16"/>
      <c r="L11" s="16"/>
      <c r="M11" s="22"/>
      <c r="N11" s="14"/>
    </row>
    <row r="12" spans="1:14" x14ac:dyDescent="0.2">
      <c r="A12" s="16"/>
      <c r="B12" s="8">
        <v>5</v>
      </c>
      <c r="C12" s="9">
        <f t="shared" ref="C12:C17" si="1">0.1*B12/100</f>
        <v>5.0000000000000001E-3</v>
      </c>
      <c r="D12" s="10">
        <f t="shared" ref="D12:D17" si="2">C12*$B$3</f>
        <v>1.6119999999999999</v>
      </c>
      <c r="E12" s="10">
        <f t="shared" ref="E12:E17" si="3">D12/10</f>
        <v>0.16119999999999998</v>
      </c>
      <c r="F12" s="12">
        <f t="shared" ref="F12:F17" si="4">E12/$B$6*1000</f>
        <v>21.783783783783782</v>
      </c>
      <c r="G12" s="15">
        <f>$F$8/$F$6*1000</f>
        <v>94.541910331384017</v>
      </c>
      <c r="H12" s="14">
        <f t="shared" ref="H12:H17" si="5">1000-G12-F12</f>
        <v>883.67430588483228</v>
      </c>
      <c r="I12" s="16"/>
      <c r="J12" s="16"/>
      <c r="K12" s="16"/>
      <c r="L12" s="16"/>
    </row>
    <row r="13" spans="1:14" x14ac:dyDescent="0.2">
      <c r="A13" s="16"/>
      <c r="B13" s="8">
        <v>25</v>
      </c>
      <c r="C13" s="9">
        <f t="shared" si="1"/>
        <v>2.5000000000000001E-2</v>
      </c>
      <c r="D13" s="10">
        <f t="shared" si="2"/>
        <v>8.06</v>
      </c>
      <c r="E13" s="10">
        <f t="shared" si="3"/>
        <v>0.80600000000000005</v>
      </c>
      <c r="F13" s="12">
        <f t="shared" si="4"/>
        <v>108.91891891891893</v>
      </c>
      <c r="G13" s="15">
        <f t="shared" ref="G13:G17" si="6">$F$8/$F$6*1000</f>
        <v>94.541910331384017</v>
      </c>
      <c r="H13" s="14">
        <f t="shared" si="5"/>
        <v>796.53917074969706</v>
      </c>
      <c r="I13" s="16"/>
      <c r="J13" s="16"/>
      <c r="K13" s="16"/>
      <c r="L13" s="16"/>
    </row>
    <row r="14" spans="1:14" x14ac:dyDescent="0.2">
      <c r="A14" s="16"/>
      <c r="B14" s="8">
        <v>50</v>
      </c>
      <c r="C14" s="9">
        <f t="shared" si="1"/>
        <v>0.05</v>
      </c>
      <c r="D14" s="10">
        <f t="shared" si="2"/>
        <v>16.12</v>
      </c>
      <c r="E14" s="10">
        <f t="shared" si="3"/>
        <v>1.6120000000000001</v>
      </c>
      <c r="F14" s="12">
        <f t="shared" si="4"/>
        <v>217.83783783783787</v>
      </c>
      <c r="G14" s="15">
        <f t="shared" si="6"/>
        <v>94.541910331384017</v>
      </c>
      <c r="H14" s="14">
        <f t="shared" si="5"/>
        <v>687.62025183077822</v>
      </c>
      <c r="I14" s="16"/>
      <c r="J14" s="16"/>
      <c r="K14" s="16"/>
      <c r="L14" s="16"/>
    </row>
    <row r="15" spans="1:14" x14ac:dyDescent="0.2">
      <c r="A15" s="16"/>
      <c r="B15" s="8">
        <v>75</v>
      </c>
      <c r="C15" s="9">
        <f t="shared" si="1"/>
        <v>7.4999999999999997E-2</v>
      </c>
      <c r="D15" s="10">
        <f t="shared" si="2"/>
        <v>24.179999999999996</v>
      </c>
      <c r="E15" s="10">
        <f t="shared" si="3"/>
        <v>2.4179999999999997</v>
      </c>
      <c r="F15" s="12">
        <f t="shared" si="4"/>
        <v>326.75675675675677</v>
      </c>
      <c r="G15" s="15">
        <f t="shared" si="6"/>
        <v>94.541910331384017</v>
      </c>
      <c r="H15" s="14">
        <f t="shared" si="5"/>
        <v>578.70133291185925</v>
      </c>
    </row>
    <row r="16" spans="1:14" x14ac:dyDescent="0.2">
      <c r="A16" s="16"/>
      <c r="B16" s="8">
        <v>100</v>
      </c>
      <c r="C16" s="9">
        <f t="shared" si="1"/>
        <v>0.1</v>
      </c>
      <c r="D16" s="10">
        <f t="shared" si="2"/>
        <v>32.24</v>
      </c>
      <c r="E16" s="10">
        <f t="shared" si="3"/>
        <v>3.2240000000000002</v>
      </c>
      <c r="F16" s="12">
        <f t="shared" si="4"/>
        <v>435.67567567567573</v>
      </c>
      <c r="G16" s="15">
        <f t="shared" si="6"/>
        <v>94.541910331384017</v>
      </c>
      <c r="H16" s="14">
        <f t="shared" si="5"/>
        <v>469.78241399294029</v>
      </c>
    </row>
    <row r="17" spans="1:16" x14ac:dyDescent="0.2">
      <c r="A17" s="16"/>
      <c r="B17" s="8">
        <v>125</v>
      </c>
      <c r="C17" s="9">
        <f t="shared" si="1"/>
        <v>0.125</v>
      </c>
      <c r="D17" s="10">
        <f t="shared" si="2"/>
        <v>40.299999999999997</v>
      </c>
      <c r="E17" s="10">
        <f t="shared" si="3"/>
        <v>4.0299999999999994</v>
      </c>
      <c r="F17" s="12">
        <f t="shared" si="4"/>
        <v>544.59459459459458</v>
      </c>
      <c r="G17" s="15">
        <f t="shared" si="6"/>
        <v>94.541910331384017</v>
      </c>
      <c r="H17" s="14">
        <f t="shared" si="5"/>
        <v>360.86349507402144</v>
      </c>
    </row>
    <row r="18" spans="1:16" x14ac:dyDescent="0.2">
      <c r="E18" s="13" t="s">
        <v>13</v>
      </c>
      <c r="F18" s="12">
        <f>SUM(F12:F17)</f>
        <v>1655.5675675675675</v>
      </c>
    </row>
    <row r="21" spans="1:16" ht="15.5" customHeight="1" thickBot="1" x14ac:dyDescent="0.25">
      <c r="B21" s="134" t="s">
        <v>64</v>
      </c>
      <c r="C21" s="134"/>
      <c r="D21" s="134"/>
      <c r="E21" s="134"/>
      <c r="F21" s="134"/>
      <c r="G21" s="134"/>
      <c r="H21" s="134"/>
      <c r="I21" s="134" t="s">
        <v>12</v>
      </c>
      <c r="J21" s="134"/>
      <c r="K21" s="134"/>
      <c r="L21" s="134"/>
      <c r="M21" s="134"/>
    </row>
    <row r="22" spans="1:16" ht="17" thickBot="1" x14ac:dyDescent="0.25">
      <c r="B22" s="48" t="s">
        <v>11</v>
      </c>
      <c r="C22" s="49" t="s">
        <v>10</v>
      </c>
      <c r="D22" s="49" t="s">
        <v>49</v>
      </c>
      <c r="E22" s="50" t="s">
        <v>8</v>
      </c>
      <c r="F22" s="49" t="s">
        <v>50</v>
      </c>
      <c r="G22" s="49" t="s">
        <v>51</v>
      </c>
      <c r="H22" s="49" t="s">
        <v>52</v>
      </c>
      <c r="I22" s="50" t="s">
        <v>9</v>
      </c>
      <c r="J22" s="50" t="s">
        <v>8</v>
      </c>
      <c r="K22" s="49" t="s">
        <v>53</v>
      </c>
      <c r="L22" s="49" t="s">
        <v>54</v>
      </c>
      <c r="M22" s="49" t="s">
        <v>7</v>
      </c>
      <c r="N22" s="52" t="s">
        <v>6</v>
      </c>
    </row>
    <row r="23" spans="1:16" x14ac:dyDescent="0.2">
      <c r="B23" s="8">
        <v>5</v>
      </c>
      <c r="C23" s="10">
        <f t="shared" ref="C23:C28" si="7">E12</f>
        <v>0.16119999999999998</v>
      </c>
      <c r="D23" s="11">
        <f t="shared" ref="D23:D28" si="8">C23/$B$3/1000</f>
        <v>4.9999999999999998E-7</v>
      </c>
      <c r="E23" s="4">
        <v>2.14</v>
      </c>
      <c r="F23" s="8">
        <v>358.86</v>
      </c>
      <c r="G23" s="8">
        <v>365.39</v>
      </c>
      <c r="H23" s="7">
        <f t="shared" ref="H23:H28" si="9">AVERAGE(F23:G23)</f>
        <v>362.125</v>
      </c>
      <c r="I23" s="10">
        <f>D23/$F$7</f>
        <v>5.0048969072164953E-2</v>
      </c>
      <c r="J23" s="4">
        <v>0.318</v>
      </c>
      <c r="K23" s="16">
        <v>905.54</v>
      </c>
      <c r="L23" s="8">
        <v>980.98</v>
      </c>
      <c r="M23" s="7">
        <f t="shared" ref="M23:M28" si="10">AVERAGE(K23:L23)</f>
        <v>943.26</v>
      </c>
      <c r="N23" s="6">
        <f>D23/$F$7*M23/H23</f>
        <v>0.13036711237006643</v>
      </c>
    </row>
    <row r="24" spans="1:16" x14ac:dyDescent="0.2">
      <c r="B24" s="8">
        <v>25</v>
      </c>
      <c r="C24" s="10">
        <f t="shared" si="7"/>
        <v>0.80600000000000005</v>
      </c>
      <c r="D24" s="11">
        <f t="shared" si="8"/>
        <v>2.5000000000000006E-6</v>
      </c>
      <c r="E24" s="4">
        <v>2.13</v>
      </c>
      <c r="F24" s="8">
        <v>1730.86</v>
      </c>
      <c r="G24" s="8">
        <v>1771.05</v>
      </c>
      <c r="H24" s="7">
        <f t="shared" si="9"/>
        <v>1750.9549999999999</v>
      </c>
      <c r="I24" s="10">
        <f t="shared" ref="I24:I28" si="11">D24/$F$7</f>
        <v>0.25024484536082481</v>
      </c>
      <c r="J24" s="4">
        <v>0.317</v>
      </c>
      <c r="K24" s="8">
        <v>958.4</v>
      </c>
      <c r="L24" s="8">
        <v>949.78</v>
      </c>
      <c r="M24" s="7">
        <f t="shared" si="10"/>
        <v>954.08999999999992</v>
      </c>
      <c r="N24" s="6">
        <f>D24/$F$7*M24/H24</f>
        <v>0.13635764740402198</v>
      </c>
    </row>
    <row r="25" spans="1:16" x14ac:dyDescent="0.2">
      <c r="B25" s="8">
        <v>50</v>
      </c>
      <c r="C25" s="10">
        <f t="shared" si="7"/>
        <v>1.6120000000000001</v>
      </c>
      <c r="D25" s="11">
        <f t="shared" si="8"/>
        <v>5.0000000000000013E-6</v>
      </c>
      <c r="E25" s="4">
        <v>2.1829999999999998</v>
      </c>
      <c r="F25" s="8">
        <v>3508.03</v>
      </c>
      <c r="G25" s="8">
        <v>3586.07</v>
      </c>
      <c r="H25" s="7">
        <f t="shared" si="9"/>
        <v>3547.05</v>
      </c>
      <c r="I25" s="10">
        <f t="shared" si="11"/>
        <v>0.50048969072164962</v>
      </c>
      <c r="J25" s="4">
        <v>0.34300000000000003</v>
      </c>
      <c r="K25" s="8">
        <v>907.87</v>
      </c>
      <c r="L25" s="8">
        <v>972.49</v>
      </c>
      <c r="M25" s="7">
        <f t="shared" si="10"/>
        <v>940.18000000000006</v>
      </c>
      <c r="N25" s="6">
        <f t="shared" ref="N25:N28" si="12">D25/$F$7*M25/H25</f>
        <v>0.1326596460220974</v>
      </c>
    </row>
    <row r="26" spans="1:16" x14ac:dyDescent="0.2">
      <c r="B26" s="8">
        <v>75</v>
      </c>
      <c r="C26" s="10">
        <f t="shared" si="7"/>
        <v>2.4179999999999997</v>
      </c>
      <c r="D26" s="11">
        <f t="shared" si="8"/>
        <v>7.4999999999999993E-6</v>
      </c>
      <c r="E26" s="4">
        <v>2.1480000000000001</v>
      </c>
      <c r="F26" s="8">
        <v>5162.96</v>
      </c>
      <c r="G26" s="8">
        <v>5376.74</v>
      </c>
      <c r="H26" s="7">
        <f t="shared" si="9"/>
        <v>5269.85</v>
      </c>
      <c r="I26" s="10">
        <f t="shared" si="11"/>
        <v>0.7507345360824742</v>
      </c>
      <c r="J26" s="4">
        <v>0.30099999999999999</v>
      </c>
      <c r="K26" s="8">
        <v>744.38</v>
      </c>
      <c r="L26" s="8">
        <v>971.14</v>
      </c>
      <c r="M26" s="7">
        <f t="shared" si="10"/>
        <v>857.76</v>
      </c>
      <c r="N26" s="6">
        <f t="shared" si="12"/>
        <v>0.12219513945749937</v>
      </c>
    </row>
    <row r="27" spans="1:16" x14ac:dyDescent="0.2">
      <c r="B27" s="8">
        <v>100</v>
      </c>
      <c r="C27" s="10">
        <f t="shared" si="7"/>
        <v>3.2240000000000002</v>
      </c>
      <c r="D27" s="11">
        <f t="shared" si="8"/>
        <v>1.0000000000000003E-5</v>
      </c>
      <c r="E27" s="4">
        <v>2.1459999999999999</v>
      </c>
      <c r="F27" s="8">
        <v>7177.31</v>
      </c>
      <c r="G27" s="8">
        <v>7165.39</v>
      </c>
      <c r="H27" s="7">
        <f t="shared" si="9"/>
        <v>7171.35</v>
      </c>
      <c r="I27" s="10">
        <f t="shared" si="11"/>
        <v>1.0009793814432992</v>
      </c>
      <c r="J27" s="4">
        <v>0.32</v>
      </c>
      <c r="K27" s="8">
        <v>957.99</v>
      </c>
      <c r="L27" s="8">
        <v>953.84</v>
      </c>
      <c r="M27" s="7">
        <f t="shared" si="10"/>
        <v>955.91499999999996</v>
      </c>
      <c r="N27" s="6">
        <f t="shared" si="12"/>
        <v>0.13342692873899215</v>
      </c>
    </row>
    <row r="28" spans="1:16" x14ac:dyDescent="0.2">
      <c r="B28" s="8">
        <v>125</v>
      </c>
      <c r="C28" s="10">
        <f t="shared" si="7"/>
        <v>4.0299999999999994</v>
      </c>
      <c r="D28" s="11">
        <f t="shared" si="8"/>
        <v>1.2499999999999999E-5</v>
      </c>
      <c r="E28" s="4">
        <v>2.14</v>
      </c>
      <c r="F28" s="8">
        <v>9002.98</v>
      </c>
      <c r="G28" s="8">
        <v>8962.7900000000009</v>
      </c>
      <c r="H28" s="7">
        <f t="shared" si="9"/>
        <v>8982.8850000000002</v>
      </c>
      <c r="I28" s="10">
        <f t="shared" si="11"/>
        <v>1.2512242268041238</v>
      </c>
      <c r="J28" s="4">
        <v>0.32</v>
      </c>
      <c r="K28" s="8">
        <v>963.05</v>
      </c>
      <c r="L28" s="8">
        <v>955.92</v>
      </c>
      <c r="M28" s="7">
        <f t="shared" si="10"/>
        <v>959.4849999999999</v>
      </c>
      <c r="N28" s="6">
        <f t="shared" si="12"/>
        <v>0.13364647073352875</v>
      </c>
    </row>
    <row r="29" spans="1:16" x14ac:dyDescent="0.2">
      <c r="D29" s="5" t="s">
        <v>17</v>
      </c>
      <c r="E29" s="4">
        <f>AVERAGE(E23:E28)</f>
        <v>2.1478333333333333</v>
      </c>
      <c r="I29" s="5" t="s">
        <v>4</v>
      </c>
      <c r="J29" s="4">
        <f>AVERAGE(J23:J28)</f>
        <v>0.31983333333333336</v>
      </c>
      <c r="M29" s="3" t="s">
        <v>3</v>
      </c>
      <c r="N29" s="43">
        <f>AVERAGE(N23:N28)</f>
        <v>0.13144215745436769</v>
      </c>
    </row>
    <row r="30" spans="1:16" x14ac:dyDescent="0.2">
      <c r="C30" s="20"/>
      <c r="M30" s="3" t="s">
        <v>2</v>
      </c>
      <c r="N30" s="26">
        <f>STDEV(N23:N28)</f>
        <v>4.9214976929863024E-3</v>
      </c>
      <c r="O30" s="3"/>
      <c r="P30" s="21"/>
    </row>
    <row r="31" spans="1:16" x14ac:dyDescent="0.2">
      <c r="C31" s="20"/>
      <c r="M31" s="3" t="s">
        <v>1</v>
      </c>
      <c r="N31" s="36">
        <f>N30/N29</f>
        <v>3.7442307615004583E-2</v>
      </c>
      <c r="O31" s="3"/>
      <c r="P31" s="21"/>
    </row>
    <row r="32" spans="1:16" x14ac:dyDescent="0.2">
      <c r="C32" s="20"/>
      <c r="M32" s="3" t="s">
        <v>0</v>
      </c>
      <c r="N32" s="37">
        <f>RSQ(H23:H28, D23:D28)</f>
        <v>0.99980417136893784</v>
      </c>
      <c r="O32" s="3"/>
      <c r="P32" s="21"/>
    </row>
    <row r="33" spans="1:16" x14ac:dyDescent="0.2">
      <c r="A33" s="31"/>
      <c r="B33" s="32"/>
      <c r="C33" s="33"/>
      <c r="D33" s="31"/>
      <c r="E33" s="31"/>
      <c r="F33" s="32"/>
      <c r="G33" s="31"/>
      <c r="H33" s="31"/>
      <c r="I33" s="31"/>
      <c r="J33" s="31"/>
      <c r="K33" s="31"/>
      <c r="L33" s="31"/>
      <c r="M33" s="34"/>
      <c r="N33" s="38"/>
      <c r="O33" s="3"/>
      <c r="P33" s="21"/>
    </row>
    <row r="34" spans="1:16" x14ac:dyDescent="0.2">
      <c r="A34" s="23" t="s">
        <v>29</v>
      </c>
      <c r="B34" s="27" t="s">
        <v>18</v>
      </c>
    </row>
    <row r="35" spans="1:16" x14ac:dyDescent="0.2">
      <c r="A35" s="23" t="s">
        <v>16</v>
      </c>
      <c r="B35" s="10">
        <v>216.28</v>
      </c>
    </row>
    <row r="36" spans="1:16" x14ac:dyDescent="0.2">
      <c r="A36" s="23" t="s">
        <v>24</v>
      </c>
      <c r="B36" s="12">
        <v>22.8</v>
      </c>
      <c r="M36" s="2"/>
    </row>
    <row r="37" spans="1:16" x14ac:dyDescent="0.2">
      <c r="A37" s="23" t="s">
        <v>25</v>
      </c>
      <c r="B37" s="12">
        <v>3</v>
      </c>
      <c r="M37" s="2"/>
    </row>
    <row r="38" spans="1:16" x14ac:dyDescent="0.2">
      <c r="A38" s="23" t="s">
        <v>26</v>
      </c>
      <c r="B38" s="12">
        <f>B36/B37</f>
        <v>7.6000000000000005</v>
      </c>
      <c r="K38" s="132">
        <v>5</v>
      </c>
      <c r="L38" s="22">
        <f>H52/M52</f>
        <v>0.15942955663899705</v>
      </c>
      <c r="M38" s="19"/>
    </row>
    <row r="39" spans="1:16" ht="17" thickBot="1" x14ac:dyDescent="0.25">
      <c r="K39" s="132">
        <v>25</v>
      </c>
      <c r="L39" s="22">
        <f>H53/M53</f>
        <v>0.73729590707381598</v>
      </c>
    </row>
    <row r="40" spans="1:16" ht="17" thickBot="1" x14ac:dyDescent="0.25">
      <c r="B40" s="48" t="s">
        <v>11</v>
      </c>
      <c r="C40" s="49" t="s">
        <v>34</v>
      </c>
      <c r="D40" s="49" t="s">
        <v>47</v>
      </c>
      <c r="E40" s="49" t="s">
        <v>10</v>
      </c>
      <c r="F40" s="50" t="s">
        <v>48</v>
      </c>
      <c r="G40" s="50" t="s">
        <v>15</v>
      </c>
      <c r="H40" s="51" t="s">
        <v>14</v>
      </c>
      <c r="I40" s="16"/>
      <c r="J40" s="16"/>
      <c r="K40" s="132">
        <v>50</v>
      </c>
      <c r="L40" s="22">
        <f t="shared" ref="L40:L43" si="13">H54/M54</f>
        <v>1.5318213534371046</v>
      </c>
    </row>
    <row r="41" spans="1:16" x14ac:dyDescent="0.2">
      <c r="B41" s="8">
        <v>5</v>
      </c>
      <c r="C41" s="9">
        <f t="shared" ref="C41:C46" si="14">0.1*B41/100</f>
        <v>5.0000000000000001E-3</v>
      </c>
      <c r="D41" s="10">
        <f t="shared" ref="D41:D46" si="15">C41*$B$35</f>
        <v>1.0814000000000001</v>
      </c>
      <c r="E41" s="10">
        <f t="shared" ref="E41:E46" si="16">D41/10</f>
        <v>0.10814000000000001</v>
      </c>
      <c r="F41" s="12">
        <f t="shared" ref="F41:F46" si="17">E41/$B$38*1000</f>
        <v>14.228947368421053</v>
      </c>
      <c r="G41" s="15">
        <f>$F$8/$F$6*1000</f>
        <v>94.541910331384017</v>
      </c>
      <c r="H41" s="14">
        <f t="shared" ref="H41:H46" si="18">1000-G41-F41</f>
        <v>891.22914230019501</v>
      </c>
      <c r="I41" s="16"/>
      <c r="J41" s="16"/>
      <c r="K41" s="132">
        <v>75</v>
      </c>
      <c r="L41" s="22">
        <f t="shared" si="13"/>
        <v>2.465449066976793</v>
      </c>
    </row>
    <row r="42" spans="1:16" x14ac:dyDescent="0.2">
      <c r="B42" s="8">
        <v>25</v>
      </c>
      <c r="C42" s="9">
        <f t="shared" si="14"/>
        <v>2.5000000000000001E-2</v>
      </c>
      <c r="D42" s="10">
        <f t="shared" si="15"/>
        <v>5.407</v>
      </c>
      <c r="E42" s="10">
        <f t="shared" si="16"/>
        <v>0.54069999999999996</v>
      </c>
      <c r="F42" s="12">
        <f t="shared" si="17"/>
        <v>71.144736842105246</v>
      </c>
      <c r="G42" s="15">
        <f t="shared" ref="G42:G46" si="19">$F$8/$F$6*1000</f>
        <v>94.541910331384017</v>
      </c>
      <c r="H42" s="14">
        <f t="shared" si="18"/>
        <v>834.31335282651082</v>
      </c>
      <c r="I42" s="16"/>
      <c r="J42" s="16"/>
      <c r="K42" s="132">
        <v>100</v>
      </c>
      <c r="L42" s="22">
        <f t="shared" si="13"/>
        <v>3.1753752684342862</v>
      </c>
    </row>
    <row r="43" spans="1:16" x14ac:dyDescent="0.2">
      <c r="B43" s="8">
        <v>50</v>
      </c>
      <c r="C43" s="9">
        <f t="shared" si="14"/>
        <v>0.05</v>
      </c>
      <c r="D43" s="10">
        <f t="shared" si="15"/>
        <v>10.814</v>
      </c>
      <c r="E43" s="10">
        <f t="shared" si="16"/>
        <v>1.0813999999999999</v>
      </c>
      <c r="F43" s="12">
        <f t="shared" si="17"/>
        <v>142.28947368421049</v>
      </c>
      <c r="G43" s="15">
        <f t="shared" si="19"/>
        <v>94.541910331384017</v>
      </c>
      <c r="H43" s="14">
        <f t="shared" si="18"/>
        <v>763.16861598440551</v>
      </c>
      <c r="I43" s="16"/>
      <c r="J43" s="16"/>
      <c r="K43" s="132">
        <v>125</v>
      </c>
      <c r="L43" s="22">
        <f t="shared" si="13"/>
        <v>3.9014352001726555</v>
      </c>
    </row>
    <row r="44" spans="1:16" x14ac:dyDescent="0.2">
      <c r="B44" s="8">
        <v>75</v>
      </c>
      <c r="C44" s="9">
        <f t="shared" si="14"/>
        <v>7.4999999999999997E-2</v>
      </c>
      <c r="D44" s="10">
        <f t="shared" si="15"/>
        <v>16.221</v>
      </c>
      <c r="E44" s="10">
        <f t="shared" si="16"/>
        <v>1.6221000000000001</v>
      </c>
      <c r="F44" s="12">
        <f t="shared" si="17"/>
        <v>213.43421052631578</v>
      </c>
      <c r="G44" s="15">
        <f t="shared" si="19"/>
        <v>94.541910331384017</v>
      </c>
      <c r="H44" s="14">
        <f t="shared" si="18"/>
        <v>692.0238791423003</v>
      </c>
      <c r="K44" s="58" t="s">
        <v>182</v>
      </c>
      <c r="L44" s="22">
        <f>RSQ(K38:K43,L38:L43)</f>
        <v>0.99842322423057661</v>
      </c>
    </row>
    <row r="45" spans="1:16" x14ac:dyDescent="0.2">
      <c r="B45" s="8">
        <v>100</v>
      </c>
      <c r="C45" s="9">
        <f t="shared" si="14"/>
        <v>0.1</v>
      </c>
      <c r="D45" s="10">
        <f t="shared" si="15"/>
        <v>21.628</v>
      </c>
      <c r="E45" s="10">
        <f t="shared" si="16"/>
        <v>2.1627999999999998</v>
      </c>
      <c r="F45" s="12">
        <f t="shared" si="17"/>
        <v>284.57894736842098</v>
      </c>
      <c r="G45" s="15">
        <f t="shared" si="19"/>
        <v>94.541910331384017</v>
      </c>
      <c r="H45" s="14">
        <f t="shared" si="18"/>
        <v>620.8791423001951</v>
      </c>
    </row>
    <row r="46" spans="1:16" x14ac:dyDescent="0.2">
      <c r="B46" s="8">
        <v>125</v>
      </c>
      <c r="C46" s="9">
        <f t="shared" si="14"/>
        <v>0.125</v>
      </c>
      <c r="D46" s="10">
        <f t="shared" si="15"/>
        <v>27.035</v>
      </c>
      <c r="E46" s="10">
        <f t="shared" si="16"/>
        <v>2.7035</v>
      </c>
      <c r="F46" s="12">
        <f t="shared" si="17"/>
        <v>355.7236842105263</v>
      </c>
      <c r="G46" s="15">
        <f t="shared" si="19"/>
        <v>94.541910331384017</v>
      </c>
      <c r="H46" s="14">
        <f t="shared" si="18"/>
        <v>549.73440545808967</v>
      </c>
    </row>
    <row r="47" spans="1:16" x14ac:dyDescent="0.2">
      <c r="E47" s="13" t="s">
        <v>13</v>
      </c>
      <c r="F47" s="12">
        <f>SUM(F41:F46)</f>
        <v>1081.3999999999999</v>
      </c>
    </row>
    <row r="50" spans="1:14" ht="15.5" customHeight="1" thickBot="1" x14ac:dyDescent="0.25">
      <c r="B50" s="134" t="s">
        <v>65</v>
      </c>
      <c r="C50" s="134"/>
      <c r="D50" s="134"/>
      <c r="E50" s="134"/>
      <c r="F50" s="134"/>
      <c r="G50" s="134"/>
      <c r="H50" s="134"/>
      <c r="I50" s="134" t="s">
        <v>12</v>
      </c>
      <c r="J50" s="134"/>
      <c r="K50" s="134"/>
      <c r="L50" s="134"/>
      <c r="M50" s="134"/>
    </row>
    <row r="51" spans="1:14" ht="17" thickBot="1" x14ac:dyDescent="0.25">
      <c r="B51" s="48" t="s">
        <v>11</v>
      </c>
      <c r="C51" s="49" t="s">
        <v>10</v>
      </c>
      <c r="D51" s="49" t="s">
        <v>60</v>
      </c>
      <c r="E51" s="50" t="s">
        <v>8</v>
      </c>
      <c r="F51" s="49" t="s">
        <v>61</v>
      </c>
      <c r="G51" s="49" t="s">
        <v>62</v>
      </c>
      <c r="H51" s="49" t="s">
        <v>63</v>
      </c>
      <c r="I51" s="50" t="s">
        <v>9</v>
      </c>
      <c r="J51" s="50" t="s">
        <v>8</v>
      </c>
      <c r="K51" s="49" t="s">
        <v>53</v>
      </c>
      <c r="L51" s="49" t="s">
        <v>54</v>
      </c>
      <c r="M51" s="49" t="s">
        <v>7</v>
      </c>
      <c r="N51" s="52" t="s">
        <v>6</v>
      </c>
    </row>
    <row r="52" spans="1:14" x14ac:dyDescent="0.2">
      <c r="B52" s="8">
        <v>5</v>
      </c>
      <c r="C52" s="10">
        <f t="shared" ref="C52:C57" si="20">E41</f>
        <v>0.10814000000000001</v>
      </c>
      <c r="D52" s="11">
        <f t="shared" ref="D52:D57" si="21">C52/$B$35/1000</f>
        <v>4.9999999999999998E-7</v>
      </c>
      <c r="E52" s="4">
        <v>1.3180000000000001</v>
      </c>
      <c r="F52" s="8">
        <v>141.06</v>
      </c>
      <c r="G52" s="8">
        <v>138.19999999999999</v>
      </c>
      <c r="H52" s="7">
        <f t="shared" ref="H52:H57" si="22">AVERAGE(F52:G52)</f>
        <v>139.63</v>
      </c>
      <c r="I52" s="10">
        <f>D52/$F$7</f>
        <v>5.0048969072164953E-2</v>
      </c>
      <c r="J52" s="4">
        <v>0.318</v>
      </c>
      <c r="K52" s="16">
        <v>874.68</v>
      </c>
      <c r="L52" s="8">
        <v>876.94</v>
      </c>
      <c r="M52" s="7">
        <f t="shared" ref="M52:M57" si="23">AVERAGE(K52:L52)</f>
        <v>875.81</v>
      </c>
      <c r="N52" s="6">
        <f>D52/$F$7*M52/H52</f>
        <v>0.31392528541927084</v>
      </c>
    </row>
    <row r="53" spans="1:14" x14ac:dyDescent="0.2">
      <c r="B53" s="8">
        <v>25</v>
      </c>
      <c r="C53" s="10">
        <f t="shared" si="20"/>
        <v>0.54069999999999996</v>
      </c>
      <c r="D53" s="11">
        <f t="shared" si="21"/>
        <v>2.4999999999999998E-6</v>
      </c>
      <c r="E53" s="4">
        <v>1.2969999999999999</v>
      </c>
      <c r="F53" s="8">
        <v>699.91</v>
      </c>
      <c r="G53" s="8">
        <v>699.05</v>
      </c>
      <c r="H53" s="7">
        <f t="shared" si="22"/>
        <v>699.48</v>
      </c>
      <c r="I53" s="10">
        <f t="shared" ref="I53:I57" si="24">D53/$F$7</f>
        <v>0.25024484536082475</v>
      </c>
      <c r="J53" s="4">
        <v>0.317</v>
      </c>
      <c r="K53" s="8">
        <v>953.02</v>
      </c>
      <c r="L53" s="8">
        <v>944.4</v>
      </c>
      <c r="M53" s="7">
        <f t="shared" si="23"/>
        <v>948.71</v>
      </c>
      <c r="N53" s="6">
        <f>D53/$F$7*M53/H53</f>
        <v>0.33940897129620295</v>
      </c>
    </row>
    <row r="54" spans="1:14" x14ac:dyDescent="0.2">
      <c r="B54" s="8">
        <v>50</v>
      </c>
      <c r="C54" s="10">
        <f t="shared" si="20"/>
        <v>1.0813999999999999</v>
      </c>
      <c r="D54" s="11">
        <f t="shared" si="21"/>
        <v>4.9999999999999996E-6</v>
      </c>
      <c r="E54" s="4">
        <v>1.2949999999999999</v>
      </c>
      <c r="F54" s="8">
        <v>1443.83</v>
      </c>
      <c r="G54" s="8">
        <v>1475.99</v>
      </c>
      <c r="H54" s="7">
        <f t="shared" si="22"/>
        <v>1459.9099999999999</v>
      </c>
      <c r="I54" s="10">
        <f t="shared" si="24"/>
        <v>0.50048969072164951</v>
      </c>
      <c r="J54" s="4">
        <v>0.315</v>
      </c>
      <c r="K54" s="8">
        <v>936.97</v>
      </c>
      <c r="L54" s="8">
        <v>969.14</v>
      </c>
      <c r="M54" s="7">
        <f t="shared" si="23"/>
        <v>953.05500000000006</v>
      </c>
      <c r="N54" s="6">
        <f t="shared" ref="N54:N57" si="25">D54/$F$7*M54/H54</f>
        <v>0.32672849846272833</v>
      </c>
    </row>
    <row r="55" spans="1:14" x14ac:dyDescent="0.2">
      <c r="B55" s="8">
        <v>75</v>
      </c>
      <c r="C55" s="10">
        <f t="shared" si="20"/>
        <v>1.6221000000000001</v>
      </c>
      <c r="D55" s="11">
        <f t="shared" si="21"/>
        <v>7.5000000000000002E-6</v>
      </c>
      <c r="E55" s="4">
        <v>1.3</v>
      </c>
      <c r="F55" s="8">
        <v>2339.29</v>
      </c>
      <c r="G55" s="8">
        <v>2324.6</v>
      </c>
      <c r="H55" s="7">
        <f t="shared" si="22"/>
        <v>2331.9449999999997</v>
      </c>
      <c r="I55" s="10">
        <f t="shared" si="24"/>
        <v>0.75073453608247431</v>
      </c>
      <c r="J55" s="4">
        <v>0.314</v>
      </c>
      <c r="K55" s="8">
        <v>935.59</v>
      </c>
      <c r="L55" s="8">
        <v>956.11</v>
      </c>
      <c r="M55" s="7">
        <f t="shared" si="23"/>
        <v>945.85</v>
      </c>
      <c r="N55" s="6">
        <f t="shared" si="25"/>
        <v>0.30450214775803397</v>
      </c>
    </row>
    <row r="56" spans="1:14" x14ac:dyDescent="0.2">
      <c r="B56" s="8">
        <v>100</v>
      </c>
      <c r="C56" s="10">
        <f t="shared" si="20"/>
        <v>2.1627999999999998</v>
      </c>
      <c r="D56" s="11">
        <f t="shared" si="21"/>
        <v>9.9999999999999991E-6</v>
      </c>
      <c r="E56" s="4">
        <v>1.3</v>
      </c>
      <c r="F56" s="8">
        <v>2969.32</v>
      </c>
      <c r="G56" s="8">
        <v>2915.73</v>
      </c>
      <c r="H56" s="7">
        <f t="shared" si="22"/>
        <v>2942.5250000000001</v>
      </c>
      <c r="I56" s="10">
        <f t="shared" si="24"/>
        <v>1.000979381443299</v>
      </c>
      <c r="J56" s="4">
        <v>0.32</v>
      </c>
      <c r="K56" s="8">
        <v>923.82</v>
      </c>
      <c r="L56" s="8">
        <v>929.52</v>
      </c>
      <c r="M56" s="7">
        <f t="shared" si="23"/>
        <v>926.67000000000007</v>
      </c>
      <c r="N56" s="6">
        <f t="shared" si="25"/>
        <v>0.31523183775908853</v>
      </c>
    </row>
    <row r="57" spans="1:14" x14ac:dyDescent="0.2">
      <c r="B57" s="8">
        <v>125</v>
      </c>
      <c r="C57" s="10">
        <f t="shared" si="20"/>
        <v>2.7035</v>
      </c>
      <c r="D57" s="11">
        <f t="shared" si="21"/>
        <v>1.2500000000000001E-5</v>
      </c>
      <c r="E57" s="4">
        <v>1.3049999999999999</v>
      </c>
      <c r="F57" s="8">
        <v>3619.56</v>
      </c>
      <c r="G57" s="8">
        <v>3611.36</v>
      </c>
      <c r="H57" s="7">
        <f t="shared" si="22"/>
        <v>3615.46</v>
      </c>
      <c r="I57" s="10">
        <f t="shared" si="24"/>
        <v>1.2512242268041238</v>
      </c>
      <c r="J57" s="4">
        <v>0.31900000000000001</v>
      </c>
      <c r="K57" s="8">
        <v>921.56</v>
      </c>
      <c r="L57" s="8">
        <v>931.84</v>
      </c>
      <c r="M57" s="7">
        <f t="shared" si="23"/>
        <v>926.7</v>
      </c>
      <c r="N57" s="6">
        <f t="shared" si="25"/>
        <v>0.32070870400429863</v>
      </c>
    </row>
    <row r="58" spans="1:14" x14ac:dyDescent="0.2">
      <c r="D58" s="5" t="s">
        <v>5</v>
      </c>
      <c r="E58" s="4">
        <f>AVERAGE(E52:E57)</f>
        <v>1.3025</v>
      </c>
      <c r="I58" s="5" t="s">
        <v>4</v>
      </c>
      <c r="J58" s="4">
        <f>AVERAGE(J52:J57)</f>
        <v>0.31716666666666665</v>
      </c>
      <c r="M58" s="3" t="s">
        <v>3</v>
      </c>
      <c r="N58" s="45">
        <f>AVERAGE(N52:N57)</f>
        <v>0.32008424078327052</v>
      </c>
    </row>
    <row r="59" spans="1:14" x14ac:dyDescent="0.2">
      <c r="C59" s="20"/>
      <c r="M59" s="3" t="s">
        <v>2</v>
      </c>
      <c r="N59" s="40">
        <f>STDEV(N52:N57)</f>
        <v>1.201883100101561E-2</v>
      </c>
    </row>
    <row r="60" spans="1:14" x14ac:dyDescent="0.2">
      <c r="M60" s="3" t="s">
        <v>1</v>
      </c>
      <c r="N60" s="41">
        <f>N59/N58</f>
        <v>3.7548962022012126E-2</v>
      </c>
    </row>
    <row r="61" spans="1:14" x14ac:dyDescent="0.2">
      <c r="M61" s="3" t="s">
        <v>0</v>
      </c>
      <c r="N61" s="42">
        <f>RSQ(H52:H57, D52:D57)</f>
        <v>0.99764795855794119</v>
      </c>
    </row>
    <row r="62" spans="1:14" x14ac:dyDescent="0.2">
      <c r="A62" s="31"/>
      <c r="B62" s="32"/>
      <c r="C62" s="31"/>
      <c r="D62" s="31"/>
      <c r="E62" s="31"/>
      <c r="F62" s="32"/>
      <c r="G62" s="31"/>
      <c r="H62" s="31"/>
      <c r="I62" s="31"/>
      <c r="J62" s="31"/>
      <c r="K62" s="31"/>
      <c r="L62" s="31"/>
      <c r="M62" s="35"/>
      <c r="N62" s="39"/>
    </row>
    <row r="63" spans="1:14" x14ac:dyDescent="0.2">
      <c r="A63" s="28" t="s">
        <v>22</v>
      </c>
      <c r="B63" s="1" t="s">
        <v>30</v>
      </c>
      <c r="E63" s="17"/>
      <c r="F63" s="1"/>
    </row>
    <row r="64" spans="1:14" x14ac:dyDescent="0.2">
      <c r="A64" s="23" t="s">
        <v>23</v>
      </c>
      <c r="B64" s="26">
        <v>394.59</v>
      </c>
      <c r="E64" s="17"/>
      <c r="F64" s="1"/>
      <c r="H64" s="17"/>
      <c r="L64" s="21"/>
    </row>
    <row r="65" spans="1:14" x14ac:dyDescent="0.2">
      <c r="A65" s="23" t="s">
        <v>24</v>
      </c>
      <c r="B65" s="15">
        <v>20.5</v>
      </c>
      <c r="E65" s="17"/>
      <c r="F65" s="1"/>
      <c r="H65" s="17"/>
    </row>
    <row r="66" spans="1:14" x14ac:dyDescent="0.2">
      <c r="A66" s="23" t="s">
        <v>25</v>
      </c>
      <c r="B66" s="15">
        <v>3</v>
      </c>
      <c r="E66" s="17"/>
      <c r="F66" s="18"/>
      <c r="M66" s="5"/>
      <c r="N66" s="5"/>
    </row>
    <row r="67" spans="1:14" x14ac:dyDescent="0.2">
      <c r="A67" s="23" t="s">
        <v>26</v>
      </c>
      <c r="B67" s="15">
        <f>B65/B66</f>
        <v>6.833333333333333</v>
      </c>
      <c r="E67" s="17"/>
      <c r="F67" s="18"/>
      <c r="M67" s="22"/>
      <c r="N67" s="14"/>
    </row>
    <row r="68" spans="1:14" x14ac:dyDescent="0.2">
      <c r="B68" s="1"/>
      <c r="F68" s="1"/>
      <c r="M68" s="22"/>
      <c r="N68" s="14"/>
    </row>
    <row r="69" spans="1:14" x14ac:dyDescent="0.2">
      <c r="B69" s="1"/>
      <c r="F69" s="1"/>
      <c r="I69" s="16"/>
      <c r="J69" s="16"/>
      <c r="K69" s="16"/>
      <c r="L69" s="16"/>
      <c r="M69" s="22"/>
      <c r="N69" s="14"/>
    </row>
    <row r="70" spans="1:14" x14ac:dyDescent="0.2">
      <c r="B70" s="1"/>
      <c r="F70" s="1"/>
      <c r="I70" s="16"/>
      <c r="J70" s="16"/>
      <c r="K70" s="16"/>
      <c r="L70" s="16"/>
      <c r="M70" s="22"/>
      <c r="N70" s="14"/>
    </row>
    <row r="71" spans="1:14" ht="17" thickBot="1" x14ac:dyDescent="0.25">
      <c r="B71" s="1"/>
      <c r="F71" s="1"/>
      <c r="I71" s="16"/>
      <c r="J71" s="16"/>
      <c r="K71" s="132">
        <v>5</v>
      </c>
      <c r="L71" s="22">
        <f>H84/M84</f>
        <v>0.36220089437485292</v>
      </c>
      <c r="M71" s="22"/>
      <c r="N71" s="14"/>
    </row>
    <row r="72" spans="1:14" ht="17" thickBot="1" x14ac:dyDescent="0.25">
      <c r="A72" s="16"/>
      <c r="B72" s="48" t="s">
        <v>11</v>
      </c>
      <c r="C72" s="49" t="s">
        <v>34</v>
      </c>
      <c r="D72" s="49" t="s">
        <v>45</v>
      </c>
      <c r="E72" s="49" t="s">
        <v>10</v>
      </c>
      <c r="F72" s="50" t="s">
        <v>46</v>
      </c>
      <c r="G72" s="50" t="s">
        <v>37</v>
      </c>
      <c r="H72" s="51" t="s">
        <v>38</v>
      </c>
      <c r="I72" s="16"/>
      <c r="J72" s="16"/>
      <c r="K72" s="132">
        <v>25</v>
      </c>
      <c r="L72" s="22">
        <f t="shared" ref="L72:L76" si="26">H85/M85</f>
        <v>1.8565337701956954</v>
      </c>
      <c r="M72" s="22"/>
      <c r="N72" s="14"/>
    </row>
    <row r="73" spans="1:14" x14ac:dyDescent="0.2">
      <c r="A73" s="16"/>
      <c r="B73" s="8">
        <v>5</v>
      </c>
      <c r="C73" s="9">
        <f t="shared" ref="C73:C78" si="27">0.1*B73/100</f>
        <v>5.0000000000000001E-3</v>
      </c>
      <c r="D73" s="10">
        <f>C73*$B$64</f>
        <v>1.97295</v>
      </c>
      <c r="E73" s="10">
        <f t="shared" ref="E73:E78" si="28">D73/10</f>
        <v>0.197295</v>
      </c>
      <c r="F73" s="15">
        <f>E73/$B$67*1000</f>
        <v>28.872439024390246</v>
      </c>
      <c r="G73" s="15">
        <f>$F$8/$F$6*1000</f>
        <v>94.541910331384017</v>
      </c>
      <c r="H73" s="14">
        <f t="shared" ref="H73:H78" si="29">1000-G73-F73</f>
        <v>876.58565064422578</v>
      </c>
      <c r="I73" s="16"/>
      <c r="J73" s="16"/>
      <c r="K73" s="132">
        <v>50</v>
      </c>
      <c r="L73" s="22">
        <f t="shared" si="26"/>
        <v>3.6092682025703948</v>
      </c>
    </row>
    <row r="74" spans="1:14" x14ac:dyDescent="0.2">
      <c r="A74" s="16"/>
      <c r="B74" s="8">
        <v>25</v>
      </c>
      <c r="C74" s="9">
        <f t="shared" si="27"/>
        <v>2.5000000000000001E-2</v>
      </c>
      <c r="D74" s="10">
        <f t="shared" ref="D74:D78" si="30">C74*$B$64</f>
        <v>9.8647500000000008</v>
      </c>
      <c r="E74" s="10">
        <f t="shared" si="28"/>
        <v>0.9864750000000001</v>
      </c>
      <c r="F74" s="15">
        <f t="shared" ref="F74:F78" si="31">E74/$B$67*1000</f>
        <v>144.36219512195126</v>
      </c>
      <c r="G74" s="15">
        <f t="shared" ref="G74:G78" si="32">$F$8/$F$6*1000</f>
        <v>94.541910331384017</v>
      </c>
      <c r="H74" s="14">
        <f t="shared" si="29"/>
        <v>761.09589454666479</v>
      </c>
      <c r="I74" s="16"/>
      <c r="J74" s="16"/>
      <c r="K74" s="132">
        <v>75</v>
      </c>
      <c r="L74" s="22">
        <f t="shared" si="26"/>
        <v>5.6217962477997689</v>
      </c>
    </row>
    <row r="75" spans="1:14" x14ac:dyDescent="0.2">
      <c r="A75" s="16"/>
      <c r="B75" s="8">
        <v>50</v>
      </c>
      <c r="C75" s="9">
        <f t="shared" si="27"/>
        <v>0.05</v>
      </c>
      <c r="D75" s="10">
        <f>C75*$B$64</f>
        <v>19.729500000000002</v>
      </c>
      <c r="E75" s="10">
        <f t="shared" si="28"/>
        <v>1.9729500000000002</v>
      </c>
      <c r="F75" s="15">
        <f t="shared" si="31"/>
        <v>288.72439024390252</v>
      </c>
      <c r="G75" s="15">
        <f t="shared" si="32"/>
        <v>94.541910331384017</v>
      </c>
      <c r="H75" s="14">
        <f t="shared" si="29"/>
        <v>616.73369942471345</v>
      </c>
      <c r="I75" s="16"/>
      <c r="J75" s="16"/>
      <c r="K75" s="132">
        <v>100</v>
      </c>
      <c r="L75" s="22">
        <f t="shared" si="26"/>
        <v>7.4042518722138899</v>
      </c>
    </row>
    <row r="76" spans="1:14" x14ac:dyDescent="0.2">
      <c r="A76" s="16"/>
      <c r="B76" s="8">
        <v>75</v>
      </c>
      <c r="C76" s="9">
        <f t="shared" si="27"/>
        <v>7.4999999999999997E-2</v>
      </c>
      <c r="D76" s="10">
        <f t="shared" si="30"/>
        <v>29.594249999999995</v>
      </c>
      <c r="E76" s="10">
        <f t="shared" si="28"/>
        <v>2.9594249999999995</v>
      </c>
      <c r="F76" s="15">
        <f t="shared" si="31"/>
        <v>433.08658536585358</v>
      </c>
      <c r="G76" s="15">
        <f t="shared" si="32"/>
        <v>94.541910331384017</v>
      </c>
      <c r="H76" s="14">
        <f t="shared" si="29"/>
        <v>472.37150430276245</v>
      </c>
      <c r="K76" s="132">
        <v>125</v>
      </c>
      <c r="L76" s="22">
        <f t="shared" si="26"/>
        <v>9.0003470585492966</v>
      </c>
    </row>
    <row r="77" spans="1:14" x14ac:dyDescent="0.2">
      <c r="A77" s="16"/>
      <c r="B77" s="8">
        <v>100</v>
      </c>
      <c r="C77" s="9">
        <f t="shared" si="27"/>
        <v>0.1</v>
      </c>
      <c r="D77" s="10">
        <f t="shared" si="30"/>
        <v>39.459000000000003</v>
      </c>
      <c r="E77" s="10">
        <f t="shared" si="28"/>
        <v>3.9459000000000004</v>
      </c>
      <c r="F77" s="15">
        <f t="shared" si="31"/>
        <v>577.44878048780504</v>
      </c>
      <c r="G77" s="15">
        <f t="shared" si="32"/>
        <v>94.541910331384017</v>
      </c>
      <c r="H77" s="14">
        <f t="shared" si="29"/>
        <v>328.00930918081099</v>
      </c>
      <c r="K77" s="58" t="s">
        <v>182</v>
      </c>
      <c r="L77" s="22">
        <f>RSQ(K71:K76,L71:L76)</f>
        <v>0.99912741195243537</v>
      </c>
    </row>
    <row r="78" spans="1:14" x14ac:dyDescent="0.2">
      <c r="A78" s="16"/>
      <c r="B78" s="8">
        <v>125</v>
      </c>
      <c r="C78" s="9">
        <f t="shared" si="27"/>
        <v>0.125</v>
      </c>
      <c r="D78" s="10">
        <f t="shared" si="30"/>
        <v>49.323749999999997</v>
      </c>
      <c r="E78" s="10">
        <f t="shared" si="28"/>
        <v>4.9323749999999995</v>
      </c>
      <c r="F78" s="15">
        <f t="shared" si="31"/>
        <v>721.81097560975604</v>
      </c>
      <c r="G78" s="15">
        <f t="shared" si="32"/>
        <v>94.541910331384017</v>
      </c>
      <c r="H78" s="14">
        <f t="shared" si="29"/>
        <v>183.64711405885998</v>
      </c>
    </row>
    <row r="79" spans="1:14" x14ac:dyDescent="0.2">
      <c r="B79" s="1"/>
      <c r="E79" s="13" t="s">
        <v>13</v>
      </c>
      <c r="F79" s="12">
        <f>SUM(F73:F78)</f>
        <v>2194.3053658536587</v>
      </c>
    </row>
    <row r="80" spans="1:14" x14ac:dyDescent="0.2">
      <c r="B80" s="1"/>
      <c r="F80" s="1"/>
    </row>
    <row r="81" spans="1:14" x14ac:dyDescent="0.2">
      <c r="B81" s="1"/>
      <c r="F81" s="1"/>
    </row>
    <row r="82" spans="1:14" ht="15.5" customHeight="1" thickBot="1" x14ac:dyDescent="0.25">
      <c r="B82" s="135" t="s">
        <v>55</v>
      </c>
      <c r="C82" s="135"/>
      <c r="D82" s="135"/>
      <c r="E82" s="135"/>
      <c r="F82" s="135"/>
      <c r="G82" s="135"/>
      <c r="H82" s="135"/>
      <c r="I82" s="134" t="s">
        <v>12</v>
      </c>
      <c r="J82" s="134"/>
      <c r="K82" s="134"/>
      <c r="L82" s="134"/>
      <c r="M82" s="134"/>
    </row>
    <row r="83" spans="1:14" ht="17" thickBot="1" x14ac:dyDescent="0.25">
      <c r="B83" s="48" t="s">
        <v>11</v>
      </c>
      <c r="C83" s="49" t="s">
        <v>10</v>
      </c>
      <c r="D83" s="49" t="s">
        <v>56</v>
      </c>
      <c r="E83" s="50" t="s">
        <v>8</v>
      </c>
      <c r="F83" s="49" t="s">
        <v>57</v>
      </c>
      <c r="G83" s="49" t="s">
        <v>58</v>
      </c>
      <c r="H83" s="49" t="s">
        <v>59</v>
      </c>
      <c r="I83" s="50" t="s">
        <v>9</v>
      </c>
      <c r="J83" s="50" t="s">
        <v>8</v>
      </c>
      <c r="K83" s="49" t="s">
        <v>53</v>
      </c>
      <c r="L83" s="49" t="s">
        <v>54</v>
      </c>
      <c r="M83" s="49" t="s">
        <v>7</v>
      </c>
      <c r="N83" s="52" t="s">
        <v>6</v>
      </c>
    </row>
    <row r="84" spans="1:14" x14ac:dyDescent="0.2">
      <c r="B84" s="8">
        <v>5</v>
      </c>
      <c r="C84" s="10">
        <f t="shared" ref="C84:C89" si="33">E73</f>
        <v>0.197295</v>
      </c>
      <c r="D84" s="11">
        <f>C84/$B$64/1000</f>
        <v>4.9999999999999998E-7</v>
      </c>
      <c r="E84" s="4">
        <v>3.3849999999999998</v>
      </c>
      <c r="F84" s="8">
        <v>348.9</v>
      </c>
      <c r="G84" s="8">
        <v>343.61</v>
      </c>
      <c r="H84" s="7">
        <f t="shared" ref="H84:H89" si="34">AVERAGE(F84:G84)</f>
        <v>346.255</v>
      </c>
      <c r="I84" s="10">
        <f>D84/$F$7</f>
        <v>5.0048969072164953E-2</v>
      </c>
      <c r="J84" s="4">
        <v>0.32500000000000001</v>
      </c>
      <c r="K84" s="16">
        <v>907.91</v>
      </c>
      <c r="L84" s="8">
        <v>1004.04</v>
      </c>
      <c r="M84" s="7">
        <f t="shared" ref="M84:M89" si="35">AVERAGE(K84:L84)</f>
        <v>955.97499999999991</v>
      </c>
      <c r="N84" s="6">
        <f>D84/$F$7*M84/H84</f>
        <v>0.13818013662983319</v>
      </c>
    </row>
    <row r="85" spans="1:14" x14ac:dyDescent="0.2">
      <c r="B85" s="8">
        <v>25</v>
      </c>
      <c r="C85" s="10">
        <f t="shared" si="33"/>
        <v>0.9864750000000001</v>
      </c>
      <c r="D85" s="11">
        <f t="shared" ref="D85:D89" si="36">C85/$B$64/1000</f>
        <v>2.5000000000000006E-6</v>
      </c>
      <c r="E85" s="4">
        <v>3.383</v>
      </c>
      <c r="F85" s="8">
        <v>1758.23</v>
      </c>
      <c r="G85" s="8">
        <v>1777.52</v>
      </c>
      <c r="H85" s="7">
        <f t="shared" si="34"/>
        <v>1767.875</v>
      </c>
      <c r="I85" s="10">
        <f t="shared" ref="I85:I89" si="37">D85/$F$7</f>
        <v>0.25024484536082481</v>
      </c>
      <c r="J85" s="4">
        <v>0.32300000000000001</v>
      </c>
      <c r="K85" s="8">
        <v>950.15</v>
      </c>
      <c r="L85" s="8">
        <v>954.34</v>
      </c>
      <c r="M85" s="7">
        <f t="shared" si="35"/>
        <v>952.245</v>
      </c>
      <c r="N85" s="6">
        <f t="shared" ref="N85:N89" si="38">D85/$F$7*M85/H85</f>
        <v>0.13479143195679483</v>
      </c>
    </row>
    <row r="86" spans="1:14" x14ac:dyDescent="0.2">
      <c r="B86" s="8">
        <v>50</v>
      </c>
      <c r="C86" s="10">
        <f t="shared" si="33"/>
        <v>1.9729500000000002</v>
      </c>
      <c r="D86" s="11">
        <f t="shared" si="36"/>
        <v>5.0000000000000013E-6</v>
      </c>
      <c r="E86" s="4">
        <v>3.3889999999999998</v>
      </c>
      <c r="F86" s="8">
        <v>3399.97</v>
      </c>
      <c r="G86" s="8">
        <v>3438.33</v>
      </c>
      <c r="H86" s="7">
        <f t="shared" si="34"/>
        <v>3419.1499999999996</v>
      </c>
      <c r="I86" s="10">
        <f t="shared" si="37"/>
        <v>0.50048969072164962</v>
      </c>
      <c r="J86" s="4">
        <v>0.32200000000000001</v>
      </c>
      <c r="K86" s="8">
        <v>942.4</v>
      </c>
      <c r="L86" s="8">
        <v>952.25</v>
      </c>
      <c r="M86" s="7">
        <f t="shared" si="35"/>
        <v>947.32500000000005</v>
      </c>
      <c r="N86" s="6">
        <f t="shared" si="38"/>
        <v>0.13866791344716869</v>
      </c>
    </row>
    <row r="87" spans="1:14" x14ac:dyDescent="0.2">
      <c r="B87" s="8">
        <v>75</v>
      </c>
      <c r="C87" s="10">
        <f t="shared" si="33"/>
        <v>2.9594249999999995</v>
      </c>
      <c r="D87" s="11">
        <f t="shared" si="36"/>
        <v>7.4999999999999985E-6</v>
      </c>
      <c r="E87" s="4">
        <v>3.3889999999999998</v>
      </c>
      <c r="F87" s="8">
        <v>5206.88</v>
      </c>
      <c r="G87" s="8">
        <v>5269</v>
      </c>
      <c r="H87" s="7">
        <f t="shared" si="34"/>
        <v>5237.9400000000005</v>
      </c>
      <c r="I87" s="10">
        <f t="shared" si="37"/>
        <v>0.75073453608247409</v>
      </c>
      <c r="J87" s="4">
        <v>0.32200000000000001</v>
      </c>
      <c r="K87" s="8">
        <v>923.09</v>
      </c>
      <c r="L87" s="8">
        <v>940.35</v>
      </c>
      <c r="M87" s="7">
        <f t="shared" si="35"/>
        <v>931.72</v>
      </c>
      <c r="N87" s="6">
        <f t="shared" si="38"/>
        <v>0.13353997601323472</v>
      </c>
    </row>
    <row r="88" spans="1:14" x14ac:dyDescent="0.2">
      <c r="B88" s="8">
        <v>100</v>
      </c>
      <c r="C88" s="10">
        <f t="shared" si="33"/>
        <v>3.9459000000000004</v>
      </c>
      <c r="D88" s="11">
        <f t="shared" si="36"/>
        <v>1.0000000000000003E-5</v>
      </c>
      <c r="E88" s="4">
        <v>3.387</v>
      </c>
      <c r="F88" s="8">
        <v>7079.24</v>
      </c>
      <c r="G88" s="8">
        <v>7088.87</v>
      </c>
      <c r="H88" s="7">
        <f t="shared" si="34"/>
        <v>7084.0550000000003</v>
      </c>
      <c r="I88" s="10">
        <f t="shared" si="37"/>
        <v>1.0009793814432992</v>
      </c>
      <c r="J88" s="4">
        <v>0.32700000000000001</v>
      </c>
      <c r="K88" s="8">
        <v>956.66</v>
      </c>
      <c r="L88" s="8">
        <v>956.85</v>
      </c>
      <c r="M88" s="7">
        <f t="shared" si="35"/>
        <v>956.755</v>
      </c>
      <c r="N88" s="6">
        <f t="shared" si="38"/>
        <v>0.13518980698099939</v>
      </c>
    </row>
    <row r="89" spans="1:14" x14ac:dyDescent="0.2">
      <c r="B89" s="8">
        <v>125</v>
      </c>
      <c r="C89" s="10">
        <f t="shared" si="33"/>
        <v>4.9323749999999995</v>
      </c>
      <c r="D89" s="11">
        <f t="shared" si="36"/>
        <v>1.2499999999999999E-5</v>
      </c>
      <c r="E89" s="4">
        <v>3.3849999999999998</v>
      </c>
      <c r="F89" s="8">
        <v>8659.2000000000007</v>
      </c>
      <c r="G89" s="8">
        <v>8716.06</v>
      </c>
      <c r="H89" s="7">
        <f t="shared" si="34"/>
        <v>8687.630000000001</v>
      </c>
      <c r="I89" s="10">
        <f t="shared" si="37"/>
        <v>1.2512242268041238</v>
      </c>
      <c r="J89" s="4">
        <v>0.32500000000000001</v>
      </c>
      <c r="K89" s="8">
        <v>958.98</v>
      </c>
      <c r="L89" s="8">
        <v>971.53</v>
      </c>
      <c r="M89" s="7">
        <f t="shared" si="35"/>
        <v>965.255</v>
      </c>
      <c r="N89" s="6">
        <f t="shared" si="38"/>
        <v>0.13901955320885148</v>
      </c>
    </row>
    <row r="90" spans="1:14" x14ac:dyDescent="0.2">
      <c r="B90" s="1"/>
      <c r="D90" s="5" t="s">
        <v>17</v>
      </c>
      <c r="E90" s="4">
        <f>AVERAGE(E84:E89)</f>
        <v>3.386333333333333</v>
      </c>
      <c r="F90" s="1"/>
      <c r="I90" s="5" t="s">
        <v>4</v>
      </c>
      <c r="J90" s="4">
        <f>AVERAGE(J84:J89)</f>
        <v>0.32400000000000001</v>
      </c>
      <c r="M90" s="3" t="s">
        <v>3</v>
      </c>
      <c r="N90" s="43">
        <f>AVERAGE(N84:N89)</f>
        <v>0.1365648030394804</v>
      </c>
    </row>
    <row r="91" spans="1:14" x14ac:dyDescent="0.2">
      <c r="B91" s="1"/>
      <c r="C91" s="20"/>
      <c r="F91" s="1"/>
      <c r="M91" s="3" t="s">
        <v>2</v>
      </c>
      <c r="N91" s="26">
        <f>STDEV(N84:N89)</f>
        <v>2.3342327255664211E-3</v>
      </c>
    </row>
    <row r="92" spans="1:14" x14ac:dyDescent="0.2">
      <c r="B92" s="1"/>
      <c r="C92" s="20"/>
      <c r="F92" s="1"/>
      <c r="M92" s="3" t="s">
        <v>1</v>
      </c>
      <c r="N92" s="36">
        <f>N91/N90</f>
        <v>1.7092491429813013E-2</v>
      </c>
    </row>
    <row r="93" spans="1:14" x14ac:dyDescent="0.2">
      <c r="B93" s="1"/>
      <c r="C93" s="20"/>
      <c r="F93" s="1"/>
      <c r="M93" s="3" t="s">
        <v>0</v>
      </c>
      <c r="N93" s="37">
        <f>RSQ(H84:H89, D84:D89)</f>
        <v>0.99965581038637297</v>
      </c>
    </row>
    <row r="94" spans="1:14" x14ac:dyDescent="0.2">
      <c r="A94" s="31"/>
      <c r="B94" s="31"/>
      <c r="C94" s="33"/>
      <c r="D94" s="31"/>
      <c r="E94" s="31"/>
      <c r="F94" s="31"/>
      <c r="G94" s="31"/>
      <c r="H94" s="31"/>
      <c r="I94" s="31"/>
      <c r="J94" s="31"/>
      <c r="K94" s="31"/>
      <c r="L94" s="31"/>
      <c r="M94" s="34"/>
      <c r="N94" s="38"/>
    </row>
    <row r="95" spans="1:14" x14ac:dyDescent="0.2">
      <c r="A95" s="28" t="s">
        <v>22</v>
      </c>
      <c r="B95" s="1" t="s">
        <v>31</v>
      </c>
      <c r="F95" s="1"/>
    </row>
    <row r="96" spans="1:14" x14ac:dyDescent="0.2">
      <c r="A96" s="23" t="s">
        <v>23</v>
      </c>
      <c r="B96" s="26">
        <v>340.39</v>
      </c>
      <c r="F96" s="1"/>
    </row>
    <row r="97" spans="1:14" x14ac:dyDescent="0.2">
      <c r="A97" s="23" t="s">
        <v>24</v>
      </c>
      <c r="B97" s="15">
        <v>20</v>
      </c>
      <c r="F97" s="1"/>
      <c r="M97" s="2"/>
    </row>
    <row r="98" spans="1:14" x14ac:dyDescent="0.2">
      <c r="A98" s="23" t="s">
        <v>25</v>
      </c>
      <c r="B98" s="15">
        <v>3</v>
      </c>
      <c r="F98" s="1"/>
      <c r="M98" s="2"/>
    </row>
    <row r="99" spans="1:14" x14ac:dyDescent="0.2">
      <c r="A99" s="23" t="s">
        <v>26</v>
      </c>
      <c r="B99" s="15">
        <f>B97/B98</f>
        <v>6.666666666666667</v>
      </c>
      <c r="F99" s="1"/>
      <c r="M99" s="19"/>
    </row>
    <row r="100" spans="1:14" ht="17" thickBot="1" x14ac:dyDescent="0.25">
      <c r="B100" s="1"/>
      <c r="F100" s="1"/>
      <c r="K100" s="132">
        <v>5</v>
      </c>
      <c r="L100" s="22">
        <f>H113/M113</f>
        <v>0.28068011499054035</v>
      </c>
    </row>
    <row r="101" spans="1:14" ht="17" thickBot="1" x14ac:dyDescent="0.25">
      <c r="B101" s="48" t="s">
        <v>11</v>
      </c>
      <c r="C101" s="49" t="s">
        <v>34</v>
      </c>
      <c r="D101" s="49" t="s">
        <v>43</v>
      </c>
      <c r="E101" s="49" t="s">
        <v>10</v>
      </c>
      <c r="F101" s="50" t="s">
        <v>44</v>
      </c>
      <c r="G101" s="50" t="s">
        <v>37</v>
      </c>
      <c r="H101" s="51" t="s">
        <v>38</v>
      </c>
      <c r="I101" s="16"/>
      <c r="J101" s="16"/>
      <c r="K101" s="132">
        <v>25</v>
      </c>
      <c r="L101" s="22">
        <f t="shared" ref="L101:L105" si="39">H114/M114</f>
        <v>1.4959036451196117</v>
      </c>
    </row>
    <row r="102" spans="1:14" x14ac:dyDescent="0.2">
      <c r="B102" s="8">
        <v>5</v>
      </c>
      <c r="C102" s="9">
        <f t="shared" ref="C102:C107" si="40">0.1*B102/100</f>
        <v>5.0000000000000001E-3</v>
      </c>
      <c r="D102" s="10">
        <f>C102*$B$96</f>
        <v>1.7019500000000001</v>
      </c>
      <c r="E102" s="10">
        <f t="shared" ref="E102:E107" si="41">D102/10</f>
        <v>0.17019500000000001</v>
      </c>
      <c r="F102" s="15">
        <f>E102/$B$99*1000</f>
        <v>25.529250000000001</v>
      </c>
      <c r="G102" s="15">
        <f t="shared" ref="G102:G107" si="42">$F$6/$F$5*1000</f>
        <v>105.66970492816313</v>
      </c>
      <c r="H102" s="14">
        <f t="shared" ref="H102:H107" si="43">1000-G102-F102</f>
        <v>868.80104507183682</v>
      </c>
      <c r="I102" s="16"/>
      <c r="J102" s="16"/>
      <c r="K102" s="132">
        <v>50</v>
      </c>
      <c r="L102" s="22">
        <f t="shared" si="39"/>
        <v>3.1528639811242947</v>
      </c>
    </row>
    <row r="103" spans="1:14" x14ac:dyDescent="0.2">
      <c r="B103" s="8">
        <v>25</v>
      </c>
      <c r="C103" s="9">
        <f t="shared" si="40"/>
        <v>2.5000000000000001E-2</v>
      </c>
      <c r="D103" s="10">
        <f t="shared" ref="D103:D107" si="44">C103*$B$96</f>
        <v>8.5097500000000004</v>
      </c>
      <c r="E103" s="10">
        <f t="shared" si="41"/>
        <v>0.85097500000000004</v>
      </c>
      <c r="F103" s="15">
        <f t="shared" ref="F103" si="45">E103/$B$99*1000</f>
        <v>127.64624999999999</v>
      </c>
      <c r="G103" s="15">
        <f t="shared" si="42"/>
        <v>105.66970492816313</v>
      </c>
      <c r="H103" s="14">
        <f t="shared" si="43"/>
        <v>766.68404507183686</v>
      </c>
      <c r="I103" s="16"/>
      <c r="J103" s="16"/>
      <c r="K103" s="132">
        <v>75</v>
      </c>
      <c r="L103" s="22">
        <f t="shared" si="39"/>
        <v>4.5142242715627763</v>
      </c>
    </row>
    <row r="104" spans="1:14" x14ac:dyDescent="0.2">
      <c r="B104" s="8">
        <v>50</v>
      </c>
      <c r="C104" s="9">
        <f t="shared" si="40"/>
        <v>0.05</v>
      </c>
      <c r="D104" s="10">
        <f t="shared" si="44"/>
        <v>17.019500000000001</v>
      </c>
      <c r="E104" s="10">
        <f t="shared" si="41"/>
        <v>1.7019500000000001</v>
      </c>
      <c r="F104" s="15">
        <f>E104/$B$99*1000</f>
        <v>255.29249999999999</v>
      </c>
      <c r="G104" s="15">
        <f t="shared" si="42"/>
        <v>105.66970492816313</v>
      </c>
      <c r="H104" s="14">
        <f t="shared" si="43"/>
        <v>639.03779507183685</v>
      </c>
      <c r="I104" s="16"/>
      <c r="J104" s="16"/>
      <c r="K104" s="132">
        <v>100</v>
      </c>
      <c r="L104" s="22">
        <f t="shared" si="39"/>
        <v>6.2642163308157253</v>
      </c>
    </row>
    <row r="105" spans="1:14" x14ac:dyDescent="0.2">
      <c r="B105" s="8">
        <v>75</v>
      </c>
      <c r="C105" s="9">
        <f t="shared" si="40"/>
        <v>7.4999999999999997E-2</v>
      </c>
      <c r="D105" s="10">
        <f t="shared" si="44"/>
        <v>25.529249999999998</v>
      </c>
      <c r="E105" s="10">
        <f t="shared" si="41"/>
        <v>2.5529249999999997</v>
      </c>
      <c r="F105" s="15">
        <f t="shared" ref="F105:F107" si="46">E105/$B$99*1000</f>
        <v>382.93874999999991</v>
      </c>
      <c r="G105" s="15">
        <f t="shared" si="42"/>
        <v>105.66970492816313</v>
      </c>
      <c r="H105" s="14">
        <f t="shared" si="43"/>
        <v>511.39154507183696</v>
      </c>
      <c r="K105" s="132">
        <v>125</v>
      </c>
      <c r="L105" s="22">
        <f t="shared" si="39"/>
        <v>7.9222006141782373</v>
      </c>
    </row>
    <row r="106" spans="1:14" x14ac:dyDescent="0.2">
      <c r="B106" s="8">
        <v>100</v>
      </c>
      <c r="C106" s="9">
        <f t="shared" si="40"/>
        <v>0.1</v>
      </c>
      <c r="D106" s="10">
        <f t="shared" si="44"/>
        <v>34.039000000000001</v>
      </c>
      <c r="E106" s="10">
        <f t="shared" si="41"/>
        <v>3.4039000000000001</v>
      </c>
      <c r="F106" s="15">
        <f t="shared" si="46"/>
        <v>510.58499999999998</v>
      </c>
      <c r="G106" s="15">
        <f t="shared" si="42"/>
        <v>105.66970492816313</v>
      </c>
      <c r="H106" s="14">
        <f t="shared" si="43"/>
        <v>383.74529507183689</v>
      </c>
      <c r="K106" s="58" t="s">
        <v>182</v>
      </c>
      <c r="L106" s="22">
        <f>RSQ(K100:K105,L100:L105)</f>
        <v>0.99909281996774968</v>
      </c>
    </row>
    <row r="107" spans="1:14" x14ac:dyDescent="0.2">
      <c r="B107" s="8">
        <v>125</v>
      </c>
      <c r="C107" s="9">
        <f t="shared" si="40"/>
        <v>0.125</v>
      </c>
      <c r="D107" s="10">
        <f t="shared" si="44"/>
        <v>42.548749999999998</v>
      </c>
      <c r="E107" s="10">
        <f t="shared" si="41"/>
        <v>4.2548750000000002</v>
      </c>
      <c r="F107" s="15">
        <f t="shared" si="46"/>
        <v>638.23125000000005</v>
      </c>
      <c r="G107" s="15">
        <f t="shared" si="42"/>
        <v>105.66970492816313</v>
      </c>
      <c r="H107" s="14">
        <f t="shared" si="43"/>
        <v>256.09904507183683</v>
      </c>
    </row>
    <row r="108" spans="1:14" x14ac:dyDescent="0.2">
      <c r="B108" s="1"/>
      <c r="E108" s="13" t="s">
        <v>13</v>
      </c>
      <c r="F108" s="12">
        <f>SUM(F102:F107)</f>
        <v>1940.223</v>
      </c>
    </row>
    <row r="109" spans="1:14" x14ac:dyDescent="0.2">
      <c r="B109" s="1"/>
      <c r="F109" s="1"/>
    </row>
    <row r="110" spans="1:14" x14ac:dyDescent="0.2">
      <c r="B110" s="1"/>
      <c r="F110" s="1"/>
    </row>
    <row r="111" spans="1:14" ht="15.5" customHeight="1" thickBot="1" x14ac:dyDescent="0.25">
      <c r="B111" s="134" t="s">
        <v>70</v>
      </c>
      <c r="C111" s="134"/>
      <c r="D111" s="134"/>
      <c r="E111" s="134"/>
      <c r="F111" s="134"/>
      <c r="G111" s="134"/>
      <c r="H111" s="134"/>
      <c r="I111" s="134" t="s">
        <v>12</v>
      </c>
      <c r="J111" s="134"/>
      <c r="K111" s="134"/>
      <c r="L111" s="134"/>
      <c r="M111" s="134"/>
    </row>
    <row r="112" spans="1:14" ht="17" thickBot="1" x14ac:dyDescent="0.25">
      <c r="B112" s="48" t="s">
        <v>11</v>
      </c>
      <c r="C112" s="49" t="s">
        <v>10</v>
      </c>
      <c r="D112" s="49" t="s">
        <v>66</v>
      </c>
      <c r="E112" s="50" t="s">
        <v>8</v>
      </c>
      <c r="F112" s="49" t="s">
        <v>67</v>
      </c>
      <c r="G112" s="49" t="s">
        <v>68</v>
      </c>
      <c r="H112" s="49" t="s">
        <v>69</v>
      </c>
      <c r="I112" s="50" t="s">
        <v>9</v>
      </c>
      <c r="J112" s="50" t="s">
        <v>8</v>
      </c>
      <c r="K112" s="49" t="s">
        <v>53</v>
      </c>
      <c r="L112" s="49" t="s">
        <v>54</v>
      </c>
      <c r="M112" s="49" t="s">
        <v>7</v>
      </c>
      <c r="N112" s="52" t="s">
        <v>6</v>
      </c>
    </row>
    <row r="113" spans="1:14" x14ac:dyDescent="0.2">
      <c r="B113" s="8">
        <v>5</v>
      </c>
      <c r="C113" s="10">
        <f t="shared" ref="C113:C118" si="47">E102</f>
        <v>0.17019500000000001</v>
      </c>
      <c r="D113" s="11">
        <f>C113/$B$96/1000</f>
        <v>4.9999999999999998E-7</v>
      </c>
      <c r="E113" s="4">
        <v>2.1309999999999998</v>
      </c>
      <c r="F113" s="8">
        <v>282.98</v>
      </c>
      <c r="G113" s="8">
        <v>288.19</v>
      </c>
      <c r="H113" s="7">
        <f t="shared" ref="H113:H118" si="48">AVERAGE(F113:G113)</f>
        <v>285.58500000000004</v>
      </c>
      <c r="I113" s="10">
        <f>D113/$F$7</f>
        <v>5.0048969072164953E-2</v>
      </c>
      <c r="J113" s="4">
        <v>0.32500000000000001</v>
      </c>
      <c r="K113" s="16">
        <v>1010.3</v>
      </c>
      <c r="L113" s="8">
        <v>1024.6500000000001</v>
      </c>
      <c r="M113" s="7">
        <f t="shared" ref="M113:M118" si="49">AVERAGE(K113:L113)</f>
        <v>1017.475</v>
      </c>
      <c r="N113" s="6">
        <f>D113/$F$7*M113/H113</f>
        <v>0.17831319854579555</v>
      </c>
    </row>
    <row r="114" spans="1:14" x14ac:dyDescent="0.2">
      <c r="B114" s="8">
        <v>25</v>
      </c>
      <c r="C114" s="10">
        <f t="shared" si="47"/>
        <v>0.85097500000000004</v>
      </c>
      <c r="D114" s="11">
        <f t="shared" ref="D114:D118" si="50">C114/$B$96/1000</f>
        <v>2.5000000000000002E-6</v>
      </c>
      <c r="E114" s="4">
        <v>2.125</v>
      </c>
      <c r="F114" s="8">
        <v>1531.54</v>
      </c>
      <c r="G114" s="8">
        <v>1525.01</v>
      </c>
      <c r="H114" s="7">
        <f t="shared" si="48"/>
        <v>1528.2750000000001</v>
      </c>
      <c r="I114" s="10">
        <f t="shared" ref="I114:I118" si="51">D114/$F$7</f>
        <v>0.25024484536082481</v>
      </c>
      <c r="J114" s="4">
        <v>0.32500000000000001</v>
      </c>
      <c r="K114" s="8">
        <v>1019.99</v>
      </c>
      <c r="L114" s="8">
        <v>1023.29</v>
      </c>
      <c r="M114" s="7">
        <f t="shared" si="49"/>
        <v>1021.64</v>
      </c>
      <c r="N114" s="6">
        <f t="shared" ref="N114:N118" si="52">D114/$F$7*M114/H114</f>
        <v>0.1672867408119828</v>
      </c>
    </row>
    <row r="115" spans="1:14" x14ac:dyDescent="0.2">
      <c r="B115" s="8">
        <v>50</v>
      </c>
      <c r="C115" s="10">
        <f t="shared" si="47"/>
        <v>1.7019500000000001</v>
      </c>
      <c r="D115" s="11">
        <f t="shared" si="50"/>
        <v>5.0000000000000004E-6</v>
      </c>
      <c r="E115" s="4">
        <v>2.1160000000000001</v>
      </c>
      <c r="F115" s="8">
        <v>3031.54</v>
      </c>
      <c r="G115" s="8">
        <v>3008.37</v>
      </c>
      <c r="H115" s="7">
        <f t="shared" si="48"/>
        <v>3019.9549999999999</v>
      </c>
      <c r="I115" s="10">
        <f t="shared" si="51"/>
        <v>0.50048969072164962</v>
      </c>
      <c r="J115" s="4">
        <v>0.32300000000000001</v>
      </c>
      <c r="K115" s="8">
        <v>910.8</v>
      </c>
      <c r="L115" s="8">
        <v>1004.89</v>
      </c>
      <c r="M115" s="7">
        <f t="shared" si="49"/>
        <v>957.84500000000003</v>
      </c>
      <c r="N115" s="6">
        <f t="shared" si="52"/>
        <v>0.15874128846597996</v>
      </c>
    </row>
    <row r="116" spans="1:14" x14ac:dyDescent="0.2">
      <c r="B116" s="8">
        <v>75</v>
      </c>
      <c r="C116" s="10">
        <f t="shared" si="47"/>
        <v>2.5529249999999997</v>
      </c>
      <c r="D116" s="11">
        <f t="shared" si="50"/>
        <v>7.4999999999999993E-6</v>
      </c>
      <c r="E116" s="4">
        <v>2.1230000000000002</v>
      </c>
      <c r="F116" s="8">
        <v>4555.3100000000004</v>
      </c>
      <c r="G116" s="8">
        <v>4618</v>
      </c>
      <c r="H116" s="7">
        <f t="shared" si="48"/>
        <v>4586.6550000000007</v>
      </c>
      <c r="I116" s="10">
        <f t="shared" si="51"/>
        <v>0.7507345360824742</v>
      </c>
      <c r="J116" s="4">
        <v>0.32300000000000001</v>
      </c>
      <c r="K116" s="8">
        <v>1010.41</v>
      </c>
      <c r="L116" s="8">
        <v>1021.68</v>
      </c>
      <c r="M116" s="7">
        <f t="shared" si="49"/>
        <v>1016.045</v>
      </c>
      <c r="N116" s="6">
        <f t="shared" si="52"/>
        <v>0.16630421771725087</v>
      </c>
    </row>
    <row r="117" spans="1:14" x14ac:dyDescent="0.2">
      <c r="B117" s="8">
        <v>100</v>
      </c>
      <c r="C117" s="10">
        <f t="shared" si="47"/>
        <v>3.4039000000000001</v>
      </c>
      <c r="D117" s="11">
        <f t="shared" si="50"/>
        <v>1.0000000000000001E-5</v>
      </c>
      <c r="E117" s="4">
        <v>2.1219999999999999</v>
      </c>
      <c r="F117" s="8">
        <v>6109.1</v>
      </c>
      <c r="G117" s="8">
        <v>6182.42</v>
      </c>
      <c r="H117" s="7">
        <f t="shared" si="48"/>
        <v>6145.76</v>
      </c>
      <c r="I117" s="10">
        <f t="shared" si="51"/>
        <v>1.0009793814432992</v>
      </c>
      <c r="J117" s="4">
        <v>0.32200000000000001</v>
      </c>
      <c r="K117" s="8">
        <v>978.19</v>
      </c>
      <c r="L117" s="8">
        <v>983.99</v>
      </c>
      <c r="M117" s="7">
        <f t="shared" si="49"/>
        <v>981.09</v>
      </c>
      <c r="N117" s="6">
        <f t="shared" si="52"/>
        <v>0.15979323327630862</v>
      </c>
    </row>
    <row r="118" spans="1:14" ht="17" thickBot="1" x14ac:dyDescent="0.25">
      <c r="B118" s="8">
        <v>125</v>
      </c>
      <c r="C118" s="10">
        <f t="shared" si="47"/>
        <v>4.2548750000000002</v>
      </c>
      <c r="D118" s="11">
        <f t="shared" si="50"/>
        <v>1.2500000000000001E-5</v>
      </c>
      <c r="E118" s="4">
        <v>2.1219999999999999</v>
      </c>
      <c r="F118" s="8">
        <v>7598.42</v>
      </c>
      <c r="G118" s="8">
        <v>7596.44</v>
      </c>
      <c r="H118" s="7">
        <f t="shared" si="48"/>
        <v>7597.43</v>
      </c>
      <c r="I118" s="10">
        <f t="shared" si="51"/>
        <v>1.2512242268041238</v>
      </c>
      <c r="J118" s="4">
        <v>0.32</v>
      </c>
      <c r="K118" s="8">
        <v>956</v>
      </c>
      <c r="L118" s="8">
        <v>962.01</v>
      </c>
      <c r="M118" s="7">
        <f t="shared" si="49"/>
        <v>959.005</v>
      </c>
      <c r="N118" s="6">
        <f t="shared" si="52"/>
        <v>0.15793897273502866</v>
      </c>
    </row>
    <row r="119" spans="1:14" ht="17" thickBot="1" x14ac:dyDescent="0.25">
      <c r="B119" s="1"/>
      <c r="D119" s="5" t="s">
        <v>5</v>
      </c>
      <c r="E119" s="4">
        <f>AVERAGE(E113:E118)</f>
        <v>2.1231666666666666</v>
      </c>
      <c r="F119" s="1"/>
      <c r="I119" s="5" t="s">
        <v>4</v>
      </c>
      <c r="J119" s="4">
        <f>AVERAGE(J113:J118)</f>
        <v>0.32300000000000001</v>
      </c>
      <c r="M119" s="3" t="s">
        <v>3</v>
      </c>
      <c r="N119" s="44">
        <f>AVERAGE(N113:N118)</f>
        <v>0.16472960859205774</v>
      </c>
    </row>
    <row r="120" spans="1:14" x14ac:dyDescent="0.2">
      <c r="B120" s="1"/>
      <c r="C120" s="20"/>
      <c r="F120" s="1"/>
      <c r="M120" s="3" t="s">
        <v>2</v>
      </c>
      <c r="N120" s="40">
        <f>STDEV(N113:N118)</f>
        <v>7.7443237232401605E-3</v>
      </c>
    </row>
    <row r="121" spans="1:14" x14ac:dyDescent="0.2">
      <c r="B121" s="1"/>
      <c r="F121" s="1"/>
      <c r="M121" s="3" t="s">
        <v>1</v>
      </c>
      <c r="N121" s="41">
        <f>N120/N119</f>
        <v>4.7012336090826751E-2</v>
      </c>
    </row>
    <row r="122" spans="1:14" x14ac:dyDescent="0.2">
      <c r="B122" s="1"/>
      <c r="F122" s="1"/>
      <c r="M122" s="3" t="s">
        <v>0</v>
      </c>
      <c r="N122" s="42">
        <f>RSQ(H113:H118, D113:D118)</f>
        <v>0.99989617475241976</v>
      </c>
    </row>
    <row r="123" spans="1:14" x14ac:dyDescent="0.2">
      <c r="A123" s="31"/>
      <c r="B123" s="31"/>
      <c r="C123" s="33"/>
      <c r="D123" s="31"/>
      <c r="E123" s="31"/>
      <c r="F123" s="31"/>
      <c r="G123" s="31"/>
      <c r="H123" s="31"/>
      <c r="I123" s="31"/>
      <c r="J123" s="31"/>
      <c r="K123" s="31"/>
      <c r="L123" s="31"/>
      <c r="M123" s="34"/>
      <c r="N123" s="38"/>
    </row>
    <row r="124" spans="1:14" x14ac:dyDescent="0.2">
      <c r="A124" s="28" t="s">
        <v>22</v>
      </c>
      <c r="B124" s="1" t="s">
        <v>33</v>
      </c>
      <c r="E124" s="17"/>
      <c r="F124" s="1"/>
      <c r="N124" s="1"/>
    </row>
    <row r="125" spans="1:14" x14ac:dyDescent="0.2">
      <c r="A125" s="23" t="s">
        <v>23</v>
      </c>
      <c r="B125" s="46">
        <v>448.3</v>
      </c>
      <c r="E125" s="17"/>
      <c r="F125" s="1"/>
      <c r="H125" s="17"/>
      <c r="L125" s="21"/>
      <c r="N125" s="1"/>
    </row>
    <row r="126" spans="1:14" x14ac:dyDescent="0.2">
      <c r="A126" s="23" t="s">
        <v>24</v>
      </c>
      <c r="B126" s="47">
        <v>26.1</v>
      </c>
      <c r="E126" s="17"/>
      <c r="F126" s="1"/>
      <c r="H126" s="17"/>
      <c r="N126" s="1"/>
    </row>
    <row r="127" spans="1:14" x14ac:dyDescent="0.2">
      <c r="A127" s="23" t="s">
        <v>25</v>
      </c>
      <c r="B127" s="47">
        <v>3</v>
      </c>
      <c r="E127" s="17"/>
      <c r="F127" s="18"/>
      <c r="M127" s="5"/>
      <c r="N127" s="5"/>
    </row>
    <row r="128" spans="1:14" x14ac:dyDescent="0.2">
      <c r="A128" s="23" t="s">
        <v>26</v>
      </c>
      <c r="B128" s="47">
        <f>B126/B127</f>
        <v>8.7000000000000011</v>
      </c>
      <c r="E128" s="17"/>
      <c r="F128" s="18"/>
      <c r="M128" s="22"/>
      <c r="N128" s="14"/>
    </row>
    <row r="129" spans="1:14" x14ac:dyDescent="0.2">
      <c r="B129" s="1"/>
      <c r="F129" s="1"/>
      <c r="M129" s="22"/>
      <c r="N129" s="14"/>
    </row>
    <row r="130" spans="1:14" x14ac:dyDescent="0.2">
      <c r="B130" s="1"/>
      <c r="F130" s="1"/>
      <c r="I130" s="16"/>
      <c r="J130" s="16"/>
      <c r="K130" s="16"/>
      <c r="L130" s="16"/>
      <c r="M130" s="22"/>
      <c r="N130" s="14"/>
    </row>
    <row r="131" spans="1:14" x14ac:dyDescent="0.2">
      <c r="B131" s="1"/>
      <c r="F131" s="1"/>
      <c r="I131" s="16"/>
      <c r="J131" s="16"/>
      <c r="K131" s="16"/>
      <c r="L131" s="16"/>
      <c r="M131" s="22"/>
      <c r="N131" s="14"/>
    </row>
    <row r="132" spans="1:14" ht="17" thickBot="1" x14ac:dyDescent="0.25">
      <c r="B132" s="1"/>
      <c r="F132" s="1"/>
      <c r="I132" s="16"/>
      <c r="J132" s="16"/>
      <c r="K132" s="132">
        <v>5</v>
      </c>
      <c r="L132" s="22">
        <f>H145/M145</f>
        <v>0.37390554237653656</v>
      </c>
      <c r="M132" s="22"/>
      <c r="N132" s="14"/>
    </row>
    <row r="133" spans="1:14" ht="17" thickBot="1" x14ac:dyDescent="0.25">
      <c r="A133" s="16"/>
      <c r="B133" s="48" t="s">
        <v>11</v>
      </c>
      <c r="C133" s="49" t="s">
        <v>34</v>
      </c>
      <c r="D133" s="49" t="s">
        <v>41</v>
      </c>
      <c r="E133" s="49" t="s">
        <v>10</v>
      </c>
      <c r="F133" s="50" t="s">
        <v>42</v>
      </c>
      <c r="G133" s="50" t="s">
        <v>37</v>
      </c>
      <c r="H133" s="51" t="s">
        <v>38</v>
      </c>
      <c r="I133" s="16"/>
      <c r="J133" s="16"/>
      <c r="K133" s="132">
        <v>25</v>
      </c>
      <c r="L133" s="22">
        <f t="shared" ref="L133:L137" si="53">H146/M146</f>
        <v>1.888035147669026</v>
      </c>
      <c r="M133" s="22"/>
      <c r="N133" s="14"/>
    </row>
    <row r="134" spans="1:14" x14ac:dyDescent="0.2">
      <c r="A134" s="16"/>
      <c r="B134" s="8">
        <v>5</v>
      </c>
      <c r="C134" s="9">
        <f t="shared" ref="C134:C139" si="54">0.1*B134/100</f>
        <v>5.0000000000000001E-3</v>
      </c>
      <c r="D134" s="10">
        <f>C134*$B$125</f>
        <v>2.2415000000000003</v>
      </c>
      <c r="E134" s="10">
        <f t="shared" ref="E134:E138" si="55">D134/10</f>
        <v>0.22415000000000002</v>
      </c>
      <c r="F134" s="15">
        <f>E134/$B$128*1000</f>
        <v>25.764367816091955</v>
      </c>
      <c r="G134" s="15">
        <f>$F$8/$F$6*1000</f>
        <v>94.541910331384017</v>
      </c>
      <c r="H134" s="14">
        <f t="shared" ref="H134:H139" si="56">1000-G134-F134</f>
        <v>879.69372185252405</v>
      </c>
      <c r="I134" s="16"/>
      <c r="J134" s="16"/>
      <c r="K134" s="132">
        <v>50</v>
      </c>
      <c r="L134" s="22">
        <f t="shared" si="53"/>
        <v>3.7662840121497294</v>
      </c>
      <c r="N134" s="1"/>
    </row>
    <row r="135" spans="1:14" x14ac:dyDescent="0.2">
      <c r="A135" s="16"/>
      <c r="B135" s="8">
        <v>25</v>
      </c>
      <c r="C135" s="9">
        <f t="shared" si="54"/>
        <v>2.5000000000000001E-2</v>
      </c>
      <c r="D135" s="10">
        <f t="shared" ref="D135:D139" si="57">C135*$B$125</f>
        <v>11.207500000000001</v>
      </c>
      <c r="E135" s="10">
        <f t="shared" si="55"/>
        <v>1.1207500000000001</v>
      </c>
      <c r="F135" s="15">
        <f t="shared" ref="F135:F139" si="58">E135/$B$128*1000</f>
        <v>128.82183908045977</v>
      </c>
      <c r="G135" s="15">
        <f t="shared" ref="G135:G139" si="59">$F$8/$F$6*1000</f>
        <v>94.541910331384017</v>
      </c>
      <c r="H135" s="14">
        <f t="shared" si="56"/>
        <v>776.63625058815626</v>
      </c>
      <c r="I135" s="16"/>
      <c r="J135" s="16"/>
      <c r="K135" s="132">
        <v>75</v>
      </c>
      <c r="L135" s="22">
        <f t="shared" si="53"/>
        <v>5.6200640711417442</v>
      </c>
      <c r="N135" s="1"/>
    </row>
    <row r="136" spans="1:14" x14ac:dyDescent="0.2">
      <c r="A136" s="16"/>
      <c r="B136" s="8">
        <v>50</v>
      </c>
      <c r="C136" s="9">
        <f t="shared" si="54"/>
        <v>0.05</v>
      </c>
      <c r="D136" s="10">
        <f t="shared" si="57"/>
        <v>22.415000000000003</v>
      </c>
      <c r="E136" s="10">
        <f t="shared" si="55"/>
        <v>2.2415000000000003</v>
      </c>
      <c r="F136" s="15">
        <f t="shared" si="58"/>
        <v>257.64367816091954</v>
      </c>
      <c r="G136" s="15">
        <f t="shared" si="59"/>
        <v>94.541910331384017</v>
      </c>
      <c r="H136" s="14">
        <f t="shared" si="56"/>
        <v>647.81441150769649</v>
      </c>
      <c r="I136" s="16"/>
      <c r="J136" s="16"/>
      <c r="K136" s="132">
        <v>100</v>
      </c>
      <c r="L136" s="22">
        <f t="shared" si="53"/>
        <v>7.3767995013178762</v>
      </c>
      <c r="N136" s="1"/>
    </row>
    <row r="137" spans="1:14" x14ac:dyDescent="0.2">
      <c r="A137" s="16"/>
      <c r="B137" s="8">
        <v>75</v>
      </c>
      <c r="C137" s="9">
        <f t="shared" si="54"/>
        <v>7.4999999999999997E-2</v>
      </c>
      <c r="D137" s="10">
        <f t="shared" si="57"/>
        <v>33.622500000000002</v>
      </c>
      <c r="E137" s="10">
        <f t="shared" si="55"/>
        <v>3.3622500000000004</v>
      </c>
      <c r="F137" s="15">
        <f t="shared" si="58"/>
        <v>386.4655172413793</v>
      </c>
      <c r="G137" s="15">
        <f t="shared" si="59"/>
        <v>94.541910331384017</v>
      </c>
      <c r="H137" s="14">
        <f t="shared" si="56"/>
        <v>518.99257242723672</v>
      </c>
      <c r="K137" s="132">
        <v>125</v>
      </c>
      <c r="L137" s="22">
        <f t="shared" si="53"/>
        <v>9.2439226046329583</v>
      </c>
      <c r="N137" s="1"/>
    </row>
    <row r="138" spans="1:14" x14ac:dyDescent="0.2">
      <c r="A138" s="16"/>
      <c r="B138" s="8">
        <v>100</v>
      </c>
      <c r="C138" s="9">
        <f t="shared" si="54"/>
        <v>0.1</v>
      </c>
      <c r="D138" s="10">
        <f>C138*$B$125</f>
        <v>44.830000000000005</v>
      </c>
      <c r="E138" s="10">
        <f t="shared" si="55"/>
        <v>4.4830000000000005</v>
      </c>
      <c r="F138" s="15">
        <f t="shared" si="58"/>
        <v>515.28735632183907</v>
      </c>
      <c r="G138" s="15">
        <f t="shared" si="59"/>
        <v>94.541910331384017</v>
      </c>
      <c r="H138" s="14">
        <f t="shared" si="56"/>
        <v>390.17073334677696</v>
      </c>
      <c r="K138" s="58" t="s">
        <v>182</v>
      </c>
      <c r="L138" s="22">
        <f>RSQ(K132:K137,L132:L137)</f>
        <v>0.9998792406580882</v>
      </c>
      <c r="N138" s="1"/>
    </row>
    <row r="139" spans="1:14" x14ac:dyDescent="0.2">
      <c r="A139" s="16"/>
      <c r="B139" s="8">
        <v>125</v>
      </c>
      <c r="C139" s="9">
        <f t="shared" si="54"/>
        <v>0.125</v>
      </c>
      <c r="D139" s="10">
        <f t="shared" si="57"/>
        <v>56.037500000000001</v>
      </c>
      <c r="E139" s="10">
        <f>D139/10</f>
        <v>5.6037499999999998</v>
      </c>
      <c r="F139" s="15">
        <f t="shared" si="58"/>
        <v>644.10919540229872</v>
      </c>
      <c r="G139" s="15">
        <f t="shared" si="59"/>
        <v>94.541910331384017</v>
      </c>
      <c r="H139" s="14">
        <f t="shared" si="56"/>
        <v>261.3488942663173</v>
      </c>
      <c r="N139" s="1"/>
    </row>
    <row r="140" spans="1:14" x14ac:dyDescent="0.2">
      <c r="B140" s="1"/>
      <c r="E140" s="13" t="s">
        <v>13</v>
      </c>
      <c r="F140" s="12">
        <f>SUM(F134:F139)</f>
        <v>1958.0919540229884</v>
      </c>
      <c r="N140" s="1"/>
    </row>
    <row r="141" spans="1:14" x14ac:dyDescent="0.2">
      <c r="B141" s="1"/>
      <c r="F141" s="1"/>
      <c r="N141" s="1"/>
    </row>
    <row r="142" spans="1:14" x14ac:dyDescent="0.2">
      <c r="B142" s="1"/>
      <c r="F142" s="1"/>
      <c r="N142" s="1"/>
    </row>
    <row r="143" spans="1:14" ht="15.5" customHeight="1" thickBot="1" x14ac:dyDescent="0.25">
      <c r="B143" s="134" t="s">
        <v>71</v>
      </c>
      <c r="C143" s="134"/>
      <c r="D143" s="134"/>
      <c r="E143" s="134"/>
      <c r="F143" s="134"/>
      <c r="G143" s="134"/>
      <c r="H143" s="134"/>
      <c r="I143" s="134" t="s">
        <v>12</v>
      </c>
      <c r="J143" s="134"/>
      <c r="K143" s="134"/>
      <c r="L143" s="134"/>
      <c r="M143" s="134"/>
      <c r="N143" s="1"/>
    </row>
    <row r="144" spans="1:14" ht="17" thickBot="1" x14ac:dyDescent="0.25">
      <c r="B144" s="48" t="s">
        <v>11</v>
      </c>
      <c r="C144" s="49" t="s">
        <v>10</v>
      </c>
      <c r="D144" s="49" t="s">
        <v>72</v>
      </c>
      <c r="E144" s="50" t="s">
        <v>8</v>
      </c>
      <c r="F144" s="49" t="s">
        <v>73</v>
      </c>
      <c r="G144" s="49" t="s">
        <v>74</v>
      </c>
      <c r="H144" s="49" t="s">
        <v>75</v>
      </c>
      <c r="I144" s="50" t="s">
        <v>9</v>
      </c>
      <c r="J144" s="50" t="s">
        <v>8</v>
      </c>
      <c r="K144" s="49" t="s">
        <v>53</v>
      </c>
      <c r="L144" s="49" t="s">
        <v>54</v>
      </c>
      <c r="M144" s="49" t="s">
        <v>7</v>
      </c>
      <c r="N144" s="52" t="s">
        <v>6</v>
      </c>
    </row>
    <row r="145" spans="1:14" x14ac:dyDescent="0.2">
      <c r="B145" s="8">
        <v>5</v>
      </c>
      <c r="C145" s="10">
        <f t="shared" ref="C145:C150" si="60">E134</f>
        <v>0.22415000000000002</v>
      </c>
      <c r="D145" s="11">
        <f>C145/$B$125/1000</f>
        <v>4.9999999999999998E-7</v>
      </c>
      <c r="E145" s="9">
        <v>3.15</v>
      </c>
      <c r="F145" s="8">
        <v>394.27</v>
      </c>
      <c r="G145" s="8">
        <v>385.94</v>
      </c>
      <c r="H145" s="7">
        <f t="shared" ref="H145:H150" si="61">AVERAGE(F145:G145)</f>
        <v>390.10500000000002</v>
      </c>
      <c r="I145" s="10">
        <f>D145/$F$7</f>
        <v>5.0048969072164953E-2</v>
      </c>
      <c r="J145" s="9">
        <v>0.32300000000000001</v>
      </c>
      <c r="K145" s="8">
        <v>1034.96</v>
      </c>
      <c r="L145" s="8">
        <v>1051.69</v>
      </c>
      <c r="M145" s="7">
        <f t="shared" ref="M145:M150" si="62">AVERAGE(K145:L145)</f>
        <v>1043.325</v>
      </c>
      <c r="N145" s="6">
        <f>D145/$F$7*M145/H145</f>
        <v>0.13385457929843633</v>
      </c>
    </row>
    <row r="146" spans="1:14" x14ac:dyDescent="0.2">
      <c r="B146" s="8">
        <v>25</v>
      </c>
      <c r="C146" s="10">
        <f t="shared" si="60"/>
        <v>1.1207500000000001</v>
      </c>
      <c r="D146" s="11">
        <f t="shared" ref="D146:D150" si="63">C146/$B$125/1000</f>
        <v>2.5000000000000002E-6</v>
      </c>
      <c r="E146" s="9">
        <v>3.1349999999999998</v>
      </c>
      <c r="F146" s="8">
        <v>1836.87</v>
      </c>
      <c r="G146" s="8">
        <v>2030.77</v>
      </c>
      <c r="H146" s="7">
        <f t="shared" si="61"/>
        <v>1933.82</v>
      </c>
      <c r="I146" s="10">
        <f t="shared" ref="I146:I150" si="64">D146/$F$7</f>
        <v>0.25024484536082481</v>
      </c>
      <c r="J146" s="9">
        <v>0.32200000000000001</v>
      </c>
      <c r="K146" s="8">
        <v>991.26</v>
      </c>
      <c r="L146" s="8">
        <v>1057.24</v>
      </c>
      <c r="M146" s="7">
        <f t="shared" si="62"/>
        <v>1024.25</v>
      </c>
      <c r="N146" s="6">
        <f t="shared" ref="N146:N150" si="65">D146/$F$7*M146/H146</f>
        <v>0.13254247182303669</v>
      </c>
    </row>
    <row r="147" spans="1:14" x14ac:dyDescent="0.2">
      <c r="B147" s="8">
        <v>50</v>
      </c>
      <c r="C147" s="10">
        <f t="shared" si="60"/>
        <v>2.2415000000000003</v>
      </c>
      <c r="D147" s="11">
        <f t="shared" si="63"/>
        <v>5.0000000000000004E-6</v>
      </c>
      <c r="E147" s="9">
        <v>3.1349999999999998</v>
      </c>
      <c r="F147" s="8">
        <v>3780.28</v>
      </c>
      <c r="G147" s="8">
        <v>3919.85</v>
      </c>
      <c r="H147" s="7">
        <f t="shared" si="61"/>
        <v>3850.0650000000001</v>
      </c>
      <c r="I147" s="10">
        <f t="shared" si="64"/>
        <v>0.50048969072164962</v>
      </c>
      <c r="J147" s="9">
        <v>0.32100000000000001</v>
      </c>
      <c r="K147" s="8">
        <v>1001.06</v>
      </c>
      <c r="L147" s="8">
        <v>1043.43</v>
      </c>
      <c r="M147" s="7">
        <f t="shared" si="62"/>
        <v>1022.245</v>
      </c>
      <c r="N147" s="6">
        <f t="shared" si="65"/>
        <v>0.1328868691546124</v>
      </c>
    </row>
    <row r="148" spans="1:14" x14ac:dyDescent="0.2">
      <c r="B148" s="8">
        <v>75</v>
      </c>
      <c r="C148" s="10">
        <f t="shared" si="60"/>
        <v>3.3622500000000004</v>
      </c>
      <c r="D148" s="11">
        <f t="shared" si="63"/>
        <v>7.5000000000000002E-6</v>
      </c>
      <c r="E148" s="9">
        <v>3.1269999999999998</v>
      </c>
      <c r="F148" s="8">
        <v>5613.35</v>
      </c>
      <c r="G148" s="8">
        <v>5737.1</v>
      </c>
      <c r="H148" s="7">
        <f t="shared" si="61"/>
        <v>5675.2250000000004</v>
      </c>
      <c r="I148" s="10">
        <f t="shared" si="64"/>
        <v>0.75073453608247431</v>
      </c>
      <c r="J148" s="9">
        <v>0.32</v>
      </c>
      <c r="K148" s="8">
        <v>1001.85</v>
      </c>
      <c r="L148" s="8">
        <v>1017.78</v>
      </c>
      <c r="M148" s="7">
        <f t="shared" si="62"/>
        <v>1009.8150000000001</v>
      </c>
      <c r="N148" s="6">
        <f t="shared" si="65"/>
        <v>0.13358113476630862</v>
      </c>
    </row>
    <row r="149" spans="1:14" x14ac:dyDescent="0.2">
      <c r="B149" s="8">
        <v>100</v>
      </c>
      <c r="C149" s="10">
        <f t="shared" si="60"/>
        <v>4.4830000000000005</v>
      </c>
      <c r="D149" s="11">
        <f t="shared" si="63"/>
        <v>1.0000000000000001E-5</v>
      </c>
      <c r="E149" s="9">
        <v>3.125</v>
      </c>
      <c r="F149" s="8">
        <v>7457.18</v>
      </c>
      <c r="G149" s="8">
        <v>7572.09</v>
      </c>
      <c r="H149" s="7">
        <f t="shared" si="61"/>
        <v>7514.6350000000002</v>
      </c>
      <c r="I149" s="10">
        <f t="shared" si="64"/>
        <v>1.0009793814432992</v>
      </c>
      <c r="J149" s="9">
        <v>0.31900000000000001</v>
      </c>
      <c r="K149" s="8">
        <v>1012.09</v>
      </c>
      <c r="L149" s="8">
        <v>1025.28</v>
      </c>
      <c r="M149" s="7">
        <f t="shared" si="62"/>
        <v>1018.6849999999999</v>
      </c>
      <c r="N149" s="6">
        <f t="shared" si="65"/>
        <v>0.13569290872884276</v>
      </c>
    </row>
    <row r="150" spans="1:14" x14ac:dyDescent="0.2">
      <c r="B150" s="8">
        <v>125</v>
      </c>
      <c r="C150" s="10">
        <f t="shared" si="60"/>
        <v>5.6037499999999998</v>
      </c>
      <c r="D150" s="11">
        <f t="shared" si="63"/>
        <v>1.2499999999999999E-5</v>
      </c>
      <c r="E150" s="9">
        <v>3.125</v>
      </c>
      <c r="F150" s="8">
        <v>9401.2999999999993</v>
      </c>
      <c r="G150" s="8">
        <v>9493.74</v>
      </c>
      <c r="H150" s="7">
        <f t="shared" si="61"/>
        <v>9447.52</v>
      </c>
      <c r="I150" s="10">
        <f t="shared" si="64"/>
        <v>1.2512242268041238</v>
      </c>
      <c r="J150" s="9">
        <v>0.31900000000000001</v>
      </c>
      <c r="K150" s="8">
        <v>1017.35</v>
      </c>
      <c r="L150" s="8">
        <v>1026.7</v>
      </c>
      <c r="M150" s="7">
        <f t="shared" si="62"/>
        <v>1022.0250000000001</v>
      </c>
      <c r="N150" s="6">
        <f t="shared" si="65"/>
        <v>0.13535641527083137</v>
      </c>
    </row>
    <row r="151" spans="1:14" x14ac:dyDescent="0.2">
      <c r="B151" s="1"/>
      <c r="D151" s="5" t="s">
        <v>17</v>
      </c>
      <c r="E151" s="4">
        <f>AVERAGE(E145:E150)</f>
        <v>3.1328333333333336</v>
      </c>
      <c r="F151" s="1"/>
      <c r="I151" s="5" t="s">
        <v>4</v>
      </c>
      <c r="J151" s="4">
        <f>AVERAGE(J145:J150)</f>
        <v>0.32066666666666666</v>
      </c>
      <c r="M151" s="3" t="s">
        <v>3</v>
      </c>
      <c r="N151" s="43">
        <f>AVERAGE(N145:N150)</f>
        <v>0.13398572984034471</v>
      </c>
    </row>
    <row r="152" spans="1:14" x14ac:dyDescent="0.2">
      <c r="B152" s="1"/>
      <c r="C152" s="20"/>
      <c r="F152" s="1"/>
      <c r="M152" s="3" t="s">
        <v>2</v>
      </c>
      <c r="N152" s="26">
        <f>STDEV(N145:N150)</f>
        <v>1.2856612661530206E-3</v>
      </c>
    </row>
    <row r="153" spans="1:14" x14ac:dyDescent="0.2">
      <c r="A153" s="17"/>
      <c r="B153" s="1"/>
      <c r="F153" s="1"/>
      <c r="M153" s="3" t="s">
        <v>1</v>
      </c>
      <c r="N153" s="36">
        <f>N152/N151</f>
        <v>9.5955089223680352E-3</v>
      </c>
    </row>
    <row r="154" spans="1:14" x14ac:dyDescent="0.2">
      <c r="A154" s="17"/>
      <c r="B154" s="18"/>
      <c r="F154" s="1"/>
      <c r="M154" s="3" t="s">
        <v>0</v>
      </c>
      <c r="N154" s="37">
        <f>RSQ(H145:H150,D145:D150)</f>
        <v>0.99990710143632044</v>
      </c>
    </row>
    <row r="155" spans="1:14" x14ac:dyDescent="0.2">
      <c r="A155" s="31"/>
      <c r="B155" s="31"/>
      <c r="C155" s="33"/>
      <c r="D155" s="31"/>
      <c r="E155" s="31"/>
      <c r="F155" s="31"/>
      <c r="G155" s="31"/>
      <c r="H155" s="31"/>
      <c r="I155" s="31"/>
      <c r="J155" s="31"/>
      <c r="K155" s="31"/>
      <c r="L155" s="31"/>
      <c r="M155" s="34"/>
      <c r="N155" s="38"/>
    </row>
    <row r="156" spans="1:14" x14ac:dyDescent="0.2">
      <c r="A156" s="28" t="s">
        <v>22</v>
      </c>
      <c r="B156" s="1" t="s">
        <v>32</v>
      </c>
      <c r="E156" s="17"/>
      <c r="F156" s="1"/>
      <c r="N156" s="1"/>
    </row>
    <row r="157" spans="1:14" x14ac:dyDescent="0.2">
      <c r="A157" s="23" t="s">
        <v>23</v>
      </c>
      <c r="B157" s="26">
        <v>401.3</v>
      </c>
      <c r="E157" s="17"/>
      <c r="F157" s="1"/>
      <c r="H157" s="17"/>
      <c r="L157" s="21"/>
      <c r="N157" s="1"/>
    </row>
    <row r="158" spans="1:14" x14ac:dyDescent="0.2">
      <c r="A158" s="23" t="s">
        <v>24</v>
      </c>
      <c r="B158" s="15">
        <v>22.3</v>
      </c>
      <c r="E158" s="17"/>
      <c r="F158" s="1"/>
      <c r="H158" s="17"/>
      <c r="N158" s="1"/>
    </row>
    <row r="159" spans="1:14" x14ac:dyDescent="0.2">
      <c r="A159" s="23" t="s">
        <v>25</v>
      </c>
      <c r="B159" s="15">
        <v>3</v>
      </c>
      <c r="E159" s="17"/>
      <c r="F159" s="18"/>
      <c r="M159" s="5"/>
      <c r="N159" s="5"/>
    </row>
    <row r="160" spans="1:14" x14ac:dyDescent="0.2">
      <c r="A160" s="23" t="s">
        <v>26</v>
      </c>
      <c r="B160" s="15">
        <f>B158/B159</f>
        <v>7.4333333333333336</v>
      </c>
      <c r="E160" s="17"/>
      <c r="F160" s="18"/>
      <c r="M160" s="22"/>
      <c r="N160" s="14"/>
    </row>
    <row r="161" spans="1:14" x14ac:dyDescent="0.2">
      <c r="B161" s="1"/>
      <c r="F161" s="1"/>
      <c r="M161" s="22"/>
      <c r="N161" s="14"/>
    </row>
    <row r="162" spans="1:14" x14ac:dyDescent="0.2">
      <c r="B162" s="1"/>
      <c r="F162" s="1"/>
      <c r="I162" s="16"/>
      <c r="J162" s="16"/>
      <c r="K162" s="16"/>
      <c r="L162" s="16"/>
      <c r="M162" s="22"/>
      <c r="N162" s="14"/>
    </row>
    <row r="163" spans="1:14" x14ac:dyDescent="0.2">
      <c r="B163" s="1"/>
      <c r="F163" s="1"/>
      <c r="I163" s="16"/>
      <c r="J163" s="16"/>
      <c r="K163" s="16"/>
      <c r="L163" s="16"/>
      <c r="M163" s="22"/>
      <c r="N163" s="14"/>
    </row>
    <row r="164" spans="1:14" ht="17" thickBot="1" x14ac:dyDescent="0.25">
      <c r="B164" s="1"/>
      <c r="F164" s="1"/>
      <c r="I164" s="16"/>
      <c r="J164" s="16"/>
      <c r="K164" s="132">
        <v>5</v>
      </c>
      <c r="L164" s="22">
        <f>H177/M177</f>
        <v>0.39720919930599136</v>
      </c>
      <c r="M164" s="22"/>
      <c r="N164" s="14"/>
    </row>
    <row r="165" spans="1:14" ht="17" thickBot="1" x14ac:dyDescent="0.25">
      <c r="A165" s="16"/>
      <c r="B165" s="48" t="s">
        <v>11</v>
      </c>
      <c r="C165" s="49" t="s">
        <v>34</v>
      </c>
      <c r="D165" s="49" t="s">
        <v>39</v>
      </c>
      <c r="E165" s="49" t="s">
        <v>10</v>
      </c>
      <c r="F165" s="50" t="s">
        <v>40</v>
      </c>
      <c r="G165" s="50" t="s">
        <v>37</v>
      </c>
      <c r="H165" s="51" t="s">
        <v>38</v>
      </c>
      <c r="I165" s="16"/>
      <c r="J165" s="16"/>
      <c r="K165" s="132">
        <v>25</v>
      </c>
      <c r="L165" s="22">
        <f t="shared" ref="L165:L169" si="66">H178/M178</f>
        <v>1.9850231388542567</v>
      </c>
      <c r="M165" s="22"/>
      <c r="N165" s="14"/>
    </row>
    <row r="166" spans="1:14" x14ac:dyDescent="0.2">
      <c r="A166" s="16"/>
      <c r="B166" s="8">
        <v>5</v>
      </c>
      <c r="C166" s="9">
        <f t="shared" ref="C166:C171" si="67">0.1*B166/100</f>
        <v>5.0000000000000001E-3</v>
      </c>
      <c r="D166" s="10">
        <f>C166*$B$157</f>
        <v>2.0065</v>
      </c>
      <c r="E166" s="10">
        <f t="shared" ref="E166:E171" si="68">D166/10</f>
        <v>0.20065</v>
      </c>
      <c r="F166" s="15">
        <f>E166/$B$160*1000</f>
        <v>26.993273542600896</v>
      </c>
      <c r="G166" s="15">
        <f>$F$8/$F$6*1000</f>
        <v>94.541910331384017</v>
      </c>
      <c r="H166" s="14">
        <f t="shared" ref="H166:H171" si="69">1000-G166-F166</f>
        <v>878.46481612601508</v>
      </c>
      <c r="I166" s="16"/>
      <c r="J166" s="16"/>
      <c r="K166" s="132">
        <v>50</v>
      </c>
      <c r="L166" s="22">
        <f t="shared" si="66"/>
        <v>4.0141225704255499</v>
      </c>
      <c r="N166" s="1"/>
    </row>
    <row r="167" spans="1:14" x14ac:dyDescent="0.2">
      <c r="A167" s="16"/>
      <c r="B167" s="8">
        <v>25</v>
      </c>
      <c r="C167" s="9">
        <f t="shared" si="67"/>
        <v>2.5000000000000001E-2</v>
      </c>
      <c r="D167" s="10">
        <f t="shared" ref="D167:D171" si="70">C167*$B$157</f>
        <v>10.032500000000001</v>
      </c>
      <c r="E167" s="10">
        <f t="shared" si="68"/>
        <v>1.00325</v>
      </c>
      <c r="F167" s="15">
        <f t="shared" ref="F167:F171" si="71">E167/$B$160*1000</f>
        <v>134.96636771300447</v>
      </c>
      <c r="G167" s="15">
        <f t="shared" ref="G167:G171" si="72">$F$8/$F$6*1000</f>
        <v>94.541910331384017</v>
      </c>
      <c r="H167" s="14">
        <f t="shared" si="69"/>
        <v>770.49172195561152</v>
      </c>
      <c r="I167" s="16"/>
      <c r="J167" s="16"/>
      <c r="K167" s="132">
        <v>75</v>
      </c>
      <c r="L167" s="22">
        <f t="shared" si="66"/>
        <v>6.0830917823290456</v>
      </c>
      <c r="N167" s="1"/>
    </row>
    <row r="168" spans="1:14" x14ac:dyDescent="0.2">
      <c r="A168" s="16"/>
      <c r="B168" s="8">
        <v>50</v>
      </c>
      <c r="C168" s="9">
        <f t="shared" si="67"/>
        <v>0.05</v>
      </c>
      <c r="D168" s="10">
        <f t="shared" si="70"/>
        <v>20.065000000000001</v>
      </c>
      <c r="E168" s="10">
        <f t="shared" si="68"/>
        <v>2.0065</v>
      </c>
      <c r="F168" s="15">
        <f t="shared" si="71"/>
        <v>269.93273542600895</v>
      </c>
      <c r="G168" s="15">
        <f t="shared" si="72"/>
        <v>94.541910331384017</v>
      </c>
      <c r="H168" s="14">
        <f t="shared" si="69"/>
        <v>635.52535424260714</v>
      </c>
      <c r="I168" s="16"/>
      <c r="J168" s="16"/>
      <c r="K168" s="132">
        <v>100</v>
      </c>
      <c r="L168" s="22">
        <f t="shared" si="66"/>
        <v>8.1378517280580898</v>
      </c>
      <c r="N168" s="1"/>
    </row>
    <row r="169" spans="1:14" x14ac:dyDescent="0.2">
      <c r="A169" s="16"/>
      <c r="B169" s="8">
        <v>75</v>
      </c>
      <c r="C169" s="9">
        <f t="shared" si="67"/>
        <v>7.4999999999999997E-2</v>
      </c>
      <c r="D169" s="10">
        <f t="shared" si="70"/>
        <v>30.0975</v>
      </c>
      <c r="E169" s="10">
        <f t="shared" si="68"/>
        <v>3.0097499999999999</v>
      </c>
      <c r="F169" s="15">
        <f t="shared" si="71"/>
        <v>404.89910313901345</v>
      </c>
      <c r="G169" s="15">
        <f t="shared" si="72"/>
        <v>94.541910331384017</v>
      </c>
      <c r="H169" s="14">
        <f t="shared" si="69"/>
        <v>500.55898652960258</v>
      </c>
      <c r="K169" s="132">
        <v>125</v>
      </c>
      <c r="L169" s="22">
        <f t="shared" si="66"/>
        <v>9.9021450232120163</v>
      </c>
      <c r="N169" s="1"/>
    </row>
    <row r="170" spans="1:14" x14ac:dyDescent="0.2">
      <c r="A170" s="16"/>
      <c r="B170" s="8">
        <v>100</v>
      </c>
      <c r="C170" s="9">
        <f t="shared" si="67"/>
        <v>0.1</v>
      </c>
      <c r="D170" s="10">
        <f t="shared" si="70"/>
        <v>40.130000000000003</v>
      </c>
      <c r="E170" s="10">
        <f t="shared" si="68"/>
        <v>4.0129999999999999</v>
      </c>
      <c r="F170" s="15">
        <f t="shared" si="71"/>
        <v>539.86547085201789</v>
      </c>
      <c r="G170" s="15">
        <f t="shared" si="72"/>
        <v>94.541910331384017</v>
      </c>
      <c r="H170" s="14">
        <f t="shared" si="69"/>
        <v>365.59261881659813</v>
      </c>
      <c r="K170" s="58" t="s">
        <v>182</v>
      </c>
      <c r="L170" s="22">
        <f>RSQ(K164:K169,L164:L169)</f>
        <v>0.99949423162032935</v>
      </c>
      <c r="N170" s="1"/>
    </row>
    <row r="171" spans="1:14" x14ac:dyDescent="0.2">
      <c r="A171" s="16"/>
      <c r="B171" s="8">
        <v>125</v>
      </c>
      <c r="C171" s="9">
        <f t="shared" si="67"/>
        <v>0.125</v>
      </c>
      <c r="D171" s="10">
        <f t="shared" si="70"/>
        <v>50.162500000000001</v>
      </c>
      <c r="E171" s="10">
        <f t="shared" si="68"/>
        <v>5.0162500000000003</v>
      </c>
      <c r="F171" s="15">
        <f t="shared" si="71"/>
        <v>674.83183856502251</v>
      </c>
      <c r="G171" s="15">
        <f t="shared" si="72"/>
        <v>94.541910331384017</v>
      </c>
      <c r="H171" s="14">
        <f t="shared" si="69"/>
        <v>230.62625110359352</v>
      </c>
      <c r="N171" s="1"/>
    </row>
    <row r="172" spans="1:14" x14ac:dyDescent="0.2">
      <c r="B172" s="1"/>
      <c r="E172" s="13" t="s">
        <v>13</v>
      </c>
      <c r="F172" s="12">
        <f>SUM(F166:F171)</f>
        <v>2051.4887892376682</v>
      </c>
      <c r="N172" s="1"/>
    </row>
    <row r="173" spans="1:14" x14ac:dyDescent="0.2">
      <c r="B173" s="1"/>
      <c r="F173" s="1"/>
      <c r="N173" s="1"/>
    </row>
    <row r="174" spans="1:14" x14ac:dyDescent="0.2">
      <c r="B174" s="1"/>
      <c r="F174" s="1"/>
      <c r="N174" s="1"/>
    </row>
    <row r="175" spans="1:14" ht="15.5" customHeight="1" thickBot="1" x14ac:dyDescent="0.25">
      <c r="B175" s="134" t="s">
        <v>79</v>
      </c>
      <c r="C175" s="134"/>
      <c r="D175" s="134"/>
      <c r="E175" s="134"/>
      <c r="F175" s="134"/>
      <c r="G175" s="134"/>
      <c r="H175" s="134"/>
      <c r="I175" s="134" t="s">
        <v>12</v>
      </c>
      <c r="J175" s="134"/>
      <c r="K175" s="134"/>
      <c r="L175" s="134"/>
      <c r="M175" s="134"/>
      <c r="N175" s="1"/>
    </row>
    <row r="176" spans="1:14" ht="17" thickBot="1" x14ac:dyDescent="0.25">
      <c r="B176" s="48" t="s">
        <v>11</v>
      </c>
      <c r="C176" s="49" t="s">
        <v>10</v>
      </c>
      <c r="D176" s="49" t="s">
        <v>72</v>
      </c>
      <c r="E176" s="50" t="s">
        <v>8</v>
      </c>
      <c r="F176" s="49" t="s">
        <v>76</v>
      </c>
      <c r="G176" s="49" t="s">
        <v>77</v>
      </c>
      <c r="H176" s="49" t="s">
        <v>78</v>
      </c>
      <c r="I176" s="50" t="s">
        <v>9</v>
      </c>
      <c r="J176" s="50" t="s">
        <v>8</v>
      </c>
      <c r="K176" s="49" t="s">
        <v>53</v>
      </c>
      <c r="L176" s="49" t="s">
        <v>54</v>
      </c>
      <c r="M176" s="49" t="s">
        <v>7</v>
      </c>
      <c r="N176" s="52" t="s">
        <v>6</v>
      </c>
    </row>
    <row r="177" spans="1:14" x14ac:dyDescent="0.2">
      <c r="B177" s="8">
        <v>5</v>
      </c>
      <c r="C177" s="10">
        <f t="shared" ref="C177:C182" si="73">E166</f>
        <v>0.20065</v>
      </c>
      <c r="D177" s="11">
        <f>C177/$B$157/1000</f>
        <v>4.9999999999999998E-7</v>
      </c>
      <c r="E177" s="9">
        <v>2.7650000000000001</v>
      </c>
      <c r="F177" s="8">
        <v>376.22</v>
      </c>
      <c r="G177" s="8">
        <v>376.98</v>
      </c>
      <c r="H177" s="7">
        <f t="shared" ref="H177:H182" si="74">AVERAGE(F177:G177)</f>
        <v>376.6</v>
      </c>
      <c r="I177" s="10">
        <f>D177/$F$7</f>
        <v>5.0048969072164953E-2</v>
      </c>
      <c r="J177" s="9">
        <v>0.32500000000000001</v>
      </c>
      <c r="K177" s="8">
        <v>944.7</v>
      </c>
      <c r="L177" s="8">
        <v>951.53</v>
      </c>
      <c r="M177" s="7">
        <f t="shared" ref="M177:M182" si="75">AVERAGE(K177:L177)</f>
        <v>948.11500000000001</v>
      </c>
      <c r="N177" s="6">
        <f>D177/$F$7*M177/H177</f>
        <v>0.12600153561299965</v>
      </c>
    </row>
    <row r="178" spans="1:14" x14ac:dyDescent="0.2">
      <c r="B178" s="8">
        <v>25</v>
      </c>
      <c r="C178" s="10">
        <f t="shared" si="73"/>
        <v>1.00325</v>
      </c>
      <c r="D178" s="11">
        <f t="shared" ref="D178:D182" si="76">C178/$B$157/1000</f>
        <v>2.5000000000000002E-6</v>
      </c>
      <c r="E178" s="9">
        <v>2.7719999999999998</v>
      </c>
      <c r="F178" s="8">
        <v>1883.53</v>
      </c>
      <c r="G178" s="8">
        <v>1873.96</v>
      </c>
      <c r="H178" s="7">
        <f t="shared" si="74"/>
        <v>1878.7449999999999</v>
      </c>
      <c r="I178" s="10">
        <f t="shared" ref="I178:I182" si="77">D178/$F$7</f>
        <v>0.25024484536082481</v>
      </c>
      <c r="J178" s="9">
        <v>0.32500000000000001</v>
      </c>
      <c r="K178" s="8">
        <v>948.02</v>
      </c>
      <c r="L178" s="8">
        <v>944.9</v>
      </c>
      <c r="M178" s="7">
        <f t="shared" si="75"/>
        <v>946.46</v>
      </c>
      <c r="N178" s="6">
        <f>D178/$F$7*M178/H178</f>
        <v>0.1260664626334102</v>
      </c>
    </row>
    <row r="179" spans="1:14" x14ac:dyDescent="0.2">
      <c r="B179" s="8">
        <v>50</v>
      </c>
      <c r="C179" s="10">
        <f t="shared" si="73"/>
        <v>2.0065</v>
      </c>
      <c r="D179" s="11">
        <f t="shared" si="76"/>
        <v>5.0000000000000004E-6</v>
      </c>
      <c r="E179" s="9">
        <v>2.7690000000000001</v>
      </c>
      <c r="F179" s="8">
        <v>3759.68</v>
      </c>
      <c r="G179" s="8">
        <v>3741.27</v>
      </c>
      <c r="H179" s="7">
        <f t="shared" si="74"/>
        <v>3750.4749999999999</v>
      </c>
      <c r="I179" s="10">
        <f t="shared" si="77"/>
        <v>0.50048969072164962</v>
      </c>
      <c r="J179" s="9">
        <v>0.32900000000000001</v>
      </c>
      <c r="K179" s="8">
        <v>940.24</v>
      </c>
      <c r="L179" s="8">
        <v>928.4</v>
      </c>
      <c r="M179" s="7">
        <f t="shared" si="75"/>
        <v>934.31999999999994</v>
      </c>
      <c r="N179" s="6">
        <f t="shared" ref="N179:N182" si="78">D179/$F$7*M179/H179</f>
        <v>0.1246822143421971</v>
      </c>
    </row>
    <row r="180" spans="1:14" x14ac:dyDescent="0.2">
      <c r="B180" s="8">
        <v>75</v>
      </c>
      <c r="C180" s="10">
        <f t="shared" si="73"/>
        <v>3.0097499999999999</v>
      </c>
      <c r="D180" s="11">
        <f t="shared" si="76"/>
        <v>7.4999999999999993E-6</v>
      </c>
      <c r="E180" s="9">
        <v>2.7690000000000001</v>
      </c>
      <c r="F180" s="8">
        <v>5746.84</v>
      </c>
      <c r="G180" s="8">
        <v>5753.61</v>
      </c>
      <c r="H180" s="7">
        <f t="shared" si="74"/>
        <v>5750.2250000000004</v>
      </c>
      <c r="I180" s="10">
        <f t="shared" si="77"/>
        <v>0.7507345360824742</v>
      </c>
      <c r="J180" s="9">
        <v>0.32900000000000001</v>
      </c>
      <c r="K180" s="8">
        <v>943.65</v>
      </c>
      <c r="L180" s="8">
        <v>946.91</v>
      </c>
      <c r="M180" s="7">
        <f t="shared" si="75"/>
        <v>945.28</v>
      </c>
      <c r="N180" s="6">
        <f t="shared" si="78"/>
        <v>0.12341331726463593</v>
      </c>
    </row>
    <row r="181" spans="1:14" x14ac:dyDescent="0.2">
      <c r="B181" s="8">
        <v>100</v>
      </c>
      <c r="C181" s="10">
        <f t="shared" si="73"/>
        <v>4.0129999999999999</v>
      </c>
      <c r="D181" s="11">
        <f t="shared" si="76"/>
        <v>1.0000000000000001E-5</v>
      </c>
      <c r="E181" s="9">
        <v>2.7690000000000001</v>
      </c>
      <c r="F181" s="8">
        <v>7779.48</v>
      </c>
      <c r="G181" s="8">
        <v>7753.97</v>
      </c>
      <c r="H181" s="7">
        <f t="shared" si="74"/>
        <v>7766.7250000000004</v>
      </c>
      <c r="I181" s="10">
        <f t="shared" si="77"/>
        <v>1.0009793814432992</v>
      </c>
      <c r="J181" s="9">
        <v>0.32900000000000001</v>
      </c>
      <c r="K181" s="8">
        <v>955.91</v>
      </c>
      <c r="L181" s="8">
        <v>952.88</v>
      </c>
      <c r="M181" s="7">
        <f t="shared" si="75"/>
        <v>954.39499999999998</v>
      </c>
      <c r="N181" s="6">
        <f t="shared" si="78"/>
        <v>0.12300290234977773</v>
      </c>
    </row>
    <row r="182" spans="1:14" x14ac:dyDescent="0.2">
      <c r="B182" s="8">
        <v>125</v>
      </c>
      <c r="C182" s="10">
        <f t="shared" si="73"/>
        <v>5.0162500000000003</v>
      </c>
      <c r="D182" s="11">
        <f t="shared" si="76"/>
        <v>1.2500000000000001E-5</v>
      </c>
      <c r="E182" s="9">
        <v>2.7679999999999998</v>
      </c>
      <c r="F182" s="8">
        <v>9704.76</v>
      </c>
      <c r="G182" s="8">
        <v>9854.65</v>
      </c>
      <c r="H182" s="7">
        <f t="shared" si="74"/>
        <v>9779.7049999999999</v>
      </c>
      <c r="I182" s="10">
        <f t="shared" si="77"/>
        <v>1.2512242268041238</v>
      </c>
      <c r="J182" s="9">
        <v>0.32800000000000001</v>
      </c>
      <c r="K182" s="8">
        <v>965.74</v>
      </c>
      <c r="L182" s="8">
        <v>1009.53</v>
      </c>
      <c r="M182" s="7">
        <f t="shared" si="75"/>
        <v>987.63499999999999</v>
      </c>
      <c r="N182" s="6">
        <f t="shared" si="78"/>
        <v>0.12635890747621639</v>
      </c>
    </row>
    <row r="183" spans="1:14" x14ac:dyDescent="0.2">
      <c r="B183" s="1"/>
      <c r="D183" s="5" t="s">
        <v>17</v>
      </c>
      <c r="E183" s="4">
        <f>AVERAGE(E177:E182)</f>
        <v>2.7686666666666668</v>
      </c>
      <c r="F183" s="1"/>
      <c r="I183" s="5" t="s">
        <v>4</v>
      </c>
      <c r="J183" s="4">
        <f>AVERAGE(J177:J182)</f>
        <v>0.32750000000000001</v>
      </c>
      <c r="M183" s="3" t="s">
        <v>3</v>
      </c>
      <c r="N183" s="43">
        <f>AVERAGE(N177:N182)</f>
        <v>0.12492088994653949</v>
      </c>
    </row>
    <row r="184" spans="1:14" x14ac:dyDescent="0.2">
      <c r="B184" s="1"/>
      <c r="C184" s="20"/>
      <c r="F184" s="1"/>
      <c r="M184" s="3" t="s">
        <v>2</v>
      </c>
      <c r="N184" s="26">
        <f>STDEV(N177:N182)</f>
        <v>1.4530274677144544E-3</v>
      </c>
    </row>
    <row r="185" spans="1:14" x14ac:dyDescent="0.2">
      <c r="A185" s="17"/>
      <c r="B185" s="1"/>
      <c r="F185" s="1"/>
      <c r="M185" s="3" t="s">
        <v>1</v>
      </c>
      <c r="N185" s="36">
        <f>N184/N183</f>
        <v>1.1631581141763277E-2</v>
      </c>
    </row>
    <row r="186" spans="1:14" x14ac:dyDescent="0.2">
      <c r="A186" s="17"/>
      <c r="B186" s="18"/>
      <c r="F186" s="1"/>
      <c r="M186" s="3" t="s">
        <v>0</v>
      </c>
      <c r="N186" s="37">
        <f>RSQ(H177:H182,D177:D182)</f>
        <v>0.99971416691991122</v>
      </c>
    </row>
    <row r="187" spans="1:14" x14ac:dyDescent="0.2">
      <c r="A187" s="31"/>
      <c r="B187" s="31"/>
      <c r="C187" s="33"/>
      <c r="D187" s="31"/>
      <c r="E187" s="31"/>
      <c r="F187" s="31"/>
      <c r="G187" s="31"/>
      <c r="H187" s="31"/>
      <c r="I187" s="31"/>
      <c r="J187" s="31"/>
      <c r="K187" s="31"/>
      <c r="L187" s="31"/>
      <c r="M187" s="34"/>
      <c r="N187" s="38"/>
    </row>
  </sheetData>
  <mergeCells count="12">
    <mergeCell ref="B82:H82"/>
    <mergeCell ref="I82:M82"/>
    <mergeCell ref="B50:H50"/>
    <mergeCell ref="I50:M50"/>
    <mergeCell ref="B21:H21"/>
    <mergeCell ref="I21:M21"/>
    <mergeCell ref="B111:H111"/>
    <mergeCell ref="I111:M111"/>
    <mergeCell ref="B143:H143"/>
    <mergeCell ref="I143:M143"/>
    <mergeCell ref="I175:M175"/>
    <mergeCell ref="B175:H17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4484-F15F-4439-B992-4A1E21B3ECE8}">
  <dimension ref="A1:T87"/>
  <sheetViews>
    <sheetView zoomScale="50" zoomScaleNormal="50" workbookViewId="0">
      <selection activeCell="P21" sqref="P21"/>
    </sheetView>
  </sheetViews>
  <sheetFormatPr baseColWidth="10" defaultColWidth="11.5" defaultRowHeight="16" x14ac:dyDescent="0.2"/>
  <cols>
    <col min="1" max="1" width="25.6640625" style="1" bestFit="1" customWidth="1"/>
    <col min="2" max="2" width="19" style="1" bestFit="1" customWidth="1"/>
    <col min="3" max="3" width="31.1640625" style="1" customWidth="1"/>
    <col min="4" max="4" width="31.83203125" style="1" customWidth="1"/>
    <col min="5" max="5" width="24.33203125" style="1" bestFit="1" customWidth="1"/>
    <col min="6" max="6" width="19.83203125" style="1" bestFit="1" customWidth="1"/>
    <col min="7" max="7" width="19.83203125" style="1" customWidth="1"/>
    <col min="8" max="8" width="21.1640625" style="1" bestFit="1" customWidth="1"/>
    <col min="9" max="9" width="23" style="1" bestFit="1" customWidth="1"/>
    <col min="10" max="10" width="27.83203125" style="1" customWidth="1"/>
    <col min="11" max="11" width="12.83203125" style="53" bestFit="1" customWidth="1"/>
    <col min="12" max="12" width="11.5" style="1"/>
    <col min="13" max="13" width="12" style="1" bestFit="1" customWidth="1"/>
    <col min="14" max="14" width="11.5" style="1"/>
    <col min="15" max="15" width="21" style="1" customWidth="1"/>
    <col min="16" max="16" width="21.6640625" style="1" customWidth="1"/>
    <col min="17" max="17" width="23" style="1" customWidth="1"/>
    <col min="18" max="18" width="18.1640625" style="16" customWidth="1"/>
    <col min="19" max="16384" width="11.5" style="1"/>
  </cols>
  <sheetData>
    <row r="1" spans="1:18" x14ac:dyDescent="0.2">
      <c r="C1" s="16" t="s">
        <v>80</v>
      </c>
      <c r="D1" s="16" t="s">
        <v>81</v>
      </c>
      <c r="E1" s="16" t="s">
        <v>82</v>
      </c>
      <c r="F1" s="16" t="s">
        <v>83</v>
      </c>
      <c r="G1" s="16" t="s">
        <v>84</v>
      </c>
      <c r="H1" s="16" t="s">
        <v>85</v>
      </c>
      <c r="I1" s="16" t="s">
        <v>86</v>
      </c>
      <c r="J1" s="16" t="s">
        <v>87</v>
      </c>
    </row>
    <row r="2" spans="1:18" x14ac:dyDescent="0.2">
      <c r="C2" s="29">
        <v>322.39999999999998</v>
      </c>
      <c r="D2" s="84">
        <v>3.22</v>
      </c>
      <c r="E2" s="54">
        <f>(D2)/(1000*C2)</f>
        <v>9.9875930521091822E-6</v>
      </c>
      <c r="F2" s="16">
        <v>0.05</v>
      </c>
      <c r="G2" s="16">
        <v>5.0000000000000001E-4</v>
      </c>
      <c r="H2" s="4">
        <f>C5/G2</f>
        <v>1.9975186104218361E-3</v>
      </c>
      <c r="I2" s="4">
        <f>(J7/(1000*J6))/0.001</f>
        <v>0.10566970492816313</v>
      </c>
      <c r="J2" s="16">
        <v>1000000</v>
      </c>
    </row>
    <row r="3" spans="1:18" ht="20" x14ac:dyDescent="0.2">
      <c r="B3" s="55"/>
      <c r="C3" s="16"/>
      <c r="D3" s="16"/>
      <c r="J3" s="56"/>
    </row>
    <row r="4" spans="1:18" x14ac:dyDescent="0.2">
      <c r="C4" s="89" t="s">
        <v>88</v>
      </c>
      <c r="D4" s="89" t="s">
        <v>137</v>
      </c>
      <c r="F4" s="85"/>
    </row>
    <row r="5" spans="1:18" x14ac:dyDescent="0.2">
      <c r="C5" s="87">
        <f>E2/10</f>
        <v>9.9875930521091814E-7</v>
      </c>
      <c r="D5" s="87">
        <f>C5</f>
        <v>9.9875930521091814E-7</v>
      </c>
      <c r="E5" s="87"/>
    </row>
    <row r="6" spans="1:18" x14ac:dyDescent="0.2">
      <c r="C6" s="16" t="s">
        <v>89</v>
      </c>
      <c r="D6" s="16" t="s">
        <v>89</v>
      </c>
      <c r="F6" s="57"/>
      <c r="I6" s="58" t="s">
        <v>90</v>
      </c>
      <c r="J6" s="56">
        <v>194.19</v>
      </c>
    </row>
    <row r="7" spans="1:18" x14ac:dyDescent="0.2">
      <c r="A7" s="8"/>
      <c r="B7" s="8"/>
      <c r="C7" s="5" t="s">
        <v>91</v>
      </c>
      <c r="D7" s="5" t="s">
        <v>92</v>
      </c>
      <c r="E7" s="5" t="s">
        <v>93</v>
      </c>
      <c r="G7" s="16"/>
      <c r="I7" s="58" t="s">
        <v>26</v>
      </c>
      <c r="J7" s="56">
        <v>20.52</v>
      </c>
    </row>
    <row r="8" spans="1:18" x14ac:dyDescent="0.2">
      <c r="C8" s="93">
        <f>((H2*G2)/F2)*J2</f>
        <v>19.975186104218363</v>
      </c>
      <c r="D8" s="94">
        <f>((H2*G2)/I2)*J2</f>
        <v>9.4517090389331493</v>
      </c>
      <c r="E8" s="93">
        <f>500-C8-D8</f>
        <v>470.57310485684849</v>
      </c>
      <c r="G8" s="54"/>
      <c r="I8" s="58"/>
      <c r="J8" s="59"/>
    </row>
    <row r="9" spans="1:18" x14ac:dyDescent="0.2">
      <c r="A9" s="66"/>
      <c r="B9" s="66"/>
      <c r="C9" s="66"/>
      <c r="D9" s="66"/>
      <c r="E9" s="66"/>
      <c r="F9" s="66"/>
      <c r="G9" s="66"/>
      <c r="H9" s="66"/>
      <c r="I9" s="66"/>
      <c r="J9" s="66"/>
      <c r="K9" s="67"/>
      <c r="L9" s="66"/>
      <c r="M9" s="66"/>
      <c r="P9" s="16"/>
    </row>
    <row r="10" spans="1:18" ht="20" x14ac:dyDescent="0.2">
      <c r="A10" s="55" t="s">
        <v>94</v>
      </c>
      <c r="O10" s="8"/>
      <c r="P10" s="16"/>
      <c r="Q10" s="16"/>
      <c r="R10" s="61"/>
    </row>
    <row r="11" spans="1:18" ht="15" customHeight="1" thickBot="1" x14ac:dyDescent="0.25">
      <c r="A11" s="16" t="s">
        <v>143</v>
      </c>
      <c r="B11" s="8"/>
      <c r="C11" s="9"/>
      <c r="D11" s="26"/>
      <c r="E11" s="8"/>
      <c r="F11" s="8"/>
      <c r="G11" s="9"/>
      <c r="H11" s="8"/>
      <c r="I11" s="8"/>
      <c r="J11" s="8"/>
      <c r="K11" s="62"/>
      <c r="M11" s="8"/>
    </row>
    <row r="12" spans="1:18" ht="15.25" customHeight="1" x14ac:dyDescent="0.2">
      <c r="A12" s="136" t="s">
        <v>65</v>
      </c>
      <c r="B12" s="140"/>
      <c r="C12" s="9"/>
      <c r="D12" s="8"/>
      <c r="E12" s="8"/>
      <c r="F12" s="8"/>
      <c r="G12" s="8"/>
      <c r="H12" s="8"/>
      <c r="I12" s="8"/>
      <c r="J12" s="8"/>
      <c r="K12" s="60"/>
      <c r="O12" s="17"/>
      <c r="P12" s="5"/>
    </row>
    <row r="13" spans="1:18" ht="17" thickBot="1" x14ac:dyDescent="0.25">
      <c r="A13" s="141"/>
      <c r="B13" s="142"/>
      <c r="D13" s="17"/>
      <c r="G13" s="16"/>
      <c r="K13" s="63"/>
      <c r="P13" s="16"/>
    </row>
    <row r="14" spans="1:18" x14ac:dyDescent="0.2">
      <c r="A14" s="8"/>
      <c r="E14" s="5" t="s">
        <v>101</v>
      </c>
      <c r="F14" s="64">
        <v>0.3201</v>
      </c>
      <c r="K14" s="63"/>
      <c r="O14" s="8"/>
      <c r="P14" s="16"/>
      <c r="Q14" s="5"/>
      <c r="R14" s="5"/>
    </row>
    <row r="15" spans="1:18" x14ac:dyDescent="0.2">
      <c r="A15" s="3" t="s">
        <v>96</v>
      </c>
      <c r="B15" s="3" t="s">
        <v>97</v>
      </c>
      <c r="C15" s="3" t="s">
        <v>109</v>
      </c>
      <c r="D15" s="3" t="s">
        <v>110</v>
      </c>
      <c r="E15" s="3" t="s">
        <v>111</v>
      </c>
      <c r="F15" s="3" t="s">
        <v>63</v>
      </c>
      <c r="G15" s="3" t="s">
        <v>98</v>
      </c>
      <c r="H15" s="3" t="s">
        <v>99</v>
      </c>
      <c r="I15" s="3" t="s">
        <v>100</v>
      </c>
      <c r="J15" s="3" t="s">
        <v>7</v>
      </c>
      <c r="K15" s="60" t="s">
        <v>112</v>
      </c>
      <c r="O15" s="8"/>
      <c r="P15" s="16"/>
      <c r="Q15" s="16"/>
      <c r="R15" s="61"/>
    </row>
    <row r="16" spans="1:18" x14ac:dyDescent="0.2">
      <c r="A16" s="8" t="s">
        <v>102</v>
      </c>
      <c r="B16" s="8">
        <v>1</v>
      </c>
      <c r="C16" s="9">
        <v>1.3</v>
      </c>
      <c r="D16" s="26">
        <v>12.52</v>
      </c>
      <c r="E16" s="26">
        <v>7.34</v>
      </c>
      <c r="F16" s="8">
        <f t="shared" ref="F16:F30" si="0">AVERAGE(D16:E16)</f>
        <v>9.93</v>
      </c>
      <c r="G16" s="9">
        <v>0.32</v>
      </c>
      <c r="H16" s="25">
        <v>193.98</v>
      </c>
      <c r="I16" s="29">
        <v>210.33</v>
      </c>
      <c r="J16" s="8">
        <f t="shared" ref="J16:J30" si="1">AVERAGE(H16:I16)</f>
        <v>202.155</v>
      </c>
      <c r="K16" s="60">
        <f t="shared" ref="K16:K30" si="2">(F16/J16)*$F$36*($D$5/$C$5)</f>
        <v>1.5723543815389179E-2</v>
      </c>
      <c r="O16" s="8"/>
      <c r="P16" s="16"/>
      <c r="Q16" s="16"/>
      <c r="R16" s="61"/>
    </row>
    <row r="17" spans="1:20" ht="14.5" customHeight="1" x14ac:dyDescent="0.2">
      <c r="A17" s="8" t="s">
        <v>103</v>
      </c>
      <c r="B17" s="8">
        <v>2</v>
      </c>
      <c r="C17" s="9">
        <v>1.3</v>
      </c>
      <c r="D17" s="26">
        <v>16.14</v>
      </c>
      <c r="E17" s="65">
        <v>17.66</v>
      </c>
      <c r="F17" s="8">
        <f t="shared" si="0"/>
        <v>16.899999999999999</v>
      </c>
      <c r="G17" s="9">
        <v>0.32</v>
      </c>
      <c r="H17" s="25">
        <v>182.48</v>
      </c>
      <c r="I17" s="25">
        <v>199.76</v>
      </c>
      <c r="J17" s="8">
        <f t="shared" si="1"/>
        <v>191.12</v>
      </c>
      <c r="K17" s="60">
        <f t="shared" si="2"/>
        <v>2.83052009208874E-2</v>
      </c>
      <c r="O17" s="8"/>
      <c r="P17" s="16"/>
      <c r="Q17" s="16"/>
      <c r="R17" s="61"/>
    </row>
    <row r="18" spans="1:20" x14ac:dyDescent="0.2">
      <c r="A18" s="8" t="s">
        <v>104</v>
      </c>
      <c r="B18" s="8">
        <v>3</v>
      </c>
      <c r="C18" s="9">
        <v>1.3</v>
      </c>
      <c r="D18" s="26">
        <v>24.39</v>
      </c>
      <c r="E18" s="8">
        <v>26.14</v>
      </c>
      <c r="F18" s="8">
        <f t="shared" si="0"/>
        <v>25.265000000000001</v>
      </c>
      <c r="G18" s="9">
        <v>0.32</v>
      </c>
      <c r="H18" s="29">
        <v>203.26</v>
      </c>
      <c r="I18" s="25">
        <v>214.8</v>
      </c>
      <c r="J18" s="8">
        <f t="shared" si="1"/>
        <v>209.03</v>
      </c>
      <c r="K18" s="60">
        <f t="shared" si="2"/>
        <v>3.8689788547098501E-2</v>
      </c>
      <c r="O18" s="8"/>
      <c r="P18" s="16"/>
      <c r="Q18" s="16"/>
      <c r="R18" s="61"/>
    </row>
    <row r="19" spans="1:20" x14ac:dyDescent="0.2">
      <c r="A19" s="8" t="s">
        <v>105</v>
      </c>
      <c r="B19" s="8">
        <v>4</v>
      </c>
      <c r="C19" s="9">
        <v>1.3</v>
      </c>
      <c r="D19" s="26">
        <v>23.41</v>
      </c>
      <c r="E19" s="26">
        <v>35.89</v>
      </c>
      <c r="F19" s="8">
        <f t="shared" si="0"/>
        <v>29.65</v>
      </c>
      <c r="G19" s="9">
        <v>0.32</v>
      </c>
      <c r="H19" s="29">
        <v>222.84</v>
      </c>
      <c r="I19" s="29">
        <v>224.76</v>
      </c>
      <c r="J19" s="8">
        <f t="shared" si="1"/>
        <v>223.8</v>
      </c>
      <c r="K19" s="60">
        <f t="shared" si="2"/>
        <v>4.2408243967828413E-2</v>
      </c>
      <c r="O19" s="8"/>
      <c r="P19" s="16"/>
      <c r="Q19" s="16"/>
      <c r="R19" s="61"/>
    </row>
    <row r="20" spans="1:20" x14ac:dyDescent="0.2">
      <c r="A20" s="8" t="s">
        <v>106</v>
      </c>
      <c r="B20" s="8">
        <v>5</v>
      </c>
      <c r="C20" s="9">
        <v>1.3</v>
      </c>
      <c r="D20" s="26">
        <v>43.86</v>
      </c>
      <c r="E20" s="26">
        <v>42.66</v>
      </c>
      <c r="F20" s="8">
        <f t="shared" si="0"/>
        <v>43.26</v>
      </c>
      <c r="G20" s="9">
        <v>0.32</v>
      </c>
      <c r="H20" s="29">
        <v>231.19</v>
      </c>
      <c r="I20" s="29">
        <v>225.38</v>
      </c>
      <c r="J20" s="8">
        <f t="shared" si="1"/>
        <v>228.285</v>
      </c>
      <c r="K20" s="60">
        <f t="shared" si="2"/>
        <v>6.0658939483540314E-2</v>
      </c>
      <c r="O20" s="8"/>
      <c r="P20" s="16"/>
      <c r="Q20" s="16"/>
      <c r="R20" s="61"/>
    </row>
    <row r="21" spans="1:20" x14ac:dyDescent="0.2">
      <c r="A21" s="8" t="s">
        <v>107</v>
      </c>
      <c r="B21" s="8">
        <v>6</v>
      </c>
      <c r="C21" s="9">
        <v>1.3</v>
      </c>
      <c r="D21" s="26">
        <v>48.47</v>
      </c>
      <c r="E21" s="26">
        <v>50.36</v>
      </c>
      <c r="F21" s="8">
        <f t="shared" si="0"/>
        <v>49.414999999999999</v>
      </c>
      <c r="G21" s="9">
        <v>0.32</v>
      </c>
      <c r="H21" s="25">
        <v>209.21</v>
      </c>
      <c r="I21" s="25">
        <v>214.61</v>
      </c>
      <c r="J21" s="8">
        <f t="shared" si="1"/>
        <v>211.91000000000003</v>
      </c>
      <c r="K21" s="60">
        <f t="shared" si="2"/>
        <v>7.4643676560804104E-2</v>
      </c>
      <c r="O21" s="8"/>
      <c r="P21" s="16"/>
      <c r="Q21" s="16"/>
      <c r="R21" s="61"/>
    </row>
    <row r="22" spans="1:20" x14ac:dyDescent="0.2">
      <c r="A22" s="8" t="s">
        <v>108</v>
      </c>
      <c r="B22" s="8">
        <v>7</v>
      </c>
      <c r="C22" s="9">
        <v>1.3</v>
      </c>
      <c r="D22" s="26">
        <v>60.73</v>
      </c>
      <c r="E22" s="26">
        <v>62.22</v>
      </c>
      <c r="F22" s="8">
        <f t="shared" si="0"/>
        <v>61.474999999999994</v>
      </c>
      <c r="G22" s="9">
        <v>0.32</v>
      </c>
      <c r="H22" s="25">
        <v>226.12</v>
      </c>
      <c r="I22" s="25">
        <v>226.83</v>
      </c>
      <c r="J22" s="8">
        <f t="shared" si="1"/>
        <v>226.47500000000002</v>
      </c>
      <c r="K22" s="60">
        <f t="shared" si="2"/>
        <v>8.6888828789049549E-2</v>
      </c>
    </row>
    <row r="23" spans="1:20" x14ac:dyDescent="0.2">
      <c r="A23" s="8" t="s">
        <v>150</v>
      </c>
      <c r="B23" s="8">
        <v>8</v>
      </c>
      <c r="C23" s="9">
        <v>1.3</v>
      </c>
      <c r="D23" s="26">
        <v>66.680000000000007</v>
      </c>
      <c r="E23" s="26">
        <v>70.81</v>
      </c>
      <c r="F23" s="8">
        <f t="shared" si="0"/>
        <v>68.745000000000005</v>
      </c>
      <c r="G23" s="9">
        <v>0.32</v>
      </c>
      <c r="H23" s="25">
        <v>218.39</v>
      </c>
      <c r="I23" s="29">
        <v>234.26</v>
      </c>
      <c r="J23" s="8">
        <f t="shared" si="1"/>
        <v>226.32499999999999</v>
      </c>
      <c r="K23" s="60">
        <f t="shared" si="2"/>
        <v>9.7228651275820185E-2</v>
      </c>
      <c r="O23" s="8"/>
      <c r="P23" s="16"/>
      <c r="Q23" s="16"/>
      <c r="R23" s="61"/>
    </row>
    <row r="24" spans="1:20" ht="14.5" customHeight="1" x14ac:dyDescent="0.2">
      <c r="A24" s="8" t="s">
        <v>144</v>
      </c>
      <c r="B24" s="8">
        <v>9</v>
      </c>
      <c r="C24" s="9">
        <v>1.3</v>
      </c>
      <c r="D24" s="26">
        <v>89.16</v>
      </c>
      <c r="E24" s="65">
        <v>85.95</v>
      </c>
      <c r="F24" s="8">
        <f t="shared" si="0"/>
        <v>87.555000000000007</v>
      </c>
      <c r="G24" s="9">
        <v>0.32</v>
      </c>
      <c r="H24" s="25">
        <v>218.01</v>
      </c>
      <c r="I24" s="25">
        <v>207.91</v>
      </c>
      <c r="J24" s="8">
        <f t="shared" si="1"/>
        <v>212.95999999999998</v>
      </c>
      <c r="K24" s="60">
        <f t="shared" si="2"/>
        <v>0.13160384814049589</v>
      </c>
      <c r="O24" s="8"/>
      <c r="P24" s="16"/>
      <c r="Q24" s="16"/>
      <c r="R24" s="61"/>
    </row>
    <row r="25" spans="1:20" x14ac:dyDescent="0.2">
      <c r="A25" s="8" t="s">
        <v>145</v>
      </c>
      <c r="B25" s="8">
        <v>10</v>
      </c>
      <c r="C25" s="9">
        <v>1.3</v>
      </c>
      <c r="D25" s="26">
        <v>92.38</v>
      </c>
      <c r="E25" s="8">
        <v>93.08</v>
      </c>
      <c r="F25" s="8">
        <f t="shared" si="0"/>
        <v>92.72999999999999</v>
      </c>
      <c r="G25" s="9">
        <v>0.32</v>
      </c>
      <c r="H25" s="29">
        <v>212.24</v>
      </c>
      <c r="I25" s="25">
        <v>224.42</v>
      </c>
      <c r="J25" s="8">
        <f t="shared" si="1"/>
        <v>218.32999999999998</v>
      </c>
      <c r="K25" s="60">
        <f t="shared" si="2"/>
        <v>0.13595416571245361</v>
      </c>
      <c r="O25" s="8"/>
      <c r="P25" s="16"/>
      <c r="Q25" s="16"/>
      <c r="R25" s="61"/>
    </row>
    <row r="26" spans="1:20" x14ac:dyDescent="0.2">
      <c r="A26" s="8" t="s">
        <v>146</v>
      </c>
      <c r="B26" s="8">
        <v>11</v>
      </c>
      <c r="C26" s="9">
        <v>1.3</v>
      </c>
      <c r="D26" s="26">
        <v>95.62</v>
      </c>
      <c r="E26" s="26">
        <v>101.65</v>
      </c>
      <c r="F26" s="8">
        <f t="shared" si="0"/>
        <v>98.635000000000005</v>
      </c>
      <c r="G26" s="9">
        <v>0.32</v>
      </c>
      <c r="H26" s="29">
        <v>204.04</v>
      </c>
      <c r="I26" s="29">
        <v>213.76</v>
      </c>
      <c r="J26" s="8">
        <f t="shared" si="1"/>
        <v>208.89999999999998</v>
      </c>
      <c r="K26" s="60">
        <f t="shared" si="2"/>
        <v>0.15113960507419819</v>
      </c>
      <c r="O26" s="8"/>
      <c r="P26" s="16"/>
      <c r="Q26" s="16"/>
      <c r="R26" s="61"/>
    </row>
    <row r="27" spans="1:20" x14ac:dyDescent="0.2">
      <c r="A27" s="8" t="s">
        <v>130</v>
      </c>
      <c r="B27" s="8">
        <v>12</v>
      </c>
      <c r="C27" s="9">
        <v>1.3</v>
      </c>
      <c r="D27" s="26">
        <v>106.58</v>
      </c>
      <c r="E27" s="26">
        <v>111.77</v>
      </c>
      <c r="F27" s="8">
        <f t="shared" si="0"/>
        <v>109.175</v>
      </c>
      <c r="G27" s="9">
        <v>0.32</v>
      </c>
      <c r="H27" s="29">
        <v>201.76</v>
      </c>
      <c r="I27" s="29">
        <v>212.17</v>
      </c>
      <c r="J27" s="8">
        <f t="shared" si="1"/>
        <v>206.96499999999997</v>
      </c>
      <c r="K27" s="60">
        <f t="shared" si="2"/>
        <v>0.16885423863938348</v>
      </c>
      <c r="O27" s="8"/>
      <c r="P27" s="89"/>
      <c r="Q27" s="89"/>
      <c r="R27" s="125"/>
      <c r="S27" s="126"/>
      <c r="T27" s="126"/>
    </row>
    <row r="28" spans="1:20" x14ac:dyDescent="0.2">
      <c r="A28" s="8" t="s">
        <v>147</v>
      </c>
      <c r="B28" s="8">
        <v>13</v>
      </c>
      <c r="C28" s="9">
        <v>1.3</v>
      </c>
      <c r="D28" s="26">
        <v>126.05</v>
      </c>
      <c r="E28" s="26">
        <v>121.81</v>
      </c>
      <c r="F28" s="8">
        <f t="shared" si="0"/>
        <v>123.93</v>
      </c>
      <c r="G28" s="9">
        <v>0.32</v>
      </c>
      <c r="H28" s="25">
        <v>225.53</v>
      </c>
      <c r="I28" s="25">
        <v>215.76</v>
      </c>
      <c r="J28" s="8">
        <f t="shared" si="1"/>
        <v>220.64499999999998</v>
      </c>
      <c r="K28" s="60">
        <f t="shared" si="2"/>
        <v>0.17979103537356386</v>
      </c>
      <c r="O28" s="8"/>
      <c r="P28" s="89"/>
      <c r="Q28" s="89"/>
      <c r="R28" s="125"/>
      <c r="S28" s="126"/>
      <c r="T28" s="126"/>
    </row>
    <row r="29" spans="1:20" x14ac:dyDescent="0.2">
      <c r="A29" s="8" t="s">
        <v>149</v>
      </c>
      <c r="B29" s="8">
        <v>14</v>
      </c>
      <c r="C29" s="9">
        <v>1.3</v>
      </c>
      <c r="D29" s="26">
        <v>126.76</v>
      </c>
      <c r="E29" s="26">
        <v>128.25</v>
      </c>
      <c r="F29" s="8">
        <f t="shared" si="0"/>
        <v>127.505</v>
      </c>
      <c r="G29" s="9">
        <v>0.32</v>
      </c>
      <c r="H29" s="25">
        <v>222.23</v>
      </c>
      <c r="I29" s="25">
        <v>214.99</v>
      </c>
      <c r="J29" s="8">
        <f t="shared" si="1"/>
        <v>218.61</v>
      </c>
      <c r="K29" s="60">
        <f t="shared" si="2"/>
        <v>0.18669937560038422</v>
      </c>
      <c r="P29" s="126"/>
      <c r="Q29" s="126"/>
      <c r="R29" s="89"/>
      <c r="S29" s="126"/>
      <c r="T29" s="126"/>
    </row>
    <row r="30" spans="1:20" x14ac:dyDescent="0.2">
      <c r="A30" s="8" t="s">
        <v>148</v>
      </c>
      <c r="B30" s="8">
        <v>15</v>
      </c>
      <c r="C30" s="9">
        <v>1.3</v>
      </c>
      <c r="D30" s="26">
        <v>126.54</v>
      </c>
      <c r="E30" s="26">
        <v>133.88</v>
      </c>
      <c r="F30" s="8">
        <f t="shared" si="0"/>
        <v>130.21</v>
      </c>
      <c r="G30" s="9">
        <v>0.32</v>
      </c>
      <c r="H30" s="25">
        <v>207.09</v>
      </c>
      <c r="I30" s="25">
        <v>215.94</v>
      </c>
      <c r="J30" s="8">
        <f t="shared" si="1"/>
        <v>211.51499999999999</v>
      </c>
      <c r="K30" s="60">
        <f t="shared" si="2"/>
        <v>0.19705562726047801</v>
      </c>
      <c r="P30" s="126"/>
      <c r="Q30" s="126"/>
      <c r="R30" s="89"/>
      <c r="S30" s="126"/>
      <c r="T30" s="126"/>
    </row>
    <row r="31" spans="1:20" ht="15.25" customHeight="1" x14ac:dyDescent="0.2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7"/>
      <c r="L31" s="66"/>
      <c r="M31" s="66"/>
      <c r="P31" s="89"/>
      <c r="Q31" s="126"/>
      <c r="R31" s="89"/>
      <c r="S31" s="126"/>
      <c r="T31" s="126"/>
    </row>
    <row r="32" spans="1:20" ht="20" x14ac:dyDescent="0.2">
      <c r="A32" s="55" t="s">
        <v>94</v>
      </c>
      <c r="P32" s="89"/>
      <c r="Q32" s="126"/>
      <c r="R32" s="89"/>
      <c r="S32" s="126"/>
      <c r="T32" s="126"/>
    </row>
    <row r="33" spans="1:20" ht="17" thickBot="1" x14ac:dyDescent="0.25">
      <c r="A33" s="16" t="s">
        <v>95</v>
      </c>
      <c r="B33" s="8"/>
      <c r="C33" s="9"/>
      <c r="D33" s="26"/>
      <c r="E33" s="8"/>
      <c r="F33" s="8"/>
      <c r="G33" s="9"/>
      <c r="H33" s="8"/>
      <c r="I33" s="8"/>
      <c r="J33" s="8"/>
      <c r="K33" s="62"/>
      <c r="M33" s="8"/>
      <c r="O33" s="8"/>
      <c r="P33" s="89"/>
      <c r="Q33" s="89"/>
      <c r="R33" s="125"/>
      <c r="S33" s="126"/>
      <c r="T33" s="126"/>
    </row>
    <row r="34" spans="1:20" ht="20" x14ac:dyDescent="0.2">
      <c r="A34" s="136" t="s">
        <v>65</v>
      </c>
      <c r="B34" s="137"/>
      <c r="C34" s="9"/>
      <c r="D34" s="8"/>
      <c r="E34" s="8"/>
      <c r="F34" s="8"/>
      <c r="G34" s="8"/>
      <c r="H34" s="8"/>
      <c r="I34" s="8"/>
      <c r="J34" s="8"/>
      <c r="K34" s="60"/>
      <c r="O34" s="55"/>
      <c r="P34" s="126"/>
      <c r="Q34" s="127"/>
      <c r="R34" s="89"/>
      <c r="S34" s="126"/>
      <c r="T34" s="126"/>
    </row>
    <row r="35" spans="1:20" ht="17" thickBot="1" x14ac:dyDescent="0.25">
      <c r="A35" s="138"/>
      <c r="B35" s="139"/>
      <c r="D35" s="17"/>
      <c r="G35" s="16"/>
      <c r="K35" s="63"/>
      <c r="O35" s="16"/>
      <c r="P35" s="89"/>
      <c r="Q35" s="126"/>
      <c r="R35" s="89"/>
      <c r="S35" s="126"/>
      <c r="T35" s="126"/>
    </row>
    <row r="36" spans="1:20" x14ac:dyDescent="0.2">
      <c r="A36" s="8"/>
      <c r="E36" s="5" t="s">
        <v>101</v>
      </c>
      <c r="F36" s="64">
        <v>0.3201</v>
      </c>
      <c r="K36" s="63"/>
      <c r="O36" s="3"/>
      <c r="P36" s="128"/>
      <c r="Q36" s="129"/>
      <c r="R36" s="127"/>
      <c r="S36" s="126"/>
      <c r="T36" s="126"/>
    </row>
    <row r="37" spans="1:20" x14ac:dyDescent="0.2">
      <c r="A37" s="3" t="s">
        <v>96</v>
      </c>
      <c r="B37" s="3" t="s">
        <v>97</v>
      </c>
      <c r="C37" s="3" t="s">
        <v>109</v>
      </c>
      <c r="D37" s="3" t="s">
        <v>110</v>
      </c>
      <c r="E37" s="3" t="s">
        <v>111</v>
      </c>
      <c r="F37" s="3" t="s">
        <v>63</v>
      </c>
      <c r="G37" s="3" t="s">
        <v>98</v>
      </c>
      <c r="H37" s="3" t="s">
        <v>99</v>
      </c>
      <c r="I37" s="3" t="s">
        <v>100</v>
      </c>
      <c r="J37" s="3" t="s">
        <v>7</v>
      </c>
      <c r="K37" s="60" t="s">
        <v>112</v>
      </c>
      <c r="O37" s="8"/>
      <c r="P37" s="130"/>
      <c r="Q37" s="89"/>
      <c r="R37" s="131"/>
      <c r="S37" s="126"/>
      <c r="T37" s="126"/>
    </row>
    <row r="38" spans="1:20" x14ac:dyDescent="0.2">
      <c r="A38" s="8" t="s">
        <v>102</v>
      </c>
      <c r="B38" s="8">
        <v>3</v>
      </c>
      <c r="C38" s="9">
        <v>1.3</v>
      </c>
      <c r="D38" s="29">
        <v>25.64</v>
      </c>
      <c r="E38" s="29">
        <v>25.69</v>
      </c>
      <c r="F38" s="8">
        <f t="shared" ref="F38:F44" si="3">AVERAGE(D38:E38)</f>
        <v>25.664999999999999</v>
      </c>
      <c r="G38" s="9">
        <v>0.32</v>
      </c>
      <c r="H38" s="25">
        <v>187.93</v>
      </c>
      <c r="I38" s="29">
        <v>182.99</v>
      </c>
      <c r="J38" s="8">
        <f>AVERAGE(H38:I38)</f>
        <v>185.46</v>
      </c>
      <c r="K38" s="60">
        <f t="shared" ref="K38:K44" si="4">(F38/J38)*$F$36*($D$5/$C$5)</f>
        <v>4.4297241992882562E-2</v>
      </c>
      <c r="O38" s="8"/>
      <c r="P38" s="130"/>
      <c r="Q38" s="89"/>
      <c r="R38" s="125"/>
      <c r="S38" s="126"/>
      <c r="T38" s="126"/>
    </row>
    <row r="39" spans="1:20" x14ac:dyDescent="0.2">
      <c r="A39" s="8" t="s">
        <v>103</v>
      </c>
      <c r="B39" s="8">
        <v>6</v>
      </c>
      <c r="C39" s="9">
        <v>1.3</v>
      </c>
      <c r="D39" s="29">
        <v>51.75</v>
      </c>
      <c r="E39" s="95">
        <v>52.07</v>
      </c>
      <c r="F39" s="8">
        <f t="shared" si="3"/>
        <v>51.91</v>
      </c>
      <c r="G39" s="9">
        <v>0.32</v>
      </c>
      <c r="H39" s="25">
        <v>175.85</v>
      </c>
      <c r="I39" s="25">
        <v>177.07</v>
      </c>
      <c r="J39" s="8">
        <f t="shared" ref="J39:J42" si="5">AVERAGE(H39:I39)</f>
        <v>176.45999999999998</v>
      </c>
      <c r="K39" s="60">
        <f t="shared" si="4"/>
        <v>9.4165198911934714E-2</v>
      </c>
      <c r="O39" s="8"/>
      <c r="P39" s="130"/>
      <c r="Q39" s="89"/>
      <c r="R39" s="125"/>
      <c r="S39" s="126"/>
      <c r="T39" s="126"/>
    </row>
    <row r="40" spans="1:20" ht="14.5" customHeight="1" x14ac:dyDescent="0.2">
      <c r="A40" s="8" t="s">
        <v>104</v>
      </c>
      <c r="B40" s="8">
        <v>9</v>
      </c>
      <c r="C40" s="9">
        <v>1.3</v>
      </c>
      <c r="D40" s="29">
        <v>90.4</v>
      </c>
      <c r="E40" s="25">
        <v>91.51</v>
      </c>
      <c r="F40" s="8">
        <f t="shared" si="3"/>
        <v>90.955000000000013</v>
      </c>
      <c r="G40" s="9">
        <v>0.32</v>
      </c>
      <c r="H40" s="29">
        <v>179.86</v>
      </c>
      <c r="I40" s="25">
        <v>181.26</v>
      </c>
      <c r="J40" s="8">
        <f t="shared" si="5"/>
        <v>180.56</v>
      </c>
      <c r="K40" s="60">
        <f t="shared" si="4"/>
        <v>0.16124665208241029</v>
      </c>
      <c r="O40" s="8"/>
      <c r="P40" s="8"/>
      <c r="Q40" s="16"/>
      <c r="R40" s="61"/>
    </row>
    <row r="41" spans="1:20" x14ac:dyDescent="0.2">
      <c r="A41" s="8" t="s">
        <v>105</v>
      </c>
      <c r="B41" s="8">
        <v>12</v>
      </c>
      <c r="C41" s="9">
        <v>1.3</v>
      </c>
      <c r="D41" s="29">
        <v>126.89</v>
      </c>
      <c r="E41" s="29">
        <v>125.77</v>
      </c>
      <c r="F41" s="8">
        <f t="shared" si="3"/>
        <v>126.33</v>
      </c>
      <c r="G41" s="9">
        <v>0.32</v>
      </c>
      <c r="H41" s="29">
        <v>185.64</v>
      </c>
      <c r="I41" s="29">
        <v>183.45</v>
      </c>
      <c r="J41" s="8">
        <f t="shared" si="5"/>
        <v>184.54499999999999</v>
      </c>
      <c r="K41" s="60">
        <f t="shared" si="4"/>
        <v>0.21912396976347234</v>
      </c>
      <c r="O41" s="8"/>
      <c r="P41" s="8"/>
      <c r="Q41" s="16"/>
      <c r="R41" s="61"/>
    </row>
    <row r="42" spans="1:20" x14ac:dyDescent="0.2">
      <c r="A42" s="8" t="s">
        <v>106</v>
      </c>
      <c r="B42" s="8">
        <v>15</v>
      </c>
      <c r="C42" s="9">
        <v>1.3</v>
      </c>
      <c r="D42" s="29">
        <v>163.98</v>
      </c>
      <c r="E42" s="29">
        <v>153.85</v>
      </c>
      <c r="F42" s="8">
        <f t="shared" si="3"/>
        <v>158.91499999999999</v>
      </c>
      <c r="G42" s="9">
        <v>0.32</v>
      </c>
      <c r="H42" s="29">
        <v>187.13</v>
      </c>
      <c r="I42" s="29">
        <v>175.14</v>
      </c>
      <c r="J42" s="8">
        <f t="shared" si="5"/>
        <v>181.13499999999999</v>
      </c>
      <c r="K42" s="60">
        <f t="shared" si="4"/>
        <v>0.28083303337289867</v>
      </c>
      <c r="O42" s="8"/>
      <c r="P42" s="8"/>
      <c r="Q42" s="16"/>
      <c r="R42" s="61"/>
    </row>
    <row r="43" spans="1:20" x14ac:dyDescent="0.2">
      <c r="A43" s="8" t="s">
        <v>107</v>
      </c>
      <c r="B43" s="8">
        <v>18</v>
      </c>
      <c r="C43" s="9">
        <v>1.3</v>
      </c>
      <c r="D43" s="29">
        <v>186.69</v>
      </c>
      <c r="E43" s="29">
        <v>190.32</v>
      </c>
      <c r="F43" s="8">
        <f t="shared" si="3"/>
        <v>188.505</v>
      </c>
      <c r="G43" s="9">
        <v>0.32</v>
      </c>
      <c r="H43" s="25">
        <v>183.75</v>
      </c>
      <c r="I43" s="25">
        <v>184.75</v>
      </c>
      <c r="J43" s="8">
        <f>AVERAGE(H43:I43)</f>
        <v>184.25</v>
      </c>
      <c r="K43" s="60">
        <f t="shared" si="4"/>
        <v>0.32749226865671638</v>
      </c>
      <c r="O43" s="8"/>
      <c r="P43" s="8"/>
      <c r="Q43" s="16"/>
      <c r="R43" s="61"/>
    </row>
    <row r="44" spans="1:20" x14ac:dyDescent="0.2">
      <c r="A44" s="8" t="s">
        <v>108</v>
      </c>
      <c r="B44" s="8">
        <v>21</v>
      </c>
      <c r="C44" s="9">
        <v>1.3</v>
      </c>
      <c r="D44" s="29">
        <v>226.84</v>
      </c>
      <c r="E44" s="29">
        <v>229.46</v>
      </c>
      <c r="F44" s="8">
        <f t="shared" si="3"/>
        <v>228.15</v>
      </c>
      <c r="G44" s="9">
        <v>0.32</v>
      </c>
      <c r="H44" s="25">
        <v>190.2</v>
      </c>
      <c r="I44" s="25">
        <v>192.07</v>
      </c>
      <c r="J44" s="8">
        <f t="shared" ref="J44" si="6">AVERAGE(H44:I44)</f>
        <v>191.13499999999999</v>
      </c>
      <c r="K44" s="60">
        <f t="shared" si="4"/>
        <v>0.38209022418709293</v>
      </c>
      <c r="O44" s="8"/>
      <c r="P44" s="16"/>
      <c r="Q44" s="16"/>
      <c r="R44" s="61"/>
    </row>
    <row r="45" spans="1:20" x14ac:dyDescent="0.2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7"/>
      <c r="L45" s="66"/>
      <c r="M45" s="66"/>
    </row>
    <row r="46" spans="1:20" ht="20" x14ac:dyDescent="0.2">
      <c r="A46" s="55" t="s">
        <v>94</v>
      </c>
    </row>
    <row r="47" spans="1:20" ht="17" thickBot="1" x14ac:dyDescent="0.25">
      <c r="A47" s="16" t="s">
        <v>113</v>
      </c>
      <c r="B47" s="8"/>
      <c r="C47" s="9"/>
      <c r="D47" s="26"/>
      <c r="E47" s="8"/>
      <c r="F47" s="8"/>
      <c r="G47" s="9"/>
      <c r="H47" s="8"/>
      <c r="I47" s="8"/>
      <c r="J47" s="8"/>
      <c r="K47" s="62"/>
      <c r="M47" s="8"/>
    </row>
    <row r="48" spans="1:20" x14ac:dyDescent="0.2">
      <c r="A48" s="136" t="s">
        <v>65</v>
      </c>
      <c r="B48" s="137"/>
      <c r="C48" s="9"/>
      <c r="D48" s="8"/>
      <c r="E48" s="8"/>
      <c r="F48" s="8"/>
      <c r="G48" s="8"/>
      <c r="H48" s="8"/>
      <c r="I48" s="8"/>
      <c r="J48" s="8"/>
      <c r="K48" s="60"/>
    </row>
    <row r="49" spans="1:13" ht="17" thickBot="1" x14ac:dyDescent="0.25">
      <c r="A49" s="138"/>
      <c r="B49" s="139"/>
      <c r="D49" s="17"/>
      <c r="G49" s="16"/>
      <c r="K49" s="63"/>
    </row>
    <row r="50" spans="1:13" x14ac:dyDescent="0.2">
      <c r="A50" s="8"/>
      <c r="E50" s="5" t="s">
        <v>101</v>
      </c>
      <c r="F50" s="64">
        <v>0.3201</v>
      </c>
      <c r="K50" s="63"/>
    </row>
    <row r="51" spans="1:13" x14ac:dyDescent="0.2">
      <c r="A51" s="3" t="s">
        <v>96</v>
      </c>
      <c r="B51" s="3" t="s">
        <v>97</v>
      </c>
      <c r="C51" s="3" t="s">
        <v>109</v>
      </c>
      <c r="D51" s="3" t="s">
        <v>110</v>
      </c>
      <c r="E51" s="3" t="s">
        <v>111</v>
      </c>
      <c r="F51" s="3" t="s">
        <v>63</v>
      </c>
      <c r="G51" s="3" t="s">
        <v>98</v>
      </c>
      <c r="H51" s="3" t="s">
        <v>99</v>
      </c>
      <c r="I51" s="3" t="s">
        <v>100</v>
      </c>
      <c r="J51" s="3" t="s">
        <v>7</v>
      </c>
      <c r="K51" s="60" t="s">
        <v>112</v>
      </c>
    </row>
    <row r="52" spans="1:13" x14ac:dyDescent="0.2">
      <c r="A52" s="8" t="s">
        <v>102</v>
      </c>
      <c r="B52" s="8">
        <v>3</v>
      </c>
      <c r="C52" s="9">
        <v>1.3</v>
      </c>
      <c r="D52" s="29">
        <v>25.58</v>
      </c>
      <c r="E52" s="29">
        <v>26.07</v>
      </c>
      <c r="F52" s="8">
        <f t="shared" ref="F52:F58" si="7">AVERAGE(D52:E52)</f>
        <v>25.824999999999999</v>
      </c>
      <c r="G52" s="9">
        <v>0.32</v>
      </c>
      <c r="H52" s="25">
        <v>179.31</v>
      </c>
      <c r="I52" s="29">
        <v>183.15</v>
      </c>
      <c r="J52" s="8">
        <f>AVERAGE(H52:I52)</f>
        <v>181.23000000000002</v>
      </c>
      <c r="K52" s="60">
        <f t="shared" ref="K52:K58" si="8">(F52/J52)*$F$36*($D$5/$C$5)</f>
        <v>4.5613764277437498E-2</v>
      </c>
    </row>
    <row r="53" spans="1:13" x14ac:dyDescent="0.2">
      <c r="A53" s="8" t="s">
        <v>103</v>
      </c>
      <c r="B53" s="8">
        <v>6</v>
      </c>
      <c r="C53" s="9">
        <v>1.3</v>
      </c>
      <c r="D53" s="29">
        <v>60.93</v>
      </c>
      <c r="E53" s="95">
        <v>60.03</v>
      </c>
      <c r="F53" s="8">
        <f t="shared" si="7"/>
        <v>60.480000000000004</v>
      </c>
      <c r="G53" s="9">
        <v>0.32</v>
      </c>
      <c r="H53" s="25">
        <v>194.36</v>
      </c>
      <c r="I53" s="25">
        <v>190.54</v>
      </c>
      <c r="J53" s="8">
        <f t="shared" ref="J53:J56" si="9">AVERAGE(H53:I53)</f>
        <v>192.45</v>
      </c>
      <c r="K53" s="60">
        <f t="shared" si="8"/>
        <v>0.10059572876071708</v>
      </c>
    </row>
    <row r="54" spans="1:13" x14ac:dyDescent="0.2">
      <c r="A54" s="8" t="s">
        <v>104</v>
      </c>
      <c r="B54" s="8">
        <v>9</v>
      </c>
      <c r="C54" s="9">
        <v>1.3</v>
      </c>
      <c r="D54" s="29">
        <v>88.28</v>
      </c>
      <c r="E54" s="25">
        <v>91.5</v>
      </c>
      <c r="F54" s="8">
        <f t="shared" si="7"/>
        <v>89.89</v>
      </c>
      <c r="G54" s="9">
        <v>0.32</v>
      </c>
      <c r="H54" s="29">
        <v>183.41</v>
      </c>
      <c r="I54" s="25">
        <v>190.94</v>
      </c>
      <c r="J54" s="8">
        <f t="shared" si="9"/>
        <v>187.17500000000001</v>
      </c>
      <c r="K54" s="60">
        <f t="shared" si="8"/>
        <v>0.15372666755709896</v>
      </c>
    </row>
    <row r="55" spans="1:13" x14ac:dyDescent="0.2">
      <c r="A55" s="8" t="s">
        <v>105</v>
      </c>
      <c r="B55" s="8">
        <v>12</v>
      </c>
      <c r="C55" s="9">
        <v>1.3</v>
      </c>
      <c r="D55" s="29">
        <v>125.06</v>
      </c>
      <c r="E55" s="29">
        <v>123.63</v>
      </c>
      <c r="F55" s="8">
        <f t="shared" si="7"/>
        <v>124.345</v>
      </c>
      <c r="G55" s="9">
        <v>0.32</v>
      </c>
      <c r="H55" s="29">
        <v>188.11</v>
      </c>
      <c r="I55" s="29">
        <v>185.46</v>
      </c>
      <c r="J55" s="8">
        <f t="shared" si="9"/>
        <v>186.78500000000003</v>
      </c>
      <c r="K55" s="60">
        <f t="shared" si="8"/>
        <v>0.21309438391733806</v>
      </c>
    </row>
    <row r="56" spans="1:13" x14ac:dyDescent="0.2">
      <c r="A56" s="8" t="s">
        <v>106</v>
      </c>
      <c r="B56" s="8">
        <v>15</v>
      </c>
      <c r="C56" s="9">
        <v>1.3</v>
      </c>
      <c r="D56" s="29">
        <v>151.55000000000001</v>
      </c>
      <c r="E56" s="29">
        <v>151.46</v>
      </c>
      <c r="F56" s="8">
        <f t="shared" si="7"/>
        <v>151.505</v>
      </c>
      <c r="G56" s="9">
        <v>0.32</v>
      </c>
      <c r="H56" s="29">
        <v>181.51</v>
      </c>
      <c r="I56" s="29">
        <v>182.07</v>
      </c>
      <c r="J56" s="8">
        <f t="shared" si="9"/>
        <v>181.79</v>
      </c>
      <c r="K56" s="60">
        <f t="shared" si="8"/>
        <v>0.26677347763903408</v>
      </c>
    </row>
    <row r="57" spans="1:13" ht="15" customHeight="1" x14ac:dyDescent="0.2">
      <c r="A57" s="8" t="s">
        <v>107</v>
      </c>
      <c r="B57" s="8">
        <v>18</v>
      </c>
      <c r="C57" s="9">
        <v>1.3</v>
      </c>
      <c r="D57" s="29">
        <v>184.32</v>
      </c>
      <c r="E57" s="29">
        <v>191.37</v>
      </c>
      <c r="F57" s="8">
        <f t="shared" si="7"/>
        <v>187.845</v>
      </c>
      <c r="G57" s="9">
        <v>0.32</v>
      </c>
      <c r="H57" s="25">
        <v>181.41</v>
      </c>
      <c r="I57" s="25">
        <v>183.72</v>
      </c>
      <c r="J57" s="8">
        <f>AVERAGE(H57:I57)</f>
        <v>182.565</v>
      </c>
      <c r="K57" s="60">
        <f t="shared" si="8"/>
        <v>0.32935767808725658</v>
      </c>
    </row>
    <row r="58" spans="1:13" ht="15.25" customHeight="1" x14ac:dyDescent="0.2">
      <c r="A58" s="8" t="s">
        <v>108</v>
      </c>
      <c r="B58" s="8">
        <v>21</v>
      </c>
      <c r="C58" s="9">
        <v>1.3</v>
      </c>
      <c r="D58" s="29">
        <v>209.49</v>
      </c>
      <c r="E58" s="29">
        <v>206.19</v>
      </c>
      <c r="F58" s="8">
        <f t="shared" si="7"/>
        <v>207.84</v>
      </c>
      <c r="G58" s="9">
        <v>0.32</v>
      </c>
      <c r="H58" s="25">
        <v>180.32</v>
      </c>
      <c r="I58" s="25">
        <v>178.76</v>
      </c>
      <c r="J58" s="8">
        <f t="shared" ref="J58" si="10">AVERAGE(H58:I58)</f>
        <v>179.54</v>
      </c>
      <c r="K58" s="60">
        <f t="shared" si="8"/>
        <v>0.3705557758716721</v>
      </c>
    </row>
    <row r="59" spans="1:13" x14ac:dyDescent="0.2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7"/>
      <c r="L59" s="66"/>
      <c r="M59" s="66"/>
    </row>
    <row r="60" spans="1:13" ht="20" x14ac:dyDescent="0.2">
      <c r="A60" s="55" t="s">
        <v>94</v>
      </c>
    </row>
    <row r="61" spans="1:13" ht="17" thickBot="1" x14ac:dyDescent="0.25">
      <c r="A61" s="16" t="s">
        <v>114</v>
      </c>
      <c r="B61" s="8"/>
      <c r="C61" s="9"/>
      <c r="D61" s="26"/>
      <c r="E61" s="8"/>
      <c r="F61" s="8"/>
      <c r="G61" s="9"/>
      <c r="H61" s="8"/>
      <c r="I61" s="8"/>
      <c r="J61" s="8"/>
      <c r="K61" s="62"/>
      <c r="M61" s="8"/>
    </row>
    <row r="62" spans="1:13" x14ac:dyDescent="0.2">
      <c r="A62" s="136" t="s">
        <v>65</v>
      </c>
      <c r="B62" s="137"/>
      <c r="C62" s="9"/>
      <c r="D62" s="8"/>
      <c r="E62" s="8"/>
      <c r="F62" s="8"/>
      <c r="G62" s="8"/>
      <c r="H62" s="8"/>
      <c r="I62" s="8"/>
      <c r="J62" s="8"/>
      <c r="K62" s="60"/>
    </row>
    <row r="63" spans="1:13" ht="17" thickBot="1" x14ac:dyDescent="0.25">
      <c r="A63" s="138"/>
      <c r="B63" s="139"/>
      <c r="D63" s="17"/>
      <c r="G63" s="16"/>
      <c r="K63" s="63"/>
    </row>
    <row r="64" spans="1:13" x14ac:dyDescent="0.2">
      <c r="A64" s="8"/>
      <c r="E64" s="5" t="s">
        <v>101</v>
      </c>
      <c r="F64" s="64">
        <v>0.3201</v>
      </c>
      <c r="K64" s="63"/>
    </row>
    <row r="65" spans="1:13" ht="15" customHeight="1" x14ac:dyDescent="0.2">
      <c r="A65" s="3" t="s">
        <v>96</v>
      </c>
      <c r="B65" s="3" t="s">
        <v>97</v>
      </c>
      <c r="C65" s="3" t="s">
        <v>109</v>
      </c>
      <c r="D65" s="3" t="s">
        <v>110</v>
      </c>
      <c r="E65" s="3" t="s">
        <v>111</v>
      </c>
      <c r="F65" s="3" t="s">
        <v>63</v>
      </c>
      <c r="G65" s="3" t="s">
        <v>98</v>
      </c>
      <c r="H65" s="3" t="s">
        <v>99</v>
      </c>
      <c r="I65" s="3" t="s">
        <v>100</v>
      </c>
      <c r="J65" s="3" t="s">
        <v>7</v>
      </c>
      <c r="K65" s="60" t="s">
        <v>112</v>
      </c>
    </row>
    <row r="66" spans="1:13" x14ac:dyDescent="0.2">
      <c r="A66" s="8" t="s">
        <v>102</v>
      </c>
      <c r="B66" s="8">
        <v>3</v>
      </c>
      <c r="C66" s="9">
        <v>1.3</v>
      </c>
      <c r="D66" s="29">
        <v>21.11</v>
      </c>
      <c r="E66" s="29">
        <v>20.54</v>
      </c>
      <c r="F66" s="8">
        <f t="shared" ref="F66:F72" si="11">AVERAGE(D66:E66)</f>
        <v>20.824999999999999</v>
      </c>
      <c r="G66" s="9">
        <v>0.32</v>
      </c>
      <c r="H66" s="25">
        <v>199.81</v>
      </c>
      <c r="I66" s="29">
        <v>194.33</v>
      </c>
      <c r="J66" s="8">
        <f>AVERAGE(H66:I66)</f>
        <v>197.07</v>
      </c>
      <c r="K66" s="60">
        <f t="shared" ref="K66:K72" si="12">(F66/J66)*$F$36*($D$5/$C$5)</f>
        <v>3.3825962855838027E-2</v>
      </c>
    </row>
    <row r="67" spans="1:13" x14ac:dyDescent="0.2">
      <c r="A67" s="8" t="s">
        <v>103</v>
      </c>
      <c r="B67" s="8">
        <v>6</v>
      </c>
      <c r="C67" s="9">
        <v>1.3</v>
      </c>
      <c r="D67" s="29">
        <v>43.66</v>
      </c>
      <c r="E67" s="95">
        <v>43.79</v>
      </c>
      <c r="F67" s="8">
        <f t="shared" si="11"/>
        <v>43.724999999999994</v>
      </c>
      <c r="G67" s="9">
        <v>0.32</v>
      </c>
      <c r="H67" s="25">
        <v>196.93</v>
      </c>
      <c r="I67" s="25">
        <v>198.77</v>
      </c>
      <c r="J67" s="8">
        <f t="shared" ref="J67:J70" si="13">AVERAGE(H67:I67)</f>
        <v>197.85000000000002</v>
      </c>
      <c r="K67" s="60">
        <f t="shared" si="12"/>
        <v>7.0742342683851378E-2</v>
      </c>
    </row>
    <row r="68" spans="1:13" x14ac:dyDescent="0.2">
      <c r="A68" s="8" t="s">
        <v>104</v>
      </c>
      <c r="B68" s="8">
        <v>9</v>
      </c>
      <c r="C68" s="9">
        <v>1.3</v>
      </c>
      <c r="D68" s="29">
        <v>67.069999999999993</v>
      </c>
      <c r="E68" s="25">
        <v>66.77</v>
      </c>
      <c r="F68" s="8">
        <f t="shared" si="11"/>
        <v>66.919999999999987</v>
      </c>
      <c r="G68" s="9">
        <v>0.32</v>
      </c>
      <c r="H68" s="29">
        <v>195.45</v>
      </c>
      <c r="I68" s="25">
        <v>194.59</v>
      </c>
      <c r="J68" s="8">
        <f t="shared" si="13"/>
        <v>195.01999999999998</v>
      </c>
      <c r="K68" s="60">
        <f t="shared" si="12"/>
        <v>0.10984048815506102</v>
      </c>
    </row>
    <row r="69" spans="1:13" x14ac:dyDescent="0.2">
      <c r="A69" s="8" t="s">
        <v>105</v>
      </c>
      <c r="B69" s="8">
        <v>12</v>
      </c>
      <c r="C69" s="9">
        <v>1.3</v>
      </c>
      <c r="D69" s="29">
        <v>92.91</v>
      </c>
      <c r="E69" s="29">
        <v>93.88</v>
      </c>
      <c r="F69" s="8">
        <f t="shared" si="11"/>
        <v>93.394999999999996</v>
      </c>
      <c r="G69" s="9">
        <v>0.32</v>
      </c>
      <c r="H69" s="29">
        <v>196.38</v>
      </c>
      <c r="I69" s="29">
        <v>198.52</v>
      </c>
      <c r="J69" s="8">
        <f t="shared" si="13"/>
        <v>197.45</v>
      </c>
      <c r="K69" s="60">
        <f t="shared" si="12"/>
        <v>0.15140916434540388</v>
      </c>
    </row>
    <row r="70" spans="1:13" x14ac:dyDescent="0.2">
      <c r="A70" s="8" t="s">
        <v>106</v>
      </c>
      <c r="B70" s="8">
        <v>15</v>
      </c>
      <c r="C70" s="9">
        <v>1.3</v>
      </c>
      <c r="D70" s="29">
        <v>117.91</v>
      </c>
      <c r="E70" s="29">
        <v>120.85</v>
      </c>
      <c r="F70" s="8">
        <f t="shared" si="11"/>
        <v>119.38</v>
      </c>
      <c r="G70" s="9">
        <v>0.32</v>
      </c>
      <c r="H70" s="29">
        <v>194.87</v>
      </c>
      <c r="I70" s="29">
        <v>199.31</v>
      </c>
      <c r="J70" s="8">
        <f t="shared" si="13"/>
        <v>197.09</v>
      </c>
      <c r="K70" s="60">
        <f t="shared" si="12"/>
        <v>0.19388877162717538</v>
      </c>
    </row>
    <row r="71" spans="1:13" ht="15" customHeight="1" x14ac:dyDescent="0.2">
      <c r="A71" s="8" t="s">
        <v>107</v>
      </c>
      <c r="B71" s="8">
        <v>18</v>
      </c>
      <c r="C71" s="9">
        <v>1.3</v>
      </c>
      <c r="D71" s="29">
        <v>139.29</v>
      </c>
      <c r="E71" s="29">
        <v>140.41</v>
      </c>
      <c r="F71" s="8">
        <f t="shared" si="11"/>
        <v>139.85</v>
      </c>
      <c r="G71" s="9">
        <v>0.32</v>
      </c>
      <c r="H71" s="25">
        <v>194.66</v>
      </c>
      <c r="I71" s="25">
        <v>196.12</v>
      </c>
      <c r="J71" s="8">
        <f>AVERAGE(H71:I71)</f>
        <v>195.39</v>
      </c>
      <c r="K71" s="60">
        <f t="shared" si="12"/>
        <v>0.22911093198218946</v>
      </c>
    </row>
    <row r="72" spans="1:13" ht="15.25" customHeight="1" x14ac:dyDescent="0.2">
      <c r="A72" s="8" t="s">
        <v>108</v>
      </c>
      <c r="B72" s="8">
        <v>21</v>
      </c>
      <c r="C72" s="9">
        <v>1.3</v>
      </c>
      <c r="D72" s="29">
        <v>161.27000000000001</v>
      </c>
      <c r="E72" s="29">
        <v>168.61</v>
      </c>
      <c r="F72" s="8">
        <f t="shared" si="11"/>
        <v>164.94</v>
      </c>
      <c r="G72" s="9">
        <v>0.32</v>
      </c>
      <c r="H72" s="25">
        <v>192.99</v>
      </c>
      <c r="I72" s="25">
        <v>203.39</v>
      </c>
      <c r="J72" s="8">
        <f t="shared" ref="J72" si="14">AVERAGE(H72:I72)</f>
        <v>198.19</v>
      </c>
      <c r="K72" s="60">
        <f t="shared" si="12"/>
        <v>0.26639736616378223</v>
      </c>
    </row>
    <row r="73" spans="1:13" x14ac:dyDescent="0.2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7"/>
      <c r="L73" s="66"/>
      <c r="M73" s="66"/>
    </row>
    <row r="74" spans="1:13" ht="20" x14ac:dyDescent="0.2">
      <c r="A74" s="55" t="s">
        <v>94</v>
      </c>
    </row>
    <row r="75" spans="1:13" ht="17" thickBot="1" x14ac:dyDescent="0.25">
      <c r="A75" s="16" t="s">
        <v>115</v>
      </c>
      <c r="B75" s="8"/>
      <c r="C75" s="9"/>
      <c r="D75" s="26"/>
      <c r="E75" s="8"/>
      <c r="F75" s="8"/>
      <c r="G75" s="9"/>
      <c r="H75" s="8"/>
      <c r="I75" s="8"/>
      <c r="J75" s="8"/>
      <c r="K75" s="62"/>
      <c r="M75" s="8"/>
    </row>
    <row r="76" spans="1:13" x14ac:dyDescent="0.2">
      <c r="A76" s="136" t="s">
        <v>65</v>
      </c>
      <c r="B76" s="137"/>
      <c r="C76" s="9"/>
      <c r="D76" s="8"/>
      <c r="E76" s="8"/>
      <c r="F76" s="8"/>
      <c r="G76" s="8"/>
      <c r="H76" s="8"/>
      <c r="I76" s="8"/>
      <c r="J76" s="8"/>
      <c r="K76" s="60"/>
    </row>
    <row r="77" spans="1:13" ht="17" thickBot="1" x14ac:dyDescent="0.25">
      <c r="A77" s="138"/>
      <c r="B77" s="139"/>
      <c r="D77" s="17"/>
      <c r="G77" s="16"/>
      <c r="K77" s="63"/>
    </row>
    <row r="78" spans="1:13" x14ac:dyDescent="0.2">
      <c r="A78" s="8"/>
      <c r="E78" s="5" t="s">
        <v>101</v>
      </c>
      <c r="F78" s="64">
        <v>0.3201</v>
      </c>
      <c r="K78" s="63"/>
    </row>
    <row r="79" spans="1:13" x14ac:dyDescent="0.2">
      <c r="A79" s="3" t="s">
        <v>96</v>
      </c>
      <c r="B79" s="3" t="s">
        <v>97</v>
      </c>
      <c r="C79" s="3" t="s">
        <v>109</v>
      </c>
      <c r="D79" s="3" t="s">
        <v>110</v>
      </c>
      <c r="E79" s="3" t="s">
        <v>111</v>
      </c>
      <c r="F79" s="3" t="s">
        <v>63</v>
      </c>
      <c r="G79" s="3" t="s">
        <v>98</v>
      </c>
      <c r="H79" s="3" t="s">
        <v>99</v>
      </c>
      <c r="I79" s="3" t="s">
        <v>100</v>
      </c>
      <c r="J79" s="3" t="s">
        <v>7</v>
      </c>
      <c r="K79" s="60" t="s">
        <v>112</v>
      </c>
    </row>
    <row r="80" spans="1:13" x14ac:dyDescent="0.2">
      <c r="A80" s="8" t="s">
        <v>102</v>
      </c>
      <c r="B80" s="8">
        <v>3</v>
      </c>
      <c r="C80" s="9">
        <v>1.3</v>
      </c>
      <c r="D80" s="29">
        <v>21.98</v>
      </c>
      <c r="E80" s="29">
        <v>21.85</v>
      </c>
      <c r="F80" s="8">
        <f t="shared" ref="F80:F86" si="15">AVERAGE(D80:E80)</f>
        <v>21.914999999999999</v>
      </c>
      <c r="G80" s="9">
        <v>0.32</v>
      </c>
      <c r="H80" s="25">
        <v>213.89</v>
      </c>
      <c r="I80" s="29">
        <v>212.9</v>
      </c>
      <c r="J80" s="8">
        <f>AVERAGE(H80:I80)</f>
        <v>213.39499999999998</v>
      </c>
      <c r="K80" s="60">
        <f t="shared" ref="K80:K86" si="16">(F80/J80)*$F$36*($D$5/$C$5)</f>
        <v>3.2873270226575137E-2</v>
      </c>
    </row>
    <row r="81" spans="1:13" x14ac:dyDescent="0.2">
      <c r="A81" s="8" t="s">
        <v>103</v>
      </c>
      <c r="B81" s="8">
        <v>6</v>
      </c>
      <c r="C81" s="9">
        <v>1.3</v>
      </c>
      <c r="D81" s="29">
        <v>45.2</v>
      </c>
      <c r="E81" s="95">
        <v>45.8</v>
      </c>
      <c r="F81" s="8">
        <f t="shared" si="15"/>
        <v>45.5</v>
      </c>
      <c r="G81" s="9">
        <v>0.32</v>
      </c>
      <c r="H81" s="25">
        <v>201.11</v>
      </c>
      <c r="I81" s="25">
        <v>204.66</v>
      </c>
      <c r="J81" s="8">
        <f t="shared" ref="J81:J84" si="17">AVERAGE(H81:I81)</f>
        <v>202.88499999999999</v>
      </c>
      <c r="K81" s="60">
        <f t="shared" si="16"/>
        <v>7.1787219360721591E-2</v>
      </c>
    </row>
    <row r="82" spans="1:13" x14ac:dyDescent="0.2">
      <c r="A82" s="8" t="s">
        <v>104</v>
      </c>
      <c r="B82" s="8">
        <v>9</v>
      </c>
      <c r="C82" s="9">
        <v>1.3</v>
      </c>
      <c r="D82" s="29">
        <v>71.03</v>
      </c>
      <c r="E82" s="25">
        <v>69.540000000000006</v>
      </c>
      <c r="F82" s="8">
        <f t="shared" si="15"/>
        <v>70.284999999999997</v>
      </c>
      <c r="G82" s="9">
        <v>0.32</v>
      </c>
      <c r="H82" s="29">
        <v>201.24</v>
      </c>
      <c r="I82" s="25">
        <v>199.83</v>
      </c>
      <c r="J82" s="8">
        <f t="shared" si="17"/>
        <v>200.53500000000003</v>
      </c>
      <c r="K82" s="60">
        <f t="shared" si="16"/>
        <v>0.11219103149076219</v>
      </c>
    </row>
    <row r="83" spans="1:13" x14ac:dyDescent="0.2">
      <c r="A83" s="8" t="s">
        <v>105</v>
      </c>
      <c r="B83" s="8">
        <v>12</v>
      </c>
      <c r="C83" s="9">
        <v>1.3</v>
      </c>
      <c r="D83" s="29">
        <v>101.49</v>
      </c>
      <c r="E83" s="29">
        <v>102.26</v>
      </c>
      <c r="F83" s="8">
        <f t="shared" si="15"/>
        <v>101.875</v>
      </c>
      <c r="G83" s="9">
        <v>0.32</v>
      </c>
      <c r="H83" s="29">
        <v>201.31</v>
      </c>
      <c r="I83" s="29">
        <v>204.16</v>
      </c>
      <c r="J83" s="8">
        <f t="shared" si="17"/>
        <v>202.73500000000001</v>
      </c>
      <c r="K83" s="60">
        <f t="shared" si="16"/>
        <v>0.16085129602683307</v>
      </c>
    </row>
    <row r="84" spans="1:13" x14ac:dyDescent="0.2">
      <c r="A84" s="8" t="s">
        <v>106</v>
      </c>
      <c r="B84" s="8">
        <v>15</v>
      </c>
      <c r="C84" s="9">
        <v>1.3</v>
      </c>
      <c r="D84" s="29">
        <v>122.71</v>
      </c>
      <c r="E84" s="29">
        <v>124.42</v>
      </c>
      <c r="F84" s="8">
        <f t="shared" si="15"/>
        <v>123.565</v>
      </c>
      <c r="G84" s="9">
        <v>0.32</v>
      </c>
      <c r="H84" s="29">
        <v>196.05</v>
      </c>
      <c r="I84" s="29">
        <v>199.09</v>
      </c>
      <c r="J84" s="8">
        <f t="shared" si="17"/>
        <v>197.57</v>
      </c>
      <c r="K84" s="60">
        <f t="shared" si="16"/>
        <v>0.20019819051475427</v>
      </c>
    </row>
    <row r="85" spans="1:13" x14ac:dyDescent="0.2">
      <c r="A85" s="8" t="s">
        <v>107</v>
      </c>
      <c r="B85" s="8">
        <v>18</v>
      </c>
      <c r="C85" s="9">
        <v>1.3</v>
      </c>
      <c r="D85" s="29">
        <v>144.43</v>
      </c>
      <c r="E85" s="29">
        <v>146.93</v>
      </c>
      <c r="F85" s="8">
        <f t="shared" si="15"/>
        <v>145.68</v>
      </c>
      <c r="G85" s="9">
        <v>0.32</v>
      </c>
      <c r="H85" s="25">
        <v>195.73</v>
      </c>
      <c r="I85" s="25">
        <v>200.22</v>
      </c>
      <c r="J85" s="8">
        <f>AVERAGE(H85:I85)</f>
        <v>197.97499999999999</v>
      </c>
      <c r="K85" s="60">
        <f t="shared" si="16"/>
        <v>0.23554574062381617</v>
      </c>
    </row>
    <row r="86" spans="1:13" x14ac:dyDescent="0.2">
      <c r="A86" s="8" t="s">
        <v>108</v>
      </c>
      <c r="B86" s="8">
        <v>21</v>
      </c>
      <c r="C86" s="9">
        <v>1.3</v>
      </c>
      <c r="D86" s="29">
        <v>167.6</v>
      </c>
      <c r="E86" s="29">
        <v>172.11</v>
      </c>
      <c r="F86" s="8">
        <f t="shared" si="15"/>
        <v>169.85500000000002</v>
      </c>
      <c r="G86" s="9">
        <v>0.32</v>
      </c>
      <c r="H86" s="25">
        <v>183.27</v>
      </c>
      <c r="I86" s="25">
        <v>188.29</v>
      </c>
      <c r="J86" s="8">
        <f t="shared" ref="J86" si="18">AVERAGE(H86:I86)</f>
        <v>185.78</v>
      </c>
      <c r="K86" s="60">
        <f t="shared" si="16"/>
        <v>0.2926611341371515</v>
      </c>
    </row>
    <row r="87" spans="1:13" x14ac:dyDescent="0.2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7"/>
      <c r="L87" s="66"/>
      <c r="M87" s="66"/>
    </row>
  </sheetData>
  <mergeCells count="5">
    <mergeCell ref="A76:B77"/>
    <mergeCell ref="A34:B35"/>
    <mergeCell ref="A12:B13"/>
    <mergeCell ref="A48:B49"/>
    <mergeCell ref="A62:B63"/>
  </mergeCells>
  <conditionalFormatting sqref="K38:K44">
    <cfRule type="cellIs" dxfId="125" priority="43" operator="between">
      <formula>0.51</formula>
      <formula>0.149</formula>
    </cfRule>
    <cfRule type="cellIs" dxfId="124" priority="47" operator="greaterThan">
      <formula>0.15</formula>
    </cfRule>
    <cfRule type="cellIs" dxfId="123" priority="48" operator="lessThan">
      <formula>0.05</formula>
    </cfRule>
  </conditionalFormatting>
  <conditionalFormatting sqref="K37:K44">
    <cfRule type="cellIs" dxfId="122" priority="44" operator="between">
      <formula>0.151</formula>
      <formula>0.849</formula>
    </cfRule>
    <cfRule type="cellIs" dxfId="121" priority="45" operator="greaterThan">
      <formula>0.85</formula>
    </cfRule>
    <cfRule type="cellIs" dxfId="120" priority="46" operator="lessThan">
      <formula>0.15</formula>
    </cfRule>
  </conditionalFormatting>
  <conditionalFormatting sqref="K52:K58">
    <cfRule type="cellIs" dxfId="119" priority="19" operator="between">
      <formula>0.51</formula>
      <formula>0.149</formula>
    </cfRule>
    <cfRule type="cellIs" dxfId="118" priority="23" operator="greaterThan">
      <formula>0.15</formula>
    </cfRule>
    <cfRule type="cellIs" dxfId="117" priority="24" operator="lessThan">
      <formula>0.05</formula>
    </cfRule>
  </conditionalFormatting>
  <conditionalFormatting sqref="K51:K58">
    <cfRule type="cellIs" dxfId="116" priority="20" operator="between">
      <formula>0.151</formula>
      <formula>0.849</formula>
    </cfRule>
    <cfRule type="cellIs" dxfId="115" priority="21" operator="greaterThan">
      <formula>0.85</formula>
    </cfRule>
    <cfRule type="cellIs" dxfId="114" priority="22" operator="lessThan">
      <formula>0.15</formula>
    </cfRule>
  </conditionalFormatting>
  <conditionalFormatting sqref="K66:K72">
    <cfRule type="cellIs" dxfId="113" priority="13" operator="between">
      <formula>0.51</formula>
      <formula>0.149</formula>
    </cfRule>
    <cfRule type="cellIs" dxfId="112" priority="17" operator="greaterThan">
      <formula>0.15</formula>
    </cfRule>
    <cfRule type="cellIs" dxfId="111" priority="18" operator="lessThan">
      <formula>0.05</formula>
    </cfRule>
  </conditionalFormatting>
  <conditionalFormatting sqref="K65:K72">
    <cfRule type="cellIs" dxfId="110" priority="14" operator="between">
      <formula>0.151</formula>
      <formula>0.849</formula>
    </cfRule>
    <cfRule type="cellIs" dxfId="109" priority="15" operator="greaterThan">
      <formula>0.85</formula>
    </cfRule>
    <cfRule type="cellIs" dxfId="108" priority="16" operator="lessThan">
      <formula>0.15</formula>
    </cfRule>
  </conditionalFormatting>
  <conditionalFormatting sqref="K16:K22">
    <cfRule type="cellIs" dxfId="107" priority="25" operator="between">
      <formula>0.51</formula>
      <formula>0.149</formula>
    </cfRule>
    <cfRule type="cellIs" dxfId="106" priority="29" operator="greaterThan">
      <formula>0.15</formula>
    </cfRule>
    <cfRule type="cellIs" dxfId="105" priority="30" operator="lessThan">
      <formula>0.05</formula>
    </cfRule>
  </conditionalFormatting>
  <conditionalFormatting sqref="K15:K22">
    <cfRule type="cellIs" dxfId="104" priority="26" operator="between">
      <formula>0.151</formula>
      <formula>0.849</formula>
    </cfRule>
    <cfRule type="cellIs" dxfId="103" priority="27" operator="greaterThan">
      <formula>0.85</formula>
    </cfRule>
    <cfRule type="cellIs" dxfId="102" priority="28" operator="lessThan">
      <formula>0.15</formula>
    </cfRule>
  </conditionalFormatting>
  <conditionalFormatting sqref="K80:K86">
    <cfRule type="cellIs" dxfId="101" priority="7" operator="between">
      <formula>0.51</formula>
      <formula>0.149</formula>
    </cfRule>
    <cfRule type="cellIs" dxfId="100" priority="11" operator="greaterThan">
      <formula>0.15</formula>
    </cfRule>
    <cfRule type="cellIs" dxfId="99" priority="12" operator="lessThan">
      <formula>0.05</formula>
    </cfRule>
  </conditionalFormatting>
  <conditionalFormatting sqref="K79:K86">
    <cfRule type="cellIs" dxfId="98" priority="8" operator="between">
      <formula>0.151</formula>
      <formula>0.849</formula>
    </cfRule>
    <cfRule type="cellIs" dxfId="97" priority="9" operator="greaterThan">
      <formula>0.85</formula>
    </cfRule>
    <cfRule type="cellIs" dxfId="96" priority="10" operator="lessThan">
      <formula>0.15</formula>
    </cfRule>
  </conditionalFormatting>
  <conditionalFormatting sqref="K23:K30">
    <cfRule type="cellIs" dxfId="95" priority="1" operator="between">
      <formula>0.51</formula>
      <formula>0.149</formula>
    </cfRule>
    <cfRule type="cellIs" dxfId="94" priority="5" operator="greaterThan">
      <formula>0.15</formula>
    </cfRule>
    <cfRule type="cellIs" dxfId="93" priority="6" operator="lessThan">
      <formula>0.05</formula>
    </cfRule>
  </conditionalFormatting>
  <conditionalFormatting sqref="K23:K30">
    <cfRule type="cellIs" dxfId="92" priority="2" operator="between">
      <formula>0.151</formula>
      <formula>0.849</formula>
    </cfRule>
    <cfRule type="cellIs" dxfId="91" priority="3" operator="greaterThan">
      <formula>0.85</formula>
    </cfRule>
    <cfRule type="cellIs" dxfId="90" priority="4" operator="lessThan">
      <formula>0.15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8D63-8C1D-4591-BA54-D47EBD2A8ADB}">
  <dimension ref="A1:I69"/>
  <sheetViews>
    <sheetView topLeftCell="A28" zoomScale="70" zoomScaleNormal="70" workbookViewId="0">
      <selection activeCell="P39" sqref="P39"/>
    </sheetView>
  </sheetViews>
  <sheetFormatPr baseColWidth="10" defaultColWidth="8.83203125" defaultRowHeight="15" x14ac:dyDescent="0.2"/>
  <cols>
    <col min="2" max="4" width="15.5" customWidth="1"/>
    <col min="5" max="5" width="15.5" style="76" customWidth="1"/>
    <col min="6" max="8" width="15.5" customWidth="1"/>
  </cols>
  <sheetData>
    <row r="1" spans="1:9" x14ac:dyDescent="0.2">
      <c r="A1" s="79"/>
      <c r="B1" s="79"/>
      <c r="C1" s="79"/>
      <c r="D1" s="79"/>
      <c r="E1" s="81"/>
      <c r="F1" s="79"/>
      <c r="G1" s="79"/>
      <c r="H1" s="79"/>
      <c r="I1" s="79"/>
    </row>
    <row r="2" spans="1:9" ht="14.5" customHeight="1" x14ac:dyDescent="0.2">
      <c r="B2" s="143" t="s">
        <v>156</v>
      </c>
      <c r="C2" s="143"/>
      <c r="D2" s="143"/>
      <c r="E2" s="143"/>
      <c r="F2" s="143"/>
      <c r="G2" s="143"/>
      <c r="H2" s="143"/>
      <c r="I2" s="78"/>
    </row>
    <row r="3" spans="1:9" ht="16" x14ac:dyDescent="0.2">
      <c r="B3" s="70" t="s">
        <v>125</v>
      </c>
      <c r="C3" s="70" t="s">
        <v>126</v>
      </c>
      <c r="D3" s="70" t="s">
        <v>127</v>
      </c>
      <c r="E3" s="82" t="s">
        <v>128</v>
      </c>
      <c r="F3" s="70" t="s">
        <v>129</v>
      </c>
      <c r="G3" s="70" t="s">
        <v>130</v>
      </c>
      <c r="H3" s="70" t="s">
        <v>131</v>
      </c>
      <c r="I3" s="71"/>
    </row>
    <row r="4" spans="1:9" ht="16" x14ac:dyDescent="0.2">
      <c r="B4" s="72">
        <f>C4*60</f>
        <v>60</v>
      </c>
      <c r="C4" s="8">
        <v>1</v>
      </c>
      <c r="D4" s="60">
        <v>1.5723543815389179E-2</v>
      </c>
      <c r="E4" s="77">
        <f>D4*0.0001</f>
        <v>1.5723543815389179E-6</v>
      </c>
      <c r="F4" s="72">
        <f>2000-20</f>
        <v>1980</v>
      </c>
      <c r="G4" s="72">
        <f>F4/1000000</f>
        <v>1.98E-3</v>
      </c>
      <c r="H4" s="77">
        <f>E4/G4</f>
        <v>7.94118374514605E-4</v>
      </c>
      <c r="I4" s="74"/>
    </row>
    <row r="5" spans="1:9" ht="16" x14ac:dyDescent="0.2">
      <c r="B5" s="72">
        <f t="shared" ref="B5:B18" si="0">C5*60</f>
        <v>120</v>
      </c>
      <c r="C5" s="8">
        <v>2</v>
      </c>
      <c r="D5" s="60">
        <v>2.83052009208874E-2</v>
      </c>
      <c r="E5" s="77">
        <f t="shared" ref="E5:E18" si="1">D5*0.0001</f>
        <v>2.8305200920887401E-6</v>
      </c>
      <c r="F5" s="72">
        <f>F4-20</f>
        <v>1960</v>
      </c>
      <c r="G5" s="72">
        <f t="shared" ref="G5:G18" si="2">F5/1000000</f>
        <v>1.9599999999999999E-3</v>
      </c>
      <c r="H5" s="77">
        <f t="shared" ref="H5:H18" si="3">E5/G5</f>
        <v>1.4441429041269084E-3</v>
      </c>
      <c r="I5" s="74"/>
    </row>
    <row r="6" spans="1:9" ht="16" x14ac:dyDescent="0.2">
      <c r="B6" s="72">
        <f t="shared" si="0"/>
        <v>180</v>
      </c>
      <c r="C6" s="8">
        <v>3</v>
      </c>
      <c r="D6" s="60">
        <v>3.8689788547098501E-2</v>
      </c>
      <c r="E6" s="77">
        <f t="shared" si="1"/>
        <v>3.8689788547098503E-6</v>
      </c>
      <c r="F6" s="72">
        <f t="shared" ref="F6:F18" si="4">F5-20</f>
        <v>1940</v>
      </c>
      <c r="G6" s="72">
        <f t="shared" si="2"/>
        <v>1.9400000000000001E-3</v>
      </c>
      <c r="H6" s="77">
        <f t="shared" si="3"/>
        <v>1.9943189972731188E-3</v>
      </c>
      <c r="I6" s="74"/>
    </row>
    <row r="7" spans="1:9" ht="16" x14ac:dyDescent="0.2">
      <c r="B7" s="72">
        <f t="shared" si="0"/>
        <v>240</v>
      </c>
      <c r="C7" s="8">
        <v>4</v>
      </c>
      <c r="D7" s="60">
        <v>4.2408243967828413E-2</v>
      </c>
      <c r="E7" s="77">
        <f t="shared" si="1"/>
        <v>4.2408243967828415E-6</v>
      </c>
      <c r="F7" s="72">
        <f t="shared" si="4"/>
        <v>1920</v>
      </c>
      <c r="G7" s="72">
        <f t="shared" si="2"/>
        <v>1.92E-3</v>
      </c>
      <c r="H7" s="77">
        <f t="shared" si="3"/>
        <v>2.2087627066577297E-3</v>
      </c>
      <c r="I7" s="74"/>
    </row>
    <row r="8" spans="1:9" ht="16" x14ac:dyDescent="0.2">
      <c r="B8" s="72">
        <f t="shared" si="0"/>
        <v>300</v>
      </c>
      <c r="C8" s="8">
        <v>5</v>
      </c>
      <c r="D8" s="60">
        <v>6.0658939483540314E-2</v>
      </c>
      <c r="E8" s="77">
        <f t="shared" si="1"/>
        <v>6.0658939483540313E-6</v>
      </c>
      <c r="F8" s="72">
        <f t="shared" si="4"/>
        <v>1900</v>
      </c>
      <c r="G8" s="72">
        <f t="shared" si="2"/>
        <v>1.9E-3</v>
      </c>
      <c r="H8" s="77">
        <f t="shared" si="3"/>
        <v>3.1925757622915953E-3</v>
      </c>
      <c r="I8" s="74"/>
    </row>
    <row r="9" spans="1:9" ht="16" x14ac:dyDescent="0.2">
      <c r="B9" s="72">
        <f t="shared" si="0"/>
        <v>360</v>
      </c>
      <c r="C9" s="8">
        <v>6</v>
      </c>
      <c r="D9" s="60">
        <v>7.4643676560804104E-2</v>
      </c>
      <c r="E9" s="77">
        <f t="shared" si="1"/>
        <v>7.464367656080411E-6</v>
      </c>
      <c r="F9" s="72">
        <f t="shared" si="4"/>
        <v>1880</v>
      </c>
      <c r="G9" s="72">
        <f t="shared" si="2"/>
        <v>1.8799999999999999E-3</v>
      </c>
      <c r="H9" s="77">
        <f t="shared" si="3"/>
        <v>3.9704083277023461E-3</v>
      </c>
      <c r="I9" s="74"/>
    </row>
    <row r="10" spans="1:9" ht="16" x14ac:dyDescent="0.2">
      <c r="B10" s="72">
        <f t="shared" si="0"/>
        <v>420</v>
      </c>
      <c r="C10" s="8">
        <v>7</v>
      </c>
      <c r="D10" s="60">
        <v>8.6888828789049549E-2</v>
      </c>
      <c r="E10" s="77">
        <f t="shared" si="1"/>
        <v>8.6888828789049555E-6</v>
      </c>
      <c r="F10" s="72">
        <f t="shared" si="4"/>
        <v>1860</v>
      </c>
      <c r="G10" s="72">
        <f t="shared" si="2"/>
        <v>1.8600000000000001E-3</v>
      </c>
      <c r="H10" s="77">
        <f t="shared" si="3"/>
        <v>4.6714424080134169E-3</v>
      </c>
      <c r="I10" s="74"/>
    </row>
    <row r="11" spans="1:9" ht="16" x14ac:dyDescent="0.2">
      <c r="B11" s="72">
        <f t="shared" si="0"/>
        <v>480</v>
      </c>
      <c r="C11" s="8">
        <v>8</v>
      </c>
      <c r="D11" s="60">
        <v>9.7228651275820185E-2</v>
      </c>
      <c r="E11" s="77">
        <f t="shared" si="1"/>
        <v>9.7228651275820191E-6</v>
      </c>
      <c r="F11" s="72">
        <f t="shared" si="4"/>
        <v>1840</v>
      </c>
      <c r="G11" s="72">
        <f t="shared" si="2"/>
        <v>1.8400000000000001E-3</v>
      </c>
      <c r="H11" s="77">
        <f t="shared" si="3"/>
        <v>5.2841658302076192E-3</v>
      </c>
      <c r="I11" s="74"/>
    </row>
    <row r="12" spans="1:9" ht="16" x14ac:dyDescent="0.2">
      <c r="B12" s="72">
        <f t="shared" si="0"/>
        <v>540</v>
      </c>
      <c r="C12" s="8">
        <v>9</v>
      </c>
      <c r="D12" s="60">
        <v>0.13160384814049589</v>
      </c>
      <c r="E12" s="77">
        <f t="shared" si="1"/>
        <v>1.3160384814049589E-5</v>
      </c>
      <c r="F12" s="72">
        <f t="shared" si="4"/>
        <v>1820</v>
      </c>
      <c r="G12" s="72">
        <f t="shared" si="2"/>
        <v>1.82E-3</v>
      </c>
      <c r="H12" s="77">
        <f t="shared" si="3"/>
        <v>7.2309806670602141E-3</v>
      </c>
      <c r="I12" s="74"/>
    </row>
    <row r="13" spans="1:9" ht="16" x14ac:dyDescent="0.2">
      <c r="B13" s="72">
        <f t="shared" si="0"/>
        <v>600</v>
      </c>
      <c r="C13" s="8">
        <v>10</v>
      </c>
      <c r="D13" s="60">
        <v>0.13595416571245361</v>
      </c>
      <c r="E13" s="77">
        <f t="shared" si="1"/>
        <v>1.3595416571245361E-5</v>
      </c>
      <c r="F13" s="72">
        <f t="shared" si="4"/>
        <v>1800</v>
      </c>
      <c r="G13" s="72">
        <f t="shared" si="2"/>
        <v>1.8E-3</v>
      </c>
      <c r="H13" s="77">
        <f t="shared" si="3"/>
        <v>7.5530092062474231E-3</v>
      </c>
      <c r="I13" s="74"/>
    </row>
    <row r="14" spans="1:9" ht="16" x14ac:dyDescent="0.2">
      <c r="B14" s="72">
        <f t="shared" si="0"/>
        <v>660</v>
      </c>
      <c r="C14" s="8">
        <v>11</v>
      </c>
      <c r="D14" s="60">
        <v>0.15113960507419819</v>
      </c>
      <c r="E14" s="77">
        <f t="shared" si="1"/>
        <v>1.5113960507419819E-5</v>
      </c>
      <c r="F14" s="72">
        <f t="shared" si="4"/>
        <v>1780</v>
      </c>
      <c r="G14" s="72">
        <f t="shared" si="2"/>
        <v>1.7799999999999999E-3</v>
      </c>
      <c r="H14" s="77">
        <f t="shared" si="3"/>
        <v>8.4909890491122585E-3</v>
      </c>
      <c r="I14" s="74"/>
    </row>
    <row r="15" spans="1:9" ht="16" x14ac:dyDescent="0.2">
      <c r="B15" s="72">
        <f t="shared" si="0"/>
        <v>720</v>
      </c>
      <c r="C15" s="8">
        <v>12</v>
      </c>
      <c r="D15" s="60">
        <v>0.16885423863938348</v>
      </c>
      <c r="E15" s="77">
        <f t="shared" si="1"/>
        <v>1.6885423863938348E-5</v>
      </c>
      <c r="F15" s="72">
        <f t="shared" si="4"/>
        <v>1760</v>
      </c>
      <c r="G15" s="72">
        <f t="shared" si="2"/>
        <v>1.7600000000000001E-3</v>
      </c>
      <c r="H15" s="77">
        <f t="shared" si="3"/>
        <v>9.5939908317831512E-3</v>
      </c>
      <c r="I15" s="74"/>
    </row>
    <row r="16" spans="1:9" ht="16" x14ac:dyDescent="0.2">
      <c r="B16" s="72">
        <f t="shared" si="0"/>
        <v>780</v>
      </c>
      <c r="C16" s="8">
        <v>13</v>
      </c>
      <c r="D16" s="60">
        <v>0.17979103537356386</v>
      </c>
      <c r="E16" s="77">
        <f t="shared" si="1"/>
        <v>1.7979103537356387E-5</v>
      </c>
      <c r="F16" s="72">
        <f t="shared" si="4"/>
        <v>1740</v>
      </c>
      <c r="G16" s="72">
        <f t="shared" si="2"/>
        <v>1.74E-3</v>
      </c>
      <c r="H16" s="77">
        <f t="shared" si="3"/>
        <v>1.0332818124917464E-2</v>
      </c>
      <c r="I16" s="74"/>
    </row>
    <row r="17" spans="1:9" ht="16" x14ac:dyDescent="0.2">
      <c r="B17" s="72">
        <f t="shared" si="0"/>
        <v>840</v>
      </c>
      <c r="C17" s="8">
        <v>14</v>
      </c>
      <c r="D17" s="60">
        <v>0.18669937560038422</v>
      </c>
      <c r="E17" s="77">
        <f t="shared" si="1"/>
        <v>1.8669937560038422E-5</v>
      </c>
      <c r="F17" s="72">
        <f t="shared" si="4"/>
        <v>1720</v>
      </c>
      <c r="G17" s="72">
        <f t="shared" si="2"/>
        <v>1.72E-3</v>
      </c>
      <c r="H17" s="77">
        <f t="shared" si="3"/>
        <v>1.0854614860487454E-2</v>
      </c>
      <c r="I17" s="74"/>
    </row>
    <row r="18" spans="1:9" ht="16" x14ac:dyDescent="0.2">
      <c r="B18" s="72">
        <f t="shared" si="0"/>
        <v>900</v>
      </c>
      <c r="C18" s="8">
        <v>15</v>
      </c>
      <c r="D18" s="60">
        <v>0.19705562726047801</v>
      </c>
      <c r="E18" s="77">
        <f t="shared" si="1"/>
        <v>1.9705562726047802E-5</v>
      </c>
      <c r="F18" s="72">
        <f t="shared" si="4"/>
        <v>1700</v>
      </c>
      <c r="G18" s="72">
        <f t="shared" si="2"/>
        <v>1.6999999999999999E-3</v>
      </c>
      <c r="H18" s="77">
        <f t="shared" si="3"/>
        <v>1.1591507485910472E-2</v>
      </c>
      <c r="I18" s="74"/>
    </row>
    <row r="19" spans="1:9" ht="16" x14ac:dyDescent="0.2">
      <c r="B19" s="72"/>
      <c r="C19" s="72"/>
      <c r="D19" s="75"/>
      <c r="E19" s="77"/>
      <c r="F19" s="72"/>
      <c r="G19" s="70" t="s">
        <v>132</v>
      </c>
      <c r="H19" s="80">
        <f>SLOPE(H4:H18,B4:B18)</f>
        <v>1.362487759126528E-5</v>
      </c>
      <c r="I19" s="75"/>
    </row>
    <row r="20" spans="1:9" ht="16" x14ac:dyDescent="0.2">
      <c r="B20" s="72"/>
      <c r="C20" s="72"/>
      <c r="D20" s="75"/>
      <c r="E20" s="77"/>
      <c r="F20" s="72"/>
      <c r="G20" s="70" t="s">
        <v>133</v>
      </c>
      <c r="H20" s="83">
        <f>RSQ(H4:H18,B4:B18)</f>
        <v>0.98919137626269737</v>
      </c>
      <c r="I20" s="75"/>
    </row>
    <row r="21" spans="1:9" x14ac:dyDescent="0.2">
      <c r="A21" s="79"/>
      <c r="B21" s="79"/>
      <c r="C21" s="79"/>
      <c r="D21" s="79"/>
      <c r="E21" s="81"/>
      <c r="F21" s="79"/>
      <c r="G21" s="79"/>
      <c r="H21" s="79"/>
      <c r="I21" s="79"/>
    </row>
    <row r="22" spans="1:9" ht="14.5" customHeight="1" x14ac:dyDescent="0.2">
      <c r="B22" s="143" t="s">
        <v>157</v>
      </c>
      <c r="C22" s="143"/>
      <c r="D22" s="143"/>
      <c r="E22" s="143"/>
      <c r="F22" s="143"/>
      <c r="G22" s="143"/>
      <c r="H22" s="143"/>
    </row>
    <row r="23" spans="1:9" ht="16" x14ac:dyDescent="0.2">
      <c r="B23" s="70" t="s">
        <v>125</v>
      </c>
      <c r="C23" s="70" t="s">
        <v>126</v>
      </c>
      <c r="D23" s="70" t="s">
        <v>127</v>
      </c>
      <c r="E23" s="82" t="s">
        <v>128</v>
      </c>
      <c r="F23" s="70" t="s">
        <v>129</v>
      </c>
      <c r="G23" s="70" t="s">
        <v>130</v>
      </c>
      <c r="H23" s="70" t="s">
        <v>131</v>
      </c>
    </row>
    <row r="24" spans="1:9" ht="16" x14ac:dyDescent="0.2">
      <c r="B24" s="72">
        <f>C24*60</f>
        <v>180</v>
      </c>
      <c r="C24" s="72">
        <v>3</v>
      </c>
      <c r="D24" s="73">
        <v>4.4297241992882562E-2</v>
      </c>
      <c r="E24" s="77">
        <f>D24*0.0001</f>
        <v>4.4297241992882567E-6</v>
      </c>
      <c r="F24" s="72">
        <f>2000-20</f>
        <v>1980</v>
      </c>
      <c r="G24" s="72">
        <f>F24/1000000</f>
        <v>1.98E-3</v>
      </c>
      <c r="H24" s="77">
        <f>E24/G24</f>
        <v>2.2372344440849783E-3</v>
      </c>
    </row>
    <row r="25" spans="1:9" ht="16" x14ac:dyDescent="0.2">
      <c r="B25" s="72">
        <f t="shared" ref="B25:B30" si="5">C25*60</f>
        <v>360</v>
      </c>
      <c r="C25" s="72">
        <v>6</v>
      </c>
      <c r="D25" s="73">
        <v>9.4165198911934714E-2</v>
      </c>
      <c r="E25" s="77">
        <f t="shared" ref="E25:E30" si="6">D25*0.0001</f>
        <v>9.4165198911934714E-6</v>
      </c>
      <c r="F25" s="72">
        <f>F24-20</f>
        <v>1960</v>
      </c>
      <c r="G25" s="72">
        <f t="shared" ref="G25:G30" si="7">F25/1000000</f>
        <v>1.9599999999999999E-3</v>
      </c>
      <c r="H25" s="77">
        <f t="shared" ref="H25:H30" si="8">E25/G25</f>
        <v>4.804346883261975E-3</v>
      </c>
    </row>
    <row r="26" spans="1:9" ht="16" x14ac:dyDescent="0.2">
      <c r="B26" s="72">
        <f t="shared" si="5"/>
        <v>540</v>
      </c>
      <c r="C26" s="72">
        <v>9</v>
      </c>
      <c r="D26" s="73">
        <v>0.16124665208241029</v>
      </c>
      <c r="E26" s="77">
        <f t="shared" si="6"/>
        <v>1.612466520824103E-5</v>
      </c>
      <c r="F26" s="72">
        <f t="shared" ref="F26:F30" si="9">F25-20</f>
        <v>1940</v>
      </c>
      <c r="G26" s="72">
        <f t="shared" si="7"/>
        <v>1.9400000000000001E-3</v>
      </c>
      <c r="H26" s="77">
        <f t="shared" si="8"/>
        <v>8.3116830970314578E-3</v>
      </c>
    </row>
    <row r="27" spans="1:9" ht="16" x14ac:dyDescent="0.2">
      <c r="B27" s="72">
        <f t="shared" si="5"/>
        <v>720</v>
      </c>
      <c r="C27" s="72">
        <v>12</v>
      </c>
      <c r="D27" s="73">
        <v>0.21912396976347234</v>
      </c>
      <c r="E27" s="77">
        <f t="shared" si="6"/>
        <v>2.1912396976347234E-5</v>
      </c>
      <c r="F27" s="72">
        <f t="shared" si="9"/>
        <v>1920</v>
      </c>
      <c r="G27" s="72">
        <f t="shared" si="7"/>
        <v>1.92E-3</v>
      </c>
      <c r="H27" s="77">
        <f t="shared" si="8"/>
        <v>1.1412706758514184E-2</v>
      </c>
    </row>
    <row r="28" spans="1:9" ht="16" x14ac:dyDescent="0.2">
      <c r="B28" s="72">
        <f t="shared" si="5"/>
        <v>900</v>
      </c>
      <c r="C28" s="72">
        <v>15</v>
      </c>
      <c r="D28" s="73">
        <v>0.28083303337289867</v>
      </c>
      <c r="E28" s="77">
        <f t="shared" si="6"/>
        <v>2.8083303337289869E-5</v>
      </c>
      <c r="F28" s="72">
        <f t="shared" si="9"/>
        <v>1900</v>
      </c>
      <c r="G28" s="72">
        <f t="shared" si="7"/>
        <v>1.9E-3</v>
      </c>
      <c r="H28" s="77">
        <f t="shared" si="8"/>
        <v>1.4780685966994668E-2</v>
      </c>
    </row>
    <row r="29" spans="1:9" ht="16" x14ac:dyDescent="0.2">
      <c r="B29" s="72">
        <f t="shared" si="5"/>
        <v>1080</v>
      </c>
      <c r="C29" s="72">
        <v>18</v>
      </c>
      <c r="D29" s="73">
        <v>0.32749226865671638</v>
      </c>
      <c r="E29" s="77">
        <f t="shared" si="6"/>
        <v>3.2749226865671642E-5</v>
      </c>
      <c r="F29" s="72">
        <f t="shared" si="9"/>
        <v>1880</v>
      </c>
      <c r="G29" s="72">
        <f t="shared" si="7"/>
        <v>1.8799999999999999E-3</v>
      </c>
      <c r="H29" s="77">
        <f t="shared" si="8"/>
        <v>1.7419801524293427E-2</v>
      </c>
    </row>
    <row r="30" spans="1:9" ht="16" x14ac:dyDescent="0.2">
      <c r="B30" s="72">
        <f t="shared" si="5"/>
        <v>1260</v>
      </c>
      <c r="C30" s="72">
        <v>21</v>
      </c>
      <c r="D30" s="73">
        <v>0.38209022418709293</v>
      </c>
      <c r="E30" s="77">
        <f t="shared" si="6"/>
        <v>3.8209022418709297E-5</v>
      </c>
      <c r="F30" s="72">
        <f t="shared" si="9"/>
        <v>1860</v>
      </c>
      <c r="G30" s="72">
        <f t="shared" si="7"/>
        <v>1.8600000000000001E-3</v>
      </c>
      <c r="H30" s="77">
        <f t="shared" si="8"/>
        <v>2.0542485171349083E-2</v>
      </c>
    </row>
    <row r="31" spans="1:9" ht="16" x14ac:dyDescent="0.2">
      <c r="B31" s="72"/>
      <c r="C31" s="72"/>
      <c r="D31" s="75"/>
      <c r="E31" s="77"/>
      <c r="F31" s="72"/>
      <c r="G31" s="70" t="s">
        <v>132</v>
      </c>
      <c r="H31" s="80">
        <f>SLOPE(H24:H30,B24:B30)</f>
        <v>1.7185647685281434E-5</v>
      </c>
    </row>
    <row r="32" spans="1:9" ht="16" x14ac:dyDescent="0.2">
      <c r="B32" s="72"/>
      <c r="C32" s="72"/>
      <c r="D32" s="75"/>
      <c r="E32" s="77"/>
      <c r="F32" s="72"/>
      <c r="G32" s="70" t="s">
        <v>133</v>
      </c>
      <c r="H32" s="83">
        <f>RSQ(H24:H30,B24:B30)</f>
        <v>0.99888745989862537</v>
      </c>
    </row>
    <row r="33" spans="1:9" x14ac:dyDescent="0.2">
      <c r="A33" s="79"/>
      <c r="B33" s="79"/>
      <c r="C33" s="79"/>
      <c r="D33" s="79"/>
      <c r="E33" s="81"/>
      <c r="F33" s="79"/>
      <c r="G33" s="79"/>
      <c r="H33" s="79"/>
      <c r="I33" s="79"/>
    </row>
    <row r="34" spans="1:9" ht="14.5" customHeight="1" x14ac:dyDescent="0.2">
      <c r="B34" s="143" t="s">
        <v>158</v>
      </c>
      <c r="C34" s="143"/>
      <c r="D34" s="143"/>
      <c r="E34" s="143"/>
      <c r="F34" s="143"/>
      <c r="G34" s="143"/>
      <c r="H34" s="143"/>
    </row>
    <row r="35" spans="1:9" ht="16" x14ac:dyDescent="0.2">
      <c r="B35" s="70" t="s">
        <v>125</v>
      </c>
      <c r="C35" s="70" t="s">
        <v>126</v>
      </c>
      <c r="D35" s="70" t="s">
        <v>127</v>
      </c>
      <c r="E35" s="82" t="s">
        <v>128</v>
      </c>
      <c r="F35" s="70" t="s">
        <v>129</v>
      </c>
      <c r="G35" s="70" t="s">
        <v>130</v>
      </c>
      <c r="H35" s="70" t="s">
        <v>131</v>
      </c>
    </row>
    <row r="36" spans="1:9" ht="16" x14ac:dyDescent="0.2">
      <c r="B36" s="72">
        <v>180</v>
      </c>
      <c r="C36" s="72">
        <v>3</v>
      </c>
      <c r="D36" s="73">
        <v>4.5613764277437498E-2</v>
      </c>
      <c r="E36" s="77">
        <f>D36*0.0001</f>
        <v>4.5613764277437502E-6</v>
      </c>
      <c r="F36" s="72">
        <f>2000-20</f>
        <v>1980</v>
      </c>
      <c r="G36" s="72">
        <f>F36/1000000</f>
        <v>1.98E-3</v>
      </c>
      <c r="H36" s="77">
        <f>E36/G36</f>
        <v>2.3037254685574497E-3</v>
      </c>
    </row>
    <row r="37" spans="1:9" ht="16" x14ac:dyDescent="0.2">
      <c r="B37" s="72">
        <v>360</v>
      </c>
      <c r="C37" s="72">
        <v>6</v>
      </c>
      <c r="D37" s="73">
        <v>0.10059572876071708</v>
      </c>
      <c r="E37" s="77">
        <f t="shared" ref="E37:E42" si="10">D37*0.0001</f>
        <v>1.0059572876071709E-5</v>
      </c>
      <c r="F37" s="72">
        <f>F36-19</f>
        <v>1961</v>
      </c>
      <c r="G37" s="72">
        <f t="shared" ref="G37:G42" si="11">F37/1000000</f>
        <v>1.9610000000000001E-3</v>
      </c>
      <c r="H37" s="77">
        <f t="shared" ref="H37:H42" si="12">E37/G37</f>
        <v>5.1298178868290209E-3</v>
      </c>
    </row>
    <row r="38" spans="1:9" ht="16" x14ac:dyDescent="0.2">
      <c r="B38" s="72">
        <v>540</v>
      </c>
      <c r="C38" s="72">
        <v>9</v>
      </c>
      <c r="D38" s="73">
        <v>0.15372666755709896</v>
      </c>
      <c r="E38" s="77">
        <f t="shared" si="10"/>
        <v>1.5372666755709897E-5</v>
      </c>
      <c r="F38" s="72">
        <f t="shared" ref="F38:F42" si="13">F37-19</f>
        <v>1942</v>
      </c>
      <c r="G38" s="72">
        <f t="shared" si="11"/>
        <v>1.9419999999999999E-3</v>
      </c>
      <c r="H38" s="77">
        <f t="shared" si="12"/>
        <v>7.9158943129299161E-3</v>
      </c>
    </row>
    <row r="39" spans="1:9" ht="16" x14ac:dyDescent="0.2">
      <c r="B39" s="72">
        <v>720</v>
      </c>
      <c r="C39" s="72">
        <v>12</v>
      </c>
      <c r="D39" s="73">
        <v>0.21309438391733806</v>
      </c>
      <c r="E39" s="77">
        <f t="shared" si="10"/>
        <v>2.1309438391733809E-5</v>
      </c>
      <c r="F39" s="72">
        <f t="shared" si="13"/>
        <v>1923</v>
      </c>
      <c r="G39" s="72">
        <f t="shared" si="11"/>
        <v>1.923E-3</v>
      </c>
      <c r="H39" s="77">
        <f t="shared" si="12"/>
        <v>1.108135121775029E-2</v>
      </c>
    </row>
    <row r="40" spans="1:9" ht="16" x14ac:dyDescent="0.2">
      <c r="B40" s="72">
        <v>900</v>
      </c>
      <c r="C40" s="72">
        <v>15</v>
      </c>
      <c r="D40" s="73">
        <v>0.26677347763903408</v>
      </c>
      <c r="E40" s="77">
        <f t="shared" si="10"/>
        <v>2.6677347763903411E-5</v>
      </c>
      <c r="F40" s="72">
        <f t="shared" si="13"/>
        <v>1904</v>
      </c>
      <c r="G40" s="72">
        <f t="shared" si="11"/>
        <v>1.9040000000000001E-3</v>
      </c>
      <c r="H40" s="77">
        <f t="shared" si="12"/>
        <v>1.401121206087364E-2</v>
      </c>
    </row>
    <row r="41" spans="1:9" ht="16" x14ac:dyDescent="0.2">
      <c r="B41" s="72">
        <v>1080</v>
      </c>
      <c r="C41" s="72">
        <v>18</v>
      </c>
      <c r="D41" s="73">
        <v>0.32935767808725658</v>
      </c>
      <c r="E41" s="77">
        <f t="shared" si="10"/>
        <v>3.2935767808725659E-5</v>
      </c>
      <c r="F41" s="72">
        <f t="shared" si="13"/>
        <v>1885</v>
      </c>
      <c r="G41" s="72">
        <f t="shared" si="11"/>
        <v>1.885E-3</v>
      </c>
      <c r="H41" s="77">
        <f t="shared" si="12"/>
        <v>1.7472555866697964E-2</v>
      </c>
    </row>
    <row r="42" spans="1:9" ht="16" x14ac:dyDescent="0.2">
      <c r="B42" s="72">
        <v>1260</v>
      </c>
      <c r="C42" s="72">
        <v>21</v>
      </c>
      <c r="D42" s="73">
        <v>0.3705557758716721</v>
      </c>
      <c r="E42" s="77">
        <f t="shared" si="10"/>
        <v>3.7055577587167212E-5</v>
      </c>
      <c r="F42" s="72">
        <f t="shared" si="13"/>
        <v>1866</v>
      </c>
      <c r="G42" s="72">
        <f t="shared" si="11"/>
        <v>1.866E-3</v>
      </c>
      <c r="H42" s="77">
        <f t="shared" si="12"/>
        <v>1.9858294526884892E-2</v>
      </c>
    </row>
    <row r="43" spans="1:9" ht="16" x14ac:dyDescent="0.2">
      <c r="B43" s="72"/>
      <c r="C43" s="72"/>
      <c r="D43" s="75"/>
      <c r="E43" s="77"/>
      <c r="F43" s="72"/>
      <c r="G43" s="70" t="s">
        <v>132</v>
      </c>
      <c r="H43" s="80">
        <f>SLOPE(H36:H42,B36:B42)</f>
        <v>1.6556448587830146E-5</v>
      </c>
    </row>
    <row r="44" spans="1:9" ht="16" x14ac:dyDescent="0.2">
      <c r="B44" s="72"/>
      <c r="C44" s="72"/>
      <c r="D44" s="75"/>
      <c r="E44" s="77"/>
      <c r="F44" s="72"/>
      <c r="G44" s="70" t="s">
        <v>133</v>
      </c>
      <c r="H44" s="83">
        <f>RSQ(H36:H42,B36:B42)</f>
        <v>0.99891559803343144</v>
      </c>
    </row>
    <row r="45" spans="1:9" x14ac:dyDescent="0.2">
      <c r="A45" s="79"/>
      <c r="B45" s="79"/>
      <c r="C45" s="79"/>
      <c r="D45" s="79"/>
      <c r="E45" s="81"/>
      <c r="F45" s="79"/>
      <c r="G45" s="79"/>
      <c r="H45" s="79"/>
      <c r="I45" s="79"/>
    </row>
    <row r="46" spans="1:9" x14ac:dyDescent="0.2">
      <c r="B46" s="143" t="s">
        <v>154</v>
      </c>
      <c r="C46" s="143"/>
      <c r="D46" s="143"/>
      <c r="E46" s="143"/>
      <c r="F46" s="143"/>
      <c r="G46" s="143"/>
      <c r="H46" s="143"/>
    </row>
    <row r="47" spans="1:9" ht="16" x14ac:dyDescent="0.2">
      <c r="B47" s="70" t="s">
        <v>125</v>
      </c>
      <c r="C47" s="70" t="s">
        <v>126</v>
      </c>
      <c r="D47" s="70" t="s">
        <v>127</v>
      </c>
      <c r="E47" s="82" t="s">
        <v>128</v>
      </c>
      <c r="F47" s="70" t="s">
        <v>129</v>
      </c>
      <c r="G47" s="70" t="s">
        <v>130</v>
      </c>
      <c r="H47" s="70" t="s">
        <v>131</v>
      </c>
    </row>
    <row r="48" spans="1:9" ht="16" x14ac:dyDescent="0.2">
      <c r="B48" s="72">
        <f>C48*60</f>
        <v>180</v>
      </c>
      <c r="C48" s="72">
        <v>3</v>
      </c>
      <c r="D48" s="73">
        <v>3.3825962855838027E-2</v>
      </c>
      <c r="E48" s="77">
        <f>D48*0.0001</f>
        <v>3.3825962855838026E-6</v>
      </c>
      <c r="F48" s="72">
        <f>2000-20</f>
        <v>1980</v>
      </c>
      <c r="G48" s="72">
        <f>F48/1000000</f>
        <v>1.98E-3</v>
      </c>
      <c r="H48" s="77">
        <f>E48/G48</f>
        <v>1.7083819624160619E-3</v>
      </c>
    </row>
    <row r="49" spans="1:9" ht="16" x14ac:dyDescent="0.2">
      <c r="B49" s="72">
        <f t="shared" ref="B49:B54" si="14">C49*60</f>
        <v>360</v>
      </c>
      <c r="C49" s="72">
        <v>6</v>
      </c>
      <c r="D49" s="73">
        <v>7.0742342683851378E-2</v>
      </c>
      <c r="E49" s="77">
        <f t="shared" ref="E49:E54" si="15">D49*0.0001</f>
        <v>7.0742342683851384E-6</v>
      </c>
      <c r="F49" s="72">
        <f>F48-20</f>
        <v>1960</v>
      </c>
      <c r="G49" s="72">
        <f t="shared" ref="G49:G54" si="16">F49/1000000</f>
        <v>1.9599999999999999E-3</v>
      </c>
      <c r="H49" s="77">
        <f t="shared" ref="H49:H54" si="17">E49/G49</f>
        <v>3.6093031981556832E-3</v>
      </c>
    </row>
    <row r="50" spans="1:9" ht="16" x14ac:dyDescent="0.2">
      <c r="B50" s="72">
        <f t="shared" si="14"/>
        <v>540</v>
      </c>
      <c r="C50" s="72">
        <v>9</v>
      </c>
      <c r="D50" s="73">
        <v>0.10984048815506102</v>
      </c>
      <c r="E50" s="77">
        <f t="shared" si="15"/>
        <v>1.0984048815506103E-5</v>
      </c>
      <c r="F50" s="72">
        <f t="shared" ref="F50:F54" si="18">F49-20</f>
        <v>1940</v>
      </c>
      <c r="G50" s="72">
        <f t="shared" si="16"/>
        <v>1.9400000000000001E-3</v>
      </c>
      <c r="H50" s="77">
        <f t="shared" si="17"/>
        <v>5.6618808327351042E-3</v>
      </c>
    </row>
    <row r="51" spans="1:9" ht="16" x14ac:dyDescent="0.2">
      <c r="B51" s="72">
        <f t="shared" si="14"/>
        <v>720</v>
      </c>
      <c r="C51" s="72">
        <v>12</v>
      </c>
      <c r="D51" s="73">
        <v>0.15140916434540388</v>
      </c>
      <c r="E51" s="77">
        <f t="shared" si="15"/>
        <v>1.5140916434540389E-5</v>
      </c>
      <c r="F51" s="72">
        <f t="shared" si="18"/>
        <v>1920</v>
      </c>
      <c r="G51" s="72">
        <f t="shared" si="16"/>
        <v>1.92E-3</v>
      </c>
      <c r="H51" s="77">
        <f t="shared" si="17"/>
        <v>7.8858939763231193E-3</v>
      </c>
    </row>
    <row r="52" spans="1:9" ht="16" x14ac:dyDescent="0.2">
      <c r="B52" s="72">
        <f t="shared" si="14"/>
        <v>900</v>
      </c>
      <c r="C52" s="72">
        <v>15</v>
      </c>
      <c r="D52" s="73">
        <v>0.19388877162717538</v>
      </c>
      <c r="E52" s="77">
        <f t="shared" si="15"/>
        <v>1.938887716271754E-5</v>
      </c>
      <c r="F52" s="72">
        <f t="shared" si="18"/>
        <v>1900</v>
      </c>
      <c r="G52" s="72">
        <f t="shared" si="16"/>
        <v>1.9E-3</v>
      </c>
      <c r="H52" s="77">
        <f t="shared" si="17"/>
        <v>1.0204672190903968E-2</v>
      </c>
    </row>
    <row r="53" spans="1:9" ht="16" x14ac:dyDescent="0.2">
      <c r="B53" s="72">
        <f t="shared" si="14"/>
        <v>1080</v>
      </c>
      <c r="C53" s="72">
        <v>18</v>
      </c>
      <c r="D53" s="73">
        <v>0.22911093198218946</v>
      </c>
      <c r="E53" s="77">
        <f t="shared" si="15"/>
        <v>2.2911093198218946E-5</v>
      </c>
      <c r="F53" s="72">
        <f t="shared" si="18"/>
        <v>1880</v>
      </c>
      <c r="G53" s="72">
        <f t="shared" si="16"/>
        <v>1.8799999999999999E-3</v>
      </c>
      <c r="H53" s="77">
        <f t="shared" si="17"/>
        <v>1.218675170118029E-2</v>
      </c>
    </row>
    <row r="54" spans="1:9" ht="16" x14ac:dyDescent="0.2">
      <c r="B54" s="72">
        <f t="shared" si="14"/>
        <v>1260</v>
      </c>
      <c r="C54" s="72">
        <v>21</v>
      </c>
      <c r="D54" s="73">
        <v>0.26639736616378223</v>
      </c>
      <c r="E54" s="77">
        <f t="shared" si="15"/>
        <v>2.6639736616378226E-5</v>
      </c>
      <c r="F54" s="72">
        <f t="shared" si="18"/>
        <v>1860</v>
      </c>
      <c r="G54" s="72">
        <f t="shared" si="16"/>
        <v>1.8600000000000001E-3</v>
      </c>
      <c r="H54" s="77">
        <f t="shared" si="17"/>
        <v>1.4322439041063562E-2</v>
      </c>
    </row>
    <row r="55" spans="1:9" ht="16" x14ac:dyDescent="0.2">
      <c r="B55" s="72"/>
      <c r="C55" s="72"/>
      <c r="D55" s="75"/>
      <c r="E55" s="77"/>
      <c r="F55" s="72"/>
      <c r="G55" s="70" t="s">
        <v>132</v>
      </c>
      <c r="H55" s="80">
        <f>SLOPE(H48:H54,B48:B54)</f>
        <v>1.1813464206381068E-5</v>
      </c>
    </row>
    <row r="56" spans="1:9" ht="16" x14ac:dyDescent="0.2">
      <c r="B56" s="72"/>
      <c r="C56" s="72"/>
      <c r="D56" s="75"/>
      <c r="E56" s="77"/>
      <c r="F56" s="72"/>
      <c r="G56" s="70" t="s">
        <v>133</v>
      </c>
      <c r="H56" s="83">
        <f>RSQ(H48:H54,B48:B54)</f>
        <v>0.99942405469232398</v>
      </c>
    </row>
    <row r="57" spans="1:9" x14ac:dyDescent="0.2">
      <c r="A57" s="79"/>
      <c r="B57" s="79"/>
      <c r="C57" s="79"/>
      <c r="D57" s="79"/>
      <c r="E57" s="81"/>
      <c r="F57" s="79"/>
      <c r="G57" s="79"/>
      <c r="H57" s="79"/>
      <c r="I57" s="79"/>
    </row>
    <row r="58" spans="1:9" x14ac:dyDescent="0.2">
      <c r="B58" s="143" t="s">
        <v>155</v>
      </c>
      <c r="C58" s="143"/>
      <c r="D58" s="143"/>
      <c r="E58" s="143"/>
      <c r="F58" s="143"/>
      <c r="G58" s="143"/>
      <c r="H58" s="143"/>
    </row>
    <row r="59" spans="1:9" ht="16" x14ac:dyDescent="0.2">
      <c r="B59" s="70" t="s">
        <v>125</v>
      </c>
      <c r="C59" s="70" t="s">
        <v>126</v>
      </c>
      <c r="D59" s="70" t="s">
        <v>127</v>
      </c>
      <c r="E59" s="82" t="s">
        <v>128</v>
      </c>
      <c r="F59" s="70" t="s">
        <v>129</v>
      </c>
      <c r="G59" s="70" t="s">
        <v>130</v>
      </c>
      <c r="H59" s="70" t="s">
        <v>131</v>
      </c>
    </row>
    <row r="60" spans="1:9" ht="16" x14ac:dyDescent="0.2">
      <c r="B60" s="72">
        <f>C60*60</f>
        <v>180</v>
      </c>
      <c r="C60" s="72">
        <v>3</v>
      </c>
      <c r="D60" s="73">
        <v>3.2873270226575137E-2</v>
      </c>
      <c r="E60" s="77">
        <f>D60*0.0001</f>
        <v>3.2873270226575138E-6</v>
      </c>
      <c r="F60" s="72">
        <f>2000-20</f>
        <v>1980</v>
      </c>
      <c r="G60" s="72">
        <f>F60/1000000</f>
        <v>1.98E-3</v>
      </c>
      <c r="H60" s="77">
        <f>E60/G60</f>
        <v>1.6602661730593504E-3</v>
      </c>
    </row>
    <row r="61" spans="1:9" ht="16" x14ac:dyDescent="0.2">
      <c r="B61" s="72">
        <f t="shared" ref="B61:B66" si="19">C61*60</f>
        <v>360</v>
      </c>
      <c r="C61" s="72">
        <v>6</v>
      </c>
      <c r="D61" s="73">
        <v>7.1787219360721591E-2</v>
      </c>
      <c r="E61" s="77">
        <f t="shared" ref="E61:E66" si="20">D61*0.0001</f>
        <v>7.1787219360721591E-6</v>
      </c>
      <c r="F61" s="72">
        <f>F60-20</f>
        <v>1960</v>
      </c>
      <c r="G61" s="72">
        <f t="shared" ref="G61:G66" si="21">F61/1000000</f>
        <v>1.9599999999999999E-3</v>
      </c>
      <c r="H61" s="77">
        <f t="shared" ref="H61:H66" si="22">E61/G61</f>
        <v>3.6626132326898772E-3</v>
      </c>
    </row>
    <row r="62" spans="1:9" ht="16" x14ac:dyDescent="0.2">
      <c r="B62" s="72">
        <f t="shared" si="19"/>
        <v>540</v>
      </c>
      <c r="C62" s="72">
        <v>9</v>
      </c>
      <c r="D62" s="73">
        <v>0.11219103149076219</v>
      </c>
      <c r="E62" s="77">
        <f t="shared" si="20"/>
        <v>1.121910314907622E-5</v>
      </c>
      <c r="F62" s="72">
        <f t="shared" ref="F62:F66" si="23">F61-20</f>
        <v>1940</v>
      </c>
      <c r="G62" s="72">
        <f t="shared" si="21"/>
        <v>1.9400000000000001E-3</v>
      </c>
      <c r="H62" s="77">
        <f t="shared" si="22"/>
        <v>5.7830428603485671E-3</v>
      </c>
    </row>
    <row r="63" spans="1:9" ht="16" x14ac:dyDescent="0.2">
      <c r="B63" s="72">
        <f t="shared" si="19"/>
        <v>720</v>
      </c>
      <c r="C63" s="72">
        <v>12</v>
      </c>
      <c r="D63" s="73">
        <v>0.16085129602683307</v>
      </c>
      <c r="E63" s="77">
        <f t="shared" si="20"/>
        <v>1.6085129602683307E-5</v>
      </c>
      <c r="F63" s="72">
        <f t="shared" si="23"/>
        <v>1920</v>
      </c>
      <c r="G63" s="72">
        <f t="shared" si="21"/>
        <v>1.92E-3</v>
      </c>
      <c r="H63" s="77">
        <f t="shared" si="22"/>
        <v>8.3776716680642217E-3</v>
      </c>
    </row>
    <row r="64" spans="1:9" ht="16" x14ac:dyDescent="0.2">
      <c r="B64" s="72">
        <f t="shared" si="19"/>
        <v>900</v>
      </c>
      <c r="C64" s="72">
        <v>15</v>
      </c>
      <c r="D64" s="73">
        <v>0.20019819051475427</v>
      </c>
      <c r="E64" s="77">
        <f t="shared" si="20"/>
        <v>2.0019819051475428E-5</v>
      </c>
      <c r="F64" s="72">
        <f t="shared" si="23"/>
        <v>1900</v>
      </c>
      <c r="G64" s="72">
        <f t="shared" si="21"/>
        <v>1.9E-3</v>
      </c>
      <c r="H64" s="77">
        <f t="shared" si="22"/>
        <v>1.0536746869197594E-2</v>
      </c>
    </row>
    <row r="65" spans="1:9" ht="16" x14ac:dyDescent="0.2">
      <c r="B65" s="72">
        <f t="shared" si="19"/>
        <v>1080</v>
      </c>
      <c r="C65" s="72">
        <v>18</v>
      </c>
      <c r="D65" s="73">
        <v>0.23554574062381617</v>
      </c>
      <c r="E65" s="77">
        <f t="shared" si="20"/>
        <v>2.3554574062381617E-5</v>
      </c>
      <c r="F65" s="72">
        <f t="shared" si="23"/>
        <v>1880</v>
      </c>
      <c r="G65" s="72">
        <f t="shared" si="21"/>
        <v>1.8799999999999999E-3</v>
      </c>
      <c r="H65" s="77">
        <f t="shared" si="22"/>
        <v>1.2529028756585967E-2</v>
      </c>
    </row>
    <row r="66" spans="1:9" ht="16" x14ac:dyDescent="0.2">
      <c r="B66" s="72">
        <f t="shared" si="19"/>
        <v>1260</v>
      </c>
      <c r="C66" s="72">
        <v>21</v>
      </c>
      <c r="D66" s="73">
        <v>0.2926611341371515</v>
      </c>
      <c r="E66" s="77">
        <f t="shared" si="20"/>
        <v>2.926611341371515E-5</v>
      </c>
      <c r="F66" s="72">
        <f t="shared" si="23"/>
        <v>1860</v>
      </c>
      <c r="G66" s="72">
        <f t="shared" si="21"/>
        <v>1.8600000000000001E-3</v>
      </c>
      <c r="H66" s="77">
        <f t="shared" si="22"/>
        <v>1.5734469577266208E-2</v>
      </c>
    </row>
    <row r="67" spans="1:9" ht="16" x14ac:dyDescent="0.2">
      <c r="B67" s="72"/>
      <c r="C67" s="72"/>
      <c r="D67" s="75"/>
      <c r="E67" s="77"/>
      <c r="F67" s="72"/>
      <c r="G67" s="70" t="s">
        <v>132</v>
      </c>
      <c r="H67" s="80">
        <f>SLOPE(H60:H66,B60:B66)</f>
        <v>1.2839116124853528E-5</v>
      </c>
    </row>
    <row r="68" spans="1:9" ht="16" x14ac:dyDescent="0.2">
      <c r="B68" s="72"/>
      <c r="C68" s="72"/>
      <c r="D68" s="75"/>
      <c r="E68" s="77"/>
      <c r="F68" s="72"/>
      <c r="G68" s="70" t="s">
        <v>133</v>
      </c>
      <c r="H68" s="83">
        <f>RSQ(H60:H66,B60:B66)</f>
        <v>0.99639357571073872</v>
      </c>
    </row>
    <row r="69" spans="1:9" x14ac:dyDescent="0.2">
      <c r="A69" s="79"/>
      <c r="B69" s="79"/>
      <c r="C69" s="79"/>
      <c r="D69" s="79"/>
      <c r="E69" s="81"/>
      <c r="F69" s="79"/>
      <c r="G69" s="79"/>
      <c r="H69" s="79"/>
      <c r="I69" s="79"/>
    </row>
  </sheetData>
  <mergeCells count="5">
    <mergeCell ref="B2:H2"/>
    <mergeCell ref="B22:H22"/>
    <mergeCell ref="B34:H34"/>
    <mergeCell ref="B46:H46"/>
    <mergeCell ref="B58:H58"/>
  </mergeCells>
  <conditionalFormatting sqref="D4:D10">
    <cfRule type="cellIs" dxfId="89" priority="7" operator="between">
      <formula>0.51</formula>
      <formula>0.149</formula>
    </cfRule>
    <cfRule type="cellIs" dxfId="88" priority="11" operator="greaterThan">
      <formula>0.15</formula>
    </cfRule>
    <cfRule type="cellIs" dxfId="87" priority="12" operator="lessThan">
      <formula>0.05</formula>
    </cfRule>
  </conditionalFormatting>
  <conditionalFormatting sqref="D4:D10">
    <cfRule type="cellIs" dxfId="86" priority="8" operator="between">
      <formula>0.151</formula>
      <formula>0.849</formula>
    </cfRule>
    <cfRule type="cellIs" dxfId="85" priority="9" operator="greaterThan">
      <formula>0.85</formula>
    </cfRule>
    <cfRule type="cellIs" dxfId="84" priority="10" operator="lessThan">
      <formula>0.15</formula>
    </cfRule>
  </conditionalFormatting>
  <conditionalFormatting sqref="D11:D18">
    <cfRule type="cellIs" dxfId="83" priority="1" operator="between">
      <formula>0.51</formula>
      <formula>0.149</formula>
    </cfRule>
    <cfRule type="cellIs" dxfId="82" priority="5" operator="greaterThan">
      <formula>0.15</formula>
    </cfRule>
    <cfRule type="cellIs" dxfId="81" priority="6" operator="lessThan">
      <formula>0.05</formula>
    </cfRule>
  </conditionalFormatting>
  <conditionalFormatting sqref="D11:D18">
    <cfRule type="cellIs" dxfId="80" priority="2" operator="between">
      <formula>0.151</formula>
      <formula>0.849</formula>
    </cfRule>
    <cfRule type="cellIs" dxfId="79" priority="3" operator="greaterThan">
      <formula>0.85</formula>
    </cfRule>
    <cfRule type="cellIs" dxfId="78" priority="4" operator="lessThan">
      <formula>0.15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55DE7-249D-415E-878B-C06C2877B12E}">
  <dimension ref="A1:R60"/>
  <sheetViews>
    <sheetView topLeftCell="A13" zoomScale="60" zoomScaleNormal="60" workbookViewId="0">
      <selection activeCell="F52" sqref="F52"/>
    </sheetView>
  </sheetViews>
  <sheetFormatPr baseColWidth="10" defaultColWidth="11.5" defaultRowHeight="16" x14ac:dyDescent="0.2"/>
  <cols>
    <col min="1" max="1" width="25.6640625" style="1" bestFit="1" customWidth="1"/>
    <col min="2" max="2" width="19" style="1" bestFit="1" customWidth="1"/>
    <col min="3" max="3" width="31.1640625" style="1" customWidth="1"/>
    <col min="4" max="4" width="31.83203125" style="1" customWidth="1"/>
    <col min="5" max="5" width="24.33203125" style="1" bestFit="1" customWidth="1"/>
    <col min="6" max="6" width="19.83203125" style="1" bestFit="1" customWidth="1"/>
    <col min="7" max="7" width="19.83203125" style="1" customWidth="1"/>
    <col min="8" max="8" width="21.1640625" style="1" bestFit="1" customWidth="1"/>
    <col min="9" max="9" width="23" style="1" bestFit="1" customWidth="1"/>
    <col min="10" max="10" width="27.83203125" style="1" customWidth="1"/>
    <col min="11" max="11" width="12.83203125" style="53" bestFit="1" customWidth="1"/>
    <col min="12" max="12" width="11.5" style="1"/>
    <col min="13" max="13" width="12" style="1" bestFit="1" customWidth="1"/>
    <col min="14" max="14" width="11.5" style="1"/>
    <col min="15" max="15" width="21" style="1" customWidth="1"/>
    <col min="16" max="16" width="21.6640625" style="1" customWidth="1"/>
    <col min="17" max="17" width="23" style="1" customWidth="1"/>
    <col min="18" max="18" width="18.1640625" style="16" customWidth="1"/>
    <col min="19" max="16384" width="11.5" style="1"/>
  </cols>
  <sheetData>
    <row r="1" spans="1:18" x14ac:dyDescent="0.2">
      <c r="C1" s="16" t="s">
        <v>80</v>
      </c>
      <c r="D1" s="16" t="s">
        <v>81</v>
      </c>
      <c r="E1" s="16" t="s">
        <v>82</v>
      </c>
      <c r="F1" s="16" t="s">
        <v>83</v>
      </c>
      <c r="G1" s="16" t="s">
        <v>84</v>
      </c>
      <c r="H1" s="16" t="s">
        <v>85</v>
      </c>
      <c r="I1" s="16" t="s">
        <v>86</v>
      </c>
      <c r="J1" s="16" t="s">
        <v>87</v>
      </c>
    </row>
    <row r="2" spans="1:18" x14ac:dyDescent="0.2">
      <c r="C2" s="18">
        <v>394.59</v>
      </c>
      <c r="D2" s="10">
        <v>3.94</v>
      </c>
      <c r="E2" s="54">
        <f>(D2)/(1000*C2)</f>
        <v>9.9850477711041841E-6</v>
      </c>
      <c r="F2" s="16">
        <v>0.05</v>
      </c>
      <c r="G2" s="16">
        <v>5.0000000000000001E-4</v>
      </c>
      <c r="H2" s="120">
        <f>C5/G2</f>
        <v>1.9970095542208369E-3</v>
      </c>
      <c r="I2" s="4">
        <f>(J7/(1000*J6))/0.001</f>
        <v>0.10566970492816313</v>
      </c>
      <c r="J2" s="16">
        <v>1000000</v>
      </c>
    </row>
    <row r="3" spans="1:18" ht="20" x14ac:dyDescent="0.2">
      <c r="B3" s="55"/>
      <c r="C3" s="16"/>
      <c r="D3" s="16"/>
      <c r="J3" s="56"/>
    </row>
    <row r="4" spans="1:18" x14ac:dyDescent="0.2">
      <c r="C4" s="89" t="s">
        <v>88</v>
      </c>
      <c r="D4" s="89" t="s">
        <v>137</v>
      </c>
      <c r="F4" s="85"/>
    </row>
    <row r="5" spans="1:18" x14ac:dyDescent="0.2">
      <c r="C5" s="87">
        <f>E2/10</f>
        <v>9.9850477711041849E-7</v>
      </c>
      <c r="D5" s="87">
        <f>C5</f>
        <v>9.9850477711041849E-7</v>
      </c>
      <c r="E5" s="87"/>
    </row>
    <row r="6" spans="1:18" x14ac:dyDescent="0.2">
      <c r="C6" s="16" t="s">
        <v>89</v>
      </c>
      <c r="D6" s="16" t="s">
        <v>89</v>
      </c>
      <c r="F6" s="57"/>
      <c r="I6" s="58" t="s">
        <v>90</v>
      </c>
      <c r="J6" s="56">
        <v>194.19</v>
      </c>
    </row>
    <row r="7" spans="1:18" x14ac:dyDescent="0.2">
      <c r="A7" s="8"/>
      <c r="B7" s="8"/>
      <c r="C7" s="5" t="s">
        <v>91</v>
      </c>
      <c r="D7" s="5" t="s">
        <v>92</v>
      </c>
      <c r="E7" s="5" t="s">
        <v>93</v>
      </c>
      <c r="G7" s="16"/>
      <c r="I7" s="58" t="s">
        <v>26</v>
      </c>
      <c r="J7" s="56">
        <v>20.52</v>
      </c>
    </row>
    <row r="8" spans="1:18" x14ac:dyDescent="0.2">
      <c r="C8" s="93">
        <f>((H2*G2)/F2)*J2</f>
        <v>19.970095542208369</v>
      </c>
      <c r="D8" s="94">
        <f>((H2*G2)/I2)*J2</f>
        <v>9.4493003249060514</v>
      </c>
      <c r="E8" s="93">
        <f>500-C8-D8</f>
        <v>470.58060413288558</v>
      </c>
      <c r="G8" s="54"/>
      <c r="I8" s="58"/>
      <c r="J8" s="59"/>
    </row>
    <row r="9" spans="1:18" ht="15.25" customHeight="1" x14ac:dyDescent="0.2">
      <c r="A9" s="66"/>
      <c r="B9" s="66"/>
      <c r="C9" s="66"/>
      <c r="D9" s="66"/>
      <c r="E9" s="66"/>
      <c r="F9" s="66"/>
      <c r="G9" s="66"/>
      <c r="H9" s="66"/>
      <c r="I9" s="66"/>
      <c r="J9" s="66"/>
      <c r="K9" s="67"/>
      <c r="L9" s="66"/>
      <c r="M9" s="66"/>
      <c r="O9" s="17"/>
      <c r="P9" s="5"/>
    </row>
    <row r="10" spans="1:18" ht="20" x14ac:dyDescent="0.2">
      <c r="A10" s="55" t="s">
        <v>94</v>
      </c>
      <c r="P10" s="16"/>
    </row>
    <row r="11" spans="1:18" ht="17" thickBot="1" x14ac:dyDescent="0.25">
      <c r="A11" s="16" t="s">
        <v>116</v>
      </c>
      <c r="B11" s="8"/>
      <c r="C11" s="9"/>
      <c r="D11" s="26"/>
      <c r="E11" s="8"/>
      <c r="F11" s="8"/>
      <c r="G11" s="9"/>
      <c r="H11" s="8"/>
      <c r="I11" s="8"/>
      <c r="J11" s="8"/>
      <c r="K11" s="62"/>
      <c r="M11" s="8"/>
      <c r="O11" s="8"/>
      <c r="P11" s="16"/>
      <c r="Q11" s="16"/>
      <c r="R11" s="61"/>
    </row>
    <row r="12" spans="1:18" x14ac:dyDescent="0.2">
      <c r="A12" s="136" t="s">
        <v>65</v>
      </c>
      <c r="B12" s="137"/>
      <c r="C12" s="9"/>
      <c r="D12" s="8"/>
      <c r="E12" s="8"/>
      <c r="F12" s="8"/>
      <c r="G12" s="8"/>
      <c r="H12" s="8"/>
      <c r="I12" s="8"/>
      <c r="J12" s="8"/>
      <c r="K12" s="60"/>
    </row>
    <row r="13" spans="1:18" ht="17" thickBot="1" x14ac:dyDescent="0.25">
      <c r="A13" s="138"/>
      <c r="B13" s="139"/>
      <c r="D13" s="17"/>
      <c r="G13" s="16"/>
      <c r="K13" s="63"/>
      <c r="O13" s="17"/>
      <c r="P13" s="5"/>
    </row>
    <row r="14" spans="1:18" x14ac:dyDescent="0.2">
      <c r="A14" s="8"/>
      <c r="E14" s="5" t="s">
        <v>101</v>
      </c>
      <c r="F14" s="64">
        <v>0.3201</v>
      </c>
      <c r="K14" s="63"/>
      <c r="P14" s="16"/>
    </row>
    <row r="15" spans="1:18" x14ac:dyDescent="0.2">
      <c r="A15" s="3" t="s">
        <v>96</v>
      </c>
      <c r="B15" s="3" t="s">
        <v>97</v>
      </c>
      <c r="C15" s="3" t="s">
        <v>109</v>
      </c>
      <c r="D15" s="3" t="s">
        <v>110</v>
      </c>
      <c r="E15" s="3" t="s">
        <v>111</v>
      </c>
      <c r="F15" s="3" t="s">
        <v>63</v>
      </c>
      <c r="G15" s="3" t="s">
        <v>98</v>
      </c>
      <c r="H15" s="3" t="s">
        <v>99</v>
      </c>
      <c r="I15" s="3" t="s">
        <v>100</v>
      </c>
      <c r="J15" s="3" t="s">
        <v>7</v>
      </c>
      <c r="K15" s="60" t="s">
        <v>112</v>
      </c>
      <c r="O15" s="3"/>
      <c r="P15" s="5"/>
      <c r="Q15" s="5"/>
      <c r="R15" s="5"/>
    </row>
    <row r="16" spans="1:18" x14ac:dyDescent="0.2">
      <c r="A16" s="8" t="s">
        <v>102</v>
      </c>
      <c r="B16" s="8">
        <v>3</v>
      </c>
      <c r="C16" s="9">
        <v>1.3</v>
      </c>
      <c r="D16" s="29">
        <v>45.45</v>
      </c>
      <c r="E16" s="29">
        <v>43.22</v>
      </c>
      <c r="F16" s="8">
        <f t="shared" ref="F16:F22" si="0">AVERAGE(D16:E16)</f>
        <v>44.335000000000001</v>
      </c>
      <c r="G16" s="9">
        <v>0.32</v>
      </c>
      <c r="H16" s="25">
        <v>189.02</v>
      </c>
      <c r="I16" s="29">
        <v>179.59</v>
      </c>
      <c r="J16" s="8">
        <f>AVERAGE(H16:I16)</f>
        <v>184.30500000000001</v>
      </c>
      <c r="K16" s="60">
        <f>(F16/J16)*$F$14*($D$5/$C$5)</f>
        <v>7.7000805729632943E-2</v>
      </c>
      <c r="O16" s="8"/>
      <c r="P16" s="16"/>
      <c r="Q16" s="16"/>
      <c r="R16" s="61"/>
    </row>
    <row r="17" spans="1:18" x14ac:dyDescent="0.2">
      <c r="A17" s="8" t="s">
        <v>103</v>
      </c>
      <c r="B17" s="8">
        <v>6</v>
      </c>
      <c r="C17" s="9">
        <v>1.3</v>
      </c>
      <c r="D17" s="29">
        <v>83.66</v>
      </c>
      <c r="E17" s="95">
        <v>85.3</v>
      </c>
      <c r="F17" s="8">
        <f t="shared" si="0"/>
        <v>84.47999999999999</v>
      </c>
      <c r="G17" s="9">
        <v>0.32</v>
      </c>
      <c r="H17" s="25">
        <v>189.99</v>
      </c>
      <c r="I17" s="25">
        <v>193.82</v>
      </c>
      <c r="J17" s="8">
        <f t="shared" ref="J17:J20" si="1">AVERAGE(H17:I17)</f>
        <v>191.905</v>
      </c>
      <c r="K17" s="60">
        <f t="shared" ref="K17:K22" si="2">(F17/J17)*$F$14*($D$5/$C$5)</f>
        <v>0.1409137229358276</v>
      </c>
      <c r="O17" s="8"/>
      <c r="P17" s="16"/>
      <c r="Q17" s="16"/>
      <c r="R17" s="61"/>
    </row>
    <row r="18" spans="1:18" ht="14.5" customHeight="1" x14ac:dyDescent="0.2">
      <c r="A18" s="8" t="s">
        <v>104</v>
      </c>
      <c r="B18" s="8">
        <v>9</v>
      </c>
      <c r="C18" s="9">
        <v>1.3</v>
      </c>
      <c r="D18" s="29">
        <v>131.22</v>
      </c>
      <c r="E18" s="25">
        <v>120.16</v>
      </c>
      <c r="F18" s="8">
        <f t="shared" si="0"/>
        <v>125.69</v>
      </c>
      <c r="G18" s="9">
        <v>0.32</v>
      </c>
      <c r="H18" s="29">
        <v>191.32</v>
      </c>
      <c r="I18" s="25">
        <v>180.45</v>
      </c>
      <c r="J18" s="8">
        <f t="shared" si="1"/>
        <v>185.88499999999999</v>
      </c>
      <c r="K18" s="60">
        <f t="shared" si="2"/>
        <v>0.21644225730962691</v>
      </c>
      <c r="O18" s="8"/>
      <c r="P18" s="16"/>
      <c r="Q18" s="16"/>
      <c r="R18" s="61"/>
    </row>
    <row r="19" spans="1:18" x14ac:dyDescent="0.2">
      <c r="A19" s="8" t="s">
        <v>105</v>
      </c>
      <c r="B19" s="8">
        <v>12</v>
      </c>
      <c r="C19" s="9">
        <v>1.3</v>
      </c>
      <c r="D19" s="29">
        <v>165.79</v>
      </c>
      <c r="E19" s="29">
        <v>168.54</v>
      </c>
      <c r="F19" s="8">
        <f t="shared" si="0"/>
        <v>167.16499999999999</v>
      </c>
      <c r="G19" s="9">
        <v>0.32</v>
      </c>
      <c r="H19" s="29">
        <v>191.61</v>
      </c>
      <c r="I19" s="29">
        <v>193.61</v>
      </c>
      <c r="J19" s="8">
        <f t="shared" si="1"/>
        <v>192.61</v>
      </c>
      <c r="K19" s="60">
        <f t="shared" si="2"/>
        <v>0.27781276413478012</v>
      </c>
      <c r="O19" s="8"/>
      <c r="P19" s="16"/>
      <c r="Q19" s="16"/>
      <c r="R19" s="61"/>
    </row>
    <row r="20" spans="1:18" x14ac:dyDescent="0.2">
      <c r="A20" s="8" t="s">
        <v>106</v>
      </c>
      <c r="B20" s="8">
        <v>15</v>
      </c>
      <c r="C20" s="9">
        <v>1.3</v>
      </c>
      <c r="D20" s="29">
        <v>194.55</v>
      </c>
      <c r="E20" s="29">
        <v>193.38</v>
      </c>
      <c r="F20" s="8">
        <f t="shared" si="0"/>
        <v>193.965</v>
      </c>
      <c r="G20" s="9">
        <v>0.32</v>
      </c>
      <c r="H20" s="29">
        <v>188.67</v>
      </c>
      <c r="I20" s="29">
        <v>190.01</v>
      </c>
      <c r="J20" s="8">
        <f t="shared" si="1"/>
        <v>189.33999999999997</v>
      </c>
      <c r="K20" s="60">
        <f t="shared" si="2"/>
        <v>0.32791906887081446</v>
      </c>
      <c r="O20" s="8"/>
      <c r="P20" s="16"/>
      <c r="Q20" s="16"/>
      <c r="R20" s="61"/>
    </row>
    <row r="21" spans="1:18" x14ac:dyDescent="0.2">
      <c r="A21" s="8" t="s">
        <v>107</v>
      </c>
      <c r="B21" s="8">
        <v>18</v>
      </c>
      <c r="C21" s="9">
        <v>1.3</v>
      </c>
      <c r="D21" s="29">
        <v>221.11</v>
      </c>
      <c r="E21" s="29">
        <v>230.36</v>
      </c>
      <c r="F21" s="8">
        <f t="shared" si="0"/>
        <v>225.73500000000001</v>
      </c>
      <c r="G21" s="9">
        <v>0.32</v>
      </c>
      <c r="H21" s="25">
        <v>184.29</v>
      </c>
      <c r="I21" s="25">
        <v>194.66</v>
      </c>
      <c r="J21" s="8">
        <f>AVERAGE(H21:I21)</f>
        <v>189.47499999999999</v>
      </c>
      <c r="K21" s="60">
        <f t="shared" si="2"/>
        <v>0.38135782293178522</v>
      </c>
      <c r="O21" s="8"/>
      <c r="P21" s="16"/>
      <c r="Q21" s="16"/>
      <c r="R21" s="61"/>
    </row>
    <row r="22" spans="1:18" x14ac:dyDescent="0.2">
      <c r="A22" s="8" t="s">
        <v>108</v>
      </c>
      <c r="B22" s="8">
        <v>21</v>
      </c>
      <c r="C22" s="9">
        <v>1.3</v>
      </c>
      <c r="D22" s="29">
        <v>244.09</v>
      </c>
      <c r="E22" s="29">
        <v>252.78</v>
      </c>
      <c r="F22" s="8">
        <f t="shared" si="0"/>
        <v>248.435</v>
      </c>
      <c r="G22" s="9">
        <v>0.32</v>
      </c>
      <c r="H22" s="25">
        <v>182.86</v>
      </c>
      <c r="I22" s="25">
        <v>189.31</v>
      </c>
      <c r="J22" s="8">
        <f t="shared" ref="J22" si="3">AVERAGE(H22:I22)</f>
        <v>186.08500000000001</v>
      </c>
      <c r="K22" s="60">
        <f t="shared" si="2"/>
        <v>0.42735332509337132</v>
      </c>
      <c r="O22" s="8"/>
      <c r="P22" s="16"/>
      <c r="Q22" s="16"/>
      <c r="R22" s="61"/>
    </row>
    <row r="23" spans="1:18" x14ac:dyDescent="0.2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7"/>
      <c r="L23" s="66"/>
      <c r="M23" s="66"/>
    </row>
    <row r="24" spans="1:18" x14ac:dyDescent="0.2">
      <c r="A24" s="8"/>
      <c r="B24" s="8"/>
      <c r="C24" s="16" t="s">
        <v>80</v>
      </c>
      <c r="D24" s="16" t="s">
        <v>81</v>
      </c>
      <c r="E24" s="16" t="s">
        <v>82</v>
      </c>
      <c r="F24" s="16" t="s">
        <v>83</v>
      </c>
      <c r="G24" s="16" t="s">
        <v>84</v>
      </c>
      <c r="H24" s="16" t="s">
        <v>85</v>
      </c>
      <c r="I24" s="16" t="s">
        <v>86</v>
      </c>
      <c r="J24" s="16" t="s">
        <v>87</v>
      </c>
      <c r="K24" s="62"/>
    </row>
    <row r="25" spans="1:18" x14ac:dyDescent="0.2">
      <c r="A25" s="8"/>
      <c r="B25" s="8"/>
      <c r="C25" s="18">
        <v>394.59</v>
      </c>
      <c r="D25" s="10">
        <v>3.35</v>
      </c>
      <c r="E25" s="54">
        <f>(D25)/(1000*C25)</f>
        <v>8.4898248815225926E-6</v>
      </c>
      <c r="F25" s="16">
        <v>0.05</v>
      </c>
      <c r="G25" s="16">
        <v>5.0000000000000001E-4</v>
      </c>
      <c r="H25" s="120">
        <f>C28/G25</f>
        <v>1.6979649763045185E-3</v>
      </c>
      <c r="I25" s="4">
        <f>(J30/(1000*J29))/0.001</f>
        <v>0.10566970492816313</v>
      </c>
      <c r="J25" s="16">
        <v>1000000</v>
      </c>
      <c r="K25" s="62"/>
    </row>
    <row r="26" spans="1:18" x14ac:dyDescent="0.2">
      <c r="A26" s="8"/>
      <c r="B26" s="8"/>
      <c r="C26" s="16"/>
      <c r="D26" s="16"/>
      <c r="E26" s="86"/>
      <c r="J26" s="56"/>
      <c r="K26" s="62"/>
    </row>
    <row r="27" spans="1:18" x14ac:dyDescent="0.2">
      <c r="A27" s="8"/>
      <c r="B27" s="8"/>
      <c r="C27" s="54" t="s">
        <v>136</v>
      </c>
      <c r="D27" s="54" t="s">
        <v>137</v>
      </c>
      <c r="E27" s="87"/>
      <c r="F27" s="85"/>
      <c r="K27" s="62"/>
    </row>
    <row r="28" spans="1:18" x14ac:dyDescent="0.2">
      <c r="A28" s="8"/>
      <c r="B28" s="8"/>
      <c r="C28" s="88">
        <f>E25/10</f>
        <v>8.489824881522593E-7</v>
      </c>
      <c r="D28" s="54">
        <v>9.9925242960378756E-7</v>
      </c>
      <c r="E28" s="54"/>
      <c r="K28" s="62"/>
    </row>
    <row r="29" spans="1:18" x14ac:dyDescent="0.2">
      <c r="A29" s="8"/>
      <c r="B29" s="8"/>
      <c r="C29" s="16" t="s">
        <v>89</v>
      </c>
      <c r="D29" s="16"/>
      <c r="F29" s="57"/>
      <c r="I29" s="58" t="s">
        <v>90</v>
      </c>
      <c r="J29" s="56">
        <v>194.19</v>
      </c>
      <c r="K29" s="62"/>
    </row>
    <row r="30" spans="1:18" x14ac:dyDescent="0.2">
      <c r="A30" s="8"/>
      <c r="B30" s="8"/>
      <c r="C30" s="5" t="s">
        <v>91</v>
      </c>
      <c r="D30" s="5" t="s">
        <v>92</v>
      </c>
      <c r="E30" s="5" t="s">
        <v>93</v>
      </c>
      <c r="G30" s="16"/>
      <c r="I30" s="58" t="s">
        <v>26</v>
      </c>
      <c r="J30" s="56">
        <v>20.52</v>
      </c>
      <c r="K30" s="62"/>
    </row>
    <row r="31" spans="1:18" x14ac:dyDescent="0.2">
      <c r="A31" s="8"/>
      <c r="B31" s="8"/>
      <c r="C31" s="93">
        <f>((H25*G25)/F25)*J25</f>
        <v>16.979649763045185</v>
      </c>
      <c r="D31" s="94">
        <f>D8</f>
        <v>9.4493003249060514</v>
      </c>
      <c r="E31" s="93">
        <f>500-C31-D31</f>
        <v>473.57104991204875</v>
      </c>
      <c r="G31" s="54"/>
      <c r="I31" s="58"/>
      <c r="J31" s="59"/>
      <c r="K31" s="62"/>
    </row>
    <row r="32" spans="1:18" x14ac:dyDescent="0.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2"/>
      <c r="L32" s="91"/>
      <c r="M32" s="91"/>
    </row>
    <row r="33" spans="1:13" ht="20" x14ac:dyDescent="0.2">
      <c r="A33" s="55" t="s">
        <v>94</v>
      </c>
      <c r="B33" s="8"/>
      <c r="C33" s="9"/>
      <c r="D33" s="8"/>
      <c r="E33" s="8"/>
      <c r="F33" s="8"/>
      <c r="G33" s="9"/>
      <c r="H33" s="8"/>
      <c r="I33" s="8"/>
      <c r="J33" s="8"/>
      <c r="K33" s="68"/>
    </row>
    <row r="34" spans="1:13" ht="17" thickBot="1" x14ac:dyDescent="0.25">
      <c r="A34" s="16" t="s">
        <v>117</v>
      </c>
      <c r="B34" s="8"/>
      <c r="C34" s="9"/>
      <c r="D34" s="8"/>
      <c r="E34" s="8"/>
      <c r="F34" s="8"/>
      <c r="G34" s="9"/>
      <c r="H34" s="8"/>
      <c r="I34" s="8"/>
      <c r="J34" s="8"/>
      <c r="K34" s="68"/>
    </row>
    <row r="35" spans="1:13" x14ac:dyDescent="0.2">
      <c r="A35" s="136" t="s">
        <v>65</v>
      </c>
      <c r="B35" s="137"/>
      <c r="C35" s="9"/>
      <c r="D35" s="8"/>
      <c r="E35" s="8"/>
      <c r="F35" s="8"/>
      <c r="G35" s="8"/>
      <c r="H35" s="8"/>
      <c r="I35" s="8"/>
      <c r="J35" s="8"/>
      <c r="K35" s="60"/>
    </row>
    <row r="36" spans="1:13" ht="17" thickBot="1" x14ac:dyDescent="0.25">
      <c r="A36" s="138"/>
      <c r="B36" s="139"/>
      <c r="D36" s="5"/>
      <c r="E36" s="16"/>
      <c r="G36" s="16"/>
      <c r="K36" s="63"/>
    </row>
    <row r="37" spans="1:13" x14ac:dyDescent="0.2">
      <c r="A37" s="8"/>
      <c r="D37" s="16"/>
      <c r="E37" s="5" t="s">
        <v>101</v>
      </c>
      <c r="F37" s="64">
        <v>0.3201</v>
      </c>
      <c r="K37" s="63"/>
    </row>
    <row r="38" spans="1:13" x14ac:dyDescent="0.2">
      <c r="A38" s="3" t="s">
        <v>96</v>
      </c>
      <c r="B38" s="3" t="s">
        <v>97</v>
      </c>
      <c r="C38" s="3" t="s">
        <v>109</v>
      </c>
      <c r="D38" s="3" t="s">
        <v>110</v>
      </c>
      <c r="E38" s="3" t="s">
        <v>111</v>
      </c>
      <c r="F38" s="3" t="s">
        <v>63</v>
      </c>
      <c r="G38" s="3" t="s">
        <v>98</v>
      </c>
      <c r="H38" s="3" t="s">
        <v>99</v>
      </c>
      <c r="I38" s="3" t="s">
        <v>100</v>
      </c>
      <c r="J38" s="3" t="s">
        <v>7</v>
      </c>
      <c r="K38" s="60" t="s">
        <v>112</v>
      </c>
    </row>
    <row r="39" spans="1:13" x14ac:dyDescent="0.2">
      <c r="A39" s="8" t="s">
        <v>102</v>
      </c>
      <c r="B39" s="8">
        <v>3</v>
      </c>
      <c r="C39" s="9">
        <v>1.3</v>
      </c>
      <c r="D39" s="29">
        <v>23</v>
      </c>
      <c r="E39" s="29">
        <v>28.28</v>
      </c>
      <c r="F39" s="8">
        <f t="shared" ref="F39:F45" si="4">AVERAGE(D39:E39)</f>
        <v>25.64</v>
      </c>
      <c r="G39" s="9">
        <v>0.32</v>
      </c>
      <c r="H39" s="8">
        <v>177.95</v>
      </c>
      <c r="I39" s="8">
        <v>177.14</v>
      </c>
      <c r="J39" s="8">
        <f>AVERAGE(H39:I39)</f>
        <v>177.54499999999999</v>
      </c>
      <c r="K39" s="90">
        <f t="shared" ref="K39:K45" si="5">(F39/J39)*$F$14*($D$28/$C$28)</f>
        <v>5.4409123460692835E-2</v>
      </c>
    </row>
    <row r="40" spans="1:13" x14ac:dyDescent="0.2">
      <c r="A40" s="8" t="s">
        <v>103</v>
      </c>
      <c r="B40" s="8">
        <v>6</v>
      </c>
      <c r="C40" s="9">
        <v>1.3</v>
      </c>
      <c r="D40" s="29">
        <v>46.95</v>
      </c>
      <c r="E40" s="95">
        <v>44.72</v>
      </c>
      <c r="F40" s="8">
        <f t="shared" si="4"/>
        <v>45.835000000000001</v>
      </c>
      <c r="G40" s="9">
        <v>0.32</v>
      </c>
      <c r="H40" s="8">
        <v>179.16</v>
      </c>
      <c r="I40" s="8">
        <v>171.88</v>
      </c>
      <c r="J40" s="8">
        <f t="shared" ref="J40:J43" si="6">AVERAGE(H40:I40)</f>
        <v>175.51999999999998</v>
      </c>
      <c r="K40" s="90">
        <f t="shared" si="5"/>
        <v>9.8385881317715862E-2</v>
      </c>
    </row>
    <row r="41" spans="1:13" x14ac:dyDescent="0.2">
      <c r="A41" s="8" t="s">
        <v>104</v>
      </c>
      <c r="B41" s="8">
        <v>9</v>
      </c>
      <c r="C41" s="9">
        <v>1.3</v>
      </c>
      <c r="D41" s="29">
        <v>68.95</v>
      </c>
      <c r="E41" s="25">
        <v>71.22</v>
      </c>
      <c r="F41" s="8">
        <f t="shared" si="4"/>
        <v>70.085000000000008</v>
      </c>
      <c r="G41" s="9">
        <v>0.32</v>
      </c>
      <c r="H41" s="26">
        <v>168.61</v>
      </c>
      <c r="I41" s="8">
        <v>176.76</v>
      </c>
      <c r="J41" s="8">
        <f t="shared" si="6"/>
        <v>172.685</v>
      </c>
      <c r="K41" s="90">
        <f t="shared" si="5"/>
        <v>0.1529088484188045</v>
      </c>
    </row>
    <row r="42" spans="1:13" x14ac:dyDescent="0.2">
      <c r="A42" s="8" t="s">
        <v>105</v>
      </c>
      <c r="B42" s="8">
        <v>12</v>
      </c>
      <c r="C42" s="9">
        <v>1.3</v>
      </c>
      <c r="D42" s="29">
        <v>92.39</v>
      </c>
      <c r="E42" s="29">
        <v>91.17</v>
      </c>
      <c r="F42" s="8">
        <f t="shared" si="4"/>
        <v>91.78</v>
      </c>
      <c r="G42" s="9">
        <v>0.32</v>
      </c>
      <c r="H42" s="26">
        <v>179.16</v>
      </c>
      <c r="I42" s="26">
        <v>174.61</v>
      </c>
      <c r="J42" s="8">
        <f t="shared" si="6"/>
        <v>176.88499999999999</v>
      </c>
      <c r="K42" s="90">
        <f t="shared" si="5"/>
        <v>0.19548759434928586</v>
      </c>
    </row>
    <row r="43" spans="1:13" ht="15" customHeight="1" x14ac:dyDescent="0.2">
      <c r="A43" s="8" t="s">
        <v>106</v>
      </c>
      <c r="B43" s="8">
        <v>15</v>
      </c>
      <c r="C43" s="9">
        <v>1.3</v>
      </c>
      <c r="D43" s="29">
        <v>125.16</v>
      </c>
      <c r="E43" s="29">
        <v>121.02</v>
      </c>
      <c r="F43" s="8">
        <f t="shared" si="4"/>
        <v>123.09</v>
      </c>
      <c r="G43" s="9">
        <v>0.32</v>
      </c>
      <c r="H43" s="26">
        <v>189.19</v>
      </c>
      <c r="I43" s="26">
        <v>179.66</v>
      </c>
      <c r="J43" s="8">
        <f t="shared" si="6"/>
        <v>184.42500000000001</v>
      </c>
      <c r="K43" s="90">
        <f t="shared" si="5"/>
        <v>0.25145781319266036</v>
      </c>
    </row>
    <row r="44" spans="1:13" x14ac:dyDescent="0.2">
      <c r="A44" s="8" t="s">
        <v>107</v>
      </c>
      <c r="B44" s="8">
        <v>18</v>
      </c>
      <c r="C44" s="9">
        <v>1.3</v>
      </c>
      <c r="D44" s="29">
        <v>132.59</v>
      </c>
      <c r="E44" s="29">
        <v>136.06</v>
      </c>
      <c r="F44" s="8">
        <f t="shared" si="4"/>
        <v>134.32499999999999</v>
      </c>
      <c r="G44" s="9">
        <v>0.32</v>
      </c>
      <c r="H44" s="8">
        <v>176.38</v>
      </c>
      <c r="I44" s="8">
        <v>178.2</v>
      </c>
      <c r="J44" s="8">
        <f>AVERAGE(H44:I44)</f>
        <v>177.29</v>
      </c>
      <c r="K44" s="90">
        <f t="shared" si="5"/>
        <v>0.28545310018297587</v>
      </c>
    </row>
    <row r="45" spans="1:13" x14ac:dyDescent="0.2">
      <c r="A45" s="8" t="s">
        <v>108</v>
      </c>
      <c r="B45" s="8">
        <v>21</v>
      </c>
      <c r="C45" s="9">
        <v>1.3</v>
      </c>
      <c r="D45" s="29">
        <v>160.84</v>
      </c>
      <c r="E45" s="29">
        <v>161.19</v>
      </c>
      <c r="F45" s="8">
        <f t="shared" si="4"/>
        <v>161.01499999999999</v>
      </c>
      <c r="G45" s="9">
        <v>0.32</v>
      </c>
      <c r="H45" s="8">
        <v>182.38</v>
      </c>
      <c r="I45" s="8">
        <v>185.91</v>
      </c>
      <c r="J45" s="8">
        <f t="shared" ref="J45" si="7">AVERAGE(H45:I45)</f>
        <v>184.14499999999998</v>
      </c>
      <c r="K45" s="90">
        <f t="shared" si="5"/>
        <v>0.32943410658730499</v>
      </c>
    </row>
    <row r="46" spans="1:13" x14ac:dyDescent="0.2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2"/>
      <c r="L46" s="91"/>
      <c r="M46" s="91"/>
    </row>
    <row r="47" spans="1:13" ht="20" x14ac:dyDescent="0.2">
      <c r="A47" s="55" t="s">
        <v>94</v>
      </c>
      <c r="B47" s="8"/>
      <c r="C47" s="9"/>
      <c r="D47" s="8"/>
      <c r="E47" s="8"/>
      <c r="F47" s="8"/>
      <c r="G47" s="9"/>
      <c r="H47" s="8"/>
      <c r="I47" s="8"/>
      <c r="J47" s="8"/>
      <c r="K47" s="68"/>
    </row>
    <row r="48" spans="1:13" ht="17" thickBot="1" x14ac:dyDescent="0.25">
      <c r="A48" s="16" t="s">
        <v>118</v>
      </c>
      <c r="B48" s="8"/>
      <c r="C48" s="9"/>
      <c r="D48" s="8"/>
      <c r="E48" s="8"/>
      <c r="F48" s="8"/>
      <c r="G48" s="9"/>
      <c r="H48" s="8"/>
      <c r="I48" s="8"/>
      <c r="J48" s="8"/>
      <c r="K48" s="68"/>
    </row>
    <row r="49" spans="1:13" x14ac:dyDescent="0.2">
      <c r="A49" s="136" t="s">
        <v>65</v>
      </c>
      <c r="B49" s="137"/>
      <c r="C49" s="9"/>
      <c r="D49" s="8"/>
      <c r="E49" s="8"/>
      <c r="F49" s="8"/>
      <c r="G49" s="8"/>
      <c r="H49" s="8"/>
      <c r="I49" s="8"/>
      <c r="J49" s="8"/>
      <c r="K49" s="60"/>
    </row>
    <row r="50" spans="1:13" ht="17" thickBot="1" x14ac:dyDescent="0.25">
      <c r="A50" s="138"/>
      <c r="B50" s="139"/>
      <c r="D50" s="17"/>
      <c r="G50" s="16"/>
      <c r="K50" s="63"/>
    </row>
    <row r="51" spans="1:13" x14ac:dyDescent="0.2">
      <c r="A51" s="8"/>
      <c r="E51" s="5" t="s">
        <v>101</v>
      </c>
      <c r="F51" s="64">
        <v>0.3201</v>
      </c>
      <c r="K51" s="63"/>
    </row>
    <row r="52" spans="1:13" x14ac:dyDescent="0.2">
      <c r="A52" s="3" t="s">
        <v>96</v>
      </c>
      <c r="B52" s="3" t="s">
        <v>97</v>
      </c>
      <c r="C52" s="3" t="s">
        <v>109</v>
      </c>
      <c r="D52" s="3" t="s">
        <v>110</v>
      </c>
      <c r="E52" s="3" t="s">
        <v>111</v>
      </c>
      <c r="F52" s="3" t="s">
        <v>63</v>
      </c>
      <c r="G52" s="3" t="s">
        <v>98</v>
      </c>
      <c r="H52" s="3" t="s">
        <v>99</v>
      </c>
      <c r="I52" s="3" t="s">
        <v>100</v>
      </c>
      <c r="J52" s="3" t="s">
        <v>7</v>
      </c>
      <c r="K52" s="60" t="s">
        <v>112</v>
      </c>
    </row>
    <row r="53" spans="1:13" x14ac:dyDescent="0.2">
      <c r="A53" s="8" t="s">
        <v>102</v>
      </c>
      <c r="B53" s="8">
        <v>3</v>
      </c>
      <c r="C53" s="9">
        <v>1.3</v>
      </c>
      <c r="D53" s="29">
        <v>18.71</v>
      </c>
      <c r="E53" s="29">
        <v>17.66</v>
      </c>
      <c r="F53" s="10">
        <f>AVERAGE(D53:E53)</f>
        <v>18.185000000000002</v>
      </c>
      <c r="G53" s="9">
        <v>0.32</v>
      </c>
      <c r="H53" s="25">
        <v>207.92</v>
      </c>
      <c r="I53" s="84">
        <v>197.25</v>
      </c>
      <c r="J53" s="8">
        <f>AVERAGE(H53:I53)-10</f>
        <v>192.58499999999998</v>
      </c>
      <c r="K53" s="60">
        <f t="shared" ref="K53:K59" si="8">(F53/J53)*$F$14*($D$28/$C$28)</f>
        <v>3.5575662984906053E-2</v>
      </c>
    </row>
    <row r="54" spans="1:13" x14ac:dyDescent="0.2">
      <c r="A54" s="8" t="s">
        <v>103</v>
      </c>
      <c r="B54" s="8">
        <v>6</v>
      </c>
      <c r="C54" s="9">
        <v>1.3</v>
      </c>
      <c r="D54" s="29">
        <v>38.909999999999997</v>
      </c>
      <c r="E54" s="95">
        <v>38.6</v>
      </c>
      <c r="F54" s="10">
        <f t="shared" ref="F54:F59" si="9">AVERAGE(D54:E54)</f>
        <v>38.754999999999995</v>
      </c>
      <c r="G54" s="9">
        <v>0.32</v>
      </c>
      <c r="H54" s="25">
        <v>202.74</v>
      </c>
      <c r="I54" s="84">
        <v>199.69</v>
      </c>
      <c r="J54" s="8">
        <f t="shared" ref="J54:J59" si="10">AVERAGE(H54:I54)</f>
        <v>201.215</v>
      </c>
      <c r="K54" s="60">
        <f t="shared" si="8"/>
        <v>7.2565391562799772E-2</v>
      </c>
    </row>
    <row r="55" spans="1:13" x14ac:dyDescent="0.2">
      <c r="A55" s="8" t="s">
        <v>104</v>
      </c>
      <c r="B55" s="8">
        <v>9</v>
      </c>
      <c r="C55" s="9">
        <v>1.3</v>
      </c>
      <c r="D55" s="29">
        <v>58.87</v>
      </c>
      <c r="E55" s="25">
        <v>58.67</v>
      </c>
      <c r="F55" s="10">
        <f t="shared" si="9"/>
        <v>58.769999999999996</v>
      </c>
      <c r="G55" s="9">
        <v>0.32</v>
      </c>
      <c r="H55" s="25">
        <v>204.28</v>
      </c>
      <c r="I55" s="84">
        <v>201.84</v>
      </c>
      <c r="J55" s="8">
        <f t="shared" si="10"/>
        <v>203.06</v>
      </c>
      <c r="K55" s="60">
        <f t="shared" si="8"/>
        <v>0.10904191341760901</v>
      </c>
    </row>
    <row r="56" spans="1:13" x14ac:dyDescent="0.2">
      <c r="A56" s="8" t="s">
        <v>105</v>
      </c>
      <c r="B56" s="8">
        <v>12</v>
      </c>
      <c r="C56" s="9">
        <v>1.3</v>
      </c>
      <c r="D56" s="29">
        <v>75.69</v>
      </c>
      <c r="E56" s="29">
        <v>75.44</v>
      </c>
      <c r="F56" s="10">
        <f t="shared" si="9"/>
        <v>75.564999999999998</v>
      </c>
      <c r="G56" s="9">
        <v>0.32</v>
      </c>
      <c r="H56" s="25">
        <v>206.76</v>
      </c>
      <c r="I56" s="84">
        <v>207.37</v>
      </c>
      <c r="J56" s="8">
        <f t="shared" si="10"/>
        <v>207.065</v>
      </c>
      <c r="K56" s="60">
        <f t="shared" si="8"/>
        <v>0.1374915933161803</v>
      </c>
    </row>
    <row r="57" spans="1:13" x14ac:dyDescent="0.2">
      <c r="A57" s="8" t="s">
        <v>106</v>
      </c>
      <c r="B57" s="8">
        <v>15</v>
      </c>
      <c r="C57" s="9">
        <v>1.3</v>
      </c>
      <c r="D57" s="29">
        <v>94</v>
      </c>
      <c r="E57" s="29">
        <v>93.72</v>
      </c>
      <c r="F57" s="10">
        <f t="shared" si="9"/>
        <v>93.86</v>
      </c>
      <c r="G57" s="9">
        <v>0.32</v>
      </c>
      <c r="H57" s="84">
        <v>204.64</v>
      </c>
      <c r="I57" s="84">
        <v>207.6</v>
      </c>
      <c r="J57" s="8">
        <f t="shared" si="10"/>
        <v>206.12</v>
      </c>
      <c r="K57" s="60">
        <f t="shared" si="8"/>
        <v>0.17156258089785301</v>
      </c>
    </row>
    <row r="58" spans="1:13" x14ac:dyDescent="0.2">
      <c r="A58" s="8" t="s">
        <v>107</v>
      </c>
      <c r="B58" s="8">
        <v>18</v>
      </c>
      <c r="C58" s="9">
        <v>1.3</v>
      </c>
      <c r="D58" s="29">
        <v>112.54</v>
      </c>
      <c r="E58" s="29">
        <v>112.31</v>
      </c>
      <c r="F58" s="10">
        <f t="shared" si="9"/>
        <v>112.42500000000001</v>
      </c>
      <c r="G58" s="9">
        <v>0.32</v>
      </c>
      <c r="H58" s="25">
        <v>203.57</v>
      </c>
      <c r="I58" s="84">
        <v>204.62</v>
      </c>
      <c r="J58" s="8">
        <f t="shared" si="10"/>
        <v>204.095</v>
      </c>
      <c r="K58" s="60">
        <f t="shared" si="8"/>
        <v>0.20753563861189564</v>
      </c>
    </row>
    <row r="59" spans="1:13" x14ac:dyDescent="0.2">
      <c r="A59" s="8" t="s">
        <v>108</v>
      </c>
      <c r="B59" s="8">
        <v>21</v>
      </c>
      <c r="C59" s="9">
        <v>1.3</v>
      </c>
      <c r="D59" s="29">
        <v>118.03</v>
      </c>
      <c r="E59" s="29">
        <v>124.25</v>
      </c>
      <c r="F59" s="10">
        <f t="shared" si="9"/>
        <v>121.14</v>
      </c>
      <c r="G59" s="9">
        <v>0.32</v>
      </c>
      <c r="H59" s="25">
        <v>195.05</v>
      </c>
      <c r="I59" s="84">
        <v>204.44</v>
      </c>
      <c r="J59" s="8">
        <f t="shared" si="10"/>
        <v>199.745</v>
      </c>
      <c r="K59" s="60">
        <f t="shared" si="8"/>
        <v>0.22849347744812815</v>
      </c>
    </row>
    <row r="60" spans="1:13" x14ac:dyDescent="0.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2"/>
      <c r="L60" s="91"/>
      <c r="M60" s="91"/>
    </row>
  </sheetData>
  <mergeCells count="3">
    <mergeCell ref="A12:B13"/>
    <mergeCell ref="A35:B36"/>
    <mergeCell ref="A49:B50"/>
  </mergeCells>
  <conditionalFormatting sqref="K16:K22">
    <cfRule type="cellIs" dxfId="77" priority="13" operator="between">
      <formula>0.51</formula>
      <formula>0.149</formula>
    </cfRule>
    <cfRule type="cellIs" dxfId="76" priority="17" operator="greaterThan">
      <formula>0.15</formula>
    </cfRule>
    <cfRule type="cellIs" dxfId="75" priority="18" operator="lessThan">
      <formula>0.05</formula>
    </cfRule>
  </conditionalFormatting>
  <conditionalFormatting sqref="K15:K22">
    <cfRule type="cellIs" dxfId="74" priority="14" operator="between">
      <formula>0.151</formula>
      <formula>0.849</formula>
    </cfRule>
    <cfRule type="cellIs" dxfId="73" priority="15" operator="greaterThan">
      <formula>0.85</formula>
    </cfRule>
    <cfRule type="cellIs" dxfId="72" priority="16" operator="lessThan">
      <formula>0.15</formula>
    </cfRule>
  </conditionalFormatting>
  <conditionalFormatting sqref="K39:K45">
    <cfRule type="cellIs" dxfId="71" priority="7" operator="between">
      <formula>0.51</formula>
      <formula>0.149</formula>
    </cfRule>
    <cfRule type="cellIs" dxfId="70" priority="11" operator="greaterThan">
      <formula>0.15</formula>
    </cfRule>
    <cfRule type="cellIs" dxfId="69" priority="12" operator="lessThan">
      <formula>0.05</formula>
    </cfRule>
  </conditionalFormatting>
  <conditionalFormatting sqref="K38:K45">
    <cfRule type="cellIs" dxfId="68" priority="8" operator="between">
      <formula>0.151</formula>
      <formula>0.849</formula>
    </cfRule>
    <cfRule type="cellIs" dxfId="67" priority="9" operator="greaterThan">
      <formula>0.85</formula>
    </cfRule>
    <cfRule type="cellIs" dxfId="66" priority="10" operator="lessThan">
      <formula>0.15</formula>
    </cfRule>
  </conditionalFormatting>
  <conditionalFormatting sqref="K53:K59">
    <cfRule type="cellIs" dxfId="65" priority="1" operator="between">
      <formula>0.51</formula>
      <formula>0.149</formula>
    </cfRule>
    <cfRule type="cellIs" dxfId="64" priority="5" operator="greaterThan">
      <formula>0.15</formula>
    </cfRule>
    <cfRule type="cellIs" dxfId="63" priority="6" operator="lessThan">
      <formula>0.05</formula>
    </cfRule>
  </conditionalFormatting>
  <conditionalFormatting sqref="K52:K59">
    <cfRule type="cellIs" dxfId="62" priority="2" operator="between">
      <formula>0.151</formula>
      <formula>0.849</formula>
    </cfRule>
    <cfRule type="cellIs" dxfId="61" priority="3" operator="greaterThan">
      <formula>0.85</formula>
    </cfRule>
    <cfRule type="cellIs" dxfId="60" priority="4" operator="lessThan">
      <formula>0.15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45E37-E837-4EBA-8C75-C88EDC6B3116}">
  <dimension ref="A1:K37"/>
  <sheetViews>
    <sheetView zoomScale="70" zoomScaleNormal="70" workbookViewId="0">
      <selection activeCell="H35" sqref="H35:H36"/>
    </sheetView>
  </sheetViews>
  <sheetFormatPr baseColWidth="10" defaultColWidth="8.83203125" defaultRowHeight="15" x14ac:dyDescent="0.2"/>
  <cols>
    <col min="2" max="4" width="15.5" customWidth="1"/>
    <col min="5" max="5" width="15.5" style="76" customWidth="1"/>
    <col min="6" max="8" width="15.5" customWidth="1"/>
    <col min="11" max="11" width="9.6640625" bestFit="1" customWidth="1"/>
  </cols>
  <sheetData>
    <row r="1" spans="1:11" x14ac:dyDescent="0.2">
      <c r="A1" s="79"/>
      <c r="B1" s="79"/>
      <c r="C1" s="79"/>
      <c r="D1" s="79"/>
      <c r="E1" s="81"/>
      <c r="F1" s="79"/>
      <c r="G1" s="79"/>
      <c r="H1" s="79"/>
      <c r="I1" s="79"/>
    </row>
    <row r="2" spans="1:11" ht="14.5" customHeight="1" x14ac:dyDescent="0.2">
      <c r="B2" s="143" t="s">
        <v>151</v>
      </c>
      <c r="C2" s="143"/>
      <c r="D2" s="143"/>
      <c r="E2" s="143"/>
      <c r="F2" s="143"/>
      <c r="G2" s="143"/>
      <c r="H2" s="143"/>
      <c r="I2" s="78"/>
    </row>
    <row r="3" spans="1:11" ht="16" x14ac:dyDescent="0.2">
      <c r="B3" s="70" t="s">
        <v>125</v>
      </c>
      <c r="C3" s="70" t="s">
        <v>126</v>
      </c>
      <c r="D3" s="70" t="s">
        <v>127</v>
      </c>
      <c r="E3" s="82" t="s">
        <v>128</v>
      </c>
      <c r="F3" s="70" t="s">
        <v>129</v>
      </c>
      <c r="G3" s="70" t="s">
        <v>130</v>
      </c>
      <c r="H3" s="70" t="s">
        <v>131</v>
      </c>
      <c r="I3" s="71"/>
    </row>
    <row r="4" spans="1:11" ht="16" x14ac:dyDescent="0.2">
      <c r="B4" s="72">
        <f>C4*60</f>
        <v>180</v>
      </c>
      <c r="C4" s="72">
        <v>3</v>
      </c>
      <c r="D4" s="73">
        <v>7.7000805729632943E-2</v>
      </c>
      <c r="E4" s="77">
        <f>D4*0.0001</f>
        <v>7.7000805729632954E-6</v>
      </c>
      <c r="F4" s="72">
        <f>2000-20</f>
        <v>1980</v>
      </c>
      <c r="G4" s="72">
        <f>F4/1000000</f>
        <v>1.98E-3</v>
      </c>
      <c r="H4" s="77">
        <f>E4/G4</f>
        <v>3.8889295823046947E-3</v>
      </c>
      <c r="I4" s="74"/>
    </row>
    <row r="5" spans="1:11" ht="16" x14ac:dyDescent="0.2">
      <c r="B5" s="72">
        <f t="shared" ref="B5:B10" si="0">C5*60</f>
        <v>360</v>
      </c>
      <c r="C5" s="72">
        <v>6</v>
      </c>
      <c r="D5" s="73">
        <v>0.1409137229358276</v>
      </c>
      <c r="E5" s="77">
        <f t="shared" ref="E5:E10" si="1">D5*0.0001</f>
        <v>1.409137229358276E-5</v>
      </c>
      <c r="F5" s="72">
        <f>F4-20</f>
        <v>1960</v>
      </c>
      <c r="G5" s="72">
        <f t="shared" ref="G5:G10" si="2">F5/1000000</f>
        <v>1.9599999999999999E-3</v>
      </c>
      <c r="H5" s="77">
        <f t="shared" ref="H5:H10" si="3">E5/G5</f>
        <v>7.1894756599912039E-3</v>
      </c>
      <c r="I5" s="74"/>
    </row>
    <row r="6" spans="1:11" ht="16" x14ac:dyDescent="0.2">
      <c r="B6" s="72">
        <f t="shared" si="0"/>
        <v>540</v>
      </c>
      <c r="C6" s="72">
        <v>9</v>
      </c>
      <c r="D6" s="73">
        <v>0.21644225730962691</v>
      </c>
      <c r="E6" s="77">
        <f t="shared" si="1"/>
        <v>2.1644225730962691E-5</v>
      </c>
      <c r="F6" s="72">
        <f t="shared" ref="F6:F10" si="4">F5-20</f>
        <v>1940</v>
      </c>
      <c r="G6" s="72">
        <f t="shared" si="2"/>
        <v>1.9400000000000001E-3</v>
      </c>
      <c r="H6" s="77">
        <f t="shared" si="3"/>
        <v>1.115681738709417E-2</v>
      </c>
      <c r="I6" s="74"/>
    </row>
    <row r="7" spans="1:11" ht="16" x14ac:dyDescent="0.2">
      <c r="B7" s="72">
        <f t="shared" si="0"/>
        <v>720</v>
      </c>
      <c r="C7" s="72">
        <v>12</v>
      </c>
      <c r="D7" s="73">
        <v>0.27781276413478012</v>
      </c>
      <c r="E7" s="77">
        <f t="shared" si="1"/>
        <v>2.7781276413478014E-5</v>
      </c>
      <c r="F7" s="72">
        <f t="shared" si="4"/>
        <v>1920</v>
      </c>
      <c r="G7" s="72">
        <f t="shared" si="2"/>
        <v>1.92E-3</v>
      </c>
      <c r="H7" s="77">
        <f t="shared" si="3"/>
        <v>1.4469414798686466E-2</v>
      </c>
      <c r="I7" s="74"/>
    </row>
    <row r="8" spans="1:11" ht="16" x14ac:dyDescent="0.2">
      <c r="B8" s="72">
        <f t="shared" si="0"/>
        <v>900</v>
      </c>
      <c r="C8" s="72">
        <v>15</v>
      </c>
      <c r="D8" s="73">
        <v>0.32791906887081446</v>
      </c>
      <c r="E8" s="77">
        <f t="shared" si="1"/>
        <v>3.2791906887081448E-5</v>
      </c>
      <c r="F8" s="72">
        <f t="shared" si="4"/>
        <v>1900</v>
      </c>
      <c r="G8" s="72">
        <f t="shared" si="2"/>
        <v>1.9E-3</v>
      </c>
      <c r="H8" s="77">
        <f t="shared" si="3"/>
        <v>1.7258898361621814E-2</v>
      </c>
      <c r="I8" s="74"/>
    </row>
    <row r="9" spans="1:11" ht="16" x14ac:dyDescent="0.2">
      <c r="B9" s="72">
        <f t="shared" si="0"/>
        <v>1080</v>
      </c>
      <c r="C9" s="72">
        <v>18</v>
      </c>
      <c r="D9" s="73">
        <v>0.38135782293178522</v>
      </c>
      <c r="E9" s="77">
        <f t="shared" si="1"/>
        <v>3.8135782293178526E-5</v>
      </c>
      <c r="F9" s="72">
        <f t="shared" si="4"/>
        <v>1880</v>
      </c>
      <c r="G9" s="72">
        <f t="shared" si="2"/>
        <v>1.8799999999999999E-3</v>
      </c>
      <c r="H9" s="77">
        <f t="shared" si="3"/>
        <v>2.0284990581477941E-2</v>
      </c>
      <c r="I9" s="74"/>
      <c r="K9" s="96"/>
    </row>
    <row r="10" spans="1:11" ht="16" x14ac:dyDescent="0.2">
      <c r="B10" s="72">
        <f t="shared" si="0"/>
        <v>1260</v>
      </c>
      <c r="C10" s="72">
        <v>21</v>
      </c>
      <c r="D10" s="73">
        <v>0.42735332509337132</v>
      </c>
      <c r="E10" s="77">
        <f t="shared" si="1"/>
        <v>4.2735332509337132E-5</v>
      </c>
      <c r="F10" s="72">
        <f t="shared" si="4"/>
        <v>1860</v>
      </c>
      <c r="G10" s="72">
        <f t="shared" si="2"/>
        <v>1.8600000000000001E-3</v>
      </c>
      <c r="H10" s="77">
        <f t="shared" si="3"/>
        <v>2.2975985220073724E-2</v>
      </c>
      <c r="I10" s="74"/>
    </row>
    <row r="11" spans="1:11" ht="16" x14ac:dyDescent="0.2">
      <c r="B11" s="72"/>
      <c r="C11" s="72"/>
      <c r="D11" s="75"/>
      <c r="E11" s="77"/>
      <c r="F11" s="72"/>
      <c r="G11" s="70" t="s">
        <v>132</v>
      </c>
      <c r="H11" s="80">
        <f>SLOPE(H4:H10,B4:B10)</f>
        <v>1.7768705898969882E-5</v>
      </c>
      <c r="I11" s="75"/>
    </row>
    <row r="12" spans="1:11" ht="16" x14ac:dyDescent="0.2">
      <c r="B12" s="72"/>
      <c r="C12" s="72"/>
      <c r="D12" s="75"/>
      <c r="E12" s="77"/>
      <c r="F12" s="72"/>
      <c r="G12" s="70" t="s">
        <v>133</v>
      </c>
      <c r="H12" s="83">
        <f>RSQ(H4:H10,B4:B10)</f>
        <v>0.99618295272621948</v>
      </c>
      <c r="I12" s="75"/>
    </row>
    <row r="13" spans="1:11" x14ac:dyDescent="0.2">
      <c r="A13" s="79"/>
      <c r="B13" s="79"/>
      <c r="C13" s="79"/>
      <c r="D13" s="79"/>
      <c r="E13" s="81"/>
      <c r="F13" s="79"/>
      <c r="G13" s="79"/>
      <c r="H13" s="79"/>
      <c r="I13" s="79"/>
    </row>
    <row r="14" spans="1:11" x14ac:dyDescent="0.2">
      <c r="B14" s="143" t="s">
        <v>152</v>
      </c>
      <c r="C14" s="143"/>
      <c r="D14" s="143"/>
      <c r="E14" s="143"/>
      <c r="F14" s="143"/>
      <c r="G14" s="143"/>
      <c r="H14" s="143"/>
    </row>
    <row r="15" spans="1:11" ht="16" x14ac:dyDescent="0.2">
      <c r="B15" s="70" t="s">
        <v>125</v>
      </c>
      <c r="C15" s="70" t="s">
        <v>126</v>
      </c>
      <c r="D15" s="70" t="s">
        <v>127</v>
      </c>
      <c r="E15" s="82" t="s">
        <v>128</v>
      </c>
      <c r="F15" s="70" t="s">
        <v>129</v>
      </c>
      <c r="G15" s="70" t="s">
        <v>130</v>
      </c>
      <c r="H15" s="70" t="s">
        <v>131</v>
      </c>
    </row>
    <row r="16" spans="1:11" ht="16" x14ac:dyDescent="0.2">
      <c r="B16" s="72">
        <v>180</v>
      </c>
      <c r="C16" s="72">
        <v>3</v>
      </c>
      <c r="D16" s="73">
        <v>5.4409123460692835E-2</v>
      </c>
      <c r="E16" s="77">
        <f>D16*0.0000849</f>
        <v>4.6193345818128221E-6</v>
      </c>
      <c r="F16" s="72">
        <f>1700-17</f>
        <v>1683</v>
      </c>
      <c r="G16" s="72">
        <f>F16/1000000</f>
        <v>1.683E-3</v>
      </c>
      <c r="H16" s="77">
        <f>E16/G16</f>
        <v>2.7447026629903873E-3</v>
      </c>
    </row>
    <row r="17" spans="1:9" ht="16" x14ac:dyDescent="0.2">
      <c r="B17" s="72">
        <v>360</v>
      </c>
      <c r="C17" s="72">
        <v>6</v>
      </c>
      <c r="D17" s="73">
        <v>9.8385881317715862E-2</v>
      </c>
      <c r="E17" s="77">
        <f t="shared" ref="E17:E22" si="5">D17*0.0000849</f>
        <v>8.3529613238740769E-6</v>
      </c>
      <c r="F17" s="72">
        <f>F16-17</f>
        <v>1666</v>
      </c>
      <c r="G17" s="72">
        <f t="shared" ref="G17:G22" si="6">F17/1000000</f>
        <v>1.6659999999999999E-3</v>
      </c>
      <c r="H17" s="77">
        <f t="shared" ref="H17:H22" si="7">E17/G17</f>
        <v>5.0137823072473452E-3</v>
      </c>
    </row>
    <row r="18" spans="1:9" ht="16" x14ac:dyDescent="0.2">
      <c r="B18" s="72">
        <v>540</v>
      </c>
      <c r="C18" s="72">
        <v>9</v>
      </c>
      <c r="D18" s="73">
        <v>0.1529088484188045</v>
      </c>
      <c r="E18" s="77">
        <f t="shared" si="5"/>
        <v>1.2981961230756503E-5</v>
      </c>
      <c r="F18" s="72">
        <f t="shared" ref="F18:F22" si="8">F17-17</f>
        <v>1649</v>
      </c>
      <c r="G18" s="72">
        <f t="shared" si="6"/>
        <v>1.6490000000000001E-3</v>
      </c>
      <c r="H18" s="77">
        <f t="shared" si="7"/>
        <v>7.8726265802040642E-3</v>
      </c>
    </row>
    <row r="19" spans="1:9" ht="16" x14ac:dyDescent="0.2">
      <c r="B19" s="72">
        <v>720</v>
      </c>
      <c r="C19" s="72">
        <v>12</v>
      </c>
      <c r="D19" s="73">
        <v>0.19548759434928586</v>
      </c>
      <c r="E19" s="77">
        <f t="shared" si="5"/>
        <v>1.659689676025437E-5</v>
      </c>
      <c r="F19" s="72">
        <f t="shared" si="8"/>
        <v>1632</v>
      </c>
      <c r="G19" s="72">
        <f t="shared" si="6"/>
        <v>1.632E-3</v>
      </c>
      <c r="H19" s="77">
        <f t="shared" si="7"/>
        <v>1.0169667132508805E-2</v>
      </c>
    </row>
    <row r="20" spans="1:9" ht="16" x14ac:dyDescent="0.2">
      <c r="B20" s="72">
        <v>900</v>
      </c>
      <c r="C20" s="72">
        <v>15</v>
      </c>
      <c r="D20" s="73">
        <v>0.25145781319266036</v>
      </c>
      <c r="E20" s="77">
        <f t="shared" si="5"/>
        <v>2.1348768340056864E-5</v>
      </c>
      <c r="F20" s="72">
        <f t="shared" si="8"/>
        <v>1615</v>
      </c>
      <c r="G20" s="72">
        <f t="shared" si="6"/>
        <v>1.6149999999999999E-3</v>
      </c>
      <c r="H20" s="77">
        <f t="shared" si="7"/>
        <v>1.321905160375038E-2</v>
      </c>
    </row>
    <row r="21" spans="1:9" ht="16" x14ac:dyDescent="0.2">
      <c r="B21" s="72">
        <v>1080</v>
      </c>
      <c r="C21" s="72">
        <v>18</v>
      </c>
      <c r="D21" s="73">
        <v>0.28545310018297587</v>
      </c>
      <c r="E21" s="77">
        <f t="shared" si="5"/>
        <v>2.4234968205534652E-5</v>
      </c>
      <c r="F21" s="72">
        <f t="shared" si="8"/>
        <v>1598</v>
      </c>
      <c r="G21" s="72">
        <f t="shared" si="6"/>
        <v>1.598E-3</v>
      </c>
      <c r="H21" s="77">
        <f t="shared" si="7"/>
        <v>1.5165812393951596E-2</v>
      </c>
    </row>
    <row r="22" spans="1:9" ht="16" x14ac:dyDescent="0.2">
      <c r="B22" s="72">
        <v>1260</v>
      </c>
      <c r="C22" s="72">
        <v>21</v>
      </c>
      <c r="D22" s="73">
        <v>0.32943410658730499</v>
      </c>
      <c r="E22" s="77">
        <f t="shared" si="5"/>
        <v>2.7968955649262195E-5</v>
      </c>
      <c r="F22" s="72">
        <f t="shared" si="8"/>
        <v>1581</v>
      </c>
      <c r="G22" s="72">
        <f t="shared" si="6"/>
        <v>1.5809999999999999E-3</v>
      </c>
      <c r="H22" s="77">
        <f t="shared" si="7"/>
        <v>1.7690674034953949E-2</v>
      </c>
    </row>
    <row r="23" spans="1:9" ht="16" x14ac:dyDescent="0.2">
      <c r="B23" s="72"/>
      <c r="C23" s="72"/>
      <c r="D23" s="75"/>
      <c r="E23" s="77"/>
      <c r="F23" s="72"/>
      <c r="G23" s="70" t="s">
        <v>132</v>
      </c>
      <c r="H23" s="80">
        <f>SLOPE(H16:H22,B16:B22)</f>
        <v>1.3985793514453473E-5</v>
      </c>
    </row>
    <row r="24" spans="1:9" ht="16" x14ac:dyDescent="0.2">
      <c r="B24" s="72"/>
      <c r="C24" s="72"/>
      <c r="D24" s="75"/>
      <c r="E24" s="77"/>
      <c r="F24" s="72"/>
      <c r="G24" s="70" t="s">
        <v>133</v>
      </c>
      <c r="H24" s="83">
        <f>RSQ(H16:H22,B16:B22)</f>
        <v>0.99832832922116799</v>
      </c>
    </row>
    <row r="25" spans="1:9" x14ac:dyDescent="0.2">
      <c r="A25" s="79"/>
      <c r="B25" s="79"/>
      <c r="C25" s="79"/>
      <c r="D25" s="79"/>
      <c r="E25" s="81"/>
      <c r="F25" s="79"/>
      <c r="G25" s="79"/>
      <c r="H25" s="79"/>
      <c r="I25" s="79"/>
    </row>
    <row r="26" spans="1:9" x14ac:dyDescent="0.2">
      <c r="B26" s="143" t="s">
        <v>153</v>
      </c>
      <c r="C26" s="143"/>
      <c r="D26" s="143"/>
      <c r="E26" s="143"/>
      <c r="F26" s="143"/>
      <c r="G26" s="143"/>
      <c r="H26" s="143"/>
    </row>
    <row r="27" spans="1:9" ht="16" x14ac:dyDescent="0.2">
      <c r="B27" s="70" t="s">
        <v>125</v>
      </c>
      <c r="C27" s="70" t="s">
        <v>126</v>
      </c>
      <c r="D27" s="70" t="s">
        <v>127</v>
      </c>
      <c r="E27" s="82" t="s">
        <v>128</v>
      </c>
      <c r="F27" s="70" t="s">
        <v>129</v>
      </c>
      <c r="G27" s="70" t="s">
        <v>130</v>
      </c>
      <c r="H27" s="70" t="s">
        <v>131</v>
      </c>
    </row>
    <row r="28" spans="1:9" ht="16" x14ac:dyDescent="0.2">
      <c r="B28" s="72">
        <f>C28*60</f>
        <v>180</v>
      </c>
      <c r="C28" s="72">
        <v>3</v>
      </c>
      <c r="D28" s="73">
        <v>3.3819577243863724E-2</v>
      </c>
      <c r="E28" s="77">
        <f>D28*0.0000852</f>
        <v>2.8814279811771894E-6</v>
      </c>
      <c r="F28" s="72">
        <f>1700-17</f>
        <v>1683</v>
      </c>
      <c r="G28" s="72">
        <f>F28/1000000</f>
        <v>1.683E-3</v>
      </c>
      <c r="H28" s="77">
        <f>E28/G28</f>
        <v>1.7120784201884666E-3</v>
      </c>
    </row>
    <row r="29" spans="1:9" ht="16" x14ac:dyDescent="0.2">
      <c r="B29" s="72">
        <f t="shared" ref="B29:B34" si="9">C29*60</f>
        <v>360</v>
      </c>
      <c r="C29" s="72">
        <v>6</v>
      </c>
      <c r="D29" s="73">
        <v>7.2565391562799772E-2</v>
      </c>
      <c r="E29" s="77">
        <f t="shared" ref="E29:E34" si="10">D29*0.0000852</f>
        <v>6.1825713611505403E-6</v>
      </c>
      <c r="F29" s="72">
        <f>F28-17</f>
        <v>1666</v>
      </c>
      <c r="G29" s="72">
        <f t="shared" ref="G29:G34" si="11">F29/1000000</f>
        <v>1.6659999999999999E-3</v>
      </c>
      <c r="H29" s="77">
        <f t="shared" ref="H29:H34" si="12">E29/G29</f>
        <v>3.711027227581357E-3</v>
      </c>
    </row>
    <row r="30" spans="1:9" ht="16" x14ac:dyDescent="0.2">
      <c r="B30" s="72">
        <f t="shared" si="9"/>
        <v>540</v>
      </c>
      <c r="C30" s="72">
        <v>9</v>
      </c>
      <c r="D30" s="73">
        <v>0.10904191341760901</v>
      </c>
      <c r="E30" s="77">
        <f t="shared" si="10"/>
        <v>9.2903710231802872E-6</v>
      </c>
      <c r="F30" s="72">
        <f t="shared" ref="F30:F34" si="13">F29-17</f>
        <v>1649</v>
      </c>
      <c r="G30" s="72">
        <f t="shared" si="11"/>
        <v>1.6490000000000001E-3</v>
      </c>
      <c r="H30" s="77">
        <f t="shared" si="12"/>
        <v>5.6339424033840426E-3</v>
      </c>
    </row>
    <row r="31" spans="1:9" ht="16" x14ac:dyDescent="0.2">
      <c r="B31" s="72">
        <f t="shared" si="9"/>
        <v>720</v>
      </c>
      <c r="C31" s="72">
        <v>12</v>
      </c>
      <c r="D31" s="73">
        <v>0.1374915933161803</v>
      </c>
      <c r="E31" s="77">
        <f t="shared" si="10"/>
        <v>1.1714283750538562E-5</v>
      </c>
      <c r="F31" s="72">
        <f t="shared" si="13"/>
        <v>1632</v>
      </c>
      <c r="G31" s="72">
        <f t="shared" si="11"/>
        <v>1.632E-3</v>
      </c>
      <c r="H31" s="77">
        <f t="shared" si="12"/>
        <v>7.1778699451829422E-3</v>
      </c>
    </row>
    <row r="32" spans="1:9" ht="16" x14ac:dyDescent="0.2">
      <c r="B32" s="72">
        <f t="shared" si="9"/>
        <v>900</v>
      </c>
      <c r="C32" s="72">
        <v>15</v>
      </c>
      <c r="D32" s="73">
        <v>0.17156258089785301</v>
      </c>
      <c r="E32" s="77">
        <f t="shared" si="10"/>
        <v>1.4617131892497076E-5</v>
      </c>
      <c r="F32" s="72">
        <f t="shared" si="13"/>
        <v>1615</v>
      </c>
      <c r="G32" s="72">
        <f t="shared" si="11"/>
        <v>1.6149999999999999E-3</v>
      </c>
      <c r="H32" s="77">
        <f t="shared" si="12"/>
        <v>9.0508556609889025E-3</v>
      </c>
    </row>
    <row r="33" spans="1:9" ht="16" x14ac:dyDescent="0.2">
      <c r="B33" s="72">
        <f t="shared" si="9"/>
        <v>1080</v>
      </c>
      <c r="C33" s="72">
        <v>18</v>
      </c>
      <c r="D33" s="73">
        <v>0.20753563861189564</v>
      </c>
      <c r="E33" s="77">
        <f t="shared" si="10"/>
        <v>1.7682036409733509E-5</v>
      </c>
      <c r="F33" s="72">
        <f t="shared" si="13"/>
        <v>1598</v>
      </c>
      <c r="G33" s="72">
        <f t="shared" si="11"/>
        <v>1.598E-3</v>
      </c>
      <c r="H33" s="77">
        <f t="shared" si="12"/>
        <v>1.1065104136253761E-2</v>
      </c>
    </row>
    <row r="34" spans="1:9" ht="16" x14ac:dyDescent="0.2">
      <c r="B34" s="72">
        <f t="shared" si="9"/>
        <v>1260</v>
      </c>
      <c r="C34" s="72">
        <v>21</v>
      </c>
      <c r="D34" s="73">
        <v>0.22849347744812815</v>
      </c>
      <c r="E34" s="77">
        <f t="shared" si="10"/>
        <v>1.9467644278580517E-5</v>
      </c>
      <c r="F34" s="72">
        <f t="shared" si="13"/>
        <v>1581</v>
      </c>
      <c r="G34" s="72">
        <f t="shared" si="11"/>
        <v>1.5809999999999999E-3</v>
      </c>
      <c r="H34" s="77">
        <f t="shared" si="12"/>
        <v>1.2313500492460796E-2</v>
      </c>
    </row>
    <row r="35" spans="1:9" ht="16" x14ac:dyDescent="0.2">
      <c r="B35" s="72"/>
      <c r="C35" s="72"/>
      <c r="D35" s="75"/>
      <c r="E35" s="77"/>
      <c r="F35" s="72"/>
      <c r="G35" s="70" t="s">
        <v>132</v>
      </c>
      <c r="H35" s="80">
        <f>SLOPE(H28:H34,B28:B34)</f>
        <v>9.906613748366399E-6</v>
      </c>
    </row>
    <row r="36" spans="1:9" ht="16" x14ac:dyDescent="0.2">
      <c r="B36" s="72"/>
      <c r="C36" s="72"/>
      <c r="D36" s="75"/>
      <c r="E36" s="77"/>
      <c r="F36" s="72"/>
      <c r="G36" s="70" t="s">
        <v>133</v>
      </c>
      <c r="H36" s="83">
        <f>RSQ(H28:H34,B28:B34)</f>
        <v>0.99762086727552268</v>
      </c>
    </row>
    <row r="37" spans="1:9" x14ac:dyDescent="0.2">
      <c r="A37" s="79"/>
      <c r="B37" s="79"/>
      <c r="C37" s="79"/>
      <c r="D37" s="79"/>
      <c r="E37" s="81"/>
      <c r="F37" s="79"/>
      <c r="G37" s="79"/>
      <c r="H37" s="79"/>
      <c r="I37" s="79"/>
    </row>
  </sheetData>
  <mergeCells count="3">
    <mergeCell ref="B2:H2"/>
    <mergeCell ref="B14:H14"/>
    <mergeCell ref="B26:H2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1DAF-5AA4-4779-B545-43CB1C87F737}">
  <dimension ref="A1:R60"/>
  <sheetViews>
    <sheetView topLeftCell="A31" zoomScale="60" zoomScaleNormal="60" workbookViewId="0">
      <selection activeCell="K57" sqref="K57"/>
    </sheetView>
  </sheetViews>
  <sheetFormatPr baseColWidth="10" defaultColWidth="11.5" defaultRowHeight="16" x14ac:dyDescent="0.2"/>
  <cols>
    <col min="1" max="1" width="25.6640625" style="1" bestFit="1" customWidth="1"/>
    <col min="2" max="2" width="19" style="1" bestFit="1" customWidth="1"/>
    <col min="3" max="3" width="31.1640625" style="1" customWidth="1"/>
    <col min="4" max="4" width="31.83203125" style="1" customWidth="1"/>
    <col min="5" max="5" width="24.33203125" style="1" bestFit="1" customWidth="1"/>
    <col min="6" max="6" width="19.83203125" style="1" bestFit="1" customWidth="1"/>
    <col min="7" max="7" width="19.83203125" style="1" customWidth="1"/>
    <col min="8" max="8" width="21.1640625" style="1" bestFit="1" customWidth="1"/>
    <col min="9" max="9" width="23" style="1" bestFit="1" customWidth="1"/>
    <col min="10" max="10" width="27.83203125" style="1" customWidth="1"/>
    <col min="11" max="11" width="12.83203125" style="53" bestFit="1" customWidth="1"/>
    <col min="12" max="12" width="11.5" style="1"/>
    <col min="13" max="13" width="12" style="1" bestFit="1" customWidth="1"/>
    <col min="14" max="14" width="11.5" style="1"/>
    <col min="15" max="15" width="21" style="1" customWidth="1"/>
    <col min="16" max="16" width="21.6640625" style="1" customWidth="1"/>
    <col min="17" max="17" width="23" style="1" customWidth="1"/>
    <col min="18" max="18" width="18.1640625" style="16" customWidth="1"/>
    <col min="19" max="16384" width="11.5" style="1"/>
  </cols>
  <sheetData>
    <row r="1" spans="1:18" x14ac:dyDescent="0.2">
      <c r="C1" s="16" t="s">
        <v>80</v>
      </c>
      <c r="D1" s="16" t="s">
        <v>81</v>
      </c>
      <c r="E1" s="16" t="s">
        <v>82</v>
      </c>
      <c r="F1" s="16" t="s">
        <v>83</v>
      </c>
      <c r="G1" s="16" t="s">
        <v>84</v>
      </c>
      <c r="H1" s="16" t="s">
        <v>85</v>
      </c>
      <c r="I1" s="16" t="s">
        <v>86</v>
      </c>
      <c r="J1" s="16" t="s">
        <v>87</v>
      </c>
    </row>
    <row r="2" spans="1:18" x14ac:dyDescent="0.2">
      <c r="C2" s="18">
        <v>340.39</v>
      </c>
      <c r="D2" s="10">
        <v>3.4</v>
      </c>
      <c r="E2" s="54">
        <f>(D2)/(1000*C2)</f>
        <v>9.9885425541290871E-6</v>
      </c>
      <c r="F2" s="16">
        <v>0.05</v>
      </c>
      <c r="G2" s="16">
        <v>5.0000000000000001E-4</v>
      </c>
      <c r="H2" s="4">
        <f>C5/G2</f>
        <v>1.9977085108258174E-3</v>
      </c>
      <c r="I2" s="4">
        <f>(J7/(1000*J6))/0.001</f>
        <v>0.10566970492816313</v>
      </c>
      <c r="J2" s="16">
        <v>1000000</v>
      </c>
    </row>
    <row r="3" spans="1:18" ht="20" x14ac:dyDescent="0.2">
      <c r="B3" s="55"/>
      <c r="C3" s="16"/>
      <c r="D3" s="16"/>
      <c r="J3" s="56"/>
    </row>
    <row r="4" spans="1:18" x14ac:dyDescent="0.2">
      <c r="C4" s="89" t="s">
        <v>88</v>
      </c>
      <c r="D4" s="89" t="s">
        <v>137</v>
      </c>
      <c r="F4" s="85"/>
    </row>
    <row r="5" spans="1:18" x14ac:dyDescent="0.2">
      <c r="C5" s="87">
        <f>E2/10</f>
        <v>9.9885425541290871E-7</v>
      </c>
      <c r="D5" s="87">
        <f>C5</f>
        <v>9.9885425541290871E-7</v>
      </c>
      <c r="E5" s="87"/>
    </row>
    <row r="6" spans="1:18" x14ac:dyDescent="0.2">
      <c r="C6" s="16" t="s">
        <v>89</v>
      </c>
      <c r="D6" s="16" t="s">
        <v>89</v>
      </c>
      <c r="F6" s="57"/>
      <c r="I6" s="58" t="s">
        <v>90</v>
      </c>
      <c r="J6" s="56">
        <v>194.19</v>
      </c>
    </row>
    <row r="7" spans="1:18" x14ac:dyDescent="0.2">
      <c r="A7" s="8"/>
      <c r="B7" s="8"/>
      <c r="C7" s="5" t="s">
        <v>91</v>
      </c>
      <c r="D7" s="5" t="s">
        <v>92</v>
      </c>
      <c r="E7" s="5" t="s">
        <v>93</v>
      </c>
      <c r="G7" s="16"/>
      <c r="I7" s="58" t="s">
        <v>26</v>
      </c>
      <c r="J7" s="56">
        <v>20.52</v>
      </c>
    </row>
    <row r="8" spans="1:18" x14ac:dyDescent="0.2">
      <c r="C8" s="93">
        <f>((H2*G2)/F2)*J2</f>
        <v>19.977085108258173</v>
      </c>
      <c r="D8" s="94">
        <f>((H2*G2)/I2)*J2</f>
        <v>9.4526075954499387</v>
      </c>
      <c r="E8" s="93">
        <f>500-C8-D8</f>
        <v>470.5703072962919</v>
      </c>
      <c r="G8" s="54"/>
      <c r="I8" s="58"/>
      <c r="J8" s="59"/>
    </row>
    <row r="9" spans="1:18" ht="15.25" customHeight="1" x14ac:dyDescent="0.2">
      <c r="A9" s="66"/>
      <c r="B9" s="66"/>
      <c r="C9" s="66"/>
      <c r="D9" s="66"/>
      <c r="E9" s="66"/>
      <c r="F9" s="66"/>
      <c r="G9" s="66"/>
      <c r="H9" s="66"/>
      <c r="I9" s="66"/>
      <c r="J9" s="66"/>
      <c r="K9" s="67"/>
      <c r="L9" s="66"/>
      <c r="M9" s="66"/>
      <c r="O9" s="17"/>
      <c r="P9" s="5"/>
    </row>
    <row r="10" spans="1:18" ht="20" x14ac:dyDescent="0.2">
      <c r="A10" s="55" t="s">
        <v>94</v>
      </c>
      <c r="P10" s="16"/>
    </row>
    <row r="11" spans="1:18" ht="17" thickBot="1" x14ac:dyDescent="0.25">
      <c r="A11" s="16" t="s">
        <v>119</v>
      </c>
      <c r="B11" s="8"/>
      <c r="C11" s="9"/>
      <c r="D11" s="26"/>
      <c r="E11" s="8"/>
      <c r="F11" s="8"/>
      <c r="G11" s="9"/>
      <c r="H11" s="8"/>
      <c r="I11" s="8"/>
      <c r="J11" s="8"/>
      <c r="K11" s="62"/>
      <c r="M11" s="8"/>
      <c r="O11" s="8"/>
      <c r="P11" s="16"/>
      <c r="Q11" s="16"/>
      <c r="R11" s="61"/>
    </row>
    <row r="12" spans="1:18" x14ac:dyDescent="0.2">
      <c r="A12" s="136" t="s">
        <v>65</v>
      </c>
      <c r="B12" s="137"/>
      <c r="C12" s="9"/>
      <c r="D12" s="8"/>
      <c r="E12" s="8"/>
      <c r="F12" s="8"/>
      <c r="G12" s="8"/>
      <c r="H12" s="8"/>
      <c r="I12" s="8"/>
      <c r="J12" s="8"/>
      <c r="K12" s="60"/>
    </row>
    <row r="13" spans="1:18" ht="17" thickBot="1" x14ac:dyDescent="0.25">
      <c r="A13" s="138"/>
      <c r="B13" s="139"/>
      <c r="D13" s="17"/>
      <c r="G13" s="16"/>
      <c r="K13" s="63"/>
      <c r="O13" s="17"/>
      <c r="P13" s="5"/>
    </row>
    <row r="14" spans="1:18" x14ac:dyDescent="0.2">
      <c r="A14" s="8"/>
      <c r="E14" s="5" t="s">
        <v>101</v>
      </c>
      <c r="F14" s="64">
        <v>0.3201</v>
      </c>
      <c r="K14" s="63"/>
      <c r="P14" s="16"/>
    </row>
    <row r="15" spans="1:18" x14ac:dyDescent="0.2">
      <c r="A15" s="3" t="s">
        <v>96</v>
      </c>
      <c r="B15" s="3" t="s">
        <v>97</v>
      </c>
      <c r="C15" s="3" t="s">
        <v>109</v>
      </c>
      <c r="D15" s="3" t="s">
        <v>110</v>
      </c>
      <c r="E15" s="3" t="s">
        <v>111</v>
      </c>
      <c r="F15" s="3" t="s">
        <v>63</v>
      </c>
      <c r="G15" s="3" t="s">
        <v>98</v>
      </c>
      <c r="H15" s="3" t="s">
        <v>99</v>
      </c>
      <c r="I15" s="3" t="s">
        <v>100</v>
      </c>
      <c r="J15" s="3" t="s">
        <v>7</v>
      </c>
      <c r="K15" s="60" t="s">
        <v>112</v>
      </c>
      <c r="O15" s="3"/>
      <c r="P15" s="5"/>
      <c r="Q15" s="5"/>
      <c r="R15" s="5"/>
    </row>
    <row r="16" spans="1:18" x14ac:dyDescent="0.2">
      <c r="A16" s="8" t="s">
        <v>102</v>
      </c>
      <c r="B16" s="8">
        <v>3</v>
      </c>
      <c r="C16" s="9">
        <v>1.3</v>
      </c>
      <c r="D16" s="26">
        <v>11.11</v>
      </c>
      <c r="E16" s="26">
        <v>11.16</v>
      </c>
      <c r="F16" s="8">
        <f t="shared" ref="F16:F22" si="0">AVERAGE(D16:E16)</f>
        <v>11.135</v>
      </c>
      <c r="G16" s="9">
        <v>0.32</v>
      </c>
      <c r="H16" s="8">
        <v>190.42</v>
      </c>
      <c r="I16" s="26">
        <v>188.43</v>
      </c>
      <c r="J16" s="8">
        <f>AVERAGE(H16:I16)</f>
        <v>189.42500000000001</v>
      </c>
      <c r="K16" s="60">
        <f>(F16/J16)*$F$14*($D$5/$C$5)</f>
        <v>1.8816489375742377E-2</v>
      </c>
      <c r="O16" s="8"/>
      <c r="P16" s="16"/>
      <c r="Q16" s="16"/>
      <c r="R16" s="61"/>
    </row>
    <row r="17" spans="1:18" x14ac:dyDescent="0.2">
      <c r="A17" s="8" t="s">
        <v>103</v>
      </c>
      <c r="B17" s="8">
        <v>6</v>
      </c>
      <c r="C17" s="9">
        <v>1.3</v>
      </c>
      <c r="D17" s="26">
        <v>17.239999999999998</v>
      </c>
      <c r="E17" s="65">
        <v>17.34</v>
      </c>
      <c r="F17" s="8">
        <f t="shared" si="0"/>
        <v>17.29</v>
      </c>
      <c r="G17" s="9">
        <v>0.32</v>
      </c>
      <c r="H17" s="8">
        <v>184.52</v>
      </c>
      <c r="I17" s="8">
        <v>180.27</v>
      </c>
      <c r="J17" s="8">
        <f t="shared" ref="J17:J20" si="1">AVERAGE(H17:I17)</f>
        <v>182.39500000000001</v>
      </c>
      <c r="K17" s="60">
        <f t="shared" ref="K17:K22" si="2">(F17/J17)*$F$14*($D$5/$C$5)</f>
        <v>3.0343644288494748E-2</v>
      </c>
      <c r="O17" s="8"/>
      <c r="P17" s="16"/>
      <c r="Q17" s="16"/>
      <c r="R17" s="61"/>
    </row>
    <row r="18" spans="1:18" ht="14.5" customHeight="1" x14ac:dyDescent="0.2">
      <c r="A18" s="8" t="s">
        <v>104</v>
      </c>
      <c r="B18" s="8">
        <v>9</v>
      </c>
      <c r="C18" s="9">
        <v>1.3</v>
      </c>
      <c r="D18" s="26">
        <v>29.9</v>
      </c>
      <c r="E18" s="8">
        <v>29.66</v>
      </c>
      <c r="F18" s="8">
        <f t="shared" si="0"/>
        <v>29.78</v>
      </c>
      <c r="G18" s="9">
        <v>0.32</v>
      </c>
      <c r="H18" s="26">
        <v>198.83</v>
      </c>
      <c r="I18" s="8">
        <v>194.91</v>
      </c>
      <c r="J18" s="8">
        <f t="shared" si="1"/>
        <v>196.87</v>
      </c>
      <c r="K18" s="60">
        <f t="shared" si="2"/>
        <v>4.8420673540915331E-2</v>
      </c>
      <c r="O18" s="8"/>
      <c r="P18" s="16"/>
      <c r="Q18" s="16"/>
      <c r="R18" s="61"/>
    </row>
    <row r="19" spans="1:18" x14ac:dyDescent="0.2">
      <c r="A19" s="8" t="s">
        <v>105</v>
      </c>
      <c r="B19" s="8">
        <v>12</v>
      </c>
      <c r="C19" s="9">
        <v>1.3</v>
      </c>
      <c r="D19" s="26">
        <v>56.16</v>
      </c>
      <c r="E19" s="26">
        <v>58.26</v>
      </c>
      <c r="F19" s="8">
        <f t="shared" si="0"/>
        <v>57.209999999999994</v>
      </c>
      <c r="G19" s="9">
        <v>0.32</v>
      </c>
      <c r="H19" s="26">
        <v>199.43</v>
      </c>
      <c r="I19" s="26">
        <v>203.44</v>
      </c>
      <c r="J19" s="8">
        <f t="shared" si="1"/>
        <v>201.435</v>
      </c>
      <c r="K19" s="60">
        <f t="shared" si="2"/>
        <v>9.0912309181621853E-2</v>
      </c>
      <c r="O19" s="8"/>
      <c r="P19" s="16"/>
      <c r="Q19" s="16"/>
      <c r="R19" s="61"/>
    </row>
    <row r="20" spans="1:18" x14ac:dyDescent="0.2">
      <c r="A20" s="8" t="s">
        <v>106</v>
      </c>
      <c r="B20" s="8">
        <v>15</v>
      </c>
      <c r="C20" s="9">
        <v>1.3</v>
      </c>
      <c r="D20" s="26">
        <v>68.959999999999994</v>
      </c>
      <c r="E20" s="26">
        <v>68.790000000000006</v>
      </c>
      <c r="F20" s="8">
        <f t="shared" si="0"/>
        <v>68.875</v>
      </c>
      <c r="G20" s="9">
        <v>0.32</v>
      </c>
      <c r="H20" s="26">
        <v>193.86</v>
      </c>
      <c r="I20" s="26">
        <v>193.95</v>
      </c>
      <c r="J20" s="8">
        <f t="shared" si="1"/>
        <v>193.905</v>
      </c>
      <c r="K20" s="60">
        <f t="shared" si="2"/>
        <v>0.11369942755473041</v>
      </c>
      <c r="O20" s="8"/>
      <c r="P20" s="16"/>
      <c r="Q20" s="16"/>
      <c r="R20" s="61"/>
    </row>
    <row r="21" spans="1:18" x14ac:dyDescent="0.2">
      <c r="A21" s="8" t="s">
        <v>107</v>
      </c>
      <c r="B21" s="8">
        <v>18</v>
      </c>
      <c r="C21" s="9">
        <v>1.3</v>
      </c>
      <c r="D21" s="26">
        <v>80.790000000000006</v>
      </c>
      <c r="E21" s="26">
        <v>84.32</v>
      </c>
      <c r="F21" s="8">
        <f t="shared" si="0"/>
        <v>82.555000000000007</v>
      </c>
      <c r="G21" s="9">
        <v>0.32</v>
      </c>
      <c r="H21" s="8">
        <v>189.95</v>
      </c>
      <c r="I21" s="8">
        <v>197.39</v>
      </c>
      <c r="J21" s="8">
        <f>AVERAGE(H21:I21)</f>
        <v>193.67</v>
      </c>
      <c r="K21" s="60">
        <f t="shared" si="2"/>
        <v>0.13644785201631643</v>
      </c>
      <c r="O21" s="8"/>
      <c r="P21" s="16"/>
      <c r="Q21" s="16"/>
      <c r="R21" s="61"/>
    </row>
    <row r="22" spans="1:18" x14ac:dyDescent="0.2">
      <c r="A22" s="8" t="s">
        <v>108</v>
      </c>
      <c r="B22" s="8">
        <v>21</v>
      </c>
      <c r="C22" s="9">
        <v>1.3</v>
      </c>
      <c r="D22" s="26">
        <v>95.91</v>
      </c>
      <c r="E22" s="26">
        <v>94.59</v>
      </c>
      <c r="F22" s="8">
        <f t="shared" si="0"/>
        <v>95.25</v>
      </c>
      <c r="G22" s="9">
        <v>0.32</v>
      </c>
      <c r="H22" s="8">
        <v>191.19</v>
      </c>
      <c r="I22" s="8">
        <v>186.6</v>
      </c>
      <c r="J22" s="8">
        <f t="shared" ref="J22" si="3">AVERAGE(H22:I22)</f>
        <v>188.89499999999998</v>
      </c>
      <c r="K22" s="60">
        <f t="shared" si="2"/>
        <v>0.16140991026760901</v>
      </c>
      <c r="O22" s="8"/>
      <c r="P22" s="16"/>
      <c r="Q22" s="16"/>
      <c r="R22" s="61"/>
    </row>
    <row r="23" spans="1:18" x14ac:dyDescent="0.2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7"/>
      <c r="L23" s="66"/>
      <c r="M23" s="66"/>
    </row>
    <row r="24" spans="1:18" x14ac:dyDescent="0.2">
      <c r="A24" s="8"/>
      <c r="B24" s="8"/>
      <c r="C24" s="16" t="s">
        <v>80</v>
      </c>
      <c r="D24" s="16" t="s">
        <v>81</v>
      </c>
      <c r="E24" s="16" t="s">
        <v>82</v>
      </c>
      <c r="F24" s="16" t="s">
        <v>83</v>
      </c>
      <c r="G24" s="16" t="s">
        <v>84</v>
      </c>
      <c r="H24" s="16" t="s">
        <v>85</v>
      </c>
      <c r="I24" s="16" t="s">
        <v>86</v>
      </c>
      <c r="J24" s="16" t="s">
        <v>87</v>
      </c>
      <c r="K24" s="62"/>
    </row>
    <row r="25" spans="1:18" x14ac:dyDescent="0.2">
      <c r="A25" s="8"/>
      <c r="B25" s="8"/>
      <c r="C25" s="18">
        <v>340.39</v>
      </c>
      <c r="D25" s="10">
        <v>2.9</v>
      </c>
      <c r="E25" s="54">
        <f>(D25)/(1000*C25)</f>
        <v>8.5196392373453985E-6</v>
      </c>
      <c r="F25" s="16">
        <v>0.05</v>
      </c>
      <c r="G25" s="16">
        <v>5.0000000000000001E-4</v>
      </c>
      <c r="H25" s="120">
        <f>C28/G25</f>
        <v>1.7039278474690796E-3</v>
      </c>
      <c r="I25" s="4">
        <f>(J30/(1000*J29))/0.001</f>
        <v>0.10566970492816313</v>
      </c>
      <c r="J25" s="16">
        <v>1000000</v>
      </c>
      <c r="K25" s="62"/>
    </row>
    <row r="26" spans="1:18" x14ac:dyDescent="0.2">
      <c r="A26" s="8"/>
      <c r="B26" s="8"/>
      <c r="C26" s="16"/>
      <c r="D26" s="16"/>
      <c r="E26" s="86"/>
      <c r="J26" s="56"/>
      <c r="K26" s="62"/>
    </row>
    <row r="27" spans="1:18" x14ac:dyDescent="0.2">
      <c r="A27" s="8"/>
      <c r="B27" s="8"/>
      <c r="C27" s="54" t="s">
        <v>136</v>
      </c>
      <c r="D27" s="54" t="s">
        <v>137</v>
      </c>
      <c r="E27" s="87"/>
      <c r="F27" s="85"/>
      <c r="K27" s="62"/>
    </row>
    <row r="28" spans="1:18" x14ac:dyDescent="0.2">
      <c r="A28" s="8"/>
      <c r="B28" s="8"/>
      <c r="C28" s="88">
        <f>E25/10</f>
        <v>8.5196392373453983E-7</v>
      </c>
      <c r="D28" s="54">
        <v>9.9925242960378756E-7</v>
      </c>
      <c r="E28" s="54"/>
      <c r="K28" s="62"/>
    </row>
    <row r="29" spans="1:18" x14ac:dyDescent="0.2">
      <c r="A29" s="8"/>
      <c r="B29" s="8"/>
      <c r="C29" s="16" t="s">
        <v>89</v>
      </c>
      <c r="D29" s="16"/>
      <c r="F29" s="57"/>
      <c r="I29" s="58" t="s">
        <v>90</v>
      </c>
      <c r="J29" s="56">
        <v>194.19</v>
      </c>
      <c r="K29" s="62"/>
    </row>
    <row r="30" spans="1:18" x14ac:dyDescent="0.2">
      <c r="A30" s="8"/>
      <c r="B30" s="8"/>
      <c r="C30" s="5" t="s">
        <v>91</v>
      </c>
      <c r="D30" s="5" t="s">
        <v>92</v>
      </c>
      <c r="E30" s="5" t="s">
        <v>93</v>
      </c>
      <c r="G30" s="16"/>
      <c r="I30" s="58" t="s">
        <v>26</v>
      </c>
      <c r="J30" s="56">
        <v>20.52</v>
      </c>
      <c r="K30" s="62"/>
    </row>
    <row r="31" spans="1:18" x14ac:dyDescent="0.2">
      <c r="A31" s="8"/>
      <c r="B31" s="8"/>
      <c r="C31" s="93">
        <f>((H25*G25)/F25)*J25</f>
        <v>17.039278474690796</v>
      </c>
      <c r="D31" s="94">
        <f>D8</f>
        <v>9.4526075954499387</v>
      </c>
      <c r="E31" s="93">
        <f>500-C31-D31</f>
        <v>473.50811392985929</v>
      </c>
      <c r="G31" s="54"/>
      <c r="I31" s="58"/>
      <c r="J31" s="59"/>
      <c r="K31" s="62"/>
    </row>
    <row r="32" spans="1:18" x14ac:dyDescent="0.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2"/>
      <c r="L32" s="91"/>
      <c r="M32" s="91"/>
    </row>
    <row r="33" spans="1:13" ht="20" x14ac:dyDescent="0.2">
      <c r="A33" s="55" t="s">
        <v>94</v>
      </c>
      <c r="B33" s="8"/>
      <c r="C33" s="9"/>
      <c r="D33" s="8"/>
      <c r="E33" s="8"/>
      <c r="F33" s="8"/>
      <c r="G33" s="9"/>
      <c r="H33" s="8"/>
      <c r="I33" s="8"/>
      <c r="J33" s="8"/>
      <c r="K33" s="68"/>
    </row>
    <row r="34" spans="1:13" ht="17" thickBot="1" x14ac:dyDescent="0.25">
      <c r="A34" s="16" t="s">
        <v>120</v>
      </c>
      <c r="B34" s="8"/>
      <c r="C34" s="9"/>
      <c r="D34" s="8"/>
      <c r="E34" s="8"/>
      <c r="F34" s="8"/>
      <c r="G34" s="9"/>
      <c r="H34" s="8"/>
      <c r="I34" s="8"/>
      <c r="J34" s="8"/>
      <c r="K34" s="68"/>
    </row>
    <row r="35" spans="1:13" x14ac:dyDescent="0.2">
      <c r="A35" s="136" t="s">
        <v>65</v>
      </c>
      <c r="B35" s="137"/>
      <c r="C35" s="9"/>
      <c r="D35" s="8"/>
      <c r="E35" s="8"/>
      <c r="F35" s="8"/>
      <c r="G35" s="8"/>
      <c r="H35" s="8"/>
      <c r="I35" s="8"/>
      <c r="J35" s="8"/>
      <c r="K35" s="60"/>
    </row>
    <row r="36" spans="1:13" ht="17" thickBot="1" x14ac:dyDescent="0.25">
      <c r="A36" s="138"/>
      <c r="B36" s="139"/>
      <c r="D36" s="5"/>
      <c r="E36" s="16"/>
      <c r="G36" s="16"/>
      <c r="K36" s="63"/>
    </row>
    <row r="37" spans="1:13" x14ac:dyDescent="0.2">
      <c r="A37" s="8"/>
      <c r="D37" s="16"/>
      <c r="E37" s="5" t="s">
        <v>101</v>
      </c>
      <c r="F37" s="64">
        <v>0.3201</v>
      </c>
      <c r="K37" s="63"/>
    </row>
    <row r="38" spans="1:13" x14ac:dyDescent="0.2">
      <c r="A38" s="3" t="s">
        <v>96</v>
      </c>
      <c r="B38" s="3" t="s">
        <v>97</v>
      </c>
      <c r="C38" s="3" t="s">
        <v>109</v>
      </c>
      <c r="D38" s="3" t="s">
        <v>110</v>
      </c>
      <c r="E38" s="3" t="s">
        <v>111</v>
      </c>
      <c r="F38" s="3" t="s">
        <v>63</v>
      </c>
      <c r="G38" s="3" t="s">
        <v>98</v>
      </c>
      <c r="H38" s="3" t="s">
        <v>99</v>
      </c>
      <c r="I38" s="3" t="s">
        <v>100</v>
      </c>
      <c r="J38" s="3" t="s">
        <v>7</v>
      </c>
      <c r="K38" s="60" t="s">
        <v>112</v>
      </c>
    </row>
    <row r="39" spans="1:13" x14ac:dyDescent="0.2">
      <c r="A39" s="8" t="s">
        <v>102</v>
      </c>
      <c r="B39" s="8">
        <v>3</v>
      </c>
      <c r="C39" s="9">
        <v>1.3</v>
      </c>
      <c r="D39" s="26">
        <v>6.65</v>
      </c>
      <c r="E39" s="26">
        <v>6.32</v>
      </c>
      <c r="F39" s="8">
        <f t="shared" ref="F39:F45" si="4">AVERAGE(D39:E39)</f>
        <v>6.4850000000000003</v>
      </c>
      <c r="G39" s="9">
        <v>0.32</v>
      </c>
      <c r="H39" s="8">
        <v>166.47</v>
      </c>
      <c r="I39" s="8">
        <v>169.8</v>
      </c>
      <c r="J39" s="8">
        <f>AVERAGE(H39:I39)</f>
        <v>168.13499999999999</v>
      </c>
      <c r="K39" s="90">
        <f t="shared" ref="K39:K45" si="5">(F39/J39)*$F$14*($D$28/$C$28)</f>
        <v>1.4480765950906921E-2</v>
      </c>
    </row>
    <row r="40" spans="1:13" x14ac:dyDescent="0.2">
      <c r="A40" s="8" t="s">
        <v>103</v>
      </c>
      <c r="B40" s="8">
        <v>6</v>
      </c>
      <c r="C40" s="9">
        <v>1.3</v>
      </c>
      <c r="D40" s="26">
        <v>13.18</v>
      </c>
      <c r="E40" s="65">
        <v>13.68</v>
      </c>
      <c r="F40" s="8">
        <f t="shared" si="4"/>
        <v>13.43</v>
      </c>
      <c r="G40" s="9">
        <v>0.32</v>
      </c>
      <c r="H40" s="8">
        <v>183.74</v>
      </c>
      <c r="I40" s="8">
        <v>188.9</v>
      </c>
      <c r="J40" s="8">
        <f t="shared" ref="J40:J43" si="6">AVERAGE(H40:I40)</f>
        <v>186.32</v>
      </c>
      <c r="K40" s="90">
        <f t="shared" si="5"/>
        <v>2.7061771278653016E-2</v>
      </c>
    </row>
    <row r="41" spans="1:13" x14ac:dyDescent="0.2">
      <c r="A41" s="8" t="s">
        <v>104</v>
      </c>
      <c r="B41" s="8">
        <v>9</v>
      </c>
      <c r="C41" s="9">
        <v>1.3</v>
      </c>
      <c r="D41" s="26">
        <v>21.4</v>
      </c>
      <c r="E41" s="8">
        <v>21.86</v>
      </c>
      <c r="F41" s="8">
        <f t="shared" si="4"/>
        <v>21.63</v>
      </c>
      <c r="G41" s="9">
        <v>0.32</v>
      </c>
      <c r="H41" s="26">
        <v>175.19</v>
      </c>
      <c r="I41" s="8">
        <v>180</v>
      </c>
      <c r="J41" s="8">
        <f t="shared" si="6"/>
        <v>177.595</v>
      </c>
      <c r="K41" s="90">
        <f t="shared" si="5"/>
        <v>4.5726237416306138E-2</v>
      </c>
    </row>
    <row r="42" spans="1:13" x14ac:dyDescent="0.2">
      <c r="A42" s="8" t="s">
        <v>105</v>
      </c>
      <c r="B42" s="8">
        <v>12</v>
      </c>
      <c r="C42" s="9">
        <v>1.3</v>
      </c>
      <c r="D42" s="26">
        <v>31.44</v>
      </c>
      <c r="E42" s="26">
        <v>31.32</v>
      </c>
      <c r="F42" s="8">
        <f t="shared" si="4"/>
        <v>31.380000000000003</v>
      </c>
      <c r="G42" s="9">
        <v>0.32</v>
      </c>
      <c r="H42" s="26">
        <v>183.89</v>
      </c>
      <c r="I42" s="26">
        <v>185.11</v>
      </c>
      <c r="J42" s="8">
        <f t="shared" si="6"/>
        <v>184.5</v>
      </c>
      <c r="K42" s="90">
        <f t="shared" si="5"/>
        <v>6.3855197246451126E-2</v>
      </c>
    </row>
    <row r="43" spans="1:13" ht="15" customHeight="1" x14ac:dyDescent="0.2">
      <c r="A43" s="8" t="s">
        <v>106</v>
      </c>
      <c r="B43" s="8">
        <v>15</v>
      </c>
      <c r="C43" s="9">
        <v>1.3</v>
      </c>
      <c r="D43" s="26">
        <v>38.71</v>
      </c>
      <c r="E43" s="26">
        <v>40.049999999999997</v>
      </c>
      <c r="F43" s="8">
        <f t="shared" si="4"/>
        <v>39.379999999999995</v>
      </c>
      <c r="G43" s="9">
        <v>0.32</v>
      </c>
      <c r="H43" s="26">
        <v>206.28</v>
      </c>
      <c r="I43" s="26">
        <v>214</v>
      </c>
      <c r="J43" s="8">
        <f t="shared" si="6"/>
        <v>210.14</v>
      </c>
      <c r="K43" s="90">
        <f t="shared" si="5"/>
        <v>7.0356895164337574E-2</v>
      </c>
    </row>
    <row r="44" spans="1:13" x14ac:dyDescent="0.2">
      <c r="A44" s="8" t="s">
        <v>107</v>
      </c>
      <c r="B44" s="8">
        <v>18</v>
      </c>
      <c r="C44" s="9">
        <v>1.3</v>
      </c>
      <c r="D44" s="26">
        <v>49.84</v>
      </c>
      <c r="E44" s="26">
        <v>49.84</v>
      </c>
      <c r="F44" s="8">
        <f t="shared" si="4"/>
        <v>49.84</v>
      </c>
      <c r="G44" s="9">
        <v>0.32</v>
      </c>
      <c r="H44" s="8">
        <v>202.62</v>
      </c>
      <c r="I44" s="8">
        <v>206.15</v>
      </c>
      <c r="J44" s="8">
        <f>AVERAGE(H44:I44)</f>
        <v>204.38499999999999</v>
      </c>
      <c r="K44" s="90">
        <f t="shared" si="5"/>
        <v>9.155218132686177E-2</v>
      </c>
    </row>
    <row r="45" spans="1:13" x14ac:dyDescent="0.2">
      <c r="A45" s="8" t="s">
        <v>108</v>
      </c>
      <c r="B45" s="8">
        <v>21</v>
      </c>
      <c r="C45" s="9">
        <v>1.3</v>
      </c>
      <c r="D45" s="26">
        <v>56.28</v>
      </c>
      <c r="E45" s="26">
        <v>57.32</v>
      </c>
      <c r="F45" s="8">
        <f t="shared" si="4"/>
        <v>56.8</v>
      </c>
      <c r="G45" s="9">
        <v>0.32</v>
      </c>
      <c r="H45" s="8">
        <v>196.93</v>
      </c>
      <c r="I45" s="8">
        <v>203.12</v>
      </c>
      <c r="J45" s="8">
        <f t="shared" ref="J45" si="7">AVERAGE(H45:I45)</f>
        <v>200.02500000000001</v>
      </c>
      <c r="K45" s="90">
        <f t="shared" si="5"/>
        <v>0.10661142262633187</v>
      </c>
    </row>
    <row r="46" spans="1:13" x14ac:dyDescent="0.2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2"/>
      <c r="L46" s="91"/>
      <c r="M46" s="91"/>
    </row>
    <row r="47" spans="1:13" ht="20" x14ac:dyDescent="0.2">
      <c r="A47" s="55" t="s">
        <v>94</v>
      </c>
      <c r="B47" s="8"/>
      <c r="C47" s="9"/>
      <c r="D47" s="8"/>
      <c r="E47" s="8"/>
      <c r="F47" s="8"/>
      <c r="G47" s="9"/>
      <c r="H47" s="8"/>
      <c r="I47" s="8"/>
      <c r="J47" s="8"/>
      <c r="K47" s="68"/>
    </row>
    <row r="48" spans="1:13" ht="17" thickBot="1" x14ac:dyDescent="0.25">
      <c r="A48" s="16" t="s">
        <v>121</v>
      </c>
      <c r="B48" s="8"/>
      <c r="C48" s="9"/>
      <c r="D48" s="8"/>
      <c r="E48" s="8"/>
      <c r="F48" s="8"/>
      <c r="G48" s="9"/>
      <c r="H48" s="8"/>
      <c r="I48" s="8"/>
      <c r="J48" s="8"/>
      <c r="K48" s="68"/>
    </row>
    <row r="49" spans="1:13" x14ac:dyDescent="0.2">
      <c r="A49" s="136" t="s">
        <v>65</v>
      </c>
      <c r="B49" s="137"/>
      <c r="C49" s="9"/>
      <c r="D49" s="8"/>
      <c r="E49" s="8"/>
      <c r="F49" s="8"/>
      <c r="G49" s="8"/>
      <c r="H49" s="8"/>
      <c r="I49" s="8"/>
      <c r="J49" s="8"/>
      <c r="K49" s="60"/>
    </row>
    <row r="50" spans="1:13" ht="17" thickBot="1" x14ac:dyDescent="0.25">
      <c r="A50" s="138"/>
      <c r="B50" s="139"/>
      <c r="D50" s="17"/>
      <c r="G50" s="16"/>
      <c r="K50" s="63"/>
    </row>
    <row r="51" spans="1:13" x14ac:dyDescent="0.2">
      <c r="A51" s="8"/>
      <c r="E51" s="5" t="s">
        <v>101</v>
      </c>
      <c r="F51" s="64">
        <v>0.3201</v>
      </c>
      <c r="K51" s="63"/>
    </row>
    <row r="52" spans="1:13" x14ac:dyDescent="0.2">
      <c r="A52" s="3" t="s">
        <v>96</v>
      </c>
      <c r="B52" s="3" t="s">
        <v>97</v>
      </c>
      <c r="C52" s="3" t="s">
        <v>109</v>
      </c>
      <c r="D52" s="3" t="s">
        <v>110</v>
      </c>
      <c r="E52" s="3" t="s">
        <v>111</v>
      </c>
      <c r="F52" s="3" t="s">
        <v>63</v>
      </c>
      <c r="G52" s="3" t="s">
        <v>98</v>
      </c>
      <c r="H52" s="3" t="s">
        <v>99</v>
      </c>
      <c r="I52" s="3" t="s">
        <v>100</v>
      </c>
      <c r="J52" s="3" t="s">
        <v>7</v>
      </c>
      <c r="K52" s="60" t="s">
        <v>112</v>
      </c>
    </row>
    <row r="53" spans="1:13" x14ac:dyDescent="0.2">
      <c r="A53" s="8" t="s">
        <v>102</v>
      </c>
      <c r="B53" s="8">
        <v>3</v>
      </c>
      <c r="C53" s="9">
        <v>1.3</v>
      </c>
      <c r="D53" s="26">
        <v>6.48</v>
      </c>
      <c r="E53" s="26">
        <v>6</v>
      </c>
      <c r="F53" s="10">
        <f>AVERAGE(D53:E53)</f>
        <v>6.24</v>
      </c>
      <c r="G53" s="9">
        <v>0.32</v>
      </c>
      <c r="H53" s="25">
        <v>199.93</v>
      </c>
      <c r="I53" s="84">
        <v>202.06</v>
      </c>
      <c r="J53" s="8">
        <f>AVERAGE(H53:I53)</f>
        <v>200.995</v>
      </c>
      <c r="K53" s="60">
        <f t="shared" ref="K53:K59" si="8">(F53/J53)*$F$14*($D$28/$C$28)</f>
        <v>1.1655717630456777E-2</v>
      </c>
    </row>
    <row r="54" spans="1:13" x14ac:dyDescent="0.2">
      <c r="A54" s="8" t="s">
        <v>103</v>
      </c>
      <c r="B54" s="8">
        <v>6</v>
      </c>
      <c r="C54" s="9">
        <v>1.3</v>
      </c>
      <c r="D54" s="26">
        <v>12.2</v>
      </c>
      <c r="E54" s="26">
        <v>11.35</v>
      </c>
      <c r="F54" s="10">
        <f t="shared" ref="F54:F59" si="9">AVERAGE(D54:E54)</f>
        <v>11.774999999999999</v>
      </c>
      <c r="G54" s="9">
        <v>0.32</v>
      </c>
      <c r="H54" s="25">
        <v>199.59</v>
      </c>
      <c r="I54" s="84">
        <v>190.52</v>
      </c>
      <c r="J54" s="8">
        <f t="shared" ref="J54:J59" si="10">AVERAGE(H54:I54)</f>
        <v>195.05500000000001</v>
      </c>
      <c r="K54" s="60">
        <f t="shared" si="8"/>
        <v>2.2664362635759574E-2</v>
      </c>
    </row>
    <row r="55" spans="1:13" x14ac:dyDescent="0.2">
      <c r="A55" s="8" t="s">
        <v>104</v>
      </c>
      <c r="B55" s="8">
        <v>9</v>
      </c>
      <c r="C55" s="9">
        <v>1.3</v>
      </c>
      <c r="D55" s="26">
        <v>17.420000000000002</v>
      </c>
      <c r="E55" s="8">
        <v>18.13</v>
      </c>
      <c r="F55" s="10">
        <f t="shared" si="9"/>
        <v>17.774999999999999</v>
      </c>
      <c r="G55" s="9">
        <v>0.32</v>
      </c>
      <c r="H55" s="25">
        <v>188.64</v>
      </c>
      <c r="I55" s="84">
        <v>193.78</v>
      </c>
      <c r="J55" s="8">
        <f t="shared" si="10"/>
        <v>191.20999999999998</v>
      </c>
      <c r="K55" s="60">
        <f t="shared" si="8"/>
        <v>3.4901065829798829E-2</v>
      </c>
    </row>
    <row r="56" spans="1:13" x14ac:dyDescent="0.2">
      <c r="A56" s="8" t="s">
        <v>105</v>
      </c>
      <c r="B56" s="8">
        <v>12</v>
      </c>
      <c r="C56" s="9">
        <v>1.3</v>
      </c>
      <c r="D56" s="26">
        <v>25.26</v>
      </c>
      <c r="E56" s="26">
        <v>25.23</v>
      </c>
      <c r="F56" s="10">
        <f t="shared" si="9"/>
        <v>25.245000000000001</v>
      </c>
      <c r="G56" s="9">
        <v>0.32</v>
      </c>
      <c r="H56" s="25">
        <v>206.24</v>
      </c>
      <c r="I56" s="84">
        <v>199.73</v>
      </c>
      <c r="J56" s="8">
        <f t="shared" si="10"/>
        <v>202.98500000000001</v>
      </c>
      <c r="K56" s="60">
        <f t="shared" si="8"/>
        <v>4.6692928289509238E-2</v>
      </c>
    </row>
    <row r="57" spans="1:13" x14ac:dyDescent="0.2">
      <c r="A57" s="8" t="s">
        <v>106</v>
      </c>
      <c r="B57" s="8">
        <v>15</v>
      </c>
      <c r="C57" s="9">
        <v>1.3</v>
      </c>
      <c r="D57" s="69">
        <v>35.32</v>
      </c>
      <c r="E57" s="69">
        <v>32</v>
      </c>
      <c r="F57" s="10">
        <f t="shared" si="9"/>
        <v>33.659999999999997</v>
      </c>
      <c r="G57" s="9">
        <v>0.32</v>
      </c>
      <c r="H57" s="84">
        <v>229.42</v>
      </c>
      <c r="I57" s="84">
        <v>203.44</v>
      </c>
      <c r="J57" s="8">
        <f t="shared" si="10"/>
        <v>216.43</v>
      </c>
      <c r="K57" s="60">
        <f t="shared" si="8"/>
        <v>5.838971214000542E-2</v>
      </c>
    </row>
    <row r="58" spans="1:13" x14ac:dyDescent="0.2">
      <c r="A58" s="8" t="s">
        <v>107</v>
      </c>
      <c r="B58" s="8">
        <v>18</v>
      </c>
      <c r="C58" s="9">
        <v>1.3</v>
      </c>
      <c r="D58" s="69">
        <v>40.24</v>
      </c>
      <c r="E58" s="69">
        <v>39.74</v>
      </c>
      <c r="F58" s="10">
        <f t="shared" si="9"/>
        <v>39.99</v>
      </c>
      <c r="G58" s="9">
        <v>0.32</v>
      </c>
      <c r="H58" s="25">
        <v>201.03</v>
      </c>
      <c r="I58" s="84">
        <v>197.57</v>
      </c>
      <c r="J58" s="8">
        <f t="shared" si="10"/>
        <v>199.3</v>
      </c>
      <c r="K58" s="60">
        <f t="shared" si="8"/>
        <v>7.5332744088038153E-2</v>
      </c>
    </row>
    <row r="59" spans="1:13" x14ac:dyDescent="0.2">
      <c r="A59" s="8" t="s">
        <v>108</v>
      </c>
      <c r="B59" s="8">
        <v>21</v>
      </c>
      <c r="C59" s="9">
        <v>1.3</v>
      </c>
      <c r="D59" s="69">
        <v>45.36</v>
      </c>
      <c r="E59" s="69">
        <v>46.51</v>
      </c>
      <c r="F59" s="10">
        <f t="shared" si="9"/>
        <v>45.935000000000002</v>
      </c>
      <c r="G59" s="9">
        <v>0.32</v>
      </c>
      <c r="H59" s="25">
        <v>188.85</v>
      </c>
      <c r="I59" s="84">
        <v>191.72</v>
      </c>
      <c r="J59" s="8">
        <f t="shared" si="10"/>
        <v>190.285</v>
      </c>
      <c r="K59" s="60">
        <f t="shared" si="8"/>
        <v>9.0631433276379847E-2</v>
      </c>
    </row>
    <row r="60" spans="1:13" x14ac:dyDescent="0.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2"/>
      <c r="L60" s="91"/>
      <c r="M60" s="91"/>
    </row>
  </sheetData>
  <mergeCells count="3">
    <mergeCell ref="A12:B13"/>
    <mergeCell ref="A35:B36"/>
    <mergeCell ref="A49:B50"/>
  </mergeCells>
  <conditionalFormatting sqref="K16:K22">
    <cfRule type="cellIs" dxfId="59" priority="19" operator="between">
      <formula>0.51</formula>
      <formula>0.149</formula>
    </cfRule>
    <cfRule type="cellIs" dxfId="58" priority="23" operator="greaterThan">
      <formula>0.15</formula>
    </cfRule>
    <cfRule type="cellIs" dxfId="57" priority="24" operator="lessThan">
      <formula>0.05</formula>
    </cfRule>
  </conditionalFormatting>
  <conditionalFormatting sqref="K15:K22">
    <cfRule type="cellIs" dxfId="56" priority="20" operator="between">
      <formula>0.151</formula>
      <formula>0.849</formula>
    </cfRule>
    <cfRule type="cellIs" dxfId="55" priority="21" operator="greaterThan">
      <formula>0.85</formula>
    </cfRule>
    <cfRule type="cellIs" dxfId="54" priority="22" operator="lessThan">
      <formula>0.15</formula>
    </cfRule>
  </conditionalFormatting>
  <conditionalFormatting sqref="K39:K45">
    <cfRule type="cellIs" dxfId="53" priority="7" operator="between">
      <formula>0.51</formula>
      <formula>0.149</formula>
    </cfRule>
    <cfRule type="cellIs" dxfId="52" priority="11" operator="greaterThan">
      <formula>0.15</formula>
    </cfRule>
    <cfRule type="cellIs" dxfId="51" priority="12" operator="lessThan">
      <formula>0.05</formula>
    </cfRule>
  </conditionalFormatting>
  <conditionalFormatting sqref="K38:K45">
    <cfRule type="cellIs" dxfId="50" priority="8" operator="between">
      <formula>0.151</formula>
      <formula>0.849</formula>
    </cfRule>
    <cfRule type="cellIs" dxfId="49" priority="9" operator="greaterThan">
      <formula>0.85</formula>
    </cfRule>
    <cfRule type="cellIs" dxfId="48" priority="10" operator="lessThan">
      <formula>0.15</formula>
    </cfRule>
  </conditionalFormatting>
  <conditionalFormatting sqref="K53:K59">
    <cfRule type="cellIs" dxfId="47" priority="1" operator="between">
      <formula>0.51</formula>
      <formula>0.149</formula>
    </cfRule>
    <cfRule type="cellIs" dxfId="46" priority="5" operator="greaterThan">
      <formula>0.15</formula>
    </cfRule>
    <cfRule type="cellIs" dxfId="45" priority="6" operator="lessThan">
      <formula>0.05</formula>
    </cfRule>
  </conditionalFormatting>
  <conditionalFormatting sqref="K52:K59">
    <cfRule type="cellIs" dxfId="44" priority="2" operator="between">
      <formula>0.151</formula>
      <formula>0.849</formula>
    </cfRule>
    <cfRule type="cellIs" dxfId="43" priority="3" operator="greaterThan">
      <formula>0.85</formula>
    </cfRule>
    <cfRule type="cellIs" dxfId="42" priority="4" operator="lessThan">
      <formula>0.15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2B87-0655-4BD5-8746-8802FFB30699}">
  <dimension ref="A1:I37"/>
  <sheetViews>
    <sheetView workbookViewId="0">
      <selection activeCell="H23" sqref="H23:H24"/>
    </sheetView>
  </sheetViews>
  <sheetFormatPr baseColWidth="10" defaultColWidth="8.83203125" defaultRowHeight="15" x14ac:dyDescent="0.2"/>
  <cols>
    <col min="2" max="4" width="15.5" customWidth="1"/>
    <col min="5" max="5" width="15.5" style="76" customWidth="1"/>
    <col min="6" max="8" width="15.5" customWidth="1"/>
  </cols>
  <sheetData>
    <row r="1" spans="1:9" x14ac:dyDescent="0.2">
      <c r="A1" s="79"/>
      <c r="B1" s="79"/>
      <c r="C1" s="79"/>
      <c r="D1" s="79"/>
      <c r="E1" s="81"/>
      <c r="F1" s="79"/>
      <c r="G1" s="79"/>
      <c r="H1" s="79"/>
      <c r="I1" s="79"/>
    </row>
    <row r="2" spans="1:9" ht="14.5" customHeight="1" x14ac:dyDescent="0.2">
      <c r="B2" s="143" t="s">
        <v>138</v>
      </c>
      <c r="C2" s="143"/>
      <c r="D2" s="143"/>
      <c r="E2" s="143"/>
      <c r="F2" s="143"/>
      <c r="G2" s="143"/>
      <c r="H2" s="143"/>
      <c r="I2" s="78"/>
    </row>
    <row r="3" spans="1:9" ht="16" x14ac:dyDescent="0.2">
      <c r="B3" s="70" t="s">
        <v>125</v>
      </c>
      <c r="C3" s="70" t="s">
        <v>126</v>
      </c>
      <c r="D3" s="70" t="s">
        <v>127</v>
      </c>
      <c r="E3" s="82" t="s">
        <v>128</v>
      </c>
      <c r="F3" s="70" t="s">
        <v>129</v>
      </c>
      <c r="G3" s="70" t="s">
        <v>130</v>
      </c>
      <c r="H3" s="70" t="s">
        <v>131</v>
      </c>
      <c r="I3" s="71"/>
    </row>
    <row r="4" spans="1:9" ht="16" x14ac:dyDescent="0.2">
      <c r="B4" s="72">
        <f>C4*60</f>
        <v>180</v>
      </c>
      <c r="C4" s="72">
        <v>3</v>
      </c>
      <c r="D4" s="73">
        <v>1.8816489375742377E-2</v>
      </c>
      <c r="E4" s="77">
        <f>D4*0.0001</f>
        <v>1.8816489375742378E-6</v>
      </c>
      <c r="F4" s="72">
        <f>2000-20</f>
        <v>1980</v>
      </c>
      <c r="G4" s="72">
        <f>F4/1000000</f>
        <v>1.98E-3</v>
      </c>
      <c r="H4" s="77">
        <f>E4/G4</f>
        <v>9.503277462496151E-4</v>
      </c>
      <c r="I4" s="74"/>
    </row>
    <row r="5" spans="1:9" ht="16" x14ac:dyDescent="0.2">
      <c r="B5" s="72">
        <f t="shared" ref="B5:B10" si="0">C5*60</f>
        <v>360</v>
      </c>
      <c r="C5" s="72">
        <v>6</v>
      </c>
      <c r="D5" s="73">
        <v>3.0343644288494748E-2</v>
      </c>
      <c r="E5" s="77">
        <f t="shared" ref="E5:E10" si="1">D5*0.0001</f>
        <v>3.0343644288494748E-6</v>
      </c>
      <c r="F5" s="72">
        <f>F4-20</f>
        <v>1960</v>
      </c>
      <c r="G5" s="72">
        <f t="shared" ref="G5:G10" si="2">F5/1000000</f>
        <v>1.9599999999999999E-3</v>
      </c>
      <c r="H5" s="77">
        <f t="shared" ref="H5:H10" si="3">E5/G5</f>
        <v>1.5481451167599363E-3</v>
      </c>
      <c r="I5" s="74"/>
    </row>
    <row r="6" spans="1:9" ht="16" x14ac:dyDescent="0.2">
      <c r="B6" s="72">
        <f t="shared" si="0"/>
        <v>540</v>
      </c>
      <c r="C6" s="72">
        <v>9</v>
      </c>
      <c r="D6" s="73">
        <v>4.8420673540915331E-2</v>
      </c>
      <c r="E6" s="77">
        <f t="shared" si="1"/>
        <v>4.8420673540915335E-6</v>
      </c>
      <c r="F6" s="72">
        <f t="shared" ref="F6:F10" si="4">F5-20</f>
        <v>1940</v>
      </c>
      <c r="G6" s="72">
        <f t="shared" si="2"/>
        <v>1.9400000000000001E-3</v>
      </c>
      <c r="H6" s="77">
        <f t="shared" si="3"/>
        <v>2.495911007263677E-3</v>
      </c>
      <c r="I6" s="74"/>
    </row>
    <row r="7" spans="1:9" ht="16" x14ac:dyDescent="0.2">
      <c r="B7" s="72">
        <f t="shared" si="0"/>
        <v>720</v>
      </c>
      <c r="C7" s="72">
        <v>12</v>
      </c>
      <c r="D7" s="73">
        <v>9.0912309181621853E-2</v>
      </c>
      <c r="E7" s="77">
        <f t="shared" si="1"/>
        <v>9.0912309181621856E-6</v>
      </c>
      <c r="F7" s="72">
        <f t="shared" si="4"/>
        <v>1920</v>
      </c>
      <c r="G7" s="72">
        <f t="shared" si="2"/>
        <v>1.92E-3</v>
      </c>
      <c r="H7" s="77">
        <f t="shared" si="3"/>
        <v>4.7350161032094712E-3</v>
      </c>
      <c r="I7" s="74"/>
    </row>
    <row r="8" spans="1:9" ht="16" x14ac:dyDescent="0.2">
      <c r="B8" s="72">
        <f t="shared" si="0"/>
        <v>900</v>
      </c>
      <c r="C8" s="72">
        <v>15</v>
      </c>
      <c r="D8" s="73">
        <v>0.11369942755473041</v>
      </c>
      <c r="E8" s="77">
        <f t="shared" si="1"/>
        <v>1.136994275547304E-5</v>
      </c>
      <c r="F8" s="72">
        <f t="shared" si="4"/>
        <v>1900</v>
      </c>
      <c r="G8" s="72">
        <f t="shared" si="2"/>
        <v>1.9E-3</v>
      </c>
      <c r="H8" s="77">
        <f t="shared" si="3"/>
        <v>5.9841803976173899E-3</v>
      </c>
      <c r="I8" s="74"/>
    </row>
    <row r="9" spans="1:9" ht="16" x14ac:dyDescent="0.2">
      <c r="B9" s="72">
        <f t="shared" si="0"/>
        <v>1080</v>
      </c>
      <c r="C9" s="72">
        <v>18</v>
      </c>
      <c r="D9" s="73">
        <v>0.13644785201631643</v>
      </c>
      <c r="E9" s="77">
        <f t="shared" si="1"/>
        <v>1.3644785201631644E-5</v>
      </c>
      <c r="F9" s="72">
        <f t="shared" si="4"/>
        <v>1880</v>
      </c>
      <c r="G9" s="72">
        <f t="shared" si="2"/>
        <v>1.8799999999999999E-3</v>
      </c>
      <c r="H9" s="77">
        <f t="shared" si="3"/>
        <v>7.2578644689530025E-3</v>
      </c>
      <c r="I9" s="74"/>
    </row>
    <row r="10" spans="1:9" ht="16" x14ac:dyDescent="0.2">
      <c r="B10" s="72">
        <f t="shared" si="0"/>
        <v>1260</v>
      </c>
      <c r="C10" s="72">
        <v>21</v>
      </c>
      <c r="D10" s="73">
        <v>0.16140991026760901</v>
      </c>
      <c r="E10" s="77">
        <f t="shared" si="1"/>
        <v>1.61409910267609E-5</v>
      </c>
      <c r="F10" s="72">
        <f t="shared" si="4"/>
        <v>1860</v>
      </c>
      <c r="G10" s="72">
        <f t="shared" si="2"/>
        <v>1.8600000000000001E-3</v>
      </c>
      <c r="H10" s="77">
        <f t="shared" si="3"/>
        <v>8.677952164925215E-3</v>
      </c>
      <c r="I10" s="74"/>
    </row>
    <row r="11" spans="1:9" ht="16" x14ac:dyDescent="0.2">
      <c r="B11" s="72"/>
      <c r="C11" s="72"/>
      <c r="D11" s="75"/>
      <c r="E11" s="77"/>
      <c r="F11" s="72"/>
      <c r="G11" s="70" t="s">
        <v>132</v>
      </c>
      <c r="H11" s="80">
        <f>SLOPE(H4:H10,B4:B10)</f>
        <v>7.5576550299140171E-6</v>
      </c>
      <c r="I11" s="75"/>
    </row>
    <row r="12" spans="1:9" ht="16" x14ac:dyDescent="0.2">
      <c r="B12" s="72"/>
      <c r="C12" s="72"/>
      <c r="D12" s="75"/>
      <c r="E12" s="77"/>
      <c r="F12" s="72"/>
      <c r="G12" s="70" t="s">
        <v>133</v>
      </c>
      <c r="H12" s="83">
        <f>RSQ(H4:H10,B4:B10)</f>
        <v>0.98426575354087309</v>
      </c>
      <c r="I12" s="75"/>
    </row>
    <row r="13" spans="1:9" x14ac:dyDescent="0.2">
      <c r="A13" s="79"/>
      <c r="B13" s="79"/>
      <c r="C13" s="79"/>
      <c r="D13" s="79"/>
      <c r="E13" s="81"/>
      <c r="F13" s="79"/>
      <c r="G13" s="79"/>
      <c r="H13" s="79"/>
      <c r="I13" s="79"/>
    </row>
    <row r="14" spans="1:9" x14ac:dyDescent="0.2">
      <c r="B14" s="143" t="s">
        <v>141</v>
      </c>
      <c r="C14" s="143"/>
      <c r="D14" s="143"/>
      <c r="E14" s="143"/>
      <c r="F14" s="143"/>
      <c r="G14" s="143"/>
      <c r="H14" s="143"/>
    </row>
    <row r="15" spans="1:9" ht="16" x14ac:dyDescent="0.2">
      <c r="B15" s="70" t="s">
        <v>125</v>
      </c>
      <c r="C15" s="70" t="s">
        <v>126</v>
      </c>
      <c r="D15" s="70" t="s">
        <v>127</v>
      </c>
      <c r="E15" s="82" t="s">
        <v>128</v>
      </c>
      <c r="F15" s="70" t="s">
        <v>129</v>
      </c>
      <c r="G15" s="70" t="s">
        <v>130</v>
      </c>
      <c r="H15" s="70" t="s">
        <v>131</v>
      </c>
    </row>
    <row r="16" spans="1:9" ht="16" x14ac:dyDescent="0.2">
      <c r="B16" s="72">
        <v>180</v>
      </c>
      <c r="C16" s="72">
        <v>3</v>
      </c>
      <c r="D16" s="73">
        <v>1.4480765950906921E-2</v>
      </c>
      <c r="E16" s="77">
        <f>D16*0.0000852</f>
        <v>1.2337612590172696E-6</v>
      </c>
      <c r="F16" s="72">
        <f>1700-17</f>
        <v>1683</v>
      </c>
      <c r="G16" s="72">
        <f>F16/1000000</f>
        <v>1.683E-3</v>
      </c>
      <c r="H16" s="77">
        <f>E16/G16</f>
        <v>7.330726435040224E-4</v>
      </c>
    </row>
    <row r="17" spans="1:9" ht="16" x14ac:dyDescent="0.2">
      <c r="B17" s="72">
        <v>360</v>
      </c>
      <c r="C17" s="72">
        <v>6</v>
      </c>
      <c r="D17" s="73">
        <v>2.7061771278653016E-2</v>
      </c>
      <c r="E17" s="77">
        <f t="shared" ref="E17:E22" si="5">D17*0.0000852</f>
        <v>2.3056629129412369E-6</v>
      </c>
      <c r="F17" s="72">
        <f>F16-17</f>
        <v>1666</v>
      </c>
      <c r="G17" s="72">
        <f t="shared" ref="G17:G22" si="6">F17/1000000</f>
        <v>1.6659999999999999E-3</v>
      </c>
      <c r="H17" s="77">
        <f t="shared" ref="H17:H22" si="7">E17/G17</f>
        <v>1.3839513282960607E-3</v>
      </c>
    </row>
    <row r="18" spans="1:9" ht="16" x14ac:dyDescent="0.2">
      <c r="B18" s="72">
        <v>540</v>
      </c>
      <c r="C18" s="72">
        <v>9</v>
      </c>
      <c r="D18" s="73">
        <v>4.5726237416306138E-2</v>
      </c>
      <c r="E18" s="77">
        <f t="shared" si="5"/>
        <v>3.895875427869283E-6</v>
      </c>
      <c r="F18" s="72">
        <f t="shared" ref="F18:F22" si="8">F17-17</f>
        <v>1649</v>
      </c>
      <c r="G18" s="72">
        <f t="shared" si="6"/>
        <v>1.6490000000000001E-3</v>
      </c>
      <c r="H18" s="77">
        <f t="shared" si="7"/>
        <v>2.3625684826375274E-3</v>
      </c>
    </row>
    <row r="19" spans="1:9" ht="16" x14ac:dyDescent="0.2">
      <c r="B19" s="72">
        <v>720</v>
      </c>
      <c r="C19" s="72">
        <v>12</v>
      </c>
      <c r="D19" s="73">
        <v>6.3855197246451126E-2</v>
      </c>
      <c r="E19" s="77">
        <f t="shared" si="5"/>
        <v>5.4404628053976357E-6</v>
      </c>
      <c r="F19" s="72">
        <f t="shared" si="8"/>
        <v>1632</v>
      </c>
      <c r="G19" s="72">
        <f t="shared" si="6"/>
        <v>1.632E-3</v>
      </c>
      <c r="H19" s="77">
        <f t="shared" si="7"/>
        <v>3.3336169150720808E-3</v>
      </c>
    </row>
    <row r="20" spans="1:9" ht="16" x14ac:dyDescent="0.2">
      <c r="B20" s="72">
        <v>900</v>
      </c>
      <c r="C20" s="72">
        <v>15</v>
      </c>
      <c r="D20" s="73">
        <v>7.0356895164337574E-2</v>
      </c>
      <c r="E20" s="77">
        <f t="shared" si="5"/>
        <v>5.9944074680015612E-6</v>
      </c>
      <c r="F20" s="72">
        <f t="shared" si="8"/>
        <v>1615</v>
      </c>
      <c r="G20" s="72">
        <f t="shared" si="6"/>
        <v>1.6149999999999999E-3</v>
      </c>
      <c r="H20" s="77">
        <f t="shared" si="7"/>
        <v>3.7117074105272826E-3</v>
      </c>
    </row>
    <row r="21" spans="1:9" ht="16" x14ac:dyDescent="0.2">
      <c r="B21" s="72">
        <v>1080</v>
      </c>
      <c r="C21" s="72">
        <v>18</v>
      </c>
      <c r="D21" s="73">
        <v>9.155218132686177E-2</v>
      </c>
      <c r="E21" s="77">
        <f t="shared" si="5"/>
        <v>7.8002458490486231E-6</v>
      </c>
      <c r="F21" s="72">
        <f t="shared" si="8"/>
        <v>1598</v>
      </c>
      <c r="G21" s="72">
        <f t="shared" si="6"/>
        <v>1.598E-3</v>
      </c>
      <c r="H21" s="77">
        <f t="shared" si="7"/>
        <v>4.8812552246862472E-3</v>
      </c>
    </row>
    <row r="22" spans="1:9" ht="16" x14ac:dyDescent="0.2">
      <c r="B22" s="72">
        <v>1260</v>
      </c>
      <c r="C22" s="72">
        <v>21</v>
      </c>
      <c r="D22" s="73">
        <v>0.10661142262633187</v>
      </c>
      <c r="E22" s="77">
        <f t="shared" si="5"/>
        <v>9.0832932077634761E-6</v>
      </c>
      <c r="F22" s="72">
        <f t="shared" si="8"/>
        <v>1581</v>
      </c>
      <c r="G22" s="72">
        <f t="shared" si="6"/>
        <v>1.5809999999999999E-3</v>
      </c>
      <c r="H22" s="77">
        <f t="shared" si="7"/>
        <v>5.7452834963715857E-3</v>
      </c>
    </row>
    <row r="23" spans="1:9" ht="16" x14ac:dyDescent="0.2">
      <c r="B23" s="72"/>
      <c r="C23" s="72"/>
      <c r="D23" s="75"/>
      <c r="E23" s="77"/>
      <c r="F23" s="72"/>
      <c r="G23" s="70" t="s">
        <v>132</v>
      </c>
      <c r="H23" s="80">
        <f>SLOPE(H16:H22,B16:B22)</f>
        <v>4.6389641427128601E-6</v>
      </c>
    </row>
    <row r="24" spans="1:9" ht="16" x14ac:dyDescent="0.2">
      <c r="B24" s="72"/>
      <c r="C24" s="72"/>
      <c r="D24" s="75"/>
      <c r="E24" s="77"/>
      <c r="F24" s="72"/>
      <c r="G24" s="70" t="s">
        <v>133</v>
      </c>
      <c r="H24" s="83">
        <f>RSQ(H16:H22,B16:B22)</f>
        <v>0.9929768755287206</v>
      </c>
    </row>
    <row r="25" spans="1:9" x14ac:dyDescent="0.2">
      <c r="A25" s="79"/>
      <c r="B25" s="79"/>
      <c r="C25" s="79"/>
      <c r="D25" s="79"/>
      <c r="E25" s="81"/>
      <c r="F25" s="79"/>
      <c r="G25" s="79"/>
      <c r="H25" s="79"/>
      <c r="I25" s="79"/>
    </row>
    <row r="26" spans="1:9" x14ac:dyDescent="0.2">
      <c r="B26" s="143" t="s">
        <v>142</v>
      </c>
      <c r="C26" s="143"/>
      <c r="D26" s="143"/>
      <c r="E26" s="143"/>
      <c r="F26" s="143"/>
      <c r="G26" s="143"/>
      <c r="H26" s="143"/>
    </row>
    <row r="27" spans="1:9" ht="16" x14ac:dyDescent="0.2">
      <c r="B27" s="70" t="s">
        <v>125</v>
      </c>
      <c r="C27" s="70" t="s">
        <v>126</v>
      </c>
      <c r="D27" s="70" t="s">
        <v>127</v>
      </c>
      <c r="E27" s="82" t="s">
        <v>128</v>
      </c>
      <c r="F27" s="70" t="s">
        <v>129</v>
      </c>
      <c r="G27" s="70" t="s">
        <v>130</v>
      </c>
      <c r="H27" s="70" t="s">
        <v>131</v>
      </c>
    </row>
    <row r="28" spans="1:9" ht="16" x14ac:dyDescent="0.2">
      <c r="B28" s="72">
        <f>C28*60</f>
        <v>180</v>
      </c>
      <c r="C28" s="72">
        <v>3</v>
      </c>
      <c r="D28" s="73">
        <v>1.1655717630456777E-2</v>
      </c>
      <c r="E28" s="77">
        <f>D28*0.0000852</f>
        <v>9.9306714211491727E-7</v>
      </c>
      <c r="F28" s="72">
        <f>1700-17</f>
        <v>1683</v>
      </c>
      <c r="G28" s="72">
        <f>F28/1000000</f>
        <v>1.683E-3</v>
      </c>
      <c r="H28" s="77">
        <f>E28/G28</f>
        <v>5.9005771961670667E-4</v>
      </c>
    </row>
    <row r="29" spans="1:9" ht="16" x14ac:dyDescent="0.2">
      <c r="B29" s="72">
        <f t="shared" ref="B29:B34" si="9">C29*60</f>
        <v>360</v>
      </c>
      <c r="C29" s="72">
        <v>6</v>
      </c>
      <c r="D29" s="73">
        <v>2.2664362635759574E-2</v>
      </c>
      <c r="E29" s="77">
        <f t="shared" ref="E29:E34" si="10">D29*0.0000852</f>
        <v>1.9310036965667155E-6</v>
      </c>
      <c r="F29" s="72">
        <f>F28-17</f>
        <v>1666</v>
      </c>
      <c r="G29" s="72">
        <f t="shared" ref="G29:G34" si="11">F29/1000000</f>
        <v>1.6659999999999999E-3</v>
      </c>
      <c r="H29" s="77">
        <f t="shared" ref="H29:H34" si="12">E29/G29</f>
        <v>1.1590658442777405E-3</v>
      </c>
    </row>
    <row r="30" spans="1:9" ht="16" x14ac:dyDescent="0.2">
      <c r="B30" s="72">
        <f t="shared" si="9"/>
        <v>540</v>
      </c>
      <c r="C30" s="72">
        <v>9</v>
      </c>
      <c r="D30" s="73">
        <v>3.4901065829798829E-2</v>
      </c>
      <c r="E30" s="77">
        <f t="shared" si="10"/>
        <v>2.97357080869886E-6</v>
      </c>
      <c r="F30" s="72">
        <f t="shared" ref="F30:F34" si="13">F29-17</f>
        <v>1649</v>
      </c>
      <c r="G30" s="72">
        <f t="shared" si="11"/>
        <v>1.6490000000000001E-3</v>
      </c>
      <c r="H30" s="77">
        <f t="shared" si="12"/>
        <v>1.8032570095202303E-3</v>
      </c>
    </row>
    <row r="31" spans="1:9" ht="16" x14ac:dyDescent="0.2">
      <c r="B31" s="72">
        <f t="shared" si="9"/>
        <v>720</v>
      </c>
      <c r="C31" s="72">
        <v>12</v>
      </c>
      <c r="D31" s="73">
        <v>4.6692928289509238E-2</v>
      </c>
      <c r="E31" s="77">
        <f t="shared" si="10"/>
        <v>3.9782374902661866E-6</v>
      </c>
      <c r="F31" s="72">
        <f t="shared" si="13"/>
        <v>1632</v>
      </c>
      <c r="G31" s="72">
        <f t="shared" si="11"/>
        <v>1.632E-3</v>
      </c>
      <c r="H31" s="77">
        <f t="shared" si="12"/>
        <v>2.4376455209964378E-3</v>
      </c>
    </row>
    <row r="32" spans="1:9" ht="16" x14ac:dyDescent="0.2">
      <c r="B32" s="72">
        <f t="shared" si="9"/>
        <v>900</v>
      </c>
      <c r="C32" s="72">
        <v>15</v>
      </c>
      <c r="D32" s="73">
        <v>5.838971214000542E-2</v>
      </c>
      <c r="E32" s="77">
        <f t="shared" si="10"/>
        <v>4.9748034743284615E-6</v>
      </c>
      <c r="F32" s="72">
        <f t="shared" si="13"/>
        <v>1615</v>
      </c>
      <c r="G32" s="72">
        <f t="shared" si="11"/>
        <v>1.6149999999999999E-3</v>
      </c>
      <c r="H32" s="77">
        <f t="shared" si="12"/>
        <v>3.080373668314837E-3</v>
      </c>
    </row>
    <row r="33" spans="1:9" ht="16" x14ac:dyDescent="0.2">
      <c r="B33" s="72">
        <f t="shared" si="9"/>
        <v>1080</v>
      </c>
      <c r="C33" s="72">
        <v>18</v>
      </c>
      <c r="D33" s="73">
        <v>7.5332744088038153E-2</v>
      </c>
      <c r="E33" s="77">
        <f t="shared" si="10"/>
        <v>6.4183497963008507E-6</v>
      </c>
      <c r="F33" s="72">
        <f t="shared" si="13"/>
        <v>1598</v>
      </c>
      <c r="G33" s="72">
        <f t="shared" si="11"/>
        <v>1.598E-3</v>
      </c>
      <c r="H33" s="77">
        <f t="shared" si="12"/>
        <v>4.0164892342308203E-3</v>
      </c>
    </row>
    <row r="34" spans="1:9" ht="16" x14ac:dyDescent="0.2">
      <c r="B34" s="72">
        <f t="shared" si="9"/>
        <v>1260</v>
      </c>
      <c r="C34" s="72">
        <v>21</v>
      </c>
      <c r="D34" s="73">
        <v>9.0631433276379847E-2</v>
      </c>
      <c r="E34" s="77">
        <f t="shared" si="10"/>
        <v>7.721798115147562E-6</v>
      </c>
      <c r="F34" s="72">
        <f t="shared" si="13"/>
        <v>1581</v>
      </c>
      <c r="G34" s="72">
        <f t="shared" si="11"/>
        <v>1.5809999999999999E-3</v>
      </c>
      <c r="H34" s="77">
        <f t="shared" si="12"/>
        <v>4.8841227799794832E-3</v>
      </c>
    </row>
    <row r="35" spans="1:9" ht="16" x14ac:dyDescent="0.2">
      <c r="B35" s="72"/>
      <c r="C35" s="72"/>
      <c r="D35" s="75"/>
      <c r="E35" s="77"/>
      <c r="F35" s="72"/>
      <c r="G35" s="70" t="s">
        <v>132</v>
      </c>
      <c r="H35" s="80">
        <f>SLOPE(H28:H34,B28:B34)</f>
        <v>3.9432854404343446E-6</v>
      </c>
    </row>
    <row r="36" spans="1:9" ht="16" x14ac:dyDescent="0.2">
      <c r="B36" s="72"/>
      <c r="C36" s="72"/>
      <c r="D36" s="75"/>
      <c r="E36" s="77"/>
      <c r="F36" s="72"/>
      <c r="G36" s="70" t="s">
        <v>133</v>
      </c>
      <c r="H36" s="83">
        <f>RSQ(H28:H34,B28:B34)</f>
        <v>0.99172273722136461</v>
      </c>
    </row>
    <row r="37" spans="1:9" x14ac:dyDescent="0.2">
      <c r="A37" s="79"/>
      <c r="B37" s="79"/>
      <c r="C37" s="79"/>
      <c r="D37" s="79"/>
      <c r="E37" s="81"/>
      <c r="F37" s="79"/>
      <c r="G37" s="79"/>
      <c r="H37" s="79"/>
      <c r="I37" s="79"/>
    </row>
  </sheetData>
  <mergeCells count="3">
    <mergeCell ref="B2:H2"/>
    <mergeCell ref="B14:H14"/>
    <mergeCell ref="B26:H2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43EC-5F2B-485C-B370-6287CCC65A08}">
  <dimension ref="A1:R51"/>
  <sheetViews>
    <sheetView zoomScale="50" zoomScaleNormal="50" workbookViewId="0">
      <selection activeCell="K44" sqref="K44:K50"/>
    </sheetView>
  </sheetViews>
  <sheetFormatPr baseColWidth="10" defaultColWidth="11.5" defaultRowHeight="16" x14ac:dyDescent="0.2"/>
  <cols>
    <col min="1" max="1" width="25.6640625" style="1" bestFit="1" customWidth="1"/>
    <col min="2" max="2" width="19" style="1" bestFit="1" customWidth="1"/>
    <col min="3" max="3" width="31.1640625" style="1" customWidth="1"/>
    <col min="4" max="4" width="31.83203125" style="1" customWidth="1"/>
    <col min="5" max="5" width="24.33203125" style="1" bestFit="1" customWidth="1"/>
    <col min="6" max="6" width="19.83203125" style="1" bestFit="1" customWidth="1"/>
    <col min="7" max="7" width="19.83203125" style="1" customWidth="1"/>
    <col min="8" max="8" width="21.1640625" style="1" bestFit="1" customWidth="1"/>
    <col min="9" max="9" width="23" style="1" bestFit="1" customWidth="1"/>
    <col min="10" max="10" width="27.83203125" style="1" customWidth="1"/>
    <col min="11" max="11" width="12.83203125" style="53" bestFit="1" customWidth="1"/>
    <col min="12" max="12" width="11.5" style="1"/>
    <col min="13" max="13" width="12" style="1" bestFit="1" customWidth="1"/>
    <col min="14" max="14" width="11.5" style="1"/>
    <col min="15" max="15" width="21" style="1" customWidth="1"/>
    <col min="16" max="16" width="21.6640625" style="1" customWidth="1"/>
    <col min="17" max="17" width="23" style="1" customWidth="1"/>
    <col min="18" max="18" width="18.1640625" style="16" customWidth="1"/>
    <col min="19" max="16384" width="11.5" style="1"/>
  </cols>
  <sheetData>
    <row r="1" spans="1:18" x14ac:dyDescent="0.2">
      <c r="C1" s="16" t="s">
        <v>80</v>
      </c>
      <c r="D1" s="16" t="s">
        <v>81</v>
      </c>
      <c r="E1" s="16" t="s">
        <v>82</v>
      </c>
      <c r="F1" s="16" t="s">
        <v>83</v>
      </c>
      <c r="G1" s="16" t="s">
        <v>84</v>
      </c>
      <c r="H1" s="16" t="s">
        <v>85</v>
      </c>
      <c r="I1" s="16" t="s">
        <v>86</v>
      </c>
      <c r="J1" s="16" t="s">
        <v>87</v>
      </c>
    </row>
    <row r="2" spans="1:18" x14ac:dyDescent="0.2">
      <c r="C2" s="29">
        <v>448.3</v>
      </c>
      <c r="D2" s="84">
        <v>4.5</v>
      </c>
      <c r="E2" s="54">
        <f>(D2)/(1000*C2)</f>
        <v>1.003792103502119E-5</v>
      </c>
      <c r="F2" s="16">
        <v>0.05</v>
      </c>
      <c r="G2" s="16">
        <v>5.0000000000000001E-4</v>
      </c>
      <c r="H2" s="4">
        <f>C5/G2</f>
        <v>2.0075842070042382E-3</v>
      </c>
      <c r="I2" s="4">
        <f>(J7/(1000*J6))/0.001</f>
        <v>0.10566970492816313</v>
      </c>
      <c r="J2" s="16">
        <v>1000000</v>
      </c>
    </row>
    <row r="3" spans="1:18" ht="20" x14ac:dyDescent="0.2">
      <c r="B3" s="55"/>
      <c r="C3" s="16"/>
      <c r="D3" s="16"/>
      <c r="J3" s="56"/>
    </row>
    <row r="4" spans="1:18" x14ac:dyDescent="0.2">
      <c r="C4" s="89" t="s">
        <v>88</v>
      </c>
      <c r="D4" s="89" t="s">
        <v>137</v>
      </c>
      <c r="F4" s="85"/>
    </row>
    <row r="5" spans="1:18" x14ac:dyDescent="0.2">
      <c r="C5" s="87">
        <f>E2/10</f>
        <v>1.0037921035021191E-6</v>
      </c>
      <c r="D5" s="87">
        <f>C5</f>
        <v>1.0037921035021191E-6</v>
      </c>
      <c r="E5" s="87"/>
    </row>
    <row r="6" spans="1:18" x14ac:dyDescent="0.2">
      <c r="C6" s="16" t="s">
        <v>89</v>
      </c>
      <c r="D6" s="16" t="s">
        <v>89</v>
      </c>
      <c r="F6" s="57"/>
      <c r="I6" s="58" t="s">
        <v>90</v>
      </c>
      <c r="J6" s="56">
        <v>194.19</v>
      </c>
    </row>
    <row r="7" spans="1:18" x14ac:dyDescent="0.2">
      <c r="A7" s="8"/>
      <c r="B7" s="8"/>
      <c r="C7" s="5" t="s">
        <v>91</v>
      </c>
      <c r="D7" s="5" t="s">
        <v>92</v>
      </c>
      <c r="E7" s="5" t="s">
        <v>93</v>
      </c>
      <c r="G7" s="16"/>
      <c r="I7" s="58" t="s">
        <v>26</v>
      </c>
      <c r="J7" s="56">
        <v>20.52</v>
      </c>
    </row>
    <row r="8" spans="1:18" x14ac:dyDescent="0.2">
      <c r="C8" s="93">
        <f>((H2*G2)/F2)*J2</f>
        <v>20.075842070042381</v>
      </c>
      <c r="D8" s="94">
        <f>((H2*G2)/I2)*J2</f>
        <v>9.4993366753935913</v>
      </c>
      <c r="E8" s="93">
        <f>500-C8-D8</f>
        <v>470.42482125456405</v>
      </c>
      <c r="G8" s="54"/>
      <c r="I8" s="58"/>
      <c r="J8" s="59"/>
    </row>
    <row r="9" spans="1:18" x14ac:dyDescent="0.2">
      <c r="A9" s="66"/>
      <c r="B9" s="66"/>
      <c r="C9" s="66"/>
      <c r="D9" s="66"/>
      <c r="E9" s="66"/>
      <c r="F9" s="66"/>
      <c r="G9" s="66"/>
      <c r="H9" s="66"/>
      <c r="I9" s="66"/>
      <c r="J9" s="66"/>
      <c r="K9" s="67"/>
      <c r="L9" s="66"/>
      <c r="M9" s="66"/>
      <c r="P9" s="16"/>
    </row>
    <row r="10" spans="1:18" ht="20" x14ac:dyDescent="0.2">
      <c r="A10" s="55" t="s">
        <v>94</v>
      </c>
      <c r="P10" s="16"/>
    </row>
    <row r="11" spans="1:18" ht="17" thickBot="1" x14ac:dyDescent="0.25">
      <c r="A11" s="16" t="s">
        <v>179</v>
      </c>
      <c r="B11" s="8"/>
      <c r="C11" s="9"/>
      <c r="D11" s="26"/>
      <c r="E11" s="8"/>
      <c r="F11" s="8"/>
      <c r="G11" s="9"/>
      <c r="H11" s="8"/>
      <c r="I11" s="8"/>
      <c r="J11" s="8"/>
      <c r="K11" s="62"/>
      <c r="M11" s="8"/>
      <c r="O11" s="8"/>
      <c r="P11" s="16"/>
      <c r="Q11" s="16"/>
      <c r="R11" s="61"/>
    </row>
    <row r="12" spans="1:18" ht="20" x14ac:dyDescent="0.2">
      <c r="A12" s="136" t="s">
        <v>65</v>
      </c>
      <c r="B12" s="137"/>
      <c r="C12" s="9"/>
      <c r="D12" s="8"/>
      <c r="E12" s="8"/>
      <c r="F12" s="8"/>
      <c r="G12" s="8"/>
      <c r="H12" s="8"/>
      <c r="I12" s="8"/>
      <c r="J12" s="8"/>
      <c r="K12" s="60"/>
      <c r="O12" s="55"/>
      <c r="Q12" s="5"/>
      <c r="R12" s="89"/>
    </row>
    <row r="13" spans="1:18" ht="17" thickBot="1" x14ac:dyDescent="0.25">
      <c r="A13" s="138"/>
      <c r="B13" s="139"/>
      <c r="D13" s="17"/>
      <c r="G13" s="16"/>
      <c r="K13" s="63"/>
      <c r="O13" s="16"/>
      <c r="P13" s="16"/>
    </row>
    <row r="14" spans="1:18" x14ac:dyDescent="0.2">
      <c r="A14" s="8"/>
      <c r="E14" s="5" t="s">
        <v>101</v>
      </c>
      <c r="F14" s="64">
        <v>0.3201</v>
      </c>
      <c r="K14" s="63"/>
      <c r="O14" s="3"/>
      <c r="P14" s="3"/>
      <c r="Q14" s="17"/>
      <c r="R14" s="5"/>
    </row>
    <row r="15" spans="1:18" x14ac:dyDescent="0.2">
      <c r="A15" s="3" t="s">
        <v>96</v>
      </c>
      <c r="B15" s="3" t="s">
        <v>97</v>
      </c>
      <c r="C15" s="3" t="s">
        <v>109</v>
      </c>
      <c r="D15" s="3" t="s">
        <v>110</v>
      </c>
      <c r="E15" s="3" t="s">
        <v>111</v>
      </c>
      <c r="F15" s="3" t="s">
        <v>63</v>
      </c>
      <c r="G15" s="3" t="s">
        <v>98</v>
      </c>
      <c r="H15" s="3" t="s">
        <v>99</v>
      </c>
      <c r="I15" s="3" t="s">
        <v>100</v>
      </c>
      <c r="J15" s="3" t="s">
        <v>7</v>
      </c>
      <c r="K15" s="60" t="s">
        <v>112</v>
      </c>
      <c r="O15" s="8"/>
      <c r="P15" s="8"/>
      <c r="Q15" s="16"/>
      <c r="R15" s="121"/>
    </row>
    <row r="16" spans="1:18" x14ac:dyDescent="0.2">
      <c r="A16" s="8" t="s">
        <v>102</v>
      </c>
      <c r="B16" s="8">
        <v>3</v>
      </c>
      <c r="C16" s="9">
        <v>1.3</v>
      </c>
      <c r="D16" s="29">
        <v>5.03</v>
      </c>
      <c r="E16" s="29">
        <v>4.83</v>
      </c>
      <c r="F16" s="8">
        <f t="shared" ref="F16:F22" si="0">AVERAGE(D16:E16)</f>
        <v>4.93</v>
      </c>
      <c r="G16" s="9">
        <v>0.32</v>
      </c>
      <c r="H16" s="25">
        <v>205.5</v>
      </c>
      <c r="I16" s="29">
        <v>186.94</v>
      </c>
      <c r="J16" s="8">
        <f>AVERAGE(H16:I16)</f>
        <v>196.22</v>
      </c>
      <c r="K16" s="60">
        <f t="shared" ref="K16:K22" si="1">(F16/J16)*$F$14*($D$5/$C$5)</f>
        <v>8.0424676383650997E-3</v>
      </c>
      <c r="O16" s="8"/>
      <c r="P16" s="8"/>
      <c r="Q16" s="16"/>
      <c r="R16" s="61"/>
    </row>
    <row r="17" spans="1:18" x14ac:dyDescent="0.2">
      <c r="A17" s="8" t="s">
        <v>103</v>
      </c>
      <c r="B17" s="8">
        <v>6</v>
      </c>
      <c r="C17" s="9">
        <v>1.3</v>
      </c>
      <c r="D17" s="29">
        <v>11.36</v>
      </c>
      <c r="E17" s="95">
        <v>12</v>
      </c>
      <c r="F17" s="8">
        <f t="shared" si="0"/>
        <v>11.68</v>
      </c>
      <c r="G17" s="9">
        <v>0.32</v>
      </c>
      <c r="H17" s="25">
        <v>175.4</v>
      </c>
      <c r="I17" s="25">
        <v>199.92</v>
      </c>
      <c r="J17" s="8">
        <f t="shared" ref="J17:J20" si="2">AVERAGE(H17:I17)</f>
        <v>187.66</v>
      </c>
      <c r="K17" s="60">
        <f t="shared" si="1"/>
        <v>1.9923094958968348E-2</v>
      </c>
      <c r="O17" s="8"/>
      <c r="P17" s="8"/>
      <c r="Q17" s="16"/>
      <c r="R17" s="61"/>
    </row>
    <row r="18" spans="1:18" ht="14.5" customHeight="1" x14ac:dyDescent="0.2">
      <c r="A18" s="8" t="s">
        <v>104</v>
      </c>
      <c r="B18" s="8">
        <v>9</v>
      </c>
      <c r="C18" s="9">
        <v>1.3</v>
      </c>
      <c r="D18" s="29">
        <v>21.16</v>
      </c>
      <c r="E18" s="25">
        <v>21.454999999999998</v>
      </c>
      <c r="F18" s="8">
        <f t="shared" si="0"/>
        <v>21.307499999999997</v>
      </c>
      <c r="G18" s="9">
        <v>0.32</v>
      </c>
      <c r="H18" s="29">
        <v>208.5</v>
      </c>
      <c r="I18" s="25">
        <v>220.2</v>
      </c>
      <c r="J18" s="8">
        <f t="shared" si="2"/>
        <v>214.35</v>
      </c>
      <c r="K18" s="60">
        <f t="shared" si="1"/>
        <v>3.1819597620713784E-2</v>
      </c>
      <c r="O18" s="8"/>
      <c r="P18" s="8"/>
      <c r="Q18" s="16"/>
      <c r="R18" s="61"/>
    </row>
    <row r="19" spans="1:18" x14ac:dyDescent="0.2">
      <c r="A19" s="8" t="s">
        <v>105</v>
      </c>
      <c r="B19" s="8">
        <v>12</v>
      </c>
      <c r="C19" s="9">
        <v>1.3</v>
      </c>
      <c r="D19" s="29">
        <v>30.97</v>
      </c>
      <c r="E19" s="29">
        <v>30.74</v>
      </c>
      <c r="F19" s="8">
        <f t="shared" si="0"/>
        <v>30.854999999999997</v>
      </c>
      <c r="G19" s="9">
        <v>0.32</v>
      </c>
      <c r="H19" s="29">
        <v>214.19</v>
      </c>
      <c r="I19" s="29">
        <v>200.91</v>
      </c>
      <c r="J19" s="8">
        <f t="shared" si="2"/>
        <v>207.55</v>
      </c>
      <c r="K19" s="60">
        <f t="shared" si="1"/>
        <v>4.7587017586123818E-2</v>
      </c>
      <c r="O19" s="8"/>
      <c r="P19" s="8"/>
      <c r="Q19" s="16"/>
      <c r="R19" s="61"/>
    </row>
    <row r="20" spans="1:18" x14ac:dyDescent="0.2">
      <c r="A20" s="8" t="s">
        <v>106</v>
      </c>
      <c r="B20" s="8">
        <v>15</v>
      </c>
      <c r="C20" s="9">
        <v>1.3</v>
      </c>
      <c r="D20" s="29">
        <v>40.17</v>
      </c>
      <c r="E20" s="29">
        <v>39.47</v>
      </c>
      <c r="F20" s="8">
        <f t="shared" si="0"/>
        <v>39.82</v>
      </c>
      <c r="G20" s="9">
        <v>0.32</v>
      </c>
      <c r="H20" s="29">
        <v>191.62</v>
      </c>
      <c r="I20" s="29">
        <v>208.64</v>
      </c>
      <c r="J20" s="8">
        <f t="shared" si="2"/>
        <v>200.13</v>
      </c>
      <c r="K20" s="60">
        <f t="shared" si="1"/>
        <v>6.3690511167740965E-2</v>
      </c>
      <c r="O20" s="8"/>
      <c r="P20" s="8"/>
      <c r="Q20" s="16"/>
      <c r="R20" s="61"/>
    </row>
    <row r="21" spans="1:18" x14ac:dyDescent="0.2">
      <c r="A21" s="8" t="s">
        <v>107</v>
      </c>
      <c r="B21" s="8">
        <v>18</v>
      </c>
      <c r="C21" s="9">
        <v>1.3</v>
      </c>
      <c r="D21" s="29">
        <v>54.02</v>
      </c>
      <c r="E21" s="29">
        <v>53.69</v>
      </c>
      <c r="F21" s="8">
        <f t="shared" si="0"/>
        <v>53.855000000000004</v>
      </c>
      <c r="G21" s="9">
        <v>0.32</v>
      </c>
      <c r="H21" s="25">
        <v>202.7</v>
      </c>
      <c r="I21" s="25">
        <v>215.75</v>
      </c>
      <c r="J21" s="8">
        <f>AVERAGE(H21:I21)</f>
        <v>209.22499999999999</v>
      </c>
      <c r="K21" s="60">
        <f t="shared" si="1"/>
        <v>8.2394482016967391E-2</v>
      </c>
      <c r="O21" s="8"/>
      <c r="P21" s="8"/>
      <c r="Q21" s="16"/>
      <c r="R21" s="61"/>
    </row>
    <row r="22" spans="1:18" x14ac:dyDescent="0.2">
      <c r="A22" s="8" t="s">
        <v>108</v>
      </c>
      <c r="B22" s="8">
        <v>21</v>
      </c>
      <c r="C22" s="9">
        <v>1.3</v>
      </c>
      <c r="D22" s="29">
        <v>65.150000000000006</v>
      </c>
      <c r="E22" s="29">
        <v>66.14</v>
      </c>
      <c r="F22" s="8">
        <f t="shared" si="0"/>
        <v>65.64500000000001</v>
      </c>
      <c r="G22" s="9">
        <v>0.32</v>
      </c>
      <c r="H22" s="25">
        <v>197.35</v>
      </c>
      <c r="I22" s="25">
        <v>200.21</v>
      </c>
      <c r="J22" s="8">
        <f t="shared" ref="J22" si="3">AVERAGE(H22:I22)</f>
        <v>198.78</v>
      </c>
      <c r="K22" s="60">
        <f t="shared" si="1"/>
        <v>0.10570965137337761</v>
      </c>
      <c r="O22" s="8"/>
      <c r="P22" s="16"/>
      <c r="Q22" s="16"/>
      <c r="R22" s="61"/>
    </row>
    <row r="23" spans="1:18" x14ac:dyDescent="0.2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7"/>
      <c r="L23" s="66"/>
      <c r="M23" s="66"/>
    </row>
    <row r="24" spans="1:18" ht="20" x14ac:dyDescent="0.2">
      <c r="A24" s="55" t="s">
        <v>94</v>
      </c>
    </row>
    <row r="25" spans="1:18" ht="17" thickBot="1" x14ac:dyDescent="0.25">
      <c r="A25" s="16" t="s">
        <v>180</v>
      </c>
      <c r="B25" s="8"/>
      <c r="C25" s="9"/>
      <c r="D25" s="26"/>
      <c r="E25" s="8"/>
      <c r="F25" s="8"/>
      <c r="G25" s="9"/>
      <c r="H25" s="8"/>
      <c r="I25" s="8"/>
      <c r="J25" s="8"/>
      <c r="K25" s="62"/>
      <c r="M25" s="8"/>
    </row>
    <row r="26" spans="1:18" x14ac:dyDescent="0.2">
      <c r="A26" s="136" t="s">
        <v>65</v>
      </c>
      <c r="B26" s="137"/>
      <c r="C26" s="9"/>
      <c r="D26" s="8"/>
      <c r="E26" s="8"/>
      <c r="F26" s="8"/>
      <c r="G26" s="8"/>
      <c r="H26" s="8"/>
      <c r="I26" s="8"/>
      <c r="J26" s="8"/>
      <c r="K26" s="60"/>
    </row>
    <row r="27" spans="1:18" ht="17" thickBot="1" x14ac:dyDescent="0.25">
      <c r="A27" s="138"/>
      <c r="B27" s="139"/>
      <c r="D27" s="17"/>
      <c r="G27" s="16"/>
      <c r="K27" s="63"/>
    </row>
    <row r="28" spans="1:18" x14ac:dyDescent="0.2">
      <c r="A28" s="8"/>
      <c r="E28" s="5" t="s">
        <v>101</v>
      </c>
      <c r="F28" s="64">
        <v>0.3201</v>
      </c>
      <c r="K28" s="63"/>
    </row>
    <row r="29" spans="1:18" x14ac:dyDescent="0.2">
      <c r="A29" s="3" t="s">
        <v>96</v>
      </c>
      <c r="B29" s="3" t="s">
        <v>97</v>
      </c>
      <c r="C29" s="3" t="s">
        <v>109</v>
      </c>
      <c r="D29" s="3" t="s">
        <v>110</v>
      </c>
      <c r="E29" s="3" t="s">
        <v>111</v>
      </c>
      <c r="F29" s="3" t="s">
        <v>63</v>
      </c>
      <c r="G29" s="3" t="s">
        <v>98</v>
      </c>
      <c r="H29" s="3" t="s">
        <v>99</v>
      </c>
      <c r="I29" s="3" t="s">
        <v>100</v>
      </c>
      <c r="J29" s="3" t="s">
        <v>7</v>
      </c>
      <c r="K29" s="60" t="s">
        <v>112</v>
      </c>
    </row>
    <row r="30" spans="1:18" x14ac:dyDescent="0.2">
      <c r="A30" s="8" t="s">
        <v>102</v>
      </c>
      <c r="B30" s="8">
        <v>3</v>
      </c>
      <c r="C30" s="9">
        <v>1.3</v>
      </c>
      <c r="D30" s="29">
        <v>5.38</v>
      </c>
      <c r="E30" s="29">
        <v>5.37</v>
      </c>
      <c r="F30" s="8">
        <f t="shared" ref="F30:F36" si="4">AVERAGE(D30:E30)</f>
        <v>5.375</v>
      </c>
      <c r="G30" s="9">
        <v>0.32</v>
      </c>
      <c r="H30" s="25">
        <v>214.59</v>
      </c>
      <c r="I30" s="25">
        <v>216.15</v>
      </c>
      <c r="J30" s="8">
        <f>AVERAGE(H30:I30)</f>
        <v>215.37</v>
      </c>
      <c r="K30" s="60">
        <f t="shared" ref="K30:K36" si="5">(F30/J30)*$F$14*($D$5/$C$5)</f>
        <v>7.9887519153085396E-3</v>
      </c>
    </row>
    <row r="31" spans="1:18" x14ac:dyDescent="0.2">
      <c r="A31" s="8" t="s">
        <v>103</v>
      </c>
      <c r="B31" s="8">
        <v>6</v>
      </c>
      <c r="C31" s="9">
        <v>1.3</v>
      </c>
      <c r="D31" s="29">
        <v>12.34</v>
      </c>
      <c r="E31" s="95">
        <v>12.6</v>
      </c>
      <c r="F31" s="8">
        <f t="shared" si="4"/>
        <v>12.469999999999999</v>
      </c>
      <c r="G31" s="9">
        <v>0.32</v>
      </c>
      <c r="H31" s="25">
        <v>212.93</v>
      </c>
      <c r="I31" s="25">
        <v>213.26</v>
      </c>
      <c r="J31" s="8">
        <f t="shared" ref="J31:J34" si="6">AVERAGE(H31:I31)</f>
        <v>213.095</v>
      </c>
      <c r="K31" s="60">
        <f t="shared" si="5"/>
        <v>1.873177221427063E-2</v>
      </c>
    </row>
    <row r="32" spans="1:18" x14ac:dyDescent="0.2">
      <c r="A32" s="8" t="s">
        <v>104</v>
      </c>
      <c r="B32" s="8">
        <v>9</v>
      </c>
      <c r="C32" s="9">
        <v>1.3</v>
      </c>
      <c r="D32" s="29">
        <v>21.13</v>
      </c>
      <c r="E32" s="25">
        <v>20.8</v>
      </c>
      <c r="F32" s="8">
        <f t="shared" si="4"/>
        <v>20.965</v>
      </c>
      <c r="G32" s="9">
        <v>0.32</v>
      </c>
      <c r="H32" s="29">
        <v>218.78</v>
      </c>
      <c r="I32" s="25">
        <v>218.24</v>
      </c>
      <c r="J32" s="8">
        <f t="shared" si="6"/>
        <v>218.51</v>
      </c>
      <c r="K32" s="60">
        <f t="shared" si="5"/>
        <v>3.0712079538693881E-2</v>
      </c>
    </row>
    <row r="33" spans="1:13" x14ac:dyDescent="0.2">
      <c r="A33" s="8" t="s">
        <v>105</v>
      </c>
      <c r="B33" s="8">
        <v>12</v>
      </c>
      <c r="C33" s="9">
        <v>1.3</v>
      </c>
      <c r="D33" s="29">
        <v>29.84</v>
      </c>
      <c r="E33" s="29">
        <v>30.58</v>
      </c>
      <c r="F33" s="8">
        <f t="shared" si="4"/>
        <v>30.21</v>
      </c>
      <c r="G33" s="9">
        <v>0.32</v>
      </c>
      <c r="H33" s="29">
        <v>213.59</v>
      </c>
      <c r="I33" s="29">
        <v>217.52</v>
      </c>
      <c r="J33" s="8">
        <f t="shared" si="6"/>
        <v>215.55500000000001</v>
      </c>
      <c r="K33" s="60">
        <f t="shared" si="5"/>
        <v>4.4861965623622747E-2</v>
      </c>
    </row>
    <row r="34" spans="1:13" x14ac:dyDescent="0.2">
      <c r="A34" s="8" t="s">
        <v>106</v>
      </c>
      <c r="B34" s="8">
        <v>15</v>
      </c>
      <c r="C34" s="9">
        <v>1.3</v>
      </c>
      <c r="D34" s="29">
        <v>41.75</v>
      </c>
      <c r="E34" s="29">
        <v>41.73</v>
      </c>
      <c r="F34" s="8">
        <f t="shared" si="4"/>
        <v>41.739999999999995</v>
      </c>
      <c r="G34" s="9">
        <v>0.32</v>
      </c>
      <c r="H34" s="29">
        <v>198.92</v>
      </c>
      <c r="I34" s="29">
        <v>200.07</v>
      </c>
      <c r="J34" s="8">
        <f t="shared" si="6"/>
        <v>199.495</v>
      </c>
      <c r="K34" s="60">
        <f t="shared" si="5"/>
        <v>6.6973979297726749E-2</v>
      </c>
    </row>
    <row r="35" spans="1:13" ht="15" customHeight="1" x14ac:dyDescent="0.2">
      <c r="A35" s="8" t="s">
        <v>107</v>
      </c>
      <c r="B35" s="8">
        <v>18</v>
      </c>
      <c r="C35" s="9">
        <v>1.3</v>
      </c>
      <c r="D35" s="29">
        <v>52.43</v>
      </c>
      <c r="E35" s="29">
        <v>50.21</v>
      </c>
      <c r="F35" s="8">
        <f t="shared" si="4"/>
        <v>51.32</v>
      </c>
      <c r="G35" s="9">
        <v>0.32</v>
      </c>
      <c r="H35" s="25">
        <v>213.91</v>
      </c>
      <c r="I35" s="25">
        <v>207.87</v>
      </c>
      <c r="J35" s="8">
        <f>AVERAGE(H35:I35)</f>
        <v>210.89</v>
      </c>
      <c r="K35" s="60">
        <f t="shared" si="5"/>
        <v>7.7896211294987916E-2</v>
      </c>
    </row>
    <row r="36" spans="1:13" ht="15.25" customHeight="1" x14ac:dyDescent="0.2">
      <c r="A36" s="8" t="s">
        <v>108</v>
      </c>
      <c r="B36" s="8">
        <v>21</v>
      </c>
      <c r="C36" s="9">
        <v>1.3</v>
      </c>
      <c r="D36" s="29">
        <v>62.74</v>
      </c>
      <c r="E36" s="29">
        <v>63.43</v>
      </c>
      <c r="F36" s="8">
        <f t="shared" si="4"/>
        <v>63.085000000000001</v>
      </c>
      <c r="G36" s="9">
        <v>0.32</v>
      </c>
      <c r="H36" s="25">
        <v>215.63</v>
      </c>
      <c r="I36" s="25">
        <v>217.18</v>
      </c>
      <c r="J36" s="8">
        <f t="shared" ref="J36" si="7">AVERAGE(H36:I36)</f>
        <v>216.405</v>
      </c>
      <c r="K36" s="60">
        <f t="shared" si="5"/>
        <v>9.3313502460664041E-2</v>
      </c>
    </row>
    <row r="37" spans="1:13" x14ac:dyDescent="0.2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7"/>
      <c r="L37" s="66"/>
      <c r="M37" s="66"/>
    </row>
    <row r="38" spans="1:13" ht="20" x14ac:dyDescent="0.2">
      <c r="A38" s="55" t="s">
        <v>94</v>
      </c>
    </row>
    <row r="39" spans="1:13" ht="17" thickBot="1" x14ac:dyDescent="0.25">
      <c r="A39" s="16" t="s">
        <v>181</v>
      </c>
      <c r="B39" s="8"/>
      <c r="C39" s="9"/>
      <c r="D39" s="26"/>
      <c r="E39" s="8"/>
      <c r="F39" s="8"/>
      <c r="G39" s="9"/>
      <c r="H39" s="8"/>
      <c r="I39" s="8"/>
      <c r="J39" s="8"/>
      <c r="K39" s="62"/>
      <c r="M39" s="8"/>
    </row>
    <row r="40" spans="1:13" x14ac:dyDescent="0.2">
      <c r="A40" s="136" t="s">
        <v>65</v>
      </c>
      <c r="B40" s="137"/>
      <c r="C40" s="9"/>
      <c r="D40" s="8"/>
      <c r="E40" s="8"/>
      <c r="F40" s="8"/>
      <c r="G40" s="8"/>
      <c r="H40" s="8"/>
      <c r="I40" s="8"/>
      <c r="J40" s="8"/>
      <c r="K40" s="60"/>
    </row>
    <row r="41" spans="1:13" ht="17" thickBot="1" x14ac:dyDescent="0.25">
      <c r="A41" s="138"/>
      <c r="B41" s="139"/>
      <c r="D41" s="17"/>
      <c r="G41" s="16"/>
      <c r="K41" s="63"/>
    </row>
    <row r="42" spans="1:13" x14ac:dyDescent="0.2">
      <c r="A42" s="8"/>
      <c r="E42" s="5" t="s">
        <v>101</v>
      </c>
      <c r="F42" s="64">
        <v>0.3201</v>
      </c>
      <c r="K42" s="63"/>
    </row>
    <row r="43" spans="1:13" ht="15" customHeight="1" x14ac:dyDescent="0.2">
      <c r="A43" s="3" t="s">
        <v>96</v>
      </c>
      <c r="B43" s="3" t="s">
        <v>97</v>
      </c>
      <c r="C43" s="3" t="s">
        <v>109</v>
      </c>
      <c r="D43" s="3" t="s">
        <v>110</v>
      </c>
      <c r="E43" s="3" t="s">
        <v>111</v>
      </c>
      <c r="F43" s="3" t="s">
        <v>63</v>
      </c>
      <c r="G43" s="3" t="s">
        <v>98</v>
      </c>
      <c r="H43" s="3" t="s">
        <v>99</v>
      </c>
      <c r="I43" s="3" t="s">
        <v>100</v>
      </c>
      <c r="J43" s="3" t="s">
        <v>7</v>
      </c>
      <c r="K43" s="60" t="s">
        <v>112</v>
      </c>
    </row>
    <row r="44" spans="1:13" x14ac:dyDescent="0.2">
      <c r="A44" s="8" t="s">
        <v>102</v>
      </c>
      <c r="B44" s="8">
        <v>3</v>
      </c>
      <c r="C44" s="9">
        <v>1.3</v>
      </c>
      <c r="D44" s="29">
        <v>5.46</v>
      </c>
      <c r="E44" s="29">
        <v>5.34</v>
      </c>
      <c r="F44" s="8">
        <f t="shared" ref="F44:F50" si="8">AVERAGE(D44:E44)</f>
        <v>5.4</v>
      </c>
      <c r="G44" s="9">
        <v>0.32</v>
      </c>
      <c r="H44" s="25">
        <v>183.79</v>
      </c>
      <c r="I44" s="29">
        <v>179.29</v>
      </c>
      <c r="J44" s="8">
        <f>AVERAGE(H44:I44)</f>
        <v>181.54</v>
      </c>
      <c r="K44" s="60">
        <f t="shared" ref="K44:K50" si="9">(F44/J44)*$F$14*($D$5/$C$5)</f>
        <v>9.5215379530681956E-3</v>
      </c>
    </row>
    <row r="45" spans="1:13" x14ac:dyDescent="0.2">
      <c r="A45" s="8" t="s">
        <v>103</v>
      </c>
      <c r="B45" s="8">
        <v>6</v>
      </c>
      <c r="C45" s="9">
        <v>1.3</v>
      </c>
      <c r="D45" s="29">
        <v>12.98</v>
      </c>
      <c r="E45" s="95">
        <v>13.05</v>
      </c>
      <c r="F45" s="8">
        <f t="shared" si="8"/>
        <v>13.015000000000001</v>
      </c>
      <c r="G45" s="9">
        <v>0.32</v>
      </c>
      <c r="H45" s="25">
        <v>214.95</v>
      </c>
      <c r="I45" s="25">
        <v>199.67</v>
      </c>
      <c r="J45" s="8">
        <f t="shared" ref="J45:J48" si="10">AVERAGE(H45:I45)</f>
        <v>207.31</v>
      </c>
      <c r="K45" s="60">
        <f t="shared" si="9"/>
        <v>2.0095998745839568E-2</v>
      </c>
    </row>
    <row r="46" spans="1:13" x14ac:dyDescent="0.2">
      <c r="A46" s="8" t="s">
        <v>104</v>
      </c>
      <c r="B46" s="8">
        <v>9</v>
      </c>
      <c r="C46" s="9">
        <v>1.3</v>
      </c>
      <c r="D46" s="29">
        <v>21.86</v>
      </c>
      <c r="E46" s="25">
        <v>22.61</v>
      </c>
      <c r="F46" s="8">
        <f t="shared" si="8"/>
        <v>22.234999999999999</v>
      </c>
      <c r="G46" s="9">
        <v>0.32</v>
      </c>
      <c r="H46" s="25">
        <v>210.04</v>
      </c>
      <c r="I46" s="25">
        <v>210.2</v>
      </c>
      <c r="J46" s="8">
        <f t="shared" si="10"/>
        <v>210.12</v>
      </c>
      <c r="K46" s="60">
        <f t="shared" si="9"/>
        <v>3.3873136778983438E-2</v>
      </c>
    </row>
    <row r="47" spans="1:13" x14ac:dyDescent="0.2">
      <c r="A47" s="8" t="s">
        <v>105</v>
      </c>
      <c r="B47" s="8">
        <v>12</v>
      </c>
      <c r="C47" s="9">
        <v>1.3</v>
      </c>
      <c r="D47" s="29">
        <v>32.97</v>
      </c>
      <c r="E47" s="29">
        <v>32.65</v>
      </c>
      <c r="F47" s="8">
        <f t="shared" si="8"/>
        <v>32.81</v>
      </c>
      <c r="G47" s="9">
        <v>0.32</v>
      </c>
      <c r="H47" s="29">
        <v>206.9</v>
      </c>
      <c r="I47" s="29">
        <v>209.95</v>
      </c>
      <c r="J47" s="8">
        <f t="shared" si="10"/>
        <v>208.42500000000001</v>
      </c>
      <c r="K47" s="60">
        <f t="shared" si="9"/>
        <v>5.0389737315581148E-2</v>
      </c>
    </row>
    <row r="48" spans="1:13" x14ac:dyDescent="0.2">
      <c r="A48" s="8" t="s">
        <v>106</v>
      </c>
      <c r="B48" s="8">
        <v>15</v>
      </c>
      <c r="C48" s="9">
        <v>1.3</v>
      </c>
      <c r="D48" s="24">
        <v>43.7</v>
      </c>
      <c r="E48" s="29">
        <v>43.23</v>
      </c>
      <c r="F48" s="8">
        <f t="shared" si="8"/>
        <v>43.465000000000003</v>
      </c>
      <c r="G48" s="9">
        <v>0.32</v>
      </c>
      <c r="H48" s="25">
        <v>209.79</v>
      </c>
      <c r="I48" s="84">
        <v>210.56</v>
      </c>
      <c r="J48" s="8">
        <f t="shared" si="10"/>
        <v>210.17500000000001</v>
      </c>
      <c r="K48" s="60">
        <f t="shared" si="9"/>
        <v>6.619791364339242E-2</v>
      </c>
    </row>
    <row r="49" spans="1:13" ht="15" customHeight="1" x14ac:dyDescent="0.2">
      <c r="A49" s="8" t="s">
        <v>107</v>
      </c>
      <c r="B49" s="8">
        <v>18</v>
      </c>
      <c r="C49" s="9">
        <v>1.3</v>
      </c>
      <c r="D49" s="29">
        <v>54.14</v>
      </c>
      <c r="E49" s="29">
        <v>55.6</v>
      </c>
      <c r="F49" s="8">
        <f t="shared" si="8"/>
        <v>54.870000000000005</v>
      </c>
      <c r="G49" s="9">
        <v>0.32</v>
      </c>
      <c r="H49" s="84">
        <v>204.95</v>
      </c>
      <c r="I49" s="25">
        <v>218.71</v>
      </c>
      <c r="J49" s="8">
        <f>AVERAGE(H49:I49)</f>
        <v>211.82999999999998</v>
      </c>
      <c r="K49" s="60">
        <f t="shared" si="9"/>
        <v>8.2915012037954983E-2</v>
      </c>
    </row>
    <row r="50" spans="1:13" ht="15.25" customHeight="1" x14ac:dyDescent="0.2">
      <c r="A50" s="8" t="s">
        <v>108</v>
      </c>
      <c r="B50" s="8">
        <v>21</v>
      </c>
      <c r="C50" s="9">
        <v>1.3</v>
      </c>
      <c r="D50" s="29">
        <v>67.72</v>
      </c>
      <c r="E50" s="29">
        <v>67.989999999999995</v>
      </c>
      <c r="F50" s="8">
        <f t="shared" si="8"/>
        <v>67.85499999999999</v>
      </c>
      <c r="G50" s="9">
        <v>0.32</v>
      </c>
      <c r="H50" s="25">
        <v>218.81</v>
      </c>
      <c r="I50" s="25">
        <v>203.97</v>
      </c>
      <c r="J50" s="8">
        <f t="shared" ref="J50" si="11">AVERAGE(H50:I50)</f>
        <v>211.39</v>
      </c>
      <c r="K50" s="60">
        <f t="shared" si="9"/>
        <v>0.10275029802734281</v>
      </c>
    </row>
    <row r="51" spans="1:13" x14ac:dyDescent="0.2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7"/>
      <c r="L51" s="66"/>
      <c r="M51" s="66"/>
    </row>
  </sheetData>
  <mergeCells count="3">
    <mergeCell ref="A12:B13"/>
    <mergeCell ref="A26:B27"/>
    <mergeCell ref="A40:B41"/>
  </mergeCells>
  <conditionalFormatting sqref="K16:K22">
    <cfRule type="cellIs" dxfId="41" priority="31" operator="between">
      <formula>0.51</formula>
      <formula>0.149</formula>
    </cfRule>
    <cfRule type="cellIs" dxfId="40" priority="35" operator="greaterThan">
      <formula>0.15</formula>
    </cfRule>
    <cfRule type="cellIs" dxfId="39" priority="36" operator="lessThan">
      <formula>0.05</formula>
    </cfRule>
  </conditionalFormatting>
  <conditionalFormatting sqref="K15:K22">
    <cfRule type="cellIs" dxfId="38" priority="32" operator="between">
      <formula>0.151</formula>
      <formula>0.849</formula>
    </cfRule>
    <cfRule type="cellIs" dxfId="37" priority="33" operator="greaterThan">
      <formula>0.85</formula>
    </cfRule>
    <cfRule type="cellIs" dxfId="36" priority="34" operator="lessThan">
      <formula>0.15</formula>
    </cfRule>
  </conditionalFormatting>
  <conditionalFormatting sqref="K30:K36">
    <cfRule type="cellIs" dxfId="35" priority="19" operator="between">
      <formula>0.51</formula>
      <formula>0.149</formula>
    </cfRule>
    <cfRule type="cellIs" dxfId="34" priority="23" operator="greaterThan">
      <formula>0.15</formula>
    </cfRule>
    <cfRule type="cellIs" dxfId="33" priority="24" operator="lessThan">
      <formula>0.05</formula>
    </cfRule>
  </conditionalFormatting>
  <conditionalFormatting sqref="K29:K36">
    <cfRule type="cellIs" dxfId="32" priority="20" operator="between">
      <formula>0.151</formula>
      <formula>0.849</formula>
    </cfRule>
    <cfRule type="cellIs" dxfId="31" priority="21" operator="greaterThan">
      <formula>0.85</formula>
    </cfRule>
    <cfRule type="cellIs" dxfId="30" priority="22" operator="lessThan">
      <formula>0.15</formula>
    </cfRule>
  </conditionalFormatting>
  <conditionalFormatting sqref="K44:K50">
    <cfRule type="cellIs" dxfId="29" priority="13" operator="between">
      <formula>0.51</formula>
      <formula>0.149</formula>
    </cfRule>
    <cfRule type="cellIs" dxfId="28" priority="17" operator="greaterThan">
      <formula>0.15</formula>
    </cfRule>
    <cfRule type="cellIs" dxfId="27" priority="18" operator="lessThan">
      <formula>0.05</formula>
    </cfRule>
  </conditionalFormatting>
  <conditionalFormatting sqref="K43:K50">
    <cfRule type="cellIs" dxfId="26" priority="14" operator="between">
      <formula>0.151</formula>
      <formula>0.849</formula>
    </cfRule>
    <cfRule type="cellIs" dxfId="25" priority="15" operator="greaterThan">
      <formula>0.85</formula>
    </cfRule>
    <cfRule type="cellIs" dxfId="24" priority="16" operator="lessThan">
      <formula>0.15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Hammett Analysis</vt:lpstr>
      <vt:lpstr>Standard Curve Raw Data</vt:lpstr>
      <vt:lpstr>Raw Data 4H</vt:lpstr>
      <vt:lpstr>Analysis 4H</vt:lpstr>
      <vt:lpstr>Raw Data 4TMS</vt:lpstr>
      <vt:lpstr>Analysis 4TMS</vt:lpstr>
      <vt:lpstr>Raw Data 4F</vt:lpstr>
      <vt:lpstr>Analysis 4F</vt:lpstr>
      <vt:lpstr>Raw Data 4I</vt:lpstr>
      <vt:lpstr>Analysis 4I</vt:lpstr>
      <vt:lpstr>Raw Data 4Br</vt:lpstr>
      <vt:lpstr>Analysis 4Br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Vonesh</dc:creator>
  <cp:lastModifiedBy>Microsoft Office User</cp:lastModifiedBy>
  <dcterms:created xsi:type="dcterms:W3CDTF">2021-03-25T19:22:16Z</dcterms:created>
  <dcterms:modified xsi:type="dcterms:W3CDTF">2021-10-07T02:01:08Z</dcterms:modified>
</cp:coreProperties>
</file>