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shu\git\NMR\DEPT NMR Analysis\"/>
    </mc:Choice>
  </mc:AlternateContent>
  <xr:revisionPtr revIDLastSave="0" documentId="13_ncr:1_{1589D4BF-9166-411A-B3DC-A1B43C8A3D13}" xr6:coauthVersionLast="47" xr6:coauthVersionMax="47" xr10:uidLastSave="{00000000-0000-0000-0000-000000000000}"/>
  <bookViews>
    <workbookView xWindow="-120" yWindow="-120" windowWidth="20730" windowHeight="11280" activeTab="2" xr2:uid="{44102555-B030-4761-84F8-88D3C2C4E8A0}"/>
  </bookViews>
  <sheets>
    <sheet name="Raw Data" sheetId="5" r:id="rId1"/>
    <sheet name="KIE" sheetId="6" r:id="rId2"/>
    <sheet name="Error"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6" i="5" l="1" a="1"/>
  <c r="U6" i="5"/>
  <c r="G19" i="6" l="1"/>
  <c r="G21" i="6"/>
  <c r="G23" i="6"/>
  <c r="G25" i="6"/>
  <c r="P12" i="7"/>
  <c r="O12" i="7"/>
  <c r="N12" i="7"/>
  <c r="M12" i="7"/>
  <c r="M19" i="7" s="1"/>
  <c r="L12" i="7"/>
  <c r="L19" i="7" s="1"/>
  <c r="K12" i="7"/>
  <c r="K19" i="7" s="1"/>
  <c r="J12" i="7"/>
  <c r="J19" i="7" s="1"/>
  <c r="H12" i="7"/>
  <c r="H19" i="7" s="1"/>
  <c r="F12" i="7"/>
  <c r="E12" i="7"/>
  <c r="D12" i="7"/>
  <c r="P11" i="7"/>
  <c r="P18" i="7" s="1"/>
  <c r="O11" i="7"/>
  <c r="O18" i="7" s="1"/>
  <c r="N11" i="7"/>
  <c r="N18" i="7" s="1"/>
  <c r="M11" i="7"/>
  <c r="M18" i="7" s="1"/>
  <c r="L11" i="7"/>
  <c r="L18" i="7" s="1"/>
  <c r="K11" i="7"/>
  <c r="K18" i="7" s="1"/>
  <c r="J11" i="7"/>
  <c r="J18" i="7" s="1"/>
  <c r="H11" i="7"/>
  <c r="F11" i="7"/>
  <c r="F18" i="7" s="1"/>
  <c r="E11" i="7"/>
  <c r="E18" i="7" s="1"/>
  <c r="D11" i="7"/>
  <c r="D18" i="7" s="1"/>
  <c r="P10" i="7"/>
  <c r="P16" i="7" s="1"/>
  <c r="O10" i="7"/>
  <c r="O16" i="7" s="1"/>
  <c r="N10" i="7"/>
  <c r="M10" i="7"/>
  <c r="M16" i="7" s="1"/>
  <c r="L10" i="7"/>
  <c r="K10" i="7"/>
  <c r="K16" i="7" s="1"/>
  <c r="J10" i="7"/>
  <c r="J16" i="7" s="1"/>
  <c r="H10" i="7"/>
  <c r="H16" i="7" s="1"/>
  <c r="F10" i="7"/>
  <c r="F16" i="7" s="1"/>
  <c r="E10" i="7"/>
  <c r="E16" i="7" s="1"/>
  <c r="D10" i="7"/>
  <c r="D16" i="7" s="1"/>
  <c r="P9" i="7"/>
  <c r="P15" i="7" s="1"/>
  <c r="O9" i="7"/>
  <c r="N9" i="7"/>
  <c r="N15" i="7" s="1"/>
  <c r="M9" i="7"/>
  <c r="M15" i="7" s="1"/>
  <c r="M17" i="7" s="1"/>
  <c r="L9" i="7"/>
  <c r="L15" i="7" s="1"/>
  <c r="K9" i="7"/>
  <c r="K15" i="7" s="1"/>
  <c r="J9" i="7"/>
  <c r="J15" i="7" s="1"/>
  <c r="H9" i="7"/>
  <c r="H15" i="7" s="1"/>
  <c r="F9" i="7"/>
  <c r="E9" i="7"/>
  <c r="D9" i="7"/>
  <c r="D15" i="7" s="1"/>
  <c r="C12" i="7"/>
  <c r="C19" i="7" s="1"/>
  <c r="C11" i="7"/>
  <c r="C18" i="7" s="1"/>
  <c r="C10" i="7"/>
  <c r="C16" i="7" s="1"/>
  <c r="C9" i="7"/>
  <c r="C15" i="7" s="1"/>
  <c r="P25" i="6"/>
  <c r="O25" i="6"/>
  <c r="N25" i="6"/>
  <c r="M25" i="6"/>
  <c r="L25" i="6"/>
  <c r="K25" i="6"/>
  <c r="J25" i="6"/>
  <c r="H25" i="6"/>
  <c r="F25" i="6"/>
  <c r="E25" i="6"/>
  <c r="D25" i="6"/>
  <c r="C25" i="6"/>
  <c r="P23" i="6"/>
  <c r="O23" i="6"/>
  <c r="N23" i="6"/>
  <c r="M23" i="6"/>
  <c r="L23" i="6"/>
  <c r="K23" i="6"/>
  <c r="J23" i="6"/>
  <c r="H23" i="6"/>
  <c r="F23" i="6"/>
  <c r="E23" i="6"/>
  <c r="D23" i="6"/>
  <c r="C23" i="6"/>
  <c r="P21" i="6"/>
  <c r="O21" i="6"/>
  <c r="N21" i="6"/>
  <c r="M21" i="6"/>
  <c r="L21" i="6"/>
  <c r="K21" i="6"/>
  <c r="J21" i="6"/>
  <c r="H21" i="6"/>
  <c r="F21" i="6"/>
  <c r="E21" i="6"/>
  <c r="D21" i="6"/>
  <c r="C21" i="6"/>
  <c r="P19" i="6"/>
  <c r="P30" i="7" s="1"/>
  <c r="O19" i="6"/>
  <c r="O30" i="7" s="1"/>
  <c r="N19" i="6"/>
  <c r="N30" i="7" s="1"/>
  <c r="M19" i="6"/>
  <c r="M30" i="7" s="1"/>
  <c r="L19" i="6"/>
  <c r="K19" i="6"/>
  <c r="J19" i="6"/>
  <c r="H19" i="6"/>
  <c r="F19" i="6"/>
  <c r="F30" i="7" s="1"/>
  <c r="E19" i="6"/>
  <c r="E30" i="7" s="1"/>
  <c r="D19" i="6"/>
  <c r="C19" i="6"/>
  <c r="C30" i="7" s="1"/>
  <c r="P19" i="7"/>
  <c r="F19" i="7"/>
  <c r="H18" i="7"/>
  <c r="O15" i="7"/>
  <c r="O19" i="7"/>
  <c r="N19" i="7"/>
  <c r="E19" i="7"/>
  <c r="D19" i="7"/>
  <c r="N16" i="7"/>
  <c r="L16" i="7"/>
  <c r="F15" i="7"/>
  <c r="E15" i="7"/>
  <c r="M4" i="7"/>
  <c r="M3" i="7"/>
  <c r="C15" i="6"/>
  <c r="C14" i="6"/>
  <c r="V9" i="5" a="1"/>
  <c r="V8" i="5" a="1"/>
  <c r="V7" i="5" a="1"/>
  <c r="U9" i="5" a="1"/>
  <c r="U8" i="5" a="1"/>
  <c r="U7" i="5" a="1"/>
  <c r="V6" i="5" a="1"/>
  <c r="J30" i="7" l="1"/>
  <c r="L30" i="7"/>
  <c r="V6" i="5"/>
  <c r="B9" i="7" s="1"/>
  <c r="B15" i="7" s="1"/>
  <c r="U7" i="5"/>
  <c r="Q21" i="6" s="1"/>
  <c r="D22" i="6" s="1"/>
  <c r="U8" i="5"/>
  <c r="Q23" i="6" s="1"/>
  <c r="D24" i="6" s="1"/>
  <c r="U9" i="5"/>
  <c r="Q25" i="6" s="1"/>
  <c r="C26" i="6" s="1"/>
  <c r="V7" i="5"/>
  <c r="B10" i="7" s="1"/>
  <c r="B16" i="7" s="1"/>
  <c r="V8" i="5"/>
  <c r="B11" i="7" s="1"/>
  <c r="B18" i="7" s="1"/>
  <c r="V9" i="5"/>
  <c r="B12" i="7" s="1"/>
  <c r="B19" i="7" s="1"/>
  <c r="K27" i="7" s="1"/>
  <c r="L17" i="7"/>
  <c r="K17" i="7"/>
  <c r="H30" i="7"/>
  <c r="K30" i="7"/>
  <c r="D30" i="7"/>
  <c r="P17" i="7"/>
  <c r="E17" i="7"/>
  <c r="F17" i="7"/>
  <c r="O17" i="7"/>
  <c r="J17" i="7"/>
  <c r="H17" i="7"/>
  <c r="D17" i="7"/>
  <c r="C17" i="7"/>
  <c r="N17" i="7"/>
  <c r="C26" i="7" l="1"/>
  <c r="E26" i="6"/>
  <c r="O26" i="6"/>
  <c r="M24" i="6"/>
  <c r="M26" i="6"/>
  <c r="G26" i="6"/>
  <c r="K26" i="6"/>
  <c r="D26" i="6"/>
  <c r="F26" i="6"/>
  <c r="H24" i="6"/>
  <c r="P22" i="6"/>
  <c r="F24" i="6"/>
  <c r="K24" i="6"/>
  <c r="H22" i="6"/>
  <c r="L24" i="6"/>
  <c r="P24" i="6"/>
  <c r="O22" i="6"/>
  <c r="O24" i="6"/>
  <c r="E24" i="6"/>
  <c r="N24" i="6"/>
  <c r="F22" i="6"/>
  <c r="J24" i="6"/>
  <c r="G24" i="6"/>
  <c r="C24" i="6"/>
  <c r="L22" i="6"/>
  <c r="J26" i="6"/>
  <c r="H26" i="6"/>
  <c r="B17" i="7"/>
  <c r="N26" i="6"/>
  <c r="E22" i="6"/>
  <c r="J22" i="6"/>
  <c r="N22" i="6"/>
  <c r="K22" i="6"/>
  <c r="P26" i="6"/>
  <c r="G22" i="6"/>
  <c r="L26" i="6"/>
  <c r="M22" i="6"/>
  <c r="C22" i="6"/>
  <c r="H27" i="7"/>
  <c r="E27" i="7"/>
  <c r="F26" i="7"/>
  <c r="F27" i="7"/>
  <c r="J26" i="7"/>
  <c r="P27" i="7"/>
  <c r="O27" i="7"/>
  <c r="H26" i="7"/>
  <c r="C27" i="7"/>
  <c r="O26" i="7"/>
  <c r="M27" i="7"/>
  <c r="E26" i="7"/>
  <c r="N26" i="7"/>
  <c r="P26" i="7"/>
  <c r="D26" i="7"/>
  <c r="M26" i="7"/>
  <c r="J27" i="7"/>
  <c r="D27" i="7"/>
  <c r="K26" i="7"/>
  <c r="L27" i="7"/>
  <c r="N27" i="7"/>
  <c r="L26" i="7"/>
  <c r="Q19" i="6"/>
  <c r="H20" i="6" s="1"/>
  <c r="H28" i="6" l="1"/>
  <c r="H30" i="6" s="1"/>
  <c r="H33" i="6" s="1"/>
  <c r="B30" i="7"/>
  <c r="H31" i="7" s="1"/>
  <c r="H34" i="7" s="1"/>
  <c r="H50" i="7" s="1"/>
  <c r="F20" i="6"/>
  <c r="F28" i="6" s="1"/>
  <c r="F30" i="6" s="1"/>
  <c r="F23" i="7" s="1"/>
  <c r="M20" i="6"/>
  <c r="M28" i="6" s="1"/>
  <c r="M29" i="6" s="1"/>
  <c r="M22" i="7" s="1"/>
  <c r="M38" i="7" s="1"/>
  <c r="M46" i="7" s="1"/>
  <c r="D20" i="6"/>
  <c r="D28" i="6" s="1"/>
  <c r="D29" i="6" s="1"/>
  <c r="D22" i="7" s="1"/>
  <c r="D38" i="7" s="1"/>
  <c r="D46" i="7" s="1"/>
  <c r="P20" i="6"/>
  <c r="P28" i="6" s="1"/>
  <c r="P29" i="6" s="1"/>
  <c r="P32" i="6" s="1"/>
  <c r="G20" i="6"/>
  <c r="G28" i="6" s="1"/>
  <c r="G29" i="6" s="1"/>
  <c r="G32" i="6" s="1"/>
  <c r="N20" i="6"/>
  <c r="N28" i="6" s="1"/>
  <c r="N30" i="6" s="1"/>
  <c r="N23" i="7" s="1"/>
  <c r="L20" i="6"/>
  <c r="L28" i="6" s="1"/>
  <c r="O20" i="6"/>
  <c r="O28" i="6" s="1"/>
  <c r="O30" i="6" s="1"/>
  <c r="O23" i="7" s="1"/>
  <c r="O39" i="7" s="1"/>
  <c r="K20" i="6"/>
  <c r="K28" i="6" s="1"/>
  <c r="K29" i="6" s="1"/>
  <c r="K32" i="6" s="1"/>
  <c r="C20" i="6"/>
  <c r="C28" i="6" s="1"/>
  <c r="C30" i="6" s="1"/>
  <c r="J20" i="6"/>
  <c r="J28" i="6" s="1"/>
  <c r="J29" i="6" s="1"/>
  <c r="E20" i="6"/>
  <c r="E28" i="6" s="1"/>
  <c r="E29" i="6" s="1"/>
  <c r="E22" i="7" s="1"/>
  <c r="E38" i="7" s="1"/>
  <c r="H29" i="6" l="1"/>
  <c r="H32" i="6" s="1"/>
  <c r="H34" i="6" s="1"/>
  <c r="N33" i="6"/>
  <c r="N29" i="6"/>
  <c r="N32" i="6" s="1"/>
  <c r="H23" i="7"/>
  <c r="H39" i="7" s="1"/>
  <c r="H55" i="7" s="1"/>
  <c r="D31" i="7"/>
  <c r="D35" i="7" s="1"/>
  <c r="D51" i="7" s="1"/>
  <c r="O33" i="6"/>
  <c r="K31" i="7"/>
  <c r="K34" i="7" s="1"/>
  <c r="K50" i="7" s="1"/>
  <c r="L31" i="7"/>
  <c r="L34" i="7" s="1"/>
  <c r="L50" i="7" s="1"/>
  <c r="J31" i="7"/>
  <c r="J34" i="7" s="1"/>
  <c r="J50" i="7" s="1"/>
  <c r="C31" i="7"/>
  <c r="C34" i="7" s="1"/>
  <c r="C50" i="7" s="1"/>
  <c r="N31" i="7"/>
  <c r="N35" i="7" s="1"/>
  <c r="N51" i="7" s="1"/>
  <c r="M42" i="7"/>
  <c r="M58" i="7" s="1"/>
  <c r="F33" i="6"/>
  <c r="E30" i="6"/>
  <c r="E33" i="6" s="1"/>
  <c r="F29" i="6"/>
  <c r="F32" i="6" s="1"/>
  <c r="O29" i="6"/>
  <c r="O32" i="6" s="1"/>
  <c r="P30" i="6"/>
  <c r="J30" i="6"/>
  <c r="J23" i="7" s="1"/>
  <c r="J39" i="7" s="1"/>
  <c r="J55" i="7" s="1"/>
  <c r="D42" i="7"/>
  <c r="D58" i="7" s="1"/>
  <c r="K30" i="6"/>
  <c r="D54" i="7"/>
  <c r="D32" i="6"/>
  <c r="M32" i="6"/>
  <c r="J32" i="6"/>
  <c r="J22" i="7"/>
  <c r="J38" i="7" s="1"/>
  <c r="J46" i="7" s="1"/>
  <c r="C29" i="6"/>
  <c r="C23" i="7"/>
  <c r="C33" i="6"/>
  <c r="M54" i="7"/>
  <c r="G30" i="6"/>
  <c r="G33" i="6" s="1"/>
  <c r="G35" i="6" s="1"/>
  <c r="M30" i="6"/>
  <c r="M33" i="6" s="1"/>
  <c r="P31" i="7"/>
  <c r="M31" i="7"/>
  <c r="O31" i="7"/>
  <c r="E31" i="7"/>
  <c r="F31" i="7"/>
  <c r="L29" i="6"/>
  <c r="L30" i="6"/>
  <c r="E32" i="6"/>
  <c r="K22" i="7"/>
  <c r="K38" i="7" s="1"/>
  <c r="K54" i="7" s="1"/>
  <c r="D30" i="6"/>
  <c r="D33" i="6" s="1"/>
  <c r="P22" i="7"/>
  <c r="P38" i="7" s="1"/>
  <c r="P42" i="7" s="1"/>
  <c r="H35" i="7"/>
  <c r="H51" i="7" s="1"/>
  <c r="O55" i="7"/>
  <c r="O47" i="7"/>
  <c r="O43" i="7"/>
  <c r="E54" i="7"/>
  <c r="E46" i="7"/>
  <c r="E42" i="7"/>
  <c r="F39" i="7"/>
  <c r="F55" i="7" s="1"/>
  <c r="N39" i="7"/>
  <c r="N55" i="7" s="1"/>
  <c r="N22" i="7" l="1"/>
  <c r="N38" i="7" s="1"/>
  <c r="N35" i="6"/>
  <c r="H22" i="7"/>
  <c r="H38" i="7" s="1"/>
  <c r="H54" i="7" s="1"/>
  <c r="H62" i="7" s="1"/>
  <c r="H35" i="6"/>
  <c r="D34" i="7"/>
  <c r="D50" i="7" s="1"/>
  <c r="D62" i="7" s="1"/>
  <c r="D66" i="7" s="1"/>
  <c r="H63" i="7"/>
  <c r="H47" i="7"/>
  <c r="H43" i="7"/>
  <c r="K62" i="7"/>
  <c r="O35" i="6"/>
  <c r="M35" i="6"/>
  <c r="J35" i="7"/>
  <c r="J51" i="7" s="1"/>
  <c r="J63" i="7" s="1"/>
  <c r="L35" i="7"/>
  <c r="L51" i="7" s="1"/>
  <c r="K35" i="7"/>
  <c r="K51" i="7" s="1"/>
  <c r="J42" i="7"/>
  <c r="J58" i="7" s="1"/>
  <c r="K46" i="7"/>
  <c r="J33" i="6"/>
  <c r="J35" i="6" s="1"/>
  <c r="G34" i="6"/>
  <c r="D34" i="6"/>
  <c r="E35" i="6"/>
  <c r="J54" i="7"/>
  <c r="J62" i="7" s="1"/>
  <c r="M23" i="7"/>
  <c r="M39" i="7" s="1"/>
  <c r="M55" i="7" s="1"/>
  <c r="N63" i="7"/>
  <c r="N34" i="7"/>
  <c r="N50" i="7" s="1"/>
  <c r="K42" i="7"/>
  <c r="C35" i="7"/>
  <c r="C51" i="7" s="1"/>
  <c r="F34" i="6"/>
  <c r="M34" i="6"/>
  <c r="J47" i="7"/>
  <c r="J43" i="7"/>
  <c r="F35" i="6"/>
  <c r="O22" i="7"/>
  <c r="O38" i="7" s="1"/>
  <c r="O46" i="7" s="1"/>
  <c r="E34" i="6"/>
  <c r="O34" i="6"/>
  <c r="E23" i="7"/>
  <c r="E39" i="7" s="1"/>
  <c r="E47" i="7" s="1"/>
  <c r="P23" i="7"/>
  <c r="P39" i="7" s="1"/>
  <c r="P55" i="7" s="1"/>
  <c r="P33" i="6"/>
  <c r="F22" i="7"/>
  <c r="F38" i="7" s="1"/>
  <c r="F46" i="7" s="1"/>
  <c r="P46" i="7"/>
  <c r="P58" i="7" s="1"/>
  <c r="D35" i="6"/>
  <c r="K23" i="7"/>
  <c r="K33" i="6"/>
  <c r="F34" i="7"/>
  <c r="F50" i="7" s="1"/>
  <c r="F35" i="7"/>
  <c r="F51" i="7" s="1"/>
  <c r="F63" i="7" s="1"/>
  <c r="E35" i="7"/>
  <c r="E51" i="7" s="1"/>
  <c r="E34" i="7"/>
  <c r="E50" i="7" s="1"/>
  <c r="E62" i="7" s="1"/>
  <c r="C39" i="7"/>
  <c r="M34" i="7"/>
  <c r="M50" i="7" s="1"/>
  <c r="M62" i="7" s="1"/>
  <c r="M66" i="7" s="1"/>
  <c r="M35" i="7"/>
  <c r="M51" i="7" s="1"/>
  <c r="P35" i="7"/>
  <c r="P51" i="7" s="1"/>
  <c r="P34" i="7"/>
  <c r="P50" i="7" s="1"/>
  <c r="C32" i="6"/>
  <c r="C22" i="7"/>
  <c r="C38" i="7" s="1"/>
  <c r="C54" i="7" s="1"/>
  <c r="C62" i="7" s="1"/>
  <c r="P54" i="7"/>
  <c r="D23" i="7"/>
  <c r="D39" i="7" s="1"/>
  <c r="D55" i="7" s="1"/>
  <c r="D63" i="7" s="1"/>
  <c r="L33" i="6"/>
  <c r="L23" i="7"/>
  <c r="O34" i="7"/>
  <c r="O50" i="7" s="1"/>
  <c r="O35" i="7"/>
  <c r="O51" i="7" s="1"/>
  <c r="O63" i="7" s="1"/>
  <c r="L32" i="6"/>
  <c r="L22" i="7"/>
  <c r="L38" i="7" s="1"/>
  <c r="L54" i="7" s="1"/>
  <c r="L62" i="7" s="1"/>
  <c r="O59" i="7"/>
  <c r="E58" i="7"/>
  <c r="N47" i="7"/>
  <c r="N43" i="7"/>
  <c r="F43" i="7"/>
  <c r="F47" i="7"/>
  <c r="N34" i="6"/>
  <c r="K58" i="7" l="1"/>
  <c r="K66" i="7" s="1"/>
  <c r="H46" i="7"/>
  <c r="H42" i="7"/>
  <c r="H59" i="7"/>
  <c r="H67" i="7" s="1"/>
  <c r="P43" i="7"/>
  <c r="M63" i="7"/>
  <c r="J34" i="6"/>
  <c r="J66" i="7"/>
  <c r="J59" i="7"/>
  <c r="J67" i="7" s="1"/>
  <c r="E43" i="7"/>
  <c r="E59" i="7" s="1"/>
  <c r="M43" i="7"/>
  <c r="M47" i="7"/>
  <c r="F42" i="7"/>
  <c r="F58" i="7" s="1"/>
  <c r="E55" i="7"/>
  <c r="E63" i="7" s="1"/>
  <c r="D47" i="7"/>
  <c r="C46" i="7"/>
  <c r="L42" i="7"/>
  <c r="O54" i="7"/>
  <c r="O62" i="7" s="1"/>
  <c r="O42" i="7"/>
  <c r="O58" i="7" s="1"/>
  <c r="C42" i="7"/>
  <c r="L35" i="6"/>
  <c r="F54" i="7"/>
  <c r="F62" i="7" s="1"/>
  <c r="P47" i="7"/>
  <c r="P63" i="7"/>
  <c r="P34" i="6"/>
  <c r="P35" i="6"/>
  <c r="K35" i="6"/>
  <c r="K34" i="6"/>
  <c r="K39" i="7"/>
  <c r="K55" i="7" s="1"/>
  <c r="K63" i="7" s="1"/>
  <c r="D43" i="7"/>
  <c r="E66" i="7"/>
  <c r="C43" i="7"/>
  <c r="C47" i="7"/>
  <c r="L34" i="6"/>
  <c r="P62" i="7"/>
  <c r="P66" i="7" s="1"/>
  <c r="C34" i="6"/>
  <c r="C35" i="6"/>
  <c r="L39" i="7"/>
  <c r="L55" i="7" s="1"/>
  <c r="L63" i="7" s="1"/>
  <c r="L46" i="7"/>
  <c r="O67" i="7"/>
  <c r="C55" i="7"/>
  <c r="C63" i="7" s="1"/>
  <c r="N46" i="7"/>
  <c r="N42" i="7"/>
  <c r="N54" i="7"/>
  <c r="N62" i="7" s="1"/>
  <c r="F59" i="7"/>
  <c r="F67" i="7" s="1"/>
  <c r="N59" i="7"/>
  <c r="N67" i="7" s="1"/>
  <c r="H58" i="7" l="1"/>
  <c r="H66" i="7" s="1"/>
  <c r="D59" i="7"/>
  <c r="D67" i="7" s="1"/>
  <c r="P59" i="7"/>
  <c r="P67" i="7" s="1"/>
  <c r="M59" i="7"/>
  <c r="M67" i="7" s="1"/>
  <c r="E67" i="7"/>
  <c r="O66" i="7"/>
  <c r="C59" i="7"/>
  <c r="C67" i="7" s="1"/>
  <c r="L58" i="7"/>
  <c r="L66" i="7" s="1"/>
  <c r="C58" i="7"/>
  <c r="C66" i="7" s="1"/>
  <c r="F66" i="7"/>
  <c r="K43" i="7"/>
  <c r="K47" i="7"/>
  <c r="L43" i="7"/>
  <c r="L47" i="7"/>
  <c r="N58" i="7"/>
  <c r="N66" i="7" s="1"/>
  <c r="K59" i="7" l="1"/>
  <c r="K67" i="7" s="1"/>
  <c r="L59" i="7"/>
  <c r="L6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<sst xmlns="http://schemas.openxmlformats.org/spreadsheetml/2006/main" count="370" uniqueCount="109">
  <si>
    <t>peak 01</t>
  </si>
  <si>
    <t>peak 02</t>
  </si>
  <si>
    <t>peak 03</t>
  </si>
  <si>
    <t>peak 04</t>
  </si>
  <si>
    <t>peak 05</t>
  </si>
  <si>
    <t>peak 06</t>
  </si>
  <si>
    <t>peak 07</t>
  </si>
  <si>
    <t>peak 08</t>
  </si>
  <si>
    <t>peak 09</t>
  </si>
  <si>
    <t>peak 10</t>
  </si>
  <si>
    <t>peak 11</t>
  </si>
  <si>
    <t>peak 12</t>
  </si>
  <si>
    <t>peak 13</t>
  </si>
  <si>
    <t>peak 14</t>
  </si>
  <si>
    <t>name</t>
  </si>
  <si>
    <t>shifts (ppm)</t>
  </si>
  <si>
    <t>127.95 to 127.65</t>
  </si>
  <si>
    <t>127.42 to 127.24</t>
  </si>
  <si>
    <t>126.59 to 126.35</t>
  </si>
  <si>
    <t>75.10 to 74.89</t>
  </si>
  <si>
    <t>59.93 to 59.76</t>
  </si>
  <si>
    <t>54.62 to 54.49</t>
  </si>
  <si>
    <t>48.50 to 47.00</t>
  </si>
  <si>
    <t>38.71 to 38.55</t>
  </si>
  <si>
    <t>29.10 to 28.94</t>
  </si>
  <si>
    <t>27.67 to 27.53</t>
  </si>
  <si>
    <t>25.21 to 25.02</t>
  </si>
  <si>
    <t>21.91 to 21.76</t>
  </si>
  <si>
    <t>21.63 to 21.50</t>
  </si>
  <si>
    <t>13.12 to 12.96</t>
  </si>
  <si>
    <t>range (ppm)</t>
  </si>
  <si>
    <t>avg integral</t>
  </si>
  <si>
    <t>stdev</t>
  </si>
  <si>
    <t>coeff. of var.</t>
  </si>
  <si>
    <t>std. error</t>
  </si>
  <si>
    <t>stderr of cov.</t>
  </si>
  <si>
    <t>spread</t>
  </si>
  <si>
    <t>avg. S/N</t>
  </si>
  <si>
    <t>conversion</t>
  </si>
  <si>
    <t>ortho</t>
  </si>
  <si>
    <t>para</t>
  </si>
  <si>
    <t>meta</t>
  </si>
  <si>
    <t>carbonyl</t>
  </si>
  <si>
    <t>olefin CH</t>
  </si>
  <si>
    <t>allylic</t>
  </si>
  <si>
    <t>olefin iPr</t>
  </si>
  <si>
    <t>beta carbonyl</t>
  </si>
  <si>
    <t>iPr2</t>
  </si>
  <si>
    <t>ester methyl</t>
  </si>
  <si>
    <t>R0</t>
  </si>
  <si>
    <t>R/R0</t>
  </si>
  <si>
    <t>A</t>
  </si>
  <si>
    <t>B</t>
  </si>
  <si>
    <t>Prenyl_RecoveredSM_78%conversion</t>
  </si>
  <si>
    <t>Prenyl_RecoveredSM_82%conversion</t>
  </si>
  <si>
    <t>R_1</t>
  </si>
  <si>
    <t>R_2</t>
  </si>
  <si>
    <t>R_1/R0</t>
  </si>
  <si>
    <t>R_2/R0</t>
  </si>
  <si>
    <t>KIE_1</t>
  </si>
  <si>
    <t>KIE_2</t>
  </si>
  <si>
    <t>KIE_average</t>
  </si>
  <si>
    <t>ln(1-conversion)</t>
  </si>
  <si>
    <t>reference peak (peak 5)</t>
  </si>
  <si>
    <t>unreacted R0 average</t>
  </si>
  <si>
    <t>solvent peak</t>
  </si>
  <si>
    <t>F</t>
  </si>
  <si>
    <t>ΔF</t>
  </si>
  <si>
    <t>ask hannah</t>
  </si>
  <si>
    <t>(ΔR/R)^2</t>
  </si>
  <si>
    <t>ref</t>
  </si>
  <si>
    <t>average_unreacted</t>
  </si>
  <si>
    <t>(ΔR0/R0)^2</t>
  </si>
  <si>
    <t>average peak for UnreactedSM</t>
  </si>
  <si>
    <t>average (ΔR0/R0)^2 for UnreactedSM</t>
  </si>
  <si>
    <t>Δ(R/R0)^2</t>
  </si>
  <si>
    <t>ln(!-F)</t>
  </si>
  <si>
    <t>w</t>
  </si>
  <si>
    <t>ln[(1-F)*(R/R0)]</t>
  </si>
  <si>
    <t>(1-F)*w^2</t>
  </si>
  <si>
    <t>C</t>
  </si>
  <si>
    <t>(1-F)*w</t>
  </si>
  <si>
    <t>D</t>
  </si>
  <si>
    <t>1n(1-F)^2 * Δ(R/R0)^2</t>
  </si>
  <si>
    <t>E</t>
  </si>
  <si>
    <t>(R/R0)^2*w^4</t>
  </si>
  <si>
    <t>G</t>
  </si>
  <si>
    <t>(A/B-1/C)^2*(ΔF)^2</t>
  </si>
  <si>
    <t>H</t>
  </si>
  <si>
    <t>D/E</t>
  </si>
  <si>
    <t>sqrt(G+H)</t>
  </si>
  <si>
    <t># of FIDs</t>
  </si>
  <si>
    <t>68%err</t>
  </si>
  <si>
    <t xml:space="preserve">Error </t>
  </si>
  <si>
    <t>alpha carbon</t>
  </si>
  <si>
    <t>iPr1</t>
  </si>
  <si>
    <t>Prenyl_UnreactedSM_1</t>
  </si>
  <si>
    <t>Prenyl_UnreactedSM_2</t>
  </si>
  <si>
    <t>Prenyl_Recovered_82%conversion</t>
  </si>
  <si>
    <t>Prenyl_Recovered_78%conversion</t>
  </si>
  <si>
    <t>i</t>
  </si>
  <si>
    <t>Sample Name</t>
  </si>
  <si>
    <t>reference peak Integral</t>
  </si>
  <si>
    <t>integral</t>
  </si>
  <si>
    <t>UNREACTED 1</t>
  </si>
  <si>
    <t>UNREACTED 2</t>
  </si>
  <si>
    <t>Reference Peak Column</t>
  </si>
  <si>
    <t>=</t>
  </si>
  <si>
    <t>OCH2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</si>
</sst>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8" x14ac:knownFonts="1">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sz val="10"/>
      <color rgb="FFFF0000"/>
      <name val="Calibri"/>
      <family val="2"/>
      <scheme val="minor"/>
    </font>
    <font>
      <sz val="10"/>
      <name val="Calibri"/>
      <family val="2"/>
      <scheme val="minor"/>
    </font>
    <font>
      <b/>
      <sz val="10"/>
      <name val="Calibri"/>
      <family val="2"/>
      <scheme val="minor"/>
    </font>
  </fonts>
  <fills count="9">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theme="9" tint="0.59999389629810485"/>
        <bgColor indexed="64"/>
      </patternFill>
    </fill>
    <fill>
      <patternFill patternType="solid">
        <fgColor rgb="FFD9D2E9"/>
        <bgColor rgb="FFD9D2E9"/>
      </patternFill>
    </fill>
    <fill>
      <patternFill patternType="solid">
        <fgColor rgb="FFFFFFFF"/>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2" fontId="1" fillId="0" borderId="0" xfId="0" applyNumberFormat="1" applyFont="1"/>
    <xf numFmtId="165" fontId="1" fillId="0" borderId="0" xfId="0" applyNumberFormat="1" applyFont="1"/>
    <xf numFmtId="0" fontId="1" fillId="0" borderId="0" xfId="0" applyFont="1" applyAlignment="1">
      <alignment horizontal="right"/>
    </xf>
    <xf numFmtId="164" fontId="1" fillId="0" borderId="0" xfId="0" applyNumberFormat="1" applyFont="1"/>
    <xf numFmtId="0" fontId="1" fillId="6" borderId="0" xfId="0" applyFont="1" applyFill="1"/>
    <xf numFmtId="0" fontId="3" fillId="3" borderId="0" xfId="0" applyFont="1" applyFill="1" applyAlignment="1">
      <alignment horizontal="right"/>
    </xf>
    <xf numFmtId="0" fontId="1" fillId="8" borderId="0" xfId="0" applyFont="1" applyFill="1" applyAlignment="1">
      <alignment horizontal="right" vertical="center" wrapText="1"/>
    </xf>
    <xf numFmtId="0" fontId="4" fillId="3" borderId="0" xfId="0" applyFont="1" applyFill="1" applyAlignment="1">
      <alignment horizontal="right"/>
    </xf>
    <xf numFmtId="164" fontId="1" fillId="6" borderId="0" xfId="0" applyNumberFormat="1" applyFont="1" applyFill="1"/>
    <xf numFmtId="0" fontId="5" fillId="6" borderId="0" xfId="0" applyFont="1" applyFill="1"/>
    <xf numFmtId="164" fontId="5" fillId="6" borderId="0" xfId="0" applyNumberFormat="1" applyFont="1" applyFill="1"/>
    <xf numFmtId="164" fontId="6" fillId="6" borderId="0" xfId="0" applyNumberFormat="1" applyFont="1" applyFill="1"/>
    <xf numFmtId="0" fontId="1" fillId="0" borderId="0" xfId="0" applyFont="1" applyAlignment="1">
      <alignment horizontal="center"/>
    </xf>
    <xf numFmtId="164" fontId="1" fillId="0" borderId="0" xfId="0" applyNumberFormat="1" applyFont="1" applyAlignment="1">
      <alignment horizontal="center"/>
    </xf>
    <xf numFmtId="0" fontId="2" fillId="8" borderId="0" xfId="0" applyFont="1" applyFill="1" applyAlignment="1">
      <alignment horizontal="right" vertical="center" wrapText="1"/>
    </xf>
    <xf numFmtId="10" fontId="1" fillId="8" borderId="0" xfId="0" applyNumberFormat="1" applyFont="1" applyFill="1" applyAlignment="1">
      <alignment horizontal="right" vertical="center" wrapText="1"/>
    </xf>
    <xf numFmtId="0" fontId="4" fillId="0" borderId="0" xfId="0" applyFont="1"/>
    <xf numFmtId="0" fontId="4" fillId="0" borderId="0" xfId="0" applyFont="1" applyAlignment="1">
      <alignment horizontal="right"/>
    </xf>
    <xf numFmtId="0" fontId="1" fillId="2" borderId="0" xfId="0" applyFont="1" applyFill="1" applyAlignment="1">
      <alignment horizontal="center"/>
    </xf>
    <xf numFmtId="0" fontId="1" fillId="7"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0" borderId="7" xfId="0" applyFont="1" applyBorder="1"/>
    <xf numFmtId="0" fontId="1" fillId="0" borderId="3" xfId="0" applyFont="1" applyBorder="1"/>
    <xf numFmtId="0" fontId="1" fillId="0" borderId="5" xfId="0" applyFont="1" applyBorder="1"/>
    <xf numFmtId="9" fontId="1" fillId="0" borderId="5" xfId="0" applyNumberFormat="1" applyFont="1" applyBorder="1"/>
    <xf numFmtId="0" fontId="2" fillId="0" borderId="0" xfId="0" applyFont="1" applyFill="1" applyAlignment="1">
      <alignment horizontal="right" vertical="center" wrapText="1"/>
    </xf>
    <xf numFmtId="0" fontId="1" fillId="0" borderId="0" xfId="0" applyFont="1" applyFill="1" applyAlignment="1">
      <alignment horizontal="right" vertical="center" wrapText="1"/>
    </xf>
    <xf numFmtId="0" fontId="3" fillId="0" borderId="0" xfId="0" applyFont="1"/>
    <xf numFmtId="0" fontId="6" fillId="0" borderId="0" xfId="0" applyFont="1"/>
    <xf numFmtId="0" fontId="7" fillId="0" borderId="0" xfId="0" applyFont="1" applyBorder="1"/>
    <xf numFmtId="0" fontId="6" fillId="0" borderId="0" xfId="0" applyFont="1" applyBorder="1" applyAlignment="1">
      <alignment horizontal="right"/>
    </xf>
    <xf numFmtId="0" fontId="2" fillId="0" borderId="4" xfId="0" applyFont="1" applyBorder="1"/>
    <xf numFmtId="0" fontId="2" fillId="0" borderId="6" xfId="0" applyFont="1" applyBorder="1"/>
    <xf numFmtId="0" fontId="2" fillId="0" borderId="0" xfId="0" applyFont="1" applyBorder="1"/>
    <xf numFmtId="0" fontId="2" fillId="0" borderId="1" xfId="0" applyFont="1" applyFill="1" applyBorder="1"/>
    <xf numFmtId="0" fontId="2" fillId="0" borderId="4" xfId="0" applyFont="1" applyFill="1" applyBorder="1"/>
    <xf numFmtId="0" fontId="2" fillId="0" borderId="6" xfId="0" applyFont="1" applyFill="1" applyBorder="1"/>
    <xf numFmtId="0" fontId="2" fillId="6" borderId="4" xfId="0" applyFont="1" applyFill="1" applyBorder="1"/>
    <xf numFmtId="0" fontId="2" fillId="6" borderId="6" xfId="0" applyFont="1" applyFill="1" applyBorder="1"/>
    <xf numFmtId="0" fontId="1" fillId="0" borderId="1" xfId="0" applyFont="1" applyBorder="1"/>
    <xf numFmtId="0" fontId="1" fillId="0" borderId="8" xfId="0" applyFont="1" applyBorder="1"/>
    <xf numFmtId="0" fontId="1" fillId="0" borderId="2" xfId="0" applyFont="1" applyBorder="1"/>
    <xf numFmtId="0" fontId="1" fillId="0" borderId="4" xfId="0" applyFont="1" applyBorder="1"/>
    <xf numFmtId="0" fontId="1" fillId="0" borderId="0" xfId="0" applyFont="1" applyBorder="1"/>
    <xf numFmtId="0" fontId="3" fillId="3" borderId="0" xfId="0" applyFont="1" applyFill="1" applyBorder="1" applyAlignment="1">
      <alignment horizontal="right"/>
    </xf>
    <xf numFmtId="0" fontId="3" fillId="3" borderId="5" xfId="0" applyFont="1" applyFill="1" applyBorder="1" applyAlignment="1">
      <alignment horizontal="right"/>
    </xf>
    <xf numFmtId="0" fontId="2" fillId="8" borderId="0" xfId="0" applyFont="1" applyFill="1" applyBorder="1" applyAlignment="1">
      <alignment horizontal="right" vertical="center" wrapText="1"/>
    </xf>
    <xf numFmtId="0" fontId="2" fillId="8" borderId="5" xfId="0" applyFont="1" applyFill="1" applyBorder="1" applyAlignment="1">
      <alignment horizontal="right" vertical="center" wrapText="1"/>
    </xf>
    <xf numFmtId="0" fontId="1" fillId="0" borderId="2" xfId="0" applyFont="1" applyFill="1" applyBorder="1"/>
    <xf numFmtId="0" fontId="1" fillId="0" borderId="3" xfId="0" applyFont="1" applyFill="1" applyBorder="1"/>
    <xf numFmtId="0" fontId="1" fillId="0" borderId="0" xfId="0" applyFont="1" applyFill="1" applyBorder="1"/>
    <xf numFmtId="0" fontId="1" fillId="0" borderId="5" xfId="0" applyFont="1" applyFill="1" applyBorder="1"/>
    <xf numFmtId="0" fontId="1" fillId="0" borderId="4" xfId="0" applyFont="1" applyFill="1" applyBorder="1"/>
    <xf numFmtId="0" fontId="1" fillId="0" borderId="7" xfId="0" applyFont="1" applyFill="1" applyBorder="1"/>
    <xf numFmtId="0" fontId="1" fillId="0" borderId="8" xfId="0" applyFont="1" applyFill="1" applyBorder="1"/>
    <xf numFmtId="0" fontId="1" fillId="0" borderId="6" xfId="0" applyFont="1" applyBorder="1"/>
    <xf numFmtId="0" fontId="1" fillId="6" borderId="1" xfId="0" applyFont="1" applyFill="1" applyBorder="1"/>
    <xf numFmtId="0" fontId="1" fillId="6" borderId="2" xfId="0" applyFont="1" applyFill="1" applyBorder="1"/>
    <xf numFmtId="0" fontId="1" fillId="6" borderId="3" xfId="0" applyFont="1" applyFill="1" applyBorder="1"/>
    <xf numFmtId="0" fontId="1" fillId="6" borderId="0" xfId="0" applyFont="1" applyFill="1" applyBorder="1"/>
    <xf numFmtId="164" fontId="1" fillId="6" borderId="0" xfId="0" applyNumberFormat="1" applyFont="1" applyFill="1" applyBorder="1"/>
    <xf numFmtId="164" fontId="1" fillId="6" borderId="5" xfId="0" applyNumberFormat="1" applyFont="1" applyFill="1" applyBorder="1"/>
    <xf numFmtId="0" fontId="1" fillId="6" borderId="7" xfId="0" applyFont="1" applyFill="1" applyBorder="1"/>
    <xf numFmtId="164" fontId="1" fillId="6" borderId="7" xfId="0" applyNumberFormat="1" applyFont="1" applyFill="1" applyBorder="1"/>
    <xf numFmtId="164" fontId="1" fillId="6" borderId="8"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420159</xdr:colOff>
      <xdr:row>12</xdr:row>
      <xdr:rowOff>130174</xdr:rowOff>
    </xdr:to>
    <xdr:sp macro="" textlink="">
      <xdr:nvSpPr>
        <xdr:cNvPr id="2" name="TextBox 1">
          <a:extLst>
            <a:ext uri="{FF2B5EF4-FFF2-40B4-BE49-F238E27FC236}">
              <a16:creationId xmlns:a16="http://schemas.microsoft.com/office/drawing/2014/main" id="{5A5ABD59-BD11-4F75-9B43-E02AEDC04A83}"/>
            </a:ext>
          </a:extLst>
        </xdr:cNvPr>
        <xdr:cNvSpPr txBox="1"/>
      </xdr:nvSpPr>
      <xdr:spPr>
        <a:xfrm>
          <a:off x="0" y="0"/>
          <a:ext cx="1647826" cy="3114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Raw Data:</a:t>
          </a:r>
        </a:p>
        <a:p>
          <a:r>
            <a:rPr lang="en-US" sz="1100"/>
            <a:t>In cell 22 of the jupyter notebooks,</a:t>
          </a:r>
          <a:r>
            <a:rPr lang="en-US" sz="1100" baseline="0"/>
            <a:t> a table will appear. That table is copied and pasted here. In this tab, the four tabs are organized with the two trials of unreacted starting material first and the two trials of recovered starting material second. The following two tabs draw values for formulas from these tables. Specifically, from the cells that are highlighted dark blue.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926404</xdr:colOff>
      <xdr:row>0</xdr:row>
      <xdr:rowOff>1</xdr:rowOff>
    </xdr:from>
    <xdr:ext cx="2188271" cy="1931096"/>
    <xdr:pic>
      <xdr:nvPicPr>
        <xdr:cNvPr id="3" name="image1.png" title="Image">
          <a:extLst>
            <a:ext uri="{FF2B5EF4-FFF2-40B4-BE49-F238E27FC236}">
              <a16:creationId xmlns:a16="http://schemas.microsoft.com/office/drawing/2014/main" id="{118AB568-03E0-495C-A235-5676CF3446C6}"/>
            </a:ext>
          </a:extLst>
        </xdr:cNvPr>
        <xdr:cNvPicPr preferRelativeResize="0"/>
      </xdr:nvPicPr>
      <xdr:blipFill rotWithShape="1">
        <a:blip xmlns:r="http://schemas.openxmlformats.org/officeDocument/2006/relationships" r:embed="rId1" cstate="print"/>
        <a:srcRect l="28873" b="18579"/>
        <a:stretch/>
      </xdr:blipFill>
      <xdr:spPr>
        <a:xfrm>
          <a:off x="8546404" y="1"/>
          <a:ext cx="2188271" cy="1931096"/>
        </a:xfrm>
        <a:prstGeom prst="rect">
          <a:avLst/>
        </a:prstGeom>
        <a:noFill/>
      </xdr:spPr>
    </xdr:pic>
    <xdr:clientData fLocksWithSheet="0"/>
  </xdr:oneCellAnchor>
  <xdr:twoCellAnchor>
    <xdr:from>
      <xdr:col>0</xdr:col>
      <xdr:colOff>0</xdr:colOff>
      <xdr:row>0</xdr:row>
      <xdr:rowOff>0</xdr:rowOff>
    </xdr:from>
    <xdr:to>
      <xdr:col>3</xdr:col>
      <xdr:colOff>892914</xdr:colOff>
      <xdr:row>10</xdr:row>
      <xdr:rowOff>63500</xdr:rowOff>
    </xdr:to>
    <xdr:sp macro="" textlink="">
      <xdr:nvSpPr>
        <xdr:cNvPr id="5" name="TextBox 4">
          <a:extLst>
            <a:ext uri="{FF2B5EF4-FFF2-40B4-BE49-F238E27FC236}">
              <a16:creationId xmlns:a16="http://schemas.microsoft.com/office/drawing/2014/main" id="{C0DF60EF-CB86-43F9-B7EA-E8D2438B7AD7}"/>
            </a:ext>
          </a:extLst>
        </xdr:cNvPr>
        <xdr:cNvSpPr txBox="1"/>
      </xdr:nvSpPr>
      <xdr:spPr>
        <a:xfrm>
          <a:off x="0" y="0"/>
          <a:ext cx="5623664"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KIE:</a:t>
          </a:r>
        </a:p>
        <a:p>
          <a:r>
            <a:rPr lang="en-US" sz="1100"/>
            <a:t>In</a:t>
          </a:r>
          <a:r>
            <a:rPr lang="en-US" sz="1100" baseline="0"/>
            <a:t> this tab, the KIE of each protonated carbon in the molecule is calculated. At the top is an image of the molecule with a number next to each carbon that is being measured in the tables below (excluding the solvent peak). In the first block, the conversion that the reactionw as allowed to proceed to is recorded and ln(1-conv) is calculated. In the next block, the integral of each peak is divided by the integral of a reference peak to find the R value. Then the R/R0 value is calculated in the next block. In the final block, the KIEs and average KIEs are calculated. The calculation of the reference peak is not necessary but it is kept here for validation.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0</xdr:row>
      <xdr:rowOff>0</xdr:rowOff>
    </xdr:from>
    <xdr:to>
      <xdr:col>26</xdr:col>
      <xdr:colOff>158695</xdr:colOff>
      <xdr:row>7</xdr:row>
      <xdr:rowOff>111125</xdr:rowOff>
    </xdr:to>
    <xdr:sp macro="" textlink="">
      <xdr:nvSpPr>
        <xdr:cNvPr id="2" name="TextBox 1">
          <a:extLst>
            <a:ext uri="{FF2B5EF4-FFF2-40B4-BE49-F238E27FC236}">
              <a16:creationId xmlns:a16="http://schemas.microsoft.com/office/drawing/2014/main" id="{174DD04B-3AB6-46B6-B00F-A51F6402EE34}"/>
            </a:ext>
          </a:extLst>
        </xdr:cNvPr>
        <xdr:cNvSpPr txBox="1"/>
      </xdr:nvSpPr>
      <xdr:spPr>
        <a:xfrm>
          <a:off x="13442156" y="0"/>
          <a:ext cx="5623664" cy="144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Error:</a:t>
          </a:r>
        </a:p>
        <a:p>
          <a:r>
            <a:rPr lang="en-US" sz="1100"/>
            <a:t>In</a:t>
          </a:r>
          <a:r>
            <a:rPr lang="en-US" sz="1100" baseline="0"/>
            <a:t> this tab, the error of each calculated KIE is calculated. At the top, the lconversion for both runs are listed (this value is called F). Next to that is the number of FIDs in each measurement is listed and used to formulae further down. Next to that is the ln(1-F) values for both runs. The next set of block are calculated values needed for the total error calculation. The error is comprised of error from measurement and error from analysis. These are combined to yield to error at the bottom of this tab.</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9C2C4-8745-4E48-A0DF-575639D7DF84}">
  <dimension ref="D1:V129"/>
  <sheetViews>
    <sheetView zoomScale="80" zoomScaleNormal="80" workbookViewId="0">
      <selection activeCell="T34" sqref="T34"/>
    </sheetView>
  </sheetViews>
  <sheetFormatPr defaultRowHeight="12.75" x14ac:dyDescent="0.2"/>
  <cols>
    <col min="1" max="19" width="9.140625" style="1"/>
    <col min="20" max="20" width="21.5703125" style="1" customWidth="1"/>
    <col min="21" max="16384" width="9.140625" style="1"/>
  </cols>
  <sheetData>
    <row r="1" spans="4:22" x14ac:dyDescent="0.2">
      <c r="D1" s="21" t="s">
        <v>96</v>
      </c>
      <c r="E1" s="21"/>
      <c r="F1" s="21"/>
      <c r="G1" s="21"/>
      <c r="H1" s="21"/>
      <c r="I1" s="21"/>
      <c r="J1" s="21"/>
      <c r="K1" s="21"/>
      <c r="L1" s="21"/>
      <c r="M1" s="21"/>
      <c r="N1" s="21"/>
      <c r="O1" s="21"/>
      <c r="P1" s="21"/>
      <c r="Q1" s="21"/>
      <c r="R1" s="21"/>
    </row>
    <row r="2" spans="4:22" x14ac:dyDescent="0.2">
      <c r="E2" s="8" t="s">
        <v>0</v>
      </c>
      <c r="F2" s="8" t="s">
        <v>1</v>
      </c>
      <c r="G2" s="8" t="s">
        <v>2</v>
      </c>
      <c r="H2" s="8" t="s">
        <v>3</v>
      </c>
      <c r="I2" s="8" t="s">
        <v>4</v>
      </c>
      <c r="J2" s="8" t="s">
        <v>5</v>
      </c>
      <c r="K2" s="8" t="s">
        <v>6</v>
      </c>
      <c r="L2" s="8" t="s">
        <v>7</v>
      </c>
      <c r="M2" s="8" t="s">
        <v>8</v>
      </c>
      <c r="N2" s="8" t="s">
        <v>9</v>
      </c>
      <c r="O2" s="8" t="s">
        <v>10</v>
      </c>
      <c r="P2" s="8" t="s">
        <v>11</v>
      </c>
      <c r="Q2" s="8" t="s">
        <v>12</v>
      </c>
      <c r="R2" s="8" t="s">
        <v>13</v>
      </c>
    </row>
    <row r="3" spans="4:22" ht="25.5" x14ac:dyDescent="0.2">
      <c r="D3" s="17" t="s">
        <v>14</v>
      </c>
      <c r="E3" s="50" t="s">
        <v>39</v>
      </c>
      <c r="F3" s="50" t="s">
        <v>40</v>
      </c>
      <c r="G3" s="50" t="s">
        <v>41</v>
      </c>
      <c r="H3" s="50" t="s">
        <v>42</v>
      </c>
      <c r="I3" s="31" t="s">
        <v>108</v>
      </c>
      <c r="J3" s="50" t="s">
        <v>94</v>
      </c>
      <c r="K3" s="50" t="s">
        <v>65</v>
      </c>
      <c r="L3" s="50" t="s">
        <v>43</v>
      </c>
      <c r="M3" s="50" t="s">
        <v>44</v>
      </c>
      <c r="N3" s="50" t="s">
        <v>45</v>
      </c>
      <c r="O3" s="50" t="s">
        <v>46</v>
      </c>
      <c r="P3" s="50" t="s">
        <v>95</v>
      </c>
      <c r="Q3" s="50" t="s">
        <v>47</v>
      </c>
      <c r="R3" s="51" t="s">
        <v>48</v>
      </c>
    </row>
    <row r="4" spans="4:22" ht="25.5" x14ac:dyDescent="0.2">
      <c r="D4" s="17" t="s">
        <v>15</v>
      </c>
      <c r="E4" s="9" t="s">
        <v>16</v>
      </c>
      <c r="F4" s="9" t="s">
        <v>17</v>
      </c>
      <c r="G4" s="9" t="s">
        <v>18</v>
      </c>
      <c r="H4" s="9" t="s">
        <v>19</v>
      </c>
      <c r="I4" s="9" t="s">
        <v>20</v>
      </c>
      <c r="J4" s="9" t="s">
        <v>21</v>
      </c>
      <c r="K4" s="9" t="s">
        <v>22</v>
      </c>
      <c r="L4" s="9" t="s">
        <v>23</v>
      </c>
      <c r="M4" s="9" t="s">
        <v>24</v>
      </c>
      <c r="N4" s="9" t="s">
        <v>25</v>
      </c>
      <c r="O4" s="9" t="s">
        <v>26</v>
      </c>
      <c r="P4" s="9" t="s">
        <v>27</v>
      </c>
      <c r="Q4" s="9" t="s">
        <v>28</v>
      </c>
      <c r="R4" s="9" t="s">
        <v>29</v>
      </c>
      <c r="T4" s="1" t="s">
        <v>106</v>
      </c>
      <c r="U4" s="1" t="s">
        <v>100</v>
      </c>
    </row>
    <row r="5" spans="4:22" ht="25.5" x14ac:dyDescent="0.2">
      <c r="D5" s="17" t="s">
        <v>30</v>
      </c>
      <c r="E5" s="9">
        <v>0.29699999999999999</v>
      </c>
      <c r="F5" s="9">
        <v>0.17699999999999999</v>
      </c>
      <c r="G5" s="9">
        <v>0.24099999999999999</v>
      </c>
      <c r="H5" s="9">
        <v>0.20699999999999999</v>
      </c>
      <c r="I5" s="9">
        <v>0.16700000000000001</v>
      </c>
      <c r="J5" s="9">
        <v>0.126</v>
      </c>
      <c r="K5" s="9">
        <v>1.5</v>
      </c>
      <c r="L5" s="9">
        <v>0.16200000000000001</v>
      </c>
      <c r="M5" s="9">
        <v>0.16200000000000001</v>
      </c>
      <c r="N5" s="9">
        <v>0.14199999999999999</v>
      </c>
      <c r="O5" s="9">
        <v>0.191</v>
      </c>
      <c r="P5" s="9">
        <v>0.156</v>
      </c>
      <c r="Q5" s="9">
        <v>0.13700000000000001</v>
      </c>
      <c r="R5" s="9">
        <v>0.161</v>
      </c>
      <c r="T5" s="25"/>
      <c r="U5" s="25" t="s">
        <v>103</v>
      </c>
      <c r="V5" s="25" t="s">
        <v>32</v>
      </c>
    </row>
    <row r="6" spans="4:22" ht="25.5" x14ac:dyDescent="0.2">
      <c r="D6" s="29" t="s">
        <v>31</v>
      </c>
      <c r="E6" s="30">
        <v>19.387499999999999</v>
      </c>
      <c r="F6" s="30">
        <v>9.5873000000000008</v>
      </c>
      <c r="G6" s="30">
        <v>20.058299999999999</v>
      </c>
      <c r="H6" s="30">
        <v>11.065099999999999</v>
      </c>
      <c r="I6" s="30">
        <v>11.7575</v>
      </c>
      <c r="J6" s="30">
        <v>10.4693</v>
      </c>
      <c r="K6" s="30">
        <v>0.60140000000000005</v>
      </c>
      <c r="L6" s="30">
        <v>10.222099999999999</v>
      </c>
      <c r="M6" s="30">
        <v>10.523400000000001</v>
      </c>
      <c r="N6" s="30">
        <v>10.349</v>
      </c>
      <c r="O6" s="30">
        <v>10.171799999999999</v>
      </c>
      <c r="P6" s="30">
        <v>9.7460000000000004</v>
      </c>
      <c r="Q6" s="30">
        <v>9.7444000000000006</v>
      </c>
      <c r="R6" s="30">
        <v>9.8450000000000006</v>
      </c>
      <c r="T6" s="26" t="s">
        <v>104</v>
      </c>
      <c r="U6" s="1" cm="1">
        <f t="array" aca="1" ref="U6" ca="1">INDIRECT($U$4&amp;ROW())</f>
        <v>11.7575</v>
      </c>
      <c r="V6" s="1" cm="1">
        <f t="array" aca="1" ref="V6" ca="1">INDIRECT($U$4&amp;ROW()+1)</f>
        <v>6.59E-2</v>
      </c>
    </row>
    <row r="7" spans="4:22" x14ac:dyDescent="0.2">
      <c r="D7" s="29" t="s">
        <v>32</v>
      </c>
      <c r="E7" s="30">
        <v>0.14119999999999999</v>
      </c>
      <c r="F7" s="30">
        <v>7.0300000000000001E-2</v>
      </c>
      <c r="G7" s="30">
        <v>0.13320000000000001</v>
      </c>
      <c r="H7" s="30">
        <v>7.0800000000000002E-2</v>
      </c>
      <c r="I7" s="30">
        <v>6.59E-2</v>
      </c>
      <c r="J7" s="30">
        <v>6.9699999999999998E-2</v>
      </c>
      <c r="K7" s="30">
        <v>8.1199999999999994E-2</v>
      </c>
      <c r="L7" s="30">
        <v>5.0599999999999999E-2</v>
      </c>
      <c r="M7" s="30">
        <v>4.8399999999999999E-2</v>
      </c>
      <c r="N7" s="30">
        <v>6.9699999999999998E-2</v>
      </c>
      <c r="O7" s="30">
        <v>5.0099999999999999E-2</v>
      </c>
      <c r="P7" s="30">
        <v>6.1899999999999997E-2</v>
      </c>
      <c r="Q7" s="30">
        <v>5.8000000000000003E-2</v>
      </c>
      <c r="R7" s="30">
        <v>7.3099999999999998E-2</v>
      </c>
      <c r="T7" s="27" t="s">
        <v>105</v>
      </c>
      <c r="U7" s="1" cm="1">
        <f t="array" aca="1" ref="U7" ca="1">INDIRECT($U$4&amp;ROW()+12)</f>
        <v>11.615399999999999</v>
      </c>
      <c r="V7" s="1" cm="1">
        <f t="array" aca="1" ref="V7" ca="1">INDIRECT($U$4&amp;ROW()+13)</f>
        <v>5.4899999999999997E-2</v>
      </c>
    </row>
    <row r="8" spans="4:22" ht="25.5" x14ac:dyDescent="0.2">
      <c r="D8" s="17" t="s">
        <v>33</v>
      </c>
      <c r="E8" s="18">
        <v>7.3000000000000001E-3</v>
      </c>
      <c r="F8" s="18">
        <v>7.3000000000000001E-3</v>
      </c>
      <c r="G8" s="18">
        <v>6.6E-3</v>
      </c>
      <c r="H8" s="18">
        <v>6.4000000000000003E-3</v>
      </c>
      <c r="I8" s="18">
        <v>5.5999999999999999E-3</v>
      </c>
      <c r="J8" s="18">
        <v>6.7000000000000002E-3</v>
      </c>
      <c r="K8" s="18">
        <v>0.13500000000000001</v>
      </c>
      <c r="L8" s="18">
        <v>5.0000000000000001E-3</v>
      </c>
      <c r="M8" s="18">
        <v>4.5999999999999999E-3</v>
      </c>
      <c r="N8" s="18">
        <v>6.7000000000000002E-3</v>
      </c>
      <c r="O8" s="18">
        <v>4.8999999999999998E-3</v>
      </c>
      <c r="P8" s="18">
        <v>6.4000000000000003E-3</v>
      </c>
      <c r="Q8" s="18">
        <v>6.0000000000000001E-3</v>
      </c>
      <c r="R8" s="18">
        <v>7.4000000000000003E-3</v>
      </c>
      <c r="T8" s="28">
        <v>0.82</v>
      </c>
      <c r="U8" s="1" cm="1">
        <f t="array" aca="1" ref="U8" ca="1">INDIRECT($U$4&amp;ROW()+24)</f>
        <v>11.844099999999999</v>
      </c>
      <c r="V8" s="1" cm="1">
        <f t="array" aca="1" ref="V8" ca="1">INDIRECT($U$4&amp;ROW()+25)</f>
        <v>5.1999999999999998E-2</v>
      </c>
    </row>
    <row r="9" spans="4:22" x14ac:dyDescent="0.2">
      <c r="D9" s="17" t="s">
        <v>34</v>
      </c>
      <c r="E9" s="9">
        <v>9.1000000000000004E-3</v>
      </c>
      <c r="F9" s="9">
        <v>4.4999999999999997E-3</v>
      </c>
      <c r="G9" s="9">
        <v>8.6E-3</v>
      </c>
      <c r="H9" s="9">
        <v>4.5999999999999999E-3</v>
      </c>
      <c r="I9" s="9">
        <v>4.3E-3</v>
      </c>
      <c r="J9" s="9">
        <v>4.4999999999999997E-3</v>
      </c>
      <c r="K9" s="9">
        <v>5.1999999999999998E-3</v>
      </c>
      <c r="L9" s="9">
        <v>3.3E-3</v>
      </c>
      <c r="M9" s="9">
        <v>3.0999999999999999E-3</v>
      </c>
      <c r="N9" s="9">
        <v>4.4999999999999997E-3</v>
      </c>
      <c r="O9" s="9">
        <v>3.2000000000000002E-3</v>
      </c>
      <c r="P9" s="9">
        <v>4.0000000000000001E-3</v>
      </c>
      <c r="Q9" s="9">
        <v>3.7000000000000002E-3</v>
      </c>
      <c r="R9" s="9">
        <v>4.7000000000000002E-3</v>
      </c>
      <c r="T9" s="28">
        <v>0.78</v>
      </c>
      <c r="U9" s="1" cm="1">
        <f t="array" aca="1" ref="U9" ca="1">INDIRECT($U$4&amp;ROW()+36)</f>
        <v>11.7431</v>
      </c>
      <c r="V9" s="1" cm="1">
        <f t="array" aca="1" ref="V9" ca="1">INDIRECT($U$4&amp;ROW()+37)</f>
        <v>5.4100000000000002E-2</v>
      </c>
    </row>
    <row r="10" spans="4:22" ht="25.5" x14ac:dyDescent="0.2">
      <c r="D10" s="17" t="s">
        <v>35</v>
      </c>
      <c r="E10" s="18">
        <v>5.0000000000000001E-4</v>
      </c>
      <c r="F10" s="18">
        <v>5.0000000000000001E-4</v>
      </c>
      <c r="G10" s="18">
        <v>4.0000000000000002E-4</v>
      </c>
      <c r="H10" s="18">
        <v>4.0000000000000002E-4</v>
      </c>
      <c r="I10" s="18">
        <v>4.0000000000000002E-4</v>
      </c>
      <c r="J10" s="18">
        <v>4.0000000000000002E-4</v>
      </c>
      <c r="K10" s="18">
        <v>8.6999999999999994E-3</v>
      </c>
      <c r="L10" s="18">
        <v>2.9999999999999997E-4</v>
      </c>
      <c r="M10" s="18">
        <v>2.9999999999999997E-4</v>
      </c>
      <c r="N10" s="18">
        <v>4.0000000000000002E-4</v>
      </c>
      <c r="O10" s="18">
        <v>2.9999999999999997E-4</v>
      </c>
      <c r="P10" s="18">
        <v>4.0000000000000002E-4</v>
      </c>
      <c r="Q10" s="18">
        <v>4.0000000000000002E-4</v>
      </c>
      <c r="R10" s="18">
        <v>5.0000000000000001E-4</v>
      </c>
    </row>
    <row r="11" spans="4:22" x14ac:dyDescent="0.2">
      <c r="D11" s="17" t="s">
        <v>36</v>
      </c>
      <c r="E11" s="18">
        <v>3.9899999999999998E-2</v>
      </c>
      <c r="F11" s="18">
        <v>4.2000000000000003E-2</v>
      </c>
      <c r="G11" s="18">
        <v>3.73E-2</v>
      </c>
      <c r="H11" s="18">
        <v>3.3500000000000002E-2</v>
      </c>
      <c r="I11" s="18">
        <v>3.1899999999999998E-2</v>
      </c>
      <c r="J11" s="18">
        <v>3.4799999999999998E-2</v>
      </c>
      <c r="K11" s="18">
        <v>0.75319999999999998</v>
      </c>
      <c r="L11" s="18">
        <v>2.9700000000000001E-2</v>
      </c>
      <c r="M11" s="18">
        <v>2.5700000000000001E-2</v>
      </c>
      <c r="N11" s="18">
        <v>3.8600000000000002E-2</v>
      </c>
      <c r="O11" s="18">
        <v>2.92E-2</v>
      </c>
      <c r="P11" s="18">
        <v>3.4200000000000001E-2</v>
      </c>
      <c r="Q11" s="18">
        <v>3.0499999999999999E-2</v>
      </c>
      <c r="R11" s="18">
        <v>3.9699999999999999E-2</v>
      </c>
    </row>
    <row r="12" spans="4:22" x14ac:dyDescent="0.2">
      <c r="D12" s="17" t="s">
        <v>37</v>
      </c>
      <c r="E12" s="9">
        <v>1460</v>
      </c>
      <c r="F12" s="9">
        <v>683</v>
      </c>
      <c r="G12" s="9">
        <v>1512</v>
      </c>
      <c r="H12" s="9">
        <v>737</v>
      </c>
      <c r="I12" s="9">
        <v>850</v>
      </c>
      <c r="J12" s="9">
        <v>775</v>
      </c>
      <c r="K12" s="9">
        <v>25</v>
      </c>
      <c r="L12" s="9">
        <v>801</v>
      </c>
      <c r="M12" s="9">
        <v>697</v>
      </c>
      <c r="N12" s="9">
        <v>907</v>
      </c>
      <c r="O12" s="9">
        <v>732</v>
      </c>
      <c r="P12" s="9">
        <v>777</v>
      </c>
      <c r="Q12" s="9">
        <v>799</v>
      </c>
      <c r="R12" s="9">
        <v>746</v>
      </c>
    </row>
    <row r="14" spans="4:22" x14ac:dyDescent="0.2">
      <c r="D14" s="22" t="s">
        <v>97</v>
      </c>
      <c r="E14" s="22"/>
      <c r="F14" s="22"/>
      <c r="G14" s="22"/>
      <c r="H14" s="22"/>
      <c r="I14" s="22"/>
      <c r="J14" s="22"/>
      <c r="K14" s="22"/>
      <c r="L14" s="22"/>
      <c r="M14" s="22"/>
      <c r="N14" s="22"/>
      <c r="O14" s="22"/>
      <c r="P14" s="22"/>
      <c r="Q14" s="22"/>
      <c r="R14" s="22"/>
    </row>
    <row r="15" spans="4:22" x14ac:dyDescent="0.2">
      <c r="E15" s="8" t="s">
        <v>0</v>
      </c>
      <c r="F15" s="8" t="s">
        <v>1</v>
      </c>
      <c r="G15" s="8" t="s">
        <v>2</v>
      </c>
      <c r="H15" s="8" t="s">
        <v>3</v>
      </c>
      <c r="I15" s="8" t="s">
        <v>4</v>
      </c>
      <c r="J15" s="8" t="s">
        <v>5</v>
      </c>
      <c r="K15" s="8" t="s">
        <v>6</v>
      </c>
      <c r="L15" s="8" t="s">
        <v>7</v>
      </c>
      <c r="M15" s="8" t="s">
        <v>8</v>
      </c>
      <c r="N15" s="8" t="s">
        <v>9</v>
      </c>
      <c r="O15" s="8" t="s">
        <v>10</v>
      </c>
      <c r="P15" s="8" t="s">
        <v>11</v>
      </c>
      <c r="Q15" s="8" t="s">
        <v>12</v>
      </c>
      <c r="R15" s="8" t="s">
        <v>13</v>
      </c>
    </row>
    <row r="16" spans="4:22" ht="25.5" x14ac:dyDescent="0.2">
      <c r="D16" s="17" t="s">
        <v>14</v>
      </c>
      <c r="E16" s="50" t="s">
        <v>39</v>
      </c>
      <c r="F16" s="50" t="s">
        <v>40</v>
      </c>
      <c r="G16" s="50" t="s">
        <v>41</v>
      </c>
      <c r="H16" s="50" t="s">
        <v>42</v>
      </c>
      <c r="I16" s="31" t="s">
        <v>108</v>
      </c>
      <c r="J16" s="50" t="s">
        <v>94</v>
      </c>
      <c r="K16" s="50" t="s">
        <v>65</v>
      </c>
      <c r="L16" s="50" t="s">
        <v>43</v>
      </c>
      <c r="M16" s="50" t="s">
        <v>44</v>
      </c>
      <c r="N16" s="50" t="s">
        <v>45</v>
      </c>
      <c r="O16" s="50" t="s">
        <v>46</v>
      </c>
      <c r="P16" s="50" t="s">
        <v>95</v>
      </c>
      <c r="Q16" s="50" t="s">
        <v>47</v>
      </c>
      <c r="R16" s="51" t="s">
        <v>48</v>
      </c>
    </row>
    <row r="17" spans="4:18" ht="25.5" x14ac:dyDescent="0.2">
      <c r="D17" s="17" t="s">
        <v>15</v>
      </c>
      <c r="E17" s="9" t="s">
        <v>16</v>
      </c>
      <c r="F17" s="9" t="s">
        <v>17</v>
      </c>
      <c r="G17" s="9" t="s">
        <v>18</v>
      </c>
      <c r="H17" s="9" t="s">
        <v>19</v>
      </c>
      <c r="I17" s="9" t="s">
        <v>20</v>
      </c>
      <c r="J17" s="9" t="s">
        <v>21</v>
      </c>
      <c r="K17" s="9" t="s">
        <v>22</v>
      </c>
      <c r="L17" s="9" t="s">
        <v>23</v>
      </c>
      <c r="M17" s="9" t="s">
        <v>24</v>
      </c>
      <c r="N17" s="9" t="s">
        <v>25</v>
      </c>
      <c r="O17" s="9" t="s">
        <v>26</v>
      </c>
      <c r="P17" s="9" t="s">
        <v>27</v>
      </c>
      <c r="Q17" s="9" t="s">
        <v>28</v>
      </c>
      <c r="R17" s="9" t="s">
        <v>29</v>
      </c>
    </row>
    <row r="18" spans="4:18" ht="25.5" x14ac:dyDescent="0.2">
      <c r="D18" s="17" t="s">
        <v>30</v>
      </c>
      <c r="E18" s="9">
        <v>0.29699999999999999</v>
      </c>
      <c r="F18" s="9">
        <v>0.17699999999999999</v>
      </c>
      <c r="G18" s="9">
        <v>0.24099999999999999</v>
      </c>
      <c r="H18" s="9">
        <v>0.20699999999999999</v>
      </c>
      <c r="I18" s="9">
        <v>0.16700000000000001</v>
      </c>
      <c r="J18" s="9">
        <v>0.126</v>
      </c>
      <c r="K18" s="9">
        <v>1.5</v>
      </c>
      <c r="L18" s="9">
        <v>0.16200000000000001</v>
      </c>
      <c r="M18" s="9">
        <v>0.16200000000000001</v>
      </c>
      <c r="N18" s="9">
        <v>0.14199999999999999</v>
      </c>
      <c r="O18" s="9">
        <v>0.191</v>
      </c>
      <c r="P18" s="9">
        <v>0.156</v>
      </c>
      <c r="Q18" s="9">
        <v>0.13700000000000001</v>
      </c>
      <c r="R18" s="9">
        <v>0.161</v>
      </c>
    </row>
    <row r="19" spans="4:18" ht="25.5" x14ac:dyDescent="0.2">
      <c r="D19" s="29" t="s">
        <v>31</v>
      </c>
      <c r="E19" s="30">
        <v>19.231999999999999</v>
      </c>
      <c r="F19" s="30">
        <v>9.4989000000000008</v>
      </c>
      <c r="G19" s="30">
        <v>19.8489</v>
      </c>
      <c r="H19" s="30">
        <v>10.982799999999999</v>
      </c>
      <c r="I19" s="30">
        <v>11.615399999999999</v>
      </c>
      <c r="J19" s="30">
        <v>10.370799999999999</v>
      </c>
      <c r="K19" s="30">
        <v>0.61140000000000005</v>
      </c>
      <c r="L19" s="30">
        <v>10.0867</v>
      </c>
      <c r="M19" s="30">
        <v>10.363200000000001</v>
      </c>
      <c r="N19" s="30">
        <v>10.250299999999999</v>
      </c>
      <c r="O19" s="30">
        <v>10.045</v>
      </c>
      <c r="P19" s="30">
        <v>9.5974000000000004</v>
      </c>
      <c r="Q19" s="30">
        <v>9.5980000000000008</v>
      </c>
      <c r="R19" s="30">
        <v>9.6920999999999999</v>
      </c>
    </row>
    <row r="20" spans="4:18" x14ac:dyDescent="0.2">
      <c r="D20" s="29" t="s">
        <v>32</v>
      </c>
      <c r="E20" s="30">
        <v>0.1217</v>
      </c>
      <c r="F20" s="30">
        <v>6.2300000000000001E-2</v>
      </c>
      <c r="G20" s="30">
        <v>0.1124</v>
      </c>
      <c r="H20" s="30">
        <v>6.1699999999999998E-2</v>
      </c>
      <c r="I20" s="30">
        <v>5.4899999999999997E-2</v>
      </c>
      <c r="J20" s="30">
        <v>5.91E-2</v>
      </c>
      <c r="K20" s="30">
        <v>8.1500000000000003E-2</v>
      </c>
      <c r="L20" s="30">
        <v>2.93E-2</v>
      </c>
      <c r="M20" s="30">
        <v>3.1600000000000003E-2</v>
      </c>
      <c r="N20" s="30">
        <v>5.8599999999999999E-2</v>
      </c>
      <c r="O20" s="30">
        <v>3.6299999999999999E-2</v>
      </c>
      <c r="P20" s="30">
        <v>5.7099999999999998E-2</v>
      </c>
      <c r="Q20" s="30">
        <v>5.7200000000000001E-2</v>
      </c>
      <c r="R20" s="30">
        <v>6.8699999999999997E-2</v>
      </c>
    </row>
    <row r="21" spans="4:18" ht="25.5" x14ac:dyDescent="0.2">
      <c r="D21" s="17" t="s">
        <v>33</v>
      </c>
      <c r="E21" s="18">
        <v>6.3E-3</v>
      </c>
      <c r="F21" s="18">
        <v>6.6E-3</v>
      </c>
      <c r="G21" s="18">
        <v>5.7000000000000002E-3</v>
      </c>
      <c r="H21" s="18">
        <v>5.5999999999999999E-3</v>
      </c>
      <c r="I21" s="18">
        <v>4.7000000000000002E-3</v>
      </c>
      <c r="J21" s="18">
        <v>5.7000000000000002E-3</v>
      </c>
      <c r="K21" s="18">
        <v>0.1333</v>
      </c>
      <c r="L21" s="18">
        <v>2.8999999999999998E-3</v>
      </c>
      <c r="M21" s="18">
        <v>3.0000000000000001E-3</v>
      </c>
      <c r="N21" s="18">
        <v>5.7000000000000002E-3</v>
      </c>
      <c r="O21" s="18">
        <v>3.5999999999999999E-3</v>
      </c>
      <c r="P21" s="18">
        <v>5.8999999999999999E-3</v>
      </c>
      <c r="Q21" s="18">
        <v>6.0000000000000001E-3</v>
      </c>
      <c r="R21" s="18">
        <v>7.1000000000000004E-3</v>
      </c>
    </row>
    <row r="22" spans="4:18" x14ac:dyDescent="0.2">
      <c r="D22" s="17" t="s">
        <v>34</v>
      </c>
      <c r="E22" s="9">
        <v>7.9000000000000008E-3</v>
      </c>
      <c r="F22" s="9">
        <v>4.0000000000000001E-3</v>
      </c>
      <c r="G22" s="9">
        <v>7.3000000000000001E-3</v>
      </c>
      <c r="H22" s="9">
        <v>4.0000000000000001E-3</v>
      </c>
      <c r="I22" s="9">
        <v>3.5000000000000001E-3</v>
      </c>
      <c r="J22" s="9">
        <v>3.8E-3</v>
      </c>
      <c r="K22" s="9">
        <v>5.3E-3</v>
      </c>
      <c r="L22" s="9">
        <v>1.9E-3</v>
      </c>
      <c r="M22" s="9">
        <v>2E-3</v>
      </c>
      <c r="N22" s="9">
        <v>3.8E-3</v>
      </c>
      <c r="O22" s="9">
        <v>2.3E-3</v>
      </c>
      <c r="P22" s="9">
        <v>3.7000000000000002E-3</v>
      </c>
      <c r="Q22" s="9">
        <v>3.7000000000000002E-3</v>
      </c>
      <c r="R22" s="9">
        <v>4.4000000000000003E-3</v>
      </c>
    </row>
    <row r="23" spans="4:18" ht="25.5" x14ac:dyDescent="0.2">
      <c r="D23" s="17" t="s">
        <v>35</v>
      </c>
      <c r="E23" s="18">
        <v>4.0000000000000002E-4</v>
      </c>
      <c r="F23" s="18">
        <v>4.0000000000000002E-4</v>
      </c>
      <c r="G23" s="18">
        <v>4.0000000000000002E-4</v>
      </c>
      <c r="H23" s="18">
        <v>4.0000000000000002E-4</v>
      </c>
      <c r="I23" s="18">
        <v>2.9999999999999997E-4</v>
      </c>
      <c r="J23" s="18">
        <v>4.0000000000000002E-4</v>
      </c>
      <c r="K23" s="18">
        <v>8.6E-3</v>
      </c>
      <c r="L23" s="18">
        <v>2.0000000000000001E-4</v>
      </c>
      <c r="M23" s="18">
        <v>2.0000000000000001E-4</v>
      </c>
      <c r="N23" s="18">
        <v>4.0000000000000002E-4</v>
      </c>
      <c r="O23" s="18">
        <v>2.0000000000000001E-4</v>
      </c>
      <c r="P23" s="18">
        <v>4.0000000000000002E-4</v>
      </c>
      <c r="Q23" s="18">
        <v>4.0000000000000002E-4</v>
      </c>
      <c r="R23" s="18">
        <v>5.0000000000000001E-4</v>
      </c>
    </row>
    <row r="24" spans="4:18" x14ac:dyDescent="0.2">
      <c r="D24" s="17" t="s">
        <v>36</v>
      </c>
      <c r="E24" s="18">
        <v>3.2199999999999999E-2</v>
      </c>
      <c r="F24" s="18">
        <v>3.0700000000000002E-2</v>
      </c>
      <c r="G24" s="18">
        <v>2.7199999999999998E-2</v>
      </c>
      <c r="H24" s="18">
        <v>2.5700000000000001E-2</v>
      </c>
      <c r="I24" s="18">
        <v>2.2200000000000001E-2</v>
      </c>
      <c r="J24" s="18">
        <v>3.0599999999999999E-2</v>
      </c>
      <c r="K24" s="18">
        <v>0.69040000000000001</v>
      </c>
      <c r="L24" s="18">
        <v>1.44E-2</v>
      </c>
      <c r="M24" s="18">
        <v>1.5699999999999999E-2</v>
      </c>
      <c r="N24" s="18">
        <v>2.92E-2</v>
      </c>
      <c r="O24" s="18">
        <v>2.5000000000000001E-2</v>
      </c>
      <c r="P24" s="18">
        <v>3.2399999999999998E-2</v>
      </c>
      <c r="Q24" s="18">
        <v>2.86E-2</v>
      </c>
      <c r="R24" s="18">
        <v>3.5799999999999998E-2</v>
      </c>
    </row>
    <row r="25" spans="4:18" x14ac:dyDescent="0.2">
      <c r="D25" s="17" t="s">
        <v>37</v>
      </c>
      <c r="E25" s="9">
        <v>1440</v>
      </c>
      <c r="F25" s="9">
        <v>672</v>
      </c>
      <c r="G25" s="9">
        <v>1511</v>
      </c>
      <c r="H25" s="9">
        <v>766</v>
      </c>
      <c r="I25" s="9">
        <v>834</v>
      </c>
      <c r="J25" s="9">
        <v>770</v>
      </c>
      <c r="K25" s="9">
        <v>27</v>
      </c>
      <c r="L25" s="9">
        <v>794</v>
      </c>
      <c r="M25" s="9">
        <v>694</v>
      </c>
      <c r="N25" s="9">
        <v>900</v>
      </c>
      <c r="O25" s="9">
        <v>722</v>
      </c>
      <c r="P25" s="9">
        <v>769</v>
      </c>
      <c r="Q25" s="9">
        <v>789</v>
      </c>
      <c r="R25" s="9">
        <v>736</v>
      </c>
    </row>
    <row r="26" spans="4:18" x14ac:dyDescent="0.2">
      <c r="D26" s="19"/>
    </row>
    <row r="27" spans="4:18" x14ac:dyDescent="0.2">
      <c r="D27" s="23" t="s">
        <v>54</v>
      </c>
      <c r="E27" s="23"/>
      <c r="F27" s="23"/>
      <c r="G27" s="23"/>
      <c r="H27" s="23"/>
      <c r="I27" s="23"/>
      <c r="J27" s="23"/>
      <c r="K27" s="23"/>
      <c r="L27" s="23"/>
      <c r="M27" s="23"/>
      <c r="N27" s="23"/>
      <c r="O27" s="23"/>
      <c r="P27" s="23"/>
      <c r="Q27" s="23"/>
      <c r="R27" s="23"/>
    </row>
    <row r="28" spans="4:18" x14ac:dyDescent="0.2">
      <c r="E28" s="8" t="s">
        <v>0</v>
      </c>
      <c r="F28" s="8" t="s">
        <v>1</v>
      </c>
      <c r="G28" s="8" t="s">
        <v>2</v>
      </c>
      <c r="H28" s="8" t="s">
        <v>3</v>
      </c>
      <c r="I28" s="8" t="s">
        <v>4</v>
      </c>
      <c r="J28" s="8" t="s">
        <v>5</v>
      </c>
      <c r="K28" s="8" t="s">
        <v>6</v>
      </c>
      <c r="L28" s="8" t="s">
        <v>7</v>
      </c>
      <c r="M28" s="8" t="s">
        <v>8</v>
      </c>
      <c r="N28" s="8" t="s">
        <v>9</v>
      </c>
      <c r="O28" s="8" t="s">
        <v>10</v>
      </c>
      <c r="P28" s="8" t="s">
        <v>11</v>
      </c>
      <c r="Q28" s="8" t="s">
        <v>12</v>
      </c>
      <c r="R28" s="8" t="s">
        <v>13</v>
      </c>
    </row>
    <row r="29" spans="4:18" ht="25.5" x14ac:dyDescent="0.2">
      <c r="D29" s="17" t="s">
        <v>14</v>
      </c>
      <c r="E29" s="50" t="s">
        <v>39</v>
      </c>
      <c r="F29" s="50" t="s">
        <v>40</v>
      </c>
      <c r="G29" s="50" t="s">
        <v>41</v>
      </c>
      <c r="H29" s="50" t="s">
        <v>42</v>
      </c>
      <c r="I29" s="31" t="s">
        <v>108</v>
      </c>
      <c r="J29" s="50" t="s">
        <v>94</v>
      </c>
      <c r="K29" s="50" t="s">
        <v>65</v>
      </c>
      <c r="L29" s="50" t="s">
        <v>43</v>
      </c>
      <c r="M29" s="50" t="s">
        <v>44</v>
      </c>
      <c r="N29" s="50" t="s">
        <v>45</v>
      </c>
      <c r="O29" s="50" t="s">
        <v>46</v>
      </c>
      <c r="P29" s="50" t="s">
        <v>95</v>
      </c>
      <c r="Q29" s="50" t="s">
        <v>47</v>
      </c>
      <c r="R29" s="51" t="s">
        <v>48</v>
      </c>
    </row>
    <row r="30" spans="4:18" ht="25.5" x14ac:dyDescent="0.2">
      <c r="D30" s="17" t="s">
        <v>15</v>
      </c>
      <c r="E30" s="9" t="s">
        <v>16</v>
      </c>
      <c r="F30" s="9" t="s">
        <v>17</v>
      </c>
      <c r="G30" s="9" t="s">
        <v>18</v>
      </c>
      <c r="H30" s="9" t="s">
        <v>19</v>
      </c>
      <c r="I30" s="9" t="s">
        <v>20</v>
      </c>
      <c r="J30" s="9" t="s">
        <v>21</v>
      </c>
      <c r="K30" s="9" t="s">
        <v>22</v>
      </c>
      <c r="L30" s="9" t="s">
        <v>23</v>
      </c>
      <c r="M30" s="9" t="s">
        <v>24</v>
      </c>
      <c r="N30" s="9" t="s">
        <v>25</v>
      </c>
      <c r="O30" s="9" t="s">
        <v>26</v>
      </c>
      <c r="P30" s="9" t="s">
        <v>27</v>
      </c>
      <c r="Q30" s="9" t="s">
        <v>28</v>
      </c>
      <c r="R30" s="9" t="s">
        <v>29</v>
      </c>
    </row>
    <row r="31" spans="4:18" ht="25.5" x14ac:dyDescent="0.2">
      <c r="D31" s="17" t="s">
        <v>30</v>
      </c>
      <c r="E31" s="9">
        <v>0.29699999999999999</v>
      </c>
      <c r="F31" s="9">
        <v>0.17699999999999999</v>
      </c>
      <c r="G31" s="9">
        <v>0.24099999999999999</v>
      </c>
      <c r="H31" s="9">
        <v>0.20699999999999999</v>
      </c>
      <c r="I31" s="9">
        <v>0.16700000000000001</v>
      </c>
      <c r="J31" s="9">
        <v>0.126</v>
      </c>
      <c r="K31" s="9">
        <v>1.5</v>
      </c>
      <c r="L31" s="9">
        <v>0.16200000000000001</v>
      </c>
      <c r="M31" s="9">
        <v>0.16200000000000001</v>
      </c>
      <c r="N31" s="9">
        <v>0.14199999999999999</v>
      </c>
      <c r="O31" s="9">
        <v>0.191</v>
      </c>
      <c r="P31" s="9">
        <v>0.156</v>
      </c>
      <c r="Q31" s="9">
        <v>0.13700000000000001</v>
      </c>
      <c r="R31" s="9">
        <v>0.161</v>
      </c>
    </row>
    <row r="32" spans="4:18" ht="25.5" x14ac:dyDescent="0.2">
      <c r="D32" s="29" t="s">
        <v>31</v>
      </c>
      <c r="E32" s="30">
        <v>19.575500000000002</v>
      </c>
      <c r="F32" s="30">
        <v>9.6550999999999991</v>
      </c>
      <c r="G32" s="30">
        <v>20.121300000000002</v>
      </c>
      <c r="H32" s="30">
        <v>11.573</v>
      </c>
      <c r="I32" s="30">
        <v>11.844099999999999</v>
      </c>
      <c r="J32" s="30">
        <v>10.472799999999999</v>
      </c>
      <c r="K32" s="30">
        <v>0.57399999999999995</v>
      </c>
      <c r="L32" s="30">
        <v>10.298299999999999</v>
      </c>
      <c r="M32" s="30">
        <v>10.535500000000001</v>
      </c>
      <c r="N32" s="30">
        <v>10.4595</v>
      </c>
      <c r="O32" s="30">
        <v>10.216699999999999</v>
      </c>
      <c r="P32" s="30">
        <v>9.7851999999999997</v>
      </c>
      <c r="Q32" s="30">
        <v>9.7828999999999997</v>
      </c>
      <c r="R32" s="30">
        <v>9.9865999999999993</v>
      </c>
    </row>
    <row r="33" spans="4:18" x14ac:dyDescent="0.2">
      <c r="D33" s="29" t="s">
        <v>32</v>
      </c>
      <c r="E33" s="30">
        <v>0.13250000000000001</v>
      </c>
      <c r="F33" s="30">
        <v>6.7599999999999993E-2</v>
      </c>
      <c r="G33" s="30">
        <v>0.12479999999999999</v>
      </c>
      <c r="H33" s="30">
        <v>6.8900000000000003E-2</v>
      </c>
      <c r="I33" s="30">
        <v>5.1999999999999998E-2</v>
      </c>
      <c r="J33" s="30">
        <v>6.6000000000000003E-2</v>
      </c>
      <c r="K33" s="30">
        <v>8.2799999999999999E-2</v>
      </c>
      <c r="L33" s="30">
        <v>3.2899999999999999E-2</v>
      </c>
      <c r="M33" s="30">
        <v>3.1399999999999997E-2</v>
      </c>
      <c r="N33" s="30">
        <v>6.3399999999999998E-2</v>
      </c>
      <c r="O33" s="30">
        <v>3.73E-2</v>
      </c>
      <c r="P33" s="30">
        <v>6.7000000000000004E-2</v>
      </c>
      <c r="Q33" s="30">
        <v>6.4399999999999999E-2</v>
      </c>
      <c r="R33" s="30">
        <v>7.6999999999999999E-2</v>
      </c>
    </row>
    <row r="34" spans="4:18" ht="25.5" x14ac:dyDescent="0.2">
      <c r="D34" s="17" t="s">
        <v>33</v>
      </c>
      <c r="E34" s="18">
        <v>6.7999999999999996E-3</v>
      </c>
      <c r="F34" s="18">
        <v>7.0000000000000001E-3</v>
      </c>
      <c r="G34" s="18">
        <v>6.1999999999999998E-3</v>
      </c>
      <c r="H34" s="18">
        <v>6.0000000000000001E-3</v>
      </c>
      <c r="I34" s="18">
        <v>4.4000000000000003E-3</v>
      </c>
      <c r="J34" s="18">
        <v>6.3E-3</v>
      </c>
      <c r="K34" s="18">
        <v>0.14419999999999999</v>
      </c>
      <c r="L34" s="18">
        <v>3.2000000000000002E-3</v>
      </c>
      <c r="M34" s="18">
        <v>3.0000000000000001E-3</v>
      </c>
      <c r="N34" s="18">
        <v>6.1000000000000004E-3</v>
      </c>
      <c r="O34" s="18">
        <v>3.5999999999999999E-3</v>
      </c>
      <c r="P34" s="18">
        <v>6.7999999999999996E-3</v>
      </c>
      <c r="Q34" s="18">
        <v>6.6E-3</v>
      </c>
      <c r="R34" s="18">
        <v>7.7000000000000002E-3</v>
      </c>
    </row>
    <row r="35" spans="4:18" x14ac:dyDescent="0.2">
      <c r="D35" s="17" t="s">
        <v>34</v>
      </c>
      <c r="E35" s="9">
        <v>8.6E-3</v>
      </c>
      <c r="F35" s="9">
        <v>4.4000000000000003E-3</v>
      </c>
      <c r="G35" s="9">
        <v>8.0999999999999996E-3</v>
      </c>
      <c r="H35" s="9">
        <v>4.4000000000000003E-3</v>
      </c>
      <c r="I35" s="9">
        <v>3.3999999999999998E-3</v>
      </c>
      <c r="J35" s="9">
        <v>4.3E-3</v>
      </c>
      <c r="K35" s="9">
        <v>5.3E-3</v>
      </c>
      <c r="L35" s="9">
        <v>2.0999999999999999E-3</v>
      </c>
      <c r="M35" s="9">
        <v>2E-3</v>
      </c>
      <c r="N35" s="9">
        <v>4.1000000000000003E-3</v>
      </c>
      <c r="O35" s="9">
        <v>2.3999999999999998E-3</v>
      </c>
      <c r="P35" s="9">
        <v>4.3E-3</v>
      </c>
      <c r="Q35" s="9">
        <v>4.1999999999999997E-3</v>
      </c>
      <c r="R35" s="9">
        <v>5.0000000000000001E-3</v>
      </c>
    </row>
    <row r="36" spans="4:18" ht="25.5" x14ac:dyDescent="0.2">
      <c r="D36" s="17" t="s">
        <v>35</v>
      </c>
      <c r="E36" s="18">
        <v>4.0000000000000002E-4</v>
      </c>
      <c r="F36" s="18">
        <v>5.0000000000000001E-4</v>
      </c>
      <c r="G36" s="18">
        <v>4.0000000000000002E-4</v>
      </c>
      <c r="H36" s="18">
        <v>4.0000000000000002E-4</v>
      </c>
      <c r="I36" s="18">
        <v>2.9999999999999997E-4</v>
      </c>
      <c r="J36" s="18">
        <v>4.0000000000000002E-4</v>
      </c>
      <c r="K36" s="18">
        <v>9.2999999999999992E-3</v>
      </c>
      <c r="L36" s="18">
        <v>2.0000000000000001E-4</v>
      </c>
      <c r="M36" s="18">
        <v>2.0000000000000001E-4</v>
      </c>
      <c r="N36" s="18">
        <v>4.0000000000000002E-4</v>
      </c>
      <c r="O36" s="18">
        <v>2.0000000000000001E-4</v>
      </c>
      <c r="P36" s="18">
        <v>4.0000000000000002E-4</v>
      </c>
      <c r="Q36" s="18">
        <v>4.0000000000000002E-4</v>
      </c>
      <c r="R36" s="18">
        <v>5.0000000000000001E-4</v>
      </c>
    </row>
    <row r="37" spans="4:18" x14ac:dyDescent="0.2">
      <c r="D37" s="17" t="s">
        <v>36</v>
      </c>
      <c r="E37" s="18">
        <v>3.2000000000000001E-2</v>
      </c>
      <c r="F37" s="18">
        <v>3.1600000000000003E-2</v>
      </c>
      <c r="G37" s="18">
        <v>2.75E-2</v>
      </c>
      <c r="H37" s="18">
        <v>2.4400000000000002E-2</v>
      </c>
      <c r="I37" s="18">
        <v>1.9099999999999999E-2</v>
      </c>
      <c r="J37" s="18">
        <v>2.9899999999999999E-2</v>
      </c>
      <c r="K37" s="18">
        <v>0.67620000000000002</v>
      </c>
      <c r="L37" s="18">
        <v>1.7999999999999999E-2</v>
      </c>
      <c r="M37" s="18">
        <v>1.5299999999999999E-2</v>
      </c>
      <c r="N37" s="18">
        <v>2.7900000000000001E-2</v>
      </c>
      <c r="O37" s="18">
        <v>2.0400000000000001E-2</v>
      </c>
      <c r="P37" s="18">
        <v>3.0499999999999999E-2</v>
      </c>
      <c r="Q37" s="18">
        <v>3.3000000000000002E-2</v>
      </c>
      <c r="R37" s="18">
        <v>3.32E-2</v>
      </c>
    </row>
    <row r="38" spans="4:18" x14ac:dyDescent="0.2">
      <c r="D38" s="17" t="s">
        <v>37</v>
      </c>
      <c r="E38" s="9">
        <v>1445</v>
      </c>
      <c r="F38" s="9">
        <v>679</v>
      </c>
      <c r="G38" s="9">
        <v>1512</v>
      </c>
      <c r="H38" s="9">
        <v>790</v>
      </c>
      <c r="I38" s="9">
        <v>837</v>
      </c>
      <c r="J38" s="9">
        <v>762</v>
      </c>
      <c r="K38" s="9">
        <v>15</v>
      </c>
      <c r="L38" s="9">
        <v>810</v>
      </c>
      <c r="M38" s="9">
        <v>699</v>
      </c>
      <c r="N38" s="9">
        <v>895</v>
      </c>
      <c r="O38" s="9">
        <v>724</v>
      </c>
      <c r="P38" s="9">
        <v>782</v>
      </c>
      <c r="Q38" s="9">
        <v>795</v>
      </c>
      <c r="R38" s="9">
        <v>747</v>
      </c>
    </row>
    <row r="39" spans="4:18" x14ac:dyDescent="0.2">
      <c r="D39" s="20"/>
    </row>
    <row r="40" spans="4:18" x14ac:dyDescent="0.2">
      <c r="D40" s="24" t="s">
        <v>53</v>
      </c>
      <c r="E40" s="24"/>
      <c r="F40" s="24"/>
      <c r="G40" s="24"/>
      <c r="H40" s="24"/>
      <c r="I40" s="24"/>
      <c r="J40" s="24"/>
      <c r="K40" s="24"/>
      <c r="L40" s="24"/>
      <c r="M40" s="24"/>
      <c r="N40" s="24"/>
      <c r="O40" s="24"/>
      <c r="P40" s="24"/>
      <c r="Q40" s="24"/>
      <c r="R40" s="24"/>
    </row>
    <row r="41" spans="4:18" x14ac:dyDescent="0.2">
      <c r="E41" s="8" t="s">
        <v>0</v>
      </c>
      <c r="F41" s="8" t="s">
        <v>1</v>
      </c>
      <c r="G41" s="8" t="s">
        <v>2</v>
      </c>
      <c r="H41" s="8" t="s">
        <v>3</v>
      </c>
      <c r="I41" s="8" t="s">
        <v>4</v>
      </c>
      <c r="J41" s="8" t="s">
        <v>5</v>
      </c>
      <c r="K41" s="8" t="s">
        <v>6</v>
      </c>
      <c r="L41" s="8" t="s">
        <v>7</v>
      </c>
      <c r="M41" s="8" t="s">
        <v>8</v>
      </c>
      <c r="N41" s="8" t="s">
        <v>9</v>
      </c>
      <c r="O41" s="8" t="s">
        <v>10</v>
      </c>
      <c r="P41" s="8" t="s">
        <v>11</v>
      </c>
      <c r="Q41" s="8" t="s">
        <v>12</v>
      </c>
      <c r="R41" s="8" t="s">
        <v>13</v>
      </c>
    </row>
    <row r="42" spans="4:18" ht="25.5" x14ac:dyDescent="0.2">
      <c r="D42" s="17" t="s">
        <v>14</v>
      </c>
      <c r="E42" s="50" t="s">
        <v>39</v>
      </c>
      <c r="F42" s="50" t="s">
        <v>40</v>
      </c>
      <c r="G42" s="50" t="s">
        <v>41</v>
      </c>
      <c r="H42" s="50" t="s">
        <v>42</v>
      </c>
      <c r="I42" s="31" t="s">
        <v>108</v>
      </c>
      <c r="J42" s="50" t="s">
        <v>94</v>
      </c>
      <c r="K42" s="50" t="s">
        <v>65</v>
      </c>
      <c r="L42" s="50" t="s">
        <v>43</v>
      </c>
      <c r="M42" s="50" t="s">
        <v>44</v>
      </c>
      <c r="N42" s="50" t="s">
        <v>45</v>
      </c>
      <c r="O42" s="50" t="s">
        <v>46</v>
      </c>
      <c r="P42" s="50" t="s">
        <v>95</v>
      </c>
      <c r="Q42" s="50" t="s">
        <v>47</v>
      </c>
      <c r="R42" s="51" t="s">
        <v>48</v>
      </c>
    </row>
    <row r="43" spans="4:18" ht="25.5" x14ac:dyDescent="0.2">
      <c r="D43" s="17" t="s">
        <v>15</v>
      </c>
      <c r="E43" s="9" t="s">
        <v>16</v>
      </c>
      <c r="F43" s="9" t="s">
        <v>17</v>
      </c>
      <c r="G43" s="9" t="s">
        <v>18</v>
      </c>
      <c r="H43" s="9" t="s">
        <v>19</v>
      </c>
      <c r="I43" s="9" t="s">
        <v>20</v>
      </c>
      <c r="J43" s="9" t="s">
        <v>21</v>
      </c>
      <c r="K43" s="9" t="s">
        <v>22</v>
      </c>
      <c r="L43" s="9" t="s">
        <v>23</v>
      </c>
      <c r="M43" s="9" t="s">
        <v>24</v>
      </c>
      <c r="N43" s="9" t="s">
        <v>25</v>
      </c>
      <c r="O43" s="9" t="s">
        <v>26</v>
      </c>
      <c r="P43" s="9" t="s">
        <v>27</v>
      </c>
      <c r="Q43" s="9" t="s">
        <v>28</v>
      </c>
      <c r="R43" s="9" t="s">
        <v>29</v>
      </c>
    </row>
    <row r="44" spans="4:18" ht="25.5" x14ac:dyDescent="0.2">
      <c r="D44" s="17" t="s">
        <v>30</v>
      </c>
      <c r="E44" s="9">
        <v>0.29699999999999999</v>
      </c>
      <c r="F44" s="9">
        <v>0.17699999999999999</v>
      </c>
      <c r="G44" s="9">
        <v>0.24099999999999999</v>
      </c>
      <c r="H44" s="9">
        <v>0.20699999999999999</v>
      </c>
      <c r="I44" s="9">
        <v>0.16700000000000001</v>
      </c>
      <c r="J44" s="9">
        <v>0.126</v>
      </c>
      <c r="K44" s="9">
        <v>1.5</v>
      </c>
      <c r="L44" s="9">
        <v>0.16200000000000001</v>
      </c>
      <c r="M44" s="9">
        <v>0.16200000000000001</v>
      </c>
      <c r="N44" s="9">
        <v>0.14199999999999999</v>
      </c>
      <c r="O44" s="9">
        <v>0.191</v>
      </c>
      <c r="P44" s="9">
        <v>0.156</v>
      </c>
      <c r="Q44" s="9">
        <v>0.13700000000000001</v>
      </c>
      <c r="R44" s="9">
        <v>0.161</v>
      </c>
    </row>
    <row r="45" spans="4:18" ht="25.5" x14ac:dyDescent="0.2">
      <c r="D45" s="29" t="s">
        <v>31</v>
      </c>
      <c r="E45" s="30">
        <v>19.518899999999999</v>
      </c>
      <c r="F45" s="30">
        <v>9.6213999999999995</v>
      </c>
      <c r="G45" s="30">
        <v>20.019100000000002</v>
      </c>
      <c r="H45" s="30">
        <v>11.567500000000001</v>
      </c>
      <c r="I45" s="30">
        <v>11.7431</v>
      </c>
      <c r="J45" s="30">
        <v>10.4038</v>
      </c>
      <c r="K45" s="30">
        <v>0.56330000000000002</v>
      </c>
      <c r="L45" s="30">
        <v>10.192399999999999</v>
      </c>
      <c r="M45" s="30">
        <v>10.4155</v>
      </c>
      <c r="N45" s="30">
        <v>10.3856</v>
      </c>
      <c r="O45" s="30">
        <v>10.111800000000001</v>
      </c>
      <c r="P45" s="30">
        <v>9.6575000000000006</v>
      </c>
      <c r="Q45" s="30">
        <v>9.6722999999999999</v>
      </c>
      <c r="R45" s="30">
        <v>9.8661999999999992</v>
      </c>
    </row>
    <row r="46" spans="4:18" x14ac:dyDescent="0.2">
      <c r="D46" s="29" t="s">
        <v>32</v>
      </c>
      <c r="E46" s="30">
        <v>0.1394</v>
      </c>
      <c r="F46" s="30">
        <v>6.7100000000000007E-2</v>
      </c>
      <c r="G46" s="30">
        <v>0.1255</v>
      </c>
      <c r="H46" s="30">
        <v>7.0099999999999996E-2</v>
      </c>
      <c r="I46" s="30">
        <v>5.4100000000000002E-2</v>
      </c>
      <c r="J46" s="30">
        <v>6.2799999999999995E-2</v>
      </c>
      <c r="K46" s="30">
        <v>8.1699999999999995E-2</v>
      </c>
      <c r="L46" s="30">
        <v>3.3000000000000002E-2</v>
      </c>
      <c r="M46" s="30">
        <v>3.1899999999999998E-2</v>
      </c>
      <c r="N46" s="30">
        <v>6.6199999999999995E-2</v>
      </c>
      <c r="O46" s="30">
        <v>3.6499999999999998E-2</v>
      </c>
      <c r="P46" s="30">
        <v>6.7100000000000007E-2</v>
      </c>
      <c r="Q46" s="30">
        <v>6.7199999999999996E-2</v>
      </c>
      <c r="R46" s="30">
        <v>8.0399999999999999E-2</v>
      </c>
    </row>
    <row r="47" spans="4:18" ht="25.5" x14ac:dyDescent="0.2">
      <c r="D47" s="17" t="s">
        <v>33</v>
      </c>
      <c r="E47" s="18">
        <v>7.1000000000000004E-3</v>
      </c>
      <c r="F47" s="18">
        <v>7.0000000000000001E-3</v>
      </c>
      <c r="G47" s="18">
        <v>6.3E-3</v>
      </c>
      <c r="H47" s="18">
        <v>6.1000000000000004E-3</v>
      </c>
      <c r="I47" s="18">
        <v>4.5999999999999999E-3</v>
      </c>
      <c r="J47" s="18">
        <v>6.0000000000000001E-3</v>
      </c>
      <c r="K47" s="18">
        <v>0.14499999999999999</v>
      </c>
      <c r="L47" s="18">
        <v>3.2000000000000002E-3</v>
      </c>
      <c r="M47" s="18">
        <v>3.0999999999999999E-3</v>
      </c>
      <c r="N47" s="18">
        <v>6.4000000000000003E-3</v>
      </c>
      <c r="O47" s="18">
        <v>3.5999999999999999E-3</v>
      </c>
      <c r="P47" s="18">
        <v>6.8999999999999999E-3</v>
      </c>
      <c r="Q47" s="18">
        <v>7.0000000000000001E-3</v>
      </c>
      <c r="R47" s="18">
        <v>8.0999999999999996E-3</v>
      </c>
    </row>
    <row r="48" spans="4:18" x14ac:dyDescent="0.2">
      <c r="D48" s="17" t="s">
        <v>34</v>
      </c>
      <c r="E48" s="9">
        <v>8.9999999999999993E-3</v>
      </c>
      <c r="F48" s="9">
        <v>4.3E-3</v>
      </c>
      <c r="G48" s="9">
        <v>8.0999999999999996E-3</v>
      </c>
      <c r="H48" s="9">
        <v>4.4999999999999997E-3</v>
      </c>
      <c r="I48" s="9">
        <v>3.5000000000000001E-3</v>
      </c>
      <c r="J48" s="9">
        <v>4.1000000000000003E-3</v>
      </c>
      <c r="K48" s="9">
        <v>5.3E-3</v>
      </c>
      <c r="L48" s="9">
        <v>2.0999999999999999E-3</v>
      </c>
      <c r="M48" s="9">
        <v>2.0999999999999999E-3</v>
      </c>
      <c r="N48" s="9">
        <v>4.3E-3</v>
      </c>
      <c r="O48" s="9">
        <v>2.3999999999999998E-3</v>
      </c>
      <c r="P48" s="9">
        <v>4.3E-3</v>
      </c>
      <c r="Q48" s="9">
        <v>4.3E-3</v>
      </c>
      <c r="R48" s="9">
        <v>5.1999999999999998E-3</v>
      </c>
    </row>
    <row r="49" spans="4:18" ht="25.5" x14ac:dyDescent="0.2">
      <c r="D49" s="17" t="s">
        <v>35</v>
      </c>
      <c r="E49" s="18">
        <v>5.0000000000000001E-4</v>
      </c>
      <c r="F49" s="18">
        <v>5.0000000000000001E-4</v>
      </c>
      <c r="G49" s="18">
        <v>4.0000000000000002E-4</v>
      </c>
      <c r="H49" s="18">
        <v>4.0000000000000002E-4</v>
      </c>
      <c r="I49" s="18">
        <v>2.9999999999999997E-4</v>
      </c>
      <c r="J49" s="18">
        <v>4.0000000000000002E-4</v>
      </c>
      <c r="K49" s="18">
        <v>9.4000000000000004E-3</v>
      </c>
      <c r="L49" s="18">
        <v>2.0000000000000001E-4</v>
      </c>
      <c r="M49" s="18">
        <v>2.0000000000000001E-4</v>
      </c>
      <c r="N49" s="18">
        <v>4.0000000000000002E-4</v>
      </c>
      <c r="O49" s="18">
        <v>2.0000000000000001E-4</v>
      </c>
      <c r="P49" s="18">
        <v>4.0000000000000002E-4</v>
      </c>
      <c r="Q49" s="18">
        <v>4.0000000000000002E-4</v>
      </c>
      <c r="R49" s="18">
        <v>5.0000000000000001E-4</v>
      </c>
    </row>
    <row r="50" spans="4:18" x14ac:dyDescent="0.2">
      <c r="D50" s="17" t="s">
        <v>36</v>
      </c>
      <c r="E50" s="18">
        <v>2.9600000000000001E-2</v>
      </c>
      <c r="F50" s="18">
        <v>3.0200000000000001E-2</v>
      </c>
      <c r="G50" s="18">
        <v>2.7E-2</v>
      </c>
      <c r="H50" s="18">
        <v>2.4899999999999999E-2</v>
      </c>
      <c r="I50" s="18">
        <v>2.1999999999999999E-2</v>
      </c>
      <c r="J50" s="18">
        <v>2.6800000000000001E-2</v>
      </c>
      <c r="K50" s="18">
        <v>0.84299999999999997</v>
      </c>
      <c r="L50" s="18">
        <v>1.7000000000000001E-2</v>
      </c>
      <c r="M50" s="18">
        <v>1.46E-2</v>
      </c>
      <c r="N50" s="18">
        <v>2.7400000000000001E-2</v>
      </c>
      <c r="O50" s="18">
        <v>2.0500000000000001E-2</v>
      </c>
      <c r="P50" s="18">
        <v>3.73E-2</v>
      </c>
      <c r="Q50" s="18">
        <v>3.6799999999999999E-2</v>
      </c>
      <c r="R50" s="18">
        <v>4.2999999999999997E-2</v>
      </c>
    </row>
    <row r="51" spans="4:18" x14ac:dyDescent="0.2">
      <c r="D51" s="17" t="s">
        <v>37</v>
      </c>
      <c r="E51" s="9">
        <v>1450</v>
      </c>
      <c r="F51" s="9">
        <v>680</v>
      </c>
      <c r="G51" s="9">
        <v>1517</v>
      </c>
      <c r="H51" s="9">
        <v>801</v>
      </c>
      <c r="I51" s="9">
        <v>836</v>
      </c>
      <c r="J51" s="9">
        <v>764</v>
      </c>
      <c r="K51" s="9">
        <v>26</v>
      </c>
      <c r="L51" s="9">
        <v>808</v>
      </c>
      <c r="M51" s="9">
        <v>697</v>
      </c>
      <c r="N51" s="9">
        <v>897</v>
      </c>
      <c r="O51" s="9">
        <v>717</v>
      </c>
      <c r="P51" s="9">
        <v>772</v>
      </c>
      <c r="Q51" s="9">
        <v>783</v>
      </c>
      <c r="R51" s="9">
        <v>738</v>
      </c>
    </row>
    <row r="53" spans="4:18" x14ac:dyDescent="0.2">
      <c r="D53" s="15"/>
      <c r="E53" s="15"/>
      <c r="F53" s="15"/>
      <c r="G53" s="15"/>
      <c r="H53" s="15"/>
      <c r="I53" s="15"/>
      <c r="J53" s="15"/>
      <c r="K53" s="15"/>
      <c r="L53" s="15"/>
      <c r="M53" s="15"/>
      <c r="N53" s="15"/>
      <c r="O53" s="15"/>
      <c r="P53" s="15"/>
      <c r="Q53" s="15"/>
      <c r="R53" s="15"/>
    </row>
    <row r="54" spans="4:18" x14ac:dyDescent="0.2">
      <c r="D54" s="15"/>
      <c r="E54" s="15"/>
      <c r="F54" s="15"/>
      <c r="G54" s="15"/>
      <c r="H54" s="15"/>
      <c r="I54" s="15"/>
      <c r="J54" s="15"/>
      <c r="K54" s="15"/>
      <c r="L54" s="15"/>
      <c r="M54" s="15"/>
      <c r="N54" s="15"/>
      <c r="O54" s="15"/>
      <c r="P54" s="15"/>
      <c r="Q54" s="15"/>
      <c r="R54" s="15"/>
    </row>
    <row r="55" spans="4:18" x14ac:dyDescent="0.2">
      <c r="D55" s="15"/>
      <c r="E55" s="15"/>
      <c r="F55" s="15"/>
      <c r="G55" s="15"/>
      <c r="H55" s="15"/>
      <c r="I55" s="15"/>
      <c r="J55" s="15"/>
      <c r="K55" s="15"/>
      <c r="L55" s="15"/>
      <c r="M55" s="15"/>
      <c r="N55" s="15"/>
      <c r="O55" s="15"/>
      <c r="P55" s="15"/>
      <c r="Q55" s="15"/>
      <c r="R55" s="15"/>
    </row>
    <row r="56" spans="4:18" x14ac:dyDescent="0.2">
      <c r="D56" s="15"/>
      <c r="E56" s="15"/>
      <c r="F56" s="15"/>
      <c r="G56" s="15"/>
      <c r="H56" s="15"/>
      <c r="I56" s="15"/>
      <c r="J56" s="15"/>
      <c r="K56" s="15"/>
      <c r="L56" s="15"/>
      <c r="M56" s="15"/>
      <c r="N56" s="15"/>
      <c r="O56" s="15"/>
      <c r="P56" s="15"/>
      <c r="Q56" s="15"/>
      <c r="R56" s="15"/>
    </row>
    <row r="57" spans="4:18" x14ac:dyDescent="0.2">
      <c r="D57" s="5"/>
      <c r="E57" s="15"/>
      <c r="F57" s="15"/>
      <c r="G57" s="15"/>
      <c r="H57" s="15"/>
      <c r="I57" s="15"/>
      <c r="J57" s="15"/>
      <c r="K57" s="15"/>
      <c r="L57" s="15"/>
      <c r="M57" s="15"/>
      <c r="N57" s="15"/>
      <c r="O57" s="15"/>
      <c r="P57" s="15"/>
      <c r="Q57" s="15"/>
      <c r="R57" s="15"/>
    </row>
    <row r="58" spans="4:18" x14ac:dyDescent="0.2">
      <c r="D58" s="5"/>
      <c r="E58" s="15"/>
      <c r="F58" s="15"/>
      <c r="G58" s="15"/>
      <c r="H58" s="15"/>
      <c r="I58" s="15"/>
      <c r="J58" s="15"/>
      <c r="K58" s="15"/>
      <c r="L58" s="15"/>
      <c r="M58" s="15"/>
      <c r="N58" s="15"/>
      <c r="O58" s="15"/>
      <c r="P58" s="15"/>
      <c r="Q58" s="15"/>
      <c r="R58" s="15"/>
    </row>
    <row r="59" spans="4:18" x14ac:dyDescent="0.2">
      <c r="D59" s="5"/>
      <c r="E59" s="15"/>
      <c r="F59" s="15"/>
      <c r="G59" s="15"/>
      <c r="H59" s="15"/>
      <c r="I59" s="15"/>
      <c r="J59" s="15"/>
      <c r="K59" s="15"/>
      <c r="L59" s="15"/>
      <c r="M59" s="15"/>
      <c r="N59" s="15"/>
      <c r="O59" s="15"/>
      <c r="P59" s="15"/>
      <c r="Q59" s="15"/>
      <c r="R59" s="15"/>
    </row>
    <row r="60" spans="4:18" x14ac:dyDescent="0.2">
      <c r="D60" s="15"/>
      <c r="E60" s="16"/>
      <c r="F60" s="16"/>
      <c r="G60" s="15"/>
      <c r="H60" s="15"/>
      <c r="I60" s="15"/>
      <c r="J60" s="15"/>
      <c r="K60" s="15"/>
      <c r="L60" s="15"/>
      <c r="M60" s="15"/>
      <c r="N60" s="15"/>
      <c r="O60" s="15"/>
      <c r="P60" s="15"/>
      <c r="Q60" s="15"/>
      <c r="R60" s="15"/>
    </row>
    <row r="61" spans="4:18" x14ac:dyDescent="0.2">
      <c r="D61" s="15"/>
      <c r="E61" s="15"/>
      <c r="F61" s="15"/>
      <c r="G61" s="15"/>
      <c r="H61" s="15"/>
      <c r="I61" s="15"/>
      <c r="J61" s="15"/>
      <c r="K61" s="15"/>
      <c r="L61" s="15"/>
      <c r="M61" s="15"/>
      <c r="N61" s="15"/>
      <c r="O61" s="15"/>
      <c r="P61" s="15"/>
      <c r="Q61" s="15"/>
      <c r="R61" s="15"/>
    </row>
    <row r="62" spans="4:18" x14ac:dyDescent="0.2">
      <c r="D62" s="15"/>
      <c r="E62" s="15"/>
      <c r="F62" s="15"/>
      <c r="G62" s="15"/>
      <c r="H62" s="15"/>
      <c r="I62" s="15"/>
      <c r="J62" s="15"/>
      <c r="K62" s="15"/>
      <c r="L62" s="15"/>
      <c r="M62" s="15"/>
      <c r="N62" s="15"/>
      <c r="O62" s="15"/>
      <c r="P62" s="15"/>
      <c r="Q62" s="15"/>
      <c r="R62" s="15"/>
    </row>
    <row r="63" spans="4:18" x14ac:dyDescent="0.2">
      <c r="D63" s="15"/>
      <c r="E63" s="15"/>
      <c r="F63" s="15"/>
      <c r="G63" s="15"/>
      <c r="H63" s="15"/>
      <c r="I63" s="15"/>
      <c r="J63" s="15"/>
      <c r="K63" s="15"/>
      <c r="L63" s="15"/>
      <c r="M63" s="15"/>
      <c r="N63" s="15"/>
      <c r="O63" s="15"/>
      <c r="P63" s="15"/>
      <c r="Q63" s="15"/>
      <c r="R63" s="15"/>
    </row>
    <row r="64" spans="4:18" x14ac:dyDescent="0.2">
      <c r="D64" s="15"/>
      <c r="E64" s="15"/>
      <c r="F64" s="15"/>
      <c r="G64" s="15"/>
      <c r="H64" s="15"/>
      <c r="I64" s="15"/>
      <c r="J64" s="15"/>
      <c r="K64" s="15"/>
      <c r="L64" s="15"/>
      <c r="M64" s="15"/>
      <c r="N64" s="15"/>
      <c r="O64" s="15"/>
      <c r="P64" s="15"/>
      <c r="Q64" s="15"/>
      <c r="R64" s="15"/>
    </row>
    <row r="66" spans="4:18" x14ac:dyDescent="0.2">
      <c r="D66" s="15"/>
      <c r="E66" s="15"/>
      <c r="F66" s="15"/>
      <c r="G66" s="15"/>
      <c r="H66" s="15"/>
      <c r="I66" s="15"/>
      <c r="J66" s="15"/>
      <c r="K66" s="15"/>
      <c r="L66" s="15"/>
      <c r="M66" s="15"/>
      <c r="N66" s="15"/>
      <c r="O66" s="15"/>
      <c r="P66" s="15"/>
      <c r="Q66" s="15"/>
      <c r="R66" s="15"/>
    </row>
    <row r="67" spans="4:18" x14ac:dyDescent="0.2">
      <c r="D67" s="15"/>
      <c r="E67" s="15"/>
      <c r="F67" s="15"/>
      <c r="G67" s="15"/>
      <c r="H67" s="15"/>
      <c r="I67" s="15"/>
      <c r="J67" s="15"/>
      <c r="K67" s="15"/>
      <c r="L67" s="15"/>
      <c r="M67" s="15"/>
      <c r="N67" s="15"/>
      <c r="O67" s="15"/>
      <c r="P67" s="15"/>
      <c r="Q67" s="15"/>
      <c r="R67" s="15"/>
    </row>
    <row r="68" spans="4:18" x14ac:dyDescent="0.2">
      <c r="D68" s="15"/>
      <c r="E68" s="15"/>
      <c r="F68" s="15"/>
      <c r="G68" s="15"/>
      <c r="H68" s="15"/>
      <c r="I68" s="15"/>
      <c r="J68" s="15"/>
      <c r="K68" s="15"/>
      <c r="L68" s="15"/>
      <c r="M68" s="15"/>
      <c r="N68" s="15"/>
      <c r="O68" s="15"/>
      <c r="P68" s="15"/>
      <c r="Q68" s="15"/>
      <c r="R68" s="15"/>
    </row>
    <row r="69" spans="4:18" x14ac:dyDescent="0.2">
      <c r="D69" s="15"/>
      <c r="E69" s="15"/>
      <c r="F69" s="15"/>
      <c r="G69" s="15"/>
      <c r="H69" s="15"/>
      <c r="I69" s="15"/>
      <c r="J69" s="15"/>
      <c r="K69" s="15"/>
      <c r="L69" s="15"/>
      <c r="M69" s="15"/>
      <c r="N69" s="15"/>
      <c r="O69" s="15"/>
      <c r="P69" s="15"/>
      <c r="Q69" s="15"/>
      <c r="R69" s="15"/>
    </row>
    <row r="70" spans="4:18" x14ac:dyDescent="0.2">
      <c r="D70" s="15"/>
      <c r="E70" s="15"/>
      <c r="F70" s="15"/>
      <c r="G70" s="15"/>
      <c r="H70" s="15"/>
      <c r="I70" s="15"/>
      <c r="J70" s="15"/>
      <c r="K70" s="15"/>
      <c r="L70" s="15"/>
      <c r="M70" s="15"/>
      <c r="N70" s="15"/>
      <c r="O70" s="15"/>
      <c r="P70" s="15"/>
      <c r="Q70" s="15"/>
      <c r="R70" s="15"/>
    </row>
    <row r="71" spans="4:18" x14ac:dyDescent="0.2">
      <c r="D71" s="15"/>
      <c r="E71" s="15"/>
      <c r="F71" s="15"/>
      <c r="G71" s="15"/>
      <c r="H71" s="15"/>
      <c r="I71" s="15"/>
      <c r="J71" s="15"/>
      <c r="K71" s="15"/>
      <c r="L71" s="15"/>
      <c r="M71" s="15"/>
      <c r="N71" s="15"/>
      <c r="O71" s="15"/>
      <c r="P71" s="15"/>
      <c r="Q71" s="15"/>
      <c r="R71" s="15"/>
    </row>
    <row r="72" spans="4:18" x14ac:dyDescent="0.2">
      <c r="D72" s="15"/>
      <c r="E72" s="15"/>
      <c r="F72" s="15"/>
      <c r="G72" s="15"/>
      <c r="H72" s="15"/>
      <c r="I72" s="15"/>
      <c r="J72" s="15"/>
      <c r="K72" s="15"/>
      <c r="L72" s="15"/>
      <c r="M72" s="15"/>
      <c r="N72" s="15"/>
      <c r="O72" s="15"/>
      <c r="P72" s="15"/>
      <c r="Q72" s="15"/>
      <c r="R72" s="15"/>
    </row>
    <row r="73" spans="4:18" x14ac:dyDescent="0.2">
      <c r="D73" s="15"/>
      <c r="E73" s="15"/>
      <c r="F73" s="15"/>
      <c r="G73" s="15"/>
      <c r="H73" s="15"/>
      <c r="I73" s="15"/>
      <c r="J73" s="15"/>
      <c r="K73" s="15"/>
      <c r="L73" s="15"/>
      <c r="M73" s="15"/>
      <c r="N73" s="15"/>
      <c r="O73" s="15"/>
      <c r="P73" s="15"/>
      <c r="Q73" s="15"/>
      <c r="R73" s="15"/>
    </row>
    <row r="74" spans="4:18" x14ac:dyDescent="0.2">
      <c r="D74" s="15"/>
      <c r="E74" s="15"/>
      <c r="F74" s="15"/>
      <c r="G74" s="15"/>
      <c r="H74" s="15"/>
      <c r="I74" s="15"/>
      <c r="J74" s="15"/>
      <c r="K74" s="15"/>
      <c r="L74" s="15"/>
      <c r="M74" s="15"/>
      <c r="N74" s="15"/>
      <c r="O74" s="15"/>
      <c r="P74" s="15"/>
      <c r="Q74" s="15"/>
      <c r="R74" s="15"/>
    </row>
    <row r="75" spans="4:18" x14ac:dyDescent="0.2">
      <c r="D75" s="15"/>
      <c r="E75" s="15"/>
      <c r="F75" s="15"/>
      <c r="G75" s="15"/>
      <c r="H75" s="15"/>
      <c r="I75" s="15"/>
      <c r="J75" s="15"/>
      <c r="K75" s="15"/>
      <c r="L75" s="15"/>
      <c r="M75" s="15"/>
      <c r="N75" s="15"/>
      <c r="O75" s="15"/>
      <c r="P75" s="15"/>
      <c r="Q75" s="15"/>
      <c r="R75" s="15"/>
    </row>
    <row r="76" spans="4:18" x14ac:dyDescent="0.2">
      <c r="D76" s="15"/>
      <c r="E76" s="15"/>
      <c r="F76" s="15"/>
      <c r="G76" s="15"/>
      <c r="H76" s="15"/>
      <c r="I76" s="15"/>
      <c r="J76" s="15"/>
      <c r="K76" s="15"/>
      <c r="L76" s="15"/>
      <c r="M76" s="15"/>
      <c r="N76" s="15"/>
      <c r="O76" s="15"/>
      <c r="P76" s="15"/>
      <c r="Q76" s="15"/>
      <c r="R76" s="15"/>
    </row>
    <row r="77" spans="4:18" x14ac:dyDescent="0.2">
      <c r="D77" s="15"/>
      <c r="E77" s="15"/>
      <c r="F77" s="15"/>
      <c r="G77" s="15"/>
      <c r="H77" s="15"/>
      <c r="I77" s="15"/>
      <c r="J77" s="15"/>
      <c r="K77" s="15"/>
      <c r="L77" s="15"/>
      <c r="M77" s="15"/>
      <c r="N77" s="15"/>
      <c r="O77" s="15"/>
      <c r="P77" s="15"/>
      <c r="Q77" s="15"/>
      <c r="R77" s="15"/>
    </row>
    <row r="78" spans="4:18" x14ac:dyDescent="0.2">
      <c r="D78" s="15"/>
      <c r="E78" s="15"/>
      <c r="F78" s="15"/>
      <c r="G78" s="15"/>
      <c r="H78" s="15"/>
      <c r="I78" s="15"/>
      <c r="J78" s="15"/>
      <c r="K78" s="15"/>
      <c r="L78" s="15"/>
      <c r="M78" s="15"/>
      <c r="N78" s="15"/>
      <c r="O78" s="15"/>
      <c r="P78" s="15"/>
      <c r="Q78" s="15"/>
      <c r="R78" s="15"/>
    </row>
    <row r="79" spans="4:18" x14ac:dyDescent="0.2">
      <c r="D79" s="15"/>
      <c r="E79" s="15"/>
      <c r="F79" s="15"/>
      <c r="G79" s="15"/>
      <c r="H79" s="15"/>
      <c r="I79" s="15"/>
      <c r="J79" s="15"/>
      <c r="K79" s="15"/>
      <c r="L79" s="15"/>
      <c r="M79" s="15"/>
      <c r="N79" s="15"/>
      <c r="O79" s="15"/>
      <c r="P79" s="15"/>
      <c r="Q79" s="15"/>
      <c r="R79" s="15"/>
    </row>
    <row r="80" spans="4:18" x14ac:dyDescent="0.2">
      <c r="D80" s="15"/>
      <c r="E80" s="15"/>
      <c r="F80" s="15"/>
      <c r="G80" s="15"/>
      <c r="H80" s="15"/>
      <c r="I80" s="15"/>
      <c r="J80" s="15"/>
      <c r="K80" s="15"/>
      <c r="L80" s="15"/>
      <c r="M80" s="15"/>
      <c r="N80" s="15"/>
      <c r="O80" s="15"/>
      <c r="P80" s="15"/>
      <c r="Q80" s="15"/>
      <c r="R80" s="15"/>
    </row>
    <row r="81" spans="4:18" x14ac:dyDescent="0.2">
      <c r="D81" s="15"/>
      <c r="E81" s="15"/>
      <c r="F81" s="15"/>
      <c r="G81" s="15"/>
      <c r="H81" s="15"/>
      <c r="I81" s="15"/>
      <c r="J81" s="15"/>
      <c r="K81" s="15"/>
      <c r="L81" s="15"/>
      <c r="M81" s="15"/>
      <c r="N81" s="15"/>
      <c r="O81" s="15"/>
      <c r="P81" s="15"/>
      <c r="Q81" s="15"/>
      <c r="R81" s="15"/>
    </row>
    <row r="82" spans="4:18" x14ac:dyDescent="0.2">
      <c r="D82" s="15"/>
      <c r="E82" s="15"/>
      <c r="F82" s="15"/>
      <c r="G82" s="15"/>
      <c r="H82" s="15"/>
      <c r="I82" s="15"/>
      <c r="J82" s="15"/>
      <c r="K82" s="15"/>
      <c r="L82" s="15"/>
      <c r="M82" s="15"/>
      <c r="N82" s="15"/>
      <c r="O82" s="15"/>
      <c r="P82" s="15"/>
      <c r="Q82" s="15"/>
      <c r="R82" s="15"/>
    </row>
    <row r="83" spans="4:18" x14ac:dyDescent="0.2">
      <c r="D83" s="15"/>
      <c r="E83" s="15"/>
      <c r="F83" s="15"/>
      <c r="G83" s="15"/>
      <c r="H83" s="15"/>
      <c r="I83" s="15"/>
      <c r="J83" s="15"/>
      <c r="K83" s="15"/>
      <c r="L83" s="15"/>
      <c r="M83" s="15"/>
      <c r="N83" s="15"/>
      <c r="O83" s="15"/>
      <c r="P83" s="15"/>
      <c r="Q83" s="15"/>
      <c r="R83" s="15"/>
    </row>
    <row r="84" spans="4:18" x14ac:dyDescent="0.2">
      <c r="D84" s="15"/>
      <c r="E84" s="15"/>
      <c r="F84" s="15"/>
      <c r="G84" s="15"/>
      <c r="H84" s="15"/>
      <c r="I84" s="15"/>
      <c r="J84" s="15"/>
      <c r="K84" s="15"/>
      <c r="L84" s="15"/>
      <c r="M84" s="15"/>
      <c r="N84" s="15"/>
      <c r="O84" s="15"/>
      <c r="P84" s="15"/>
      <c r="Q84" s="15"/>
      <c r="R84" s="15"/>
    </row>
    <row r="85" spans="4:18" x14ac:dyDescent="0.2">
      <c r="D85" s="15"/>
      <c r="E85" s="15"/>
      <c r="F85" s="15"/>
      <c r="G85" s="15"/>
      <c r="H85" s="15"/>
      <c r="I85" s="15"/>
      <c r="J85" s="15"/>
      <c r="K85" s="15"/>
      <c r="L85" s="15"/>
      <c r="M85" s="15"/>
      <c r="N85" s="15"/>
      <c r="O85" s="15"/>
      <c r="P85" s="15"/>
      <c r="Q85" s="15"/>
      <c r="R85" s="15"/>
    </row>
    <row r="86" spans="4:18" x14ac:dyDescent="0.2">
      <c r="D86" s="15"/>
      <c r="E86" s="15"/>
      <c r="F86" s="15"/>
      <c r="G86" s="15"/>
      <c r="H86" s="15"/>
      <c r="I86" s="15"/>
      <c r="J86" s="15"/>
      <c r="K86" s="15"/>
      <c r="L86" s="15"/>
      <c r="M86" s="15"/>
      <c r="N86" s="15"/>
      <c r="O86" s="15"/>
      <c r="P86" s="15"/>
      <c r="Q86" s="15"/>
      <c r="R86" s="15"/>
    </row>
    <row r="87" spans="4:18" x14ac:dyDescent="0.2">
      <c r="D87" s="15"/>
      <c r="E87" s="15"/>
      <c r="F87" s="15"/>
      <c r="G87" s="15"/>
      <c r="H87" s="15"/>
      <c r="I87" s="15"/>
      <c r="J87" s="15"/>
      <c r="K87" s="15"/>
      <c r="L87" s="15"/>
      <c r="M87" s="15"/>
      <c r="N87" s="15"/>
      <c r="O87" s="15"/>
      <c r="P87" s="15"/>
      <c r="Q87" s="15"/>
      <c r="R87" s="15"/>
    </row>
    <row r="88" spans="4:18" x14ac:dyDescent="0.2">
      <c r="D88" s="15"/>
      <c r="E88" s="15"/>
      <c r="F88" s="15"/>
      <c r="G88" s="15"/>
      <c r="H88" s="15"/>
      <c r="I88" s="15"/>
      <c r="J88" s="15"/>
      <c r="K88" s="15"/>
      <c r="L88" s="15"/>
      <c r="M88" s="15"/>
      <c r="N88" s="15"/>
      <c r="O88" s="15"/>
      <c r="P88" s="15"/>
      <c r="Q88" s="15"/>
      <c r="R88" s="15"/>
    </row>
    <row r="89" spans="4:18" x14ac:dyDescent="0.2">
      <c r="D89" s="15"/>
      <c r="E89" s="15"/>
      <c r="F89" s="15"/>
      <c r="G89" s="15"/>
      <c r="H89" s="15"/>
      <c r="I89" s="15"/>
      <c r="J89" s="15"/>
      <c r="K89" s="15"/>
      <c r="L89" s="15"/>
      <c r="M89" s="15"/>
      <c r="N89" s="15"/>
      <c r="O89" s="15"/>
      <c r="P89" s="15"/>
      <c r="Q89" s="15"/>
      <c r="R89" s="15"/>
    </row>
    <row r="90" spans="4:18" x14ac:dyDescent="0.2">
      <c r="D90" s="15"/>
      <c r="E90" s="15"/>
      <c r="F90" s="15"/>
      <c r="G90" s="15"/>
      <c r="H90" s="15"/>
      <c r="I90" s="15"/>
      <c r="J90" s="15"/>
      <c r="K90" s="15"/>
      <c r="L90" s="15"/>
      <c r="M90" s="15"/>
      <c r="N90" s="15"/>
      <c r="O90" s="15"/>
      <c r="P90" s="15"/>
      <c r="Q90" s="15"/>
      <c r="R90" s="15"/>
    </row>
    <row r="91" spans="4:18" x14ac:dyDescent="0.2">
      <c r="D91" s="15"/>
      <c r="E91" s="15"/>
      <c r="F91" s="15"/>
      <c r="G91" s="15"/>
      <c r="H91" s="15"/>
      <c r="I91" s="15"/>
      <c r="J91" s="15"/>
      <c r="K91" s="15"/>
      <c r="L91" s="15"/>
      <c r="M91" s="15"/>
      <c r="N91" s="15"/>
      <c r="O91" s="15"/>
      <c r="P91" s="15"/>
      <c r="Q91" s="15"/>
      <c r="R91" s="15"/>
    </row>
    <row r="92" spans="4:18" x14ac:dyDescent="0.2">
      <c r="D92" s="15"/>
      <c r="E92" s="15"/>
      <c r="F92" s="15"/>
      <c r="G92" s="15"/>
      <c r="H92" s="15"/>
      <c r="I92" s="15"/>
      <c r="J92" s="15"/>
      <c r="K92" s="15"/>
      <c r="L92" s="15"/>
      <c r="M92" s="15"/>
      <c r="N92" s="15"/>
      <c r="O92" s="15"/>
      <c r="P92" s="15"/>
      <c r="Q92" s="15"/>
      <c r="R92" s="15"/>
    </row>
    <row r="93" spans="4:18" x14ac:dyDescent="0.2">
      <c r="D93" s="15"/>
      <c r="E93" s="15"/>
      <c r="F93" s="15"/>
      <c r="G93" s="15"/>
      <c r="H93" s="15"/>
      <c r="I93" s="15"/>
      <c r="J93" s="15"/>
      <c r="K93" s="15"/>
      <c r="L93" s="15"/>
      <c r="M93" s="15"/>
      <c r="N93" s="15"/>
      <c r="O93" s="15"/>
      <c r="P93" s="15"/>
      <c r="Q93" s="15"/>
      <c r="R93" s="15"/>
    </row>
    <row r="94" spans="4:18" x14ac:dyDescent="0.2">
      <c r="D94" s="15"/>
      <c r="E94" s="15"/>
      <c r="F94" s="15"/>
      <c r="G94" s="15"/>
      <c r="H94" s="15"/>
      <c r="I94" s="15"/>
      <c r="J94" s="15"/>
      <c r="K94" s="15"/>
      <c r="L94" s="15"/>
      <c r="M94" s="15"/>
      <c r="N94" s="15"/>
      <c r="O94" s="15"/>
      <c r="P94" s="15"/>
      <c r="Q94" s="15"/>
      <c r="R94" s="15"/>
    </row>
    <row r="95" spans="4:18" x14ac:dyDescent="0.2">
      <c r="D95" s="15"/>
      <c r="E95" s="15"/>
      <c r="F95" s="15"/>
      <c r="G95" s="15"/>
      <c r="H95" s="15"/>
      <c r="I95" s="15"/>
      <c r="J95" s="15"/>
      <c r="K95" s="15"/>
      <c r="L95" s="15"/>
      <c r="M95" s="15"/>
      <c r="N95" s="15"/>
      <c r="O95" s="15"/>
      <c r="P95" s="15"/>
      <c r="Q95" s="15"/>
      <c r="R95" s="15"/>
    </row>
    <row r="96" spans="4:18" x14ac:dyDescent="0.2">
      <c r="D96" s="15"/>
      <c r="E96" s="15"/>
      <c r="F96" s="15"/>
      <c r="G96" s="15"/>
      <c r="H96" s="15"/>
      <c r="I96" s="15"/>
      <c r="J96" s="15"/>
      <c r="K96" s="15"/>
      <c r="L96" s="15"/>
      <c r="M96" s="15"/>
      <c r="N96" s="15"/>
      <c r="O96" s="15"/>
      <c r="P96" s="15"/>
      <c r="Q96" s="15"/>
      <c r="R96" s="15"/>
    </row>
    <row r="97" spans="4:18" x14ac:dyDescent="0.2">
      <c r="D97" s="15"/>
      <c r="E97" s="15"/>
      <c r="F97" s="15"/>
      <c r="G97" s="15"/>
      <c r="H97" s="15"/>
      <c r="I97" s="15"/>
      <c r="J97" s="15"/>
      <c r="K97" s="15"/>
      <c r="L97" s="15"/>
      <c r="M97" s="15"/>
      <c r="N97" s="15"/>
      <c r="O97" s="15"/>
      <c r="P97" s="15"/>
      <c r="Q97" s="15"/>
      <c r="R97" s="15"/>
    </row>
    <row r="98" spans="4:18" x14ac:dyDescent="0.2">
      <c r="D98" s="15"/>
      <c r="E98" s="15"/>
      <c r="F98" s="15"/>
      <c r="G98" s="15"/>
      <c r="H98" s="15"/>
      <c r="I98" s="15"/>
      <c r="J98" s="15"/>
      <c r="K98" s="15"/>
      <c r="L98" s="15"/>
      <c r="M98" s="15"/>
      <c r="N98" s="15"/>
      <c r="O98" s="15"/>
      <c r="P98" s="15"/>
      <c r="Q98" s="15"/>
      <c r="R98" s="15"/>
    </row>
    <row r="99" spans="4:18" x14ac:dyDescent="0.2">
      <c r="D99" s="15"/>
      <c r="E99" s="15"/>
      <c r="F99" s="15"/>
      <c r="G99" s="15"/>
      <c r="H99" s="15"/>
      <c r="I99" s="15"/>
      <c r="J99" s="15"/>
      <c r="K99" s="15"/>
      <c r="L99" s="15"/>
      <c r="M99" s="15"/>
      <c r="N99" s="15"/>
      <c r="O99" s="15"/>
      <c r="P99" s="15"/>
      <c r="Q99" s="15"/>
      <c r="R99" s="15"/>
    </row>
    <row r="100" spans="4:18" x14ac:dyDescent="0.2">
      <c r="D100" s="15"/>
      <c r="E100" s="15"/>
      <c r="F100" s="15"/>
      <c r="G100" s="15"/>
      <c r="H100" s="15"/>
      <c r="I100" s="15"/>
      <c r="J100" s="15"/>
      <c r="K100" s="15"/>
      <c r="L100" s="15"/>
      <c r="M100" s="15"/>
      <c r="N100" s="15"/>
      <c r="O100" s="15"/>
      <c r="P100" s="15"/>
      <c r="Q100" s="15"/>
      <c r="R100" s="15"/>
    </row>
    <row r="101" spans="4:18" x14ac:dyDescent="0.2">
      <c r="D101" s="15"/>
      <c r="E101" s="15"/>
      <c r="F101" s="15"/>
      <c r="G101" s="15"/>
      <c r="H101" s="15"/>
      <c r="I101" s="15"/>
      <c r="J101" s="15"/>
      <c r="K101" s="15"/>
      <c r="L101" s="15"/>
      <c r="M101" s="15"/>
      <c r="N101" s="15"/>
      <c r="O101" s="15"/>
      <c r="P101" s="15"/>
      <c r="Q101" s="15"/>
      <c r="R101" s="15"/>
    </row>
    <row r="102" spans="4:18" x14ac:dyDescent="0.2">
      <c r="D102" s="15"/>
      <c r="E102" s="15"/>
      <c r="F102" s="15"/>
      <c r="G102" s="15"/>
      <c r="H102" s="15"/>
      <c r="I102" s="15"/>
      <c r="J102" s="15"/>
      <c r="K102" s="15"/>
      <c r="L102" s="15"/>
      <c r="M102" s="15"/>
      <c r="N102" s="15"/>
      <c r="O102" s="15"/>
      <c r="P102" s="15"/>
      <c r="Q102" s="15"/>
      <c r="R102" s="15"/>
    </row>
    <row r="103" spans="4:18" x14ac:dyDescent="0.2">
      <c r="D103" s="15"/>
      <c r="E103" s="15"/>
      <c r="F103" s="15"/>
      <c r="G103" s="15"/>
      <c r="H103" s="15"/>
      <c r="I103" s="15"/>
      <c r="J103" s="15"/>
      <c r="K103" s="15"/>
      <c r="L103" s="15"/>
      <c r="M103" s="15"/>
      <c r="N103" s="15"/>
      <c r="O103" s="15"/>
      <c r="P103" s="15"/>
      <c r="Q103" s="15"/>
      <c r="R103" s="15"/>
    </row>
    <row r="104" spans="4:18" x14ac:dyDescent="0.2">
      <c r="D104" s="15"/>
      <c r="E104" s="15"/>
      <c r="F104" s="15"/>
      <c r="G104" s="15"/>
      <c r="H104" s="15"/>
      <c r="I104" s="15"/>
      <c r="J104" s="15"/>
      <c r="K104" s="15"/>
      <c r="L104" s="15"/>
      <c r="M104" s="15"/>
      <c r="N104" s="15"/>
      <c r="O104" s="15"/>
      <c r="P104" s="15"/>
      <c r="Q104" s="15"/>
      <c r="R104" s="15"/>
    </row>
    <row r="105" spans="4:18" x14ac:dyDescent="0.2">
      <c r="D105" s="15"/>
      <c r="E105" s="15"/>
      <c r="F105" s="15"/>
      <c r="G105" s="15"/>
      <c r="H105" s="15"/>
      <c r="I105" s="15"/>
      <c r="J105" s="15"/>
      <c r="K105" s="15"/>
      <c r="L105" s="15"/>
      <c r="M105" s="15"/>
      <c r="N105" s="15"/>
      <c r="O105" s="15"/>
      <c r="P105" s="15"/>
      <c r="Q105" s="15"/>
      <c r="R105" s="15"/>
    </row>
    <row r="106" spans="4:18" x14ac:dyDescent="0.2">
      <c r="D106" s="15"/>
      <c r="E106" s="15"/>
      <c r="F106" s="15"/>
      <c r="G106" s="15"/>
      <c r="H106" s="15"/>
      <c r="I106" s="15"/>
      <c r="J106" s="15"/>
      <c r="K106" s="15"/>
      <c r="L106" s="15"/>
      <c r="M106" s="15"/>
      <c r="N106" s="15"/>
      <c r="O106" s="15"/>
      <c r="P106" s="15"/>
      <c r="Q106" s="15"/>
      <c r="R106" s="15"/>
    </row>
    <row r="107" spans="4:18" x14ac:dyDescent="0.2">
      <c r="D107" s="15"/>
      <c r="E107" s="15"/>
      <c r="F107" s="15"/>
      <c r="G107" s="15"/>
      <c r="H107" s="15"/>
      <c r="I107" s="15"/>
      <c r="J107" s="15"/>
      <c r="K107" s="15"/>
      <c r="L107" s="15"/>
      <c r="M107" s="15"/>
      <c r="N107" s="15"/>
      <c r="O107" s="15"/>
      <c r="P107" s="15"/>
      <c r="Q107" s="15"/>
      <c r="R107" s="15"/>
    </row>
    <row r="108" spans="4:18" x14ac:dyDescent="0.2">
      <c r="D108" s="15"/>
      <c r="E108" s="15"/>
      <c r="F108" s="15"/>
      <c r="G108" s="15"/>
      <c r="H108" s="15"/>
      <c r="I108" s="15"/>
      <c r="J108" s="15"/>
      <c r="K108" s="15"/>
      <c r="L108" s="15"/>
      <c r="M108" s="15"/>
      <c r="N108" s="15"/>
      <c r="O108" s="15"/>
      <c r="P108" s="15"/>
      <c r="Q108" s="15"/>
      <c r="R108" s="15"/>
    </row>
    <row r="109" spans="4:18" x14ac:dyDescent="0.2">
      <c r="D109" s="15"/>
      <c r="E109" s="15"/>
      <c r="F109" s="15"/>
      <c r="G109" s="15"/>
      <c r="H109" s="15"/>
      <c r="I109" s="15"/>
      <c r="J109" s="15"/>
      <c r="K109" s="15"/>
      <c r="L109" s="15"/>
      <c r="M109" s="15"/>
      <c r="N109" s="15"/>
      <c r="O109" s="15"/>
      <c r="P109" s="15"/>
      <c r="Q109" s="15"/>
      <c r="R109" s="15"/>
    </row>
    <row r="110" spans="4:18" x14ac:dyDescent="0.2">
      <c r="D110" s="15"/>
      <c r="E110" s="15"/>
      <c r="F110" s="15"/>
      <c r="G110" s="15"/>
      <c r="H110" s="15"/>
      <c r="I110" s="15"/>
      <c r="J110" s="15"/>
      <c r="K110" s="15"/>
      <c r="L110" s="15"/>
      <c r="M110" s="15"/>
      <c r="N110" s="15"/>
      <c r="O110" s="15"/>
      <c r="P110" s="15"/>
      <c r="Q110" s="15"/>
      <c r="R110" s="15"/>
    </row>
    <row r="111" spans="4:18" x14ac:dyDescent="0.2">
      <c r="D111" s="15"/>
      <c r="E111" s="15"/>
      <c r="F111" s="15"/>
      <c r="G111" s="15"/>
      <c r="H111" s="15"/>
      <c r="I111" s="15"/>
      <c r="J111" s="15"/>
      <c r="K111" s="15"/>
      <c r="L111" s="15"/>
      <c r="M111" s="15"/>
      <c r="N111" s="15"/>
      <c r="O111" s="15"/>
      <c r="P111" s="15"/>
      <c r="Q111" s="15"/>
      <c r="R111" s="15"/>
    </row>
    <row r="112" spans="4:18" x14ac:dyDescent="0.2">
      <c r="D112" s="15"/>
      <c r="E112" s="15"/>
      <c r="F112" s="15"/>
      <c r="G112" s="15"/>
      <c r="H112" s="15"/>
      <c r="I112" s="15"/>
      <c r="J112" s="15"/>
      <c r="K112" s="15"/>
      <c r="L112" s="15"/>
      <c r="M112" s="15"/>
      <c r="N112" s="15"/>
      <c r="O112" s="15"/>
      <c r="P112" s="15"/>
      <c r="Q112" s="15"/>
      <c r="R112" s="15"/>
    </row>
    <row r="113" spans="4:18" x14ac:dyDescent="0.2">
      <c r="D113" s="15"/>
      <c r="E113" s="15"/>
      <c r="F113" s="15"/>
      <c r="G113" s="15"/>
      <c r="H113" s="15"/>
      <c r="I113" s="15"/>
      <c r="J113" s="15"/>
      <c r="K113" s="15"/>
      <c r="L113" s="15"/>
      <c r="M113" s="15"/>
      <c r="N113" s="15"/>
      <c r="O113" s="15"/>
      <c r="P113" s="15"/>
      <c r="Q113" s="15"/>
      <c r="R113" s="15"/>
    </row>
    <row r="114" spans="4:18" x14ac:dyDescent="0.2">
      <c r="D114" s="15"/>
      <c r="E114" s="15"/>
      <c r="F114" s="15"/>
      <c r="G114" s="15"/>
      <c r="H114" s="15"/>
      <c r="I114" s="15"/>
      <c r="J114" s="15"/>
      <c r="K114" s="15"/>
      <c r="L114" s="15"/>
      <c r="M114" s="15"/>
      <c r="N114" s="15"/>
      <c r="O114" s="15"/>
      <c r="P114" s="15"/>
      <c r="Q114" s="15"/>
      <c r="R114" s="15"/>
    </row>
    <row r="115" spans="4:18" x14ac:dyDescent="0.2">
      <c r="D115" s="15"/>
      <c r="E115" s="15"/>
      <c r="F115" s="15"/>
      <c r="G115" s="15"/>
      <c r="H115" s="15"/>
      <c r="I115" s="15"/>
      <c r="J115" s="15"/>
      <c r="K115" s="15"/>
      <c r="L115" s="15"/>
      <c r="M115" s="15"/>
      <c r="N115" s="15"/>
      <c r="O115" s="15"/>
      <c r="P115" s="15"/>
      <c r="Q115" s="15"/>
      <c r="R115" s="15"/>
    </row>
    <row r="116" spans="4:18" x14ac:dyDescent="0.2">
      <c r="D116" s="15"/>
      <c r="E116" s="15"/>
      <c r="F116" s="15"/>
      <c r="G116" s="15"/>
      <c r="H116" s="15"/>
      <c r="I116" s="15"/>
      <c r="J116" s="15"/>
      <c r="K116" s="15"/>
      <c r="L116" s="15"/>
      <c r="M116" s="15"/>
      <c r="N116" s="15"/>
      <c r="O116" s="15"/>
      <c r="P116" s="15"/>
      <c r="Q116" s="15"/>
      <c r="R116" s="15"/>
    </row>
    <row r="117" spans="4:18" x14ac:dyDescent="0.2">
      <c r="D117" s="15"/>
      <c r="E117" s="15"/>
      <c r="F117" s="15"/>
      <c r="G117" s="15"/>
      <c r="H117" s="15"/>
      <c r="I117" s="15"/>
      <c r="J117" s="15"/>
      <c r="K117" s="15"/>
      <c r="L117" s="15"/>
      <c r="M117" s="15"/>
      <c r="N117" s="15"/>
      <c r="O117" s="15"/>
      <c r="P117" s="15"/>
      <c r="Q117" s="15"/>
      <c r="R117" s="15"/>
    </row>
    <row r="118" spans="4:18" x14ac:dyDescent="0.2">
      <c r="D118" s="15"/>
      <c r="E118" s="15"/>
      <c r="F118" s="15"/>
      <c r="G118" s="15"/>
      <c r="H118" s="15"/>
      <c r="I118" s="15"/>
      <c r="J118" s="15"/>
      <c r="K118" s="15"/>
      <c r="L118" s="15"/>
      <c r="M118" s="15"/>
      <c r="N118" s="15"/>
      <c r="O118" s="15"/>
      <c r="P118" s="15"/>
      <c r="Q118" s="15"/>
      <c r="R118" s="15"/>
    </row>
    <row r="119" spans="4:18" x14ac:dyDescent="0.2">
      <c r="D119" s="15"/>
      <c r="E119" s="15"/>
      <c r="F119" s="15"/>
      <c r="G119" s="15"/>
      <c r="H119" s="15"/>
      <c r="I119" s="15"/>
      <c r="J119" s="15"/>
      <c r="K119" s="15"/>
      <c r="L119" s="15"/>
      <c r="M119" s="15"/>
      <c r="N119" s="15"/>
      <c r="O119" s="15"/>
      <c r="P119" s="15"/>
      <c r="Q119" s="15"/>
      <c r="R119" s="15"/>
    </row>
    <row r="120" spans="4:18" x14ac:dyDescent="0.2">
      <c r="D120" s="15"/>
      <c r="E120" s="15"/>
      <c r="F120" s="15"/>
      <c r="G120" s="15"/>
      <c r="H120" s="15"/>
      <c r="I120" s="15"/>
      <c r="J120" s="15"/>
      <c r="K120" s="15"/>
      <c r="L120" s="15"/>
      <c r="M120" s="15"/>
      <c r="N120" s="15"/>
      <c r="O120" s="15"/>
      <c r="P120" s="15"/>
      <c r="Q120" s="15"/>
      <c r="R120" s="15"/>
    </row>
    <row r="121" spans="4:18" x14ac:dyDescent="0.2">
      <c r="D121" s="15"/>
      <c r="E121" s="15"/>
      <c r="F121" s="15"/>
      <c r="G121" s="15"/>
      <c r="H121" s="15"/>
      <c r="I121" s="15"/>
      <c r="J121" s="15"/>
      <c r="K121" s="15"/>
      <c r="L121" s="15"/>
      <c r="M121" s="15"/>
      <c r="N121" s="15"/>
      <c r="O121" s="15"/>
      <c r="P121" s="15"/>
      <c r="Q121" s="15"/>
      <c r="R121" s="15"/>
    </row>
    <row r="122" spans="4:18" x14ac:dyDescent="0.2">
      <c r="D122" s="15"/>
      <c r="E122" s="15"/>
      <c r="F122" s="15"/>
      <c r="G122" s="15"/>
      <c r="H122" s="15"/>
      <c r="I122" s="15"/>
      <c r="J122" s="15"/>
      <c r="K122" s="15"/>
      <c r="L122" s="15"/>
      <c r="M122" s="15"/>
      <c r="N122" s="15"/>
      <c r="O122" s="15"/>
      <c r="P122" s="15"/>
      <c r="Q122" s="15"/>
      <c r="R122" s="15"/>
    </row>
    <row r="123" spans="4:18" x14ac:dyDescent="0.2">
      <c r="D123" s="15"/>
      <c r="E123" s="15"/>
      <c r="F123" s="15"/>
      <c r="G123" s="15"/>
      <c r="H123" s="15"/>
      <c r="I123" s="15"/>
      <c r="J123" s="15"/>
      <c r="K123" s="15"/>
      <c r="L123" s="15"/>
      <c r="M123" s="15"/>
      <c r="N123" s="15"/>
      <c r="O123" s="15"/>
      <c r="P123" s="15"/>
      <c r="Q123" s="15"/>
      <c r="R123" s="15"/>
    </row>
    <row r="124" spans="4:18" x14ac:dyDescent="0.2">
      <c r="D124" s="15"/>
      <c r="E124" s="15"/>
      <c r="F124" s="15"/>
      <c r="G124" s="15"/>
      <c r="H124" s="15"/>
      <c r="I124" s="15"/>
      <c r="J124" s="15"/>
      <c r="K124" s="15"/>
      <c r="L124" s="15"/>
      <c r="M124" s="15"/>
      <c r="N124" s="15"/>
      <c r="O124" s="15"/>
      <c r="P124" s="15"/>
      <c r="Q124" s="15"/>
      <c r="R124" s="15"/>
    </row>
    <row r="125" spans="4:18" x14ac:dyDescent="0.2">
      <c r="D125" s="15"/>
      <c r="E125" s="15"/>
      <c r="F125" s="15"/>
      <c r="G125" s="15"/>
      <c r="H125" s="15"/>
      <c r="I125" s="15"/>
      <c r="J125" s="15"/>
      <c r="K125" s="15"/>
      <c r="L125" s="15"/>
      <c r="M125" s="15"/>
      <c r="N125" s="15"/>
      <c r="O125" s="15"/>
      <c r="P125" s="15"/>
      <c r="Q125" s="15"/>
      <c r="R125" s="15"/>
    </row>
    <row r="126" spans="4:18" x14ac:dyDescent="0.2">
      <c r="D126" s="15"/>
      <c r="E126" s="15"/>
      <c r="F126" s="15"/>
      <c r="G126" s="15"/>
      <c r="H126" s="15"/>
      <c r="I126" s="15"/>
      <c r="J126" s="15"/>
      <c r="K126" s="15"/>
      <c r="L126" s="15"/>
      <c r="M126" s="15"/>
      <c r="N126" s="15"/>
      <c r="O126" s="15"/>
      <c r="P126" s="15"/>
      <c r="Q126" s="15"/>
      <c r="R126" s="15"/>
    </row>
    <row r="127" spans="4:18" x14ac:dyDescent="0.2">
      <c r="D127" s="15"/>
      <c r="E127" s="15"/>
      <c r="F127" s="15"/>
      <c r="G127" s="15"/>
      <c r="H127" s="15"/>
      <c r="I127" s="15"/>
      <c r="J127" s="15"/>
      <c r="K127" s="15"/>
      <c r="L127" s="15"/>
      <c r="M127" s="15"/>
      <c r="N127" s="15"/>
      <c r="O127" s="15"/>
      <c r="P127" s="15"/>
      <c r="Q127" s="15"/>
      <c r="R127" s="15"/>
    </row>
    <row r="128" spans="4:18" x14ac:dyDescent="0.2">
      <c r="D128" s="15"/>
      <c r="E128" s="15"/>
      <c r="F128" s="15"/>
      <c r="G128" s="15"/>
      <c r="H128" s="15"/>
      <c r="I128" s="15"/>
      <c r="J128" s="15"/>
      <c r="K128" s="15"/>
      <c r="L128" s="15"/>
      <c r="M128" s="15"/>
      <c r="N128" s="15"/>
      <c r="O128" s="15"/>
      <c r="P128" s="15"/>
      <c r="Q128" s="15"/>
      <c r="R128" s="15"/>
    </row>
    <row r="129" spans="4:18" x14ac:dyDescent="0.2">
      <c r="D129" s="15"/>
      <c r="E129" s="15"/>
      <c r="F129" s="15"/>
      <c r="G129" s="15"/>
      <c r="H129" s="15"/>
      <c r="I129" s="15"/>
      <c r="J129" s="15"/>
      <c r="K129" s="15"/>
      <c r="L129" s="15"/>
      <c r="M129" s="15"/>
      <c r="N129" s="15"/>
      <c r="O129" s="15"/>
      <c r="P129" s="15"/>
      <c r="Q129" s="15"/>
      <c r="R129" s="15"/>
    </row>
  </sheetData>
  <mergeCells count="4">
    <mergeCell ref="D1:R1"/>
    <mergeCell ref="D14:R14"/>
    <mergeCell ref="D27:R27"/>
    <mergeCell ref="D40:R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ED58-147E-4FA8-85C3-4AB3A40F6008}">
  <dimension ref="A1:Q45"/>
  <sheetViews>
    <sheetView zoomScale="60" zoomScaleNormal="60" workbookViewId="0">
      <selection activeCell="R36" sqref="R36"/>
    </sheetView>
  </sheetViews>
  <sheetFormatPr defaultColWidth="14.42578125" defaultRowHeight="15.75" customHeight="1" x14ac:dyDescent="0.2"/>
  <cols>
    <col min="1" max="1" width="24.85546875" style="1" customWidth="1"/>
    <col min="2" max="2" width="17.28515625" style="1" customWidth="1"/>
    <col min="3" max="3" width="28.85546875" style="1" customWidth="1"/>
    <col min="4" max="16384" width="14.42578125" style="1"/>
  </cols>
  <sheetData>
    <row r="1" spans="1:3" ht="12.75" x14ac:dyDescent="0.2"/>
    <row r="2" spans="1:3" ht="12.75" x14ac:dyDescent="0.2"/>
    <row r="3" spans="1:3" ht="12.75" x14ac:dyDescent="0.2"/>
    <row r="4" spans="1:3" ht="12.75" x14ac:dyDescent="0.2"/>
    <row r="5" spans="1:3" ht="12.75" x14ac:dyDescent="0.2"/>
    <row r="6" spans="1:3" ht="12.75" x14ac:dyDescent="0.2"/>
    <row r="7" spans="1:3" ht="12.75" x14ac:dyDescent="0.2"/>
    <row r="8" spans="1:3" ht="12.75" x14ac:dyDescent="0.2"/>
    <row r="9" spans="1:3" ht="12.75" x14ac:dyDescent="0.2"/>
    <row r="10" spans="1:3" ht="12.75" x14ac:dyDescent="0.2"/>
    <row r="11" spans="1:3" ht="12.75" x14ac:dyDescent="0.2"/>
    <row r="12" spans="1:3" ht="12.75" x14ac:dyDescent="0.2"/>
    <row r="13" spans="1:3" ht="12.75" x14ac:dyDescent="0.2">
      <c r="B13" s="2" t="s">
        <v>38</v>
      </c>
      <c r="C13" s="1" t="s">
        <v>62</v>
      </c>
    </row>
    <row r="14" spans="1:3" ht="12.75" x14ac:dyDescent="0.2">
      <c r="A14" s="2" t="s">
        <v>54</v>
      </c>
      <c r="B14" s="3">
        <v>0.82</v>
      </c>
      <c r="C14" s="1">
        <f>LN(1-B14)</f>
        <v>-1.7147984280919264</v>
      </c>
    </row>
    <row r="15" spans="1:3" ht="12.75" x14ac:dyDescent="0.2">
      <c r="A15" s="2" t="s">
        <v>53</v>
      </c>
      <c r="B15" s="1">
        <v>0.78</v>
      </c>
      <c r="C15" s="1">
        <f>LN(1-B15)</f>
        <v>-1.5141277326297757</v>
      </c>
    </row>
    <row r="16" spans="1:3" ht="12.75" x14ac:dyDescent="0.2"/>
    <row r="17" spans="1:17" ht="12.75" x14ac:dyDescent="0.2">
      <c r="C17" s="8" t="s">
        <v>0</v>
      </c>
      <c r="D17" s="8" t="s">
        <v>1</v>
      </c>
      <c r="E17" s="8" t="s">
        <v>2</v>
      </c>
      <c r="F17" s="8" t="s">
        <v>3</v>
      </c>
      <c r="G17" s="8" t="s">
        <v>4</v>
      </c>
      <c r="H17" s="8" t="s">
        <v>5</v>
      </c>
      <c r="I17" s="8" t="s">
        <v>6</v>
      </c>
      <c r="J17" s="8" t="s">
        <v>7</v>
      </c>
      <c r="K17" s="8" t="s">
        <v>8</v>
      </c>
      <c r="L17" s="8" t="s">
        <v>9</v>
      </c>
      <c r="M17" s="8" t="s">
        <v>10</v>
      </c>
      <c r="N17" s="8" t="s">
        <v>11</v>
      </c>
      <c r="O17" s="8" t="s">
        <v>12</v>
      </c>
      <c r="P17" s="8" t="s">
        <v>13</v>
      </c>
    </row>
    <row r="18" spans="1:17" ht="12.75" x14ac:dyDescent="0.2">
      <c r="A18" s="2" t="s">
        <v>101</v>
      </c>
      <c r="B18" s="2"/>
      <c r="C18" s="50" t="s">
        <v>39</v>
      </c>
      <c r="D18" s="50" t="s">
        <v>40</v>
      </c>
      <c r="E18" s="50" t="s">
        <v>41</v>
      </c>
      <c r="F18" s="50" t="s">
        <v>42</v>
      </c>
      <c r="G18" s="31" t="s">
        <v>108</v>
      </c>
      <c r="H18" s="50" t="s">
        <v>94</v>
      </c>
      <c r="I18" s="50" t="s">
        <v>65</v>
      </c>
      <c r="J18" s="50" t="s">
        <v>43</v>
      </c>
      <c r="K18" s="50" t="s">
        <v>44</v>
      </c>
      <c r="L18" s="50" t="s">
        <v>45</v>
      </c>
      <c r="M18" s="50" t="s">
        <v>46</v>
      </c>
      <c r="N18" s="50" t="s">
        <v>95</v>
      </c>
      <c r="O18" s="50" t="s">
        <v>47</v>
      </c>
      <c r="P18" s="51" t="s">
        <v>48</v>
      </c>
      <c r="Q18" s="2" t="s">
        <v>102</v>
      </c>
    </row>
    <row r="19" spans="1:17" ht="12.75" x14ac:dyDescent="0.2">
      <c r="A19" s="2" t="s">
        <v>96</v>
      </c>
      <c r="C19" s="10">
        <f>'Raw Data'!E6</f>
        <v>19.387499999999999</v>
      </c>
      <c r="D19" s="10">
        <f>'Raw Data'!F6</f>
        <v>9.5873000000000008</v>
      </c>
      <c r="E19" s="10">
        <f>'Raw Data'!G6</f>
        <v>20.058299999999999</v>
      </c>
      <c r="F19" s="10">
        <f>'Raw Data'!H6</f>
        <v>11.065099999999999</v>
      </c>
      <c r="G19" s="10">
        <f>'Raw Data'!I6</f>
        <v>11.7575</v>
      </c>
      <c r="H19" s="10">
        <f>'Raw Data'!J6</f>
        <v>10.4693</v>
      </c>
      <c r="J19" s="10">
        <f>'Raw Data'!L6</f>
        <v>10.222099999999999</v>
      </c>
      <c r="K19" s="10">
        <f>'Raw Data'!M6</f>
        <v>10.523400000000001</v>
      </c>
      <c r="L19" s="10">
        <f>'Raw Data'!N6</f>
        <v>10.349</v>
      </c>
      <c r="M19" s="10">
        <f>'Raw Data'!O6</f>
        <v>10.171799999999999</v>
      </c>
      <c r="N19" s="10">
        <f>'Raw Data'!P6</f>
        <v>9.7460000000000004</v>
      </c>
      <c r="O19" s="10">
        <f>'Raw Data'!Q6</f>
        <v>9.7444000000000006</v>
      </c>
      <c r="P19" s="10">
        <f>'Raw Data'!R6</f>
        <v>9.8450000000000006</v>
      </c>
      <c r="Q19" s="1">
        <f ca="1">'Raw Data'!U6</f>
        <v>11.7575</v>
      </c>
    </row>
    <row r="20" spans="1:17" ht="12.75" x14ac:dyDescent="0.2">
      <c r="A20" s="2"/>
      <c r="B20" s="2" t="s">
        <v>49</v>
      </c>
      <c r="C20" s="4">
        <f ca="1">C19/$Q19</f>
        <v>1.648947480331703</v>
      </c>
      <c r="D20" s="4">
        <f ca="1">D19/$Q19</f>
        <v>0.81541994471613866</v>
      </c>
      <c r="E20" s="4">
        <f ca="1">E19/$Q19</f>
        <v>1.7060004252604719</v>
      </c>
      <c r="F20" s="4">
        <f ca="1">F19/$Q19</f>
        <v>0.94110992983202202</v>
      </c>
      <c r="G20" s="4">
        <f ca="1">G19/$Q19</f>
        <v>1</v>
      </c>
      <c r="H20" s="4">
        <f ca="1">H19/$Q19</f>
        <v>0.8904358919838401</v>
      </c>
      <c r="J20" s="4">
        <f ca="1">J19/$Q19</f>
        <v>0.86941101424622569</v>
      </c>
      <c r="K20" s="4">
        <f ca="1">K19/$Q19</f>
        <v>0.89503721029130345</v>
      </c>
      <c r="L20" s="4">
        <f ca="1">L19/$Q19</f>
        <v>0.88020412502657874</v>
      </c>
      <c r="M20" s="4">
        <f ca="1">M19/$Q19</f>
        <v>0.86513289389751213</v>
      </c>
      <c r="N20" s="4">
        <f ca="1">N19/$Q19</f>
        <v>0.8289177120986605</v>
      </c>
      <c r="O20" s="4">
        <f ca="1">O19/$Q19</f>
        <v>0.82878162874760797</v>
      </c>
      <c r="P20" s="4">
        <f ca="1">P19/$Q19</f>
        <v>0.83733786944503508</v>
      </c>
    </row>
    <row r="21" spans="1:17" ht="12.75" x14ac:dyDescent="0.2">
      <c r="A21" s="2" t="s">
        <v>97</v>
      </c>
      <c r="C21" s="10">
        <f>'Raw Data'!E19</f>
        <v>19.231999999999999</v>
      </c>
      <c r="D21" s="10">
        <f>'Raw Data'!F19</f>
        <v>9.4989000000000008</v>
      </c>
      <c r="E21" s="10">
        <f>'Raw Data'!G19</f>
        <v>19.8489</v>
      </c>
      <c r="F21" s="10">
        <f>'Raw Data'!H19</f>
        <v>10.982799999999999</v>
      </c>
      <c r="G21" s="10">
        <f>'Raw Data'!I19</f>
        <v>11.615399999999999</v>
      </c>
      <c r="H21" s="10">
        <f>'Raw Data'!J19</f>
        <v>10.370799999999999</v>
      </c>
      <c r="J21" s="10">
        <f>'Raw Data'!L19</f>
        <v>10.0867</v>
      </c>
      <c r="K21" s="10">
        <f>'Raw Data'!M19</f>
        <v>10.363200000000001</v>
      </c>
      <c r="L21" s="10">
        <f>'Raw Data'!N19</f>
        <v>10.250299999999999</v>
      </c>
      <c r="M21" s="10">
        <f>'Raw Data'!O19</f>
        <v>10.045</v>
      </c>
      <c r="N21" s="10">
        <f>'Raw Data'!P19</f>
        <v>9.5974000000000004</v>
      </c>
      <c r="O21" s="10">
        <f>'Raw Data'!Q19</f>
        <v>9.5980000000000008</v>
      </c>
      <c r="P21" s="10">
        <f>'Raw Data'!R19</f>
        <v>9.6920999999999999</v>
      </c>
      <c r="Q21" s="1">
        <f ca="1">'Raw Data'!U7</f>
        <v>11.615399999999999</v>
      </c>
    </row>
    <row r="22" spans="1:17" ht="12.75" x14ac:dyDescent="0.2">
      <c r="A22" s="2"/>
      <c r="B22" s="2" t="s">
        <v>49</v>
      </c>
      <c r="C22" s="4">
        <f ca="1">C21/$Q21</f>
        <v>1.6557329063140314</v>
      </c>
      <c r="D22" s="4">
        <f ca="1">D21/$Q21</f>
        <v>0.81778500955627886</v>
      </c>
      <c r="E22" s="4">
        <f ca="1">E21/$Q21</f>
        <v>1.7088434319954544</v>
      </c>
      <c r="F22" s="4">
        <f ca="1">F21/$Q21</f>
        <v>0.94553782047970791</v>
      </c>
      <c r="G22" s="4">
        <f ca="1">G21/$Q21</f>
        <v>1</v>
      </c>
      <c r="H22" s="4">
        <f ca="1">H21/$Q21</f>
        <v>0.89284914854417408</v>
      </c>
      <c r="J22" s="4">
        <f ca="1">J21/$Q21</f>
        <v>0.86839024054272784</v>
      </c>
      <c r="K22" s="4">
        <f ca="1">K21/$Q21</f>
        <v>0.89219484477504019</v>
      </c>
      <c r="L22" s="4">
        <f ca="1">L21/$Q21</f>
        <v>0.88247499009935082</v>
      </c>
      <c r="M22" s="4">
        <f ca="1">M21/$Q21</f>
        <v>0.86480017907261053</v>
      </c>
      <c r="N22" s="4">
        <f ca="1">N21/$Q21</f>
        <v>0.82626513077466135</v>
      </c>
      <c r="O22" s="4">
        <f ca="1">O21/$Q21</f>
        <v>0.82631678633538241</v>
      </c>
      <c r="P22" s="4">
        <f ca="1">P21/$Q21</f>
        <v>0.83441810010847672</v>
      </c>
    </row>
    <row r="23" spans="1:17" ht="12.75" x14ac:dyDescent="0.2">
      <c r="A23" s="2" t="s">
        <v>54</v>
      </c>
      <c r="C23" s="6">
        <f>'Raw Data'!E32</f>
        <v>19.575500000000002</v>
      </c>
      <c r="D23" s="6">
        <f>'Raw Data'!F32</f>
        <v>9.6550999999999991</v>
      </c>
      <c r="E23" s="6">
        <f>'Raw Data'!G32</f>
        <v>20.121300000000002</v>
      </c>
      <c r="F23" s="6">
        <f>'Raw Data'!H32</f>
        <v>11.573</v>
      </c>
      <c r="G23" s="6">
        <f>'Raw Data'!I32</f>
        <v>11.844099999999999</v>
      </c>
      <c r="H23" s="6">
        <f>'Raw Data'!J32</f>
        <v>10.472799999999999</v>
      </c>
      <c r="J23" s="6">
        <f>'Raw Data'!L32</f>
        <v>10.298299999999999</v>
      </c>
      <c r="K23" s="6">
        <f>'Raw Data'!M32</f>
        <v>10.535500000000001</v>
      </c>
      <c r="L23" s="6">
        <f>'Raw Data'!N32</f>
        <v>10.4595</v>
      </c>
      <c r="M23" s="6">
        <f>'Raw Data'!O32</f>
        <v>10.216699999999999</v>
      </c>
      <c r="N23" s="6">
        <f>'Raw Data'!P32</f>
        <v>9.7851999999999997</v>
      </c>
      <c r="O23" s="6">
        <f>'Raw Data'!Q32</f>
        <v>9.7828999999999997</v>
      </c>
      <c r="P23" s="6">
        <f>'Raw Data'!R32</f>
        <v>9.9865999999999993</v>
      </c>
      <c r="Q23" s="5">
        <f ca="1">'Raw Data'!U8</f>
        <v>11.844099999999999</v>
      </c>
    </row>
    <row r="24" spans="1:17" ht="12.75" x14ac:dyDescent="0.2">
      <c r="B24" s="2" t="s">
        <v>55</v>
      </c>
      <c r="C24" s="4">
        <f ca="1">C23/$Q23</f>
        <v>1.6527638233382025</v>
      </c>
      <c r="D24" s="4">
        <f ca="1">D23/$Q23</f>
        <v>0.81518224263557382</v>
      </c>
      <c r="E24" s="4">
        <f ca="1">E23/$Q23</f>
        <v>1.6988458388564773</v>
      </c>
      <c r="F24" s="4">
        <f ca="1">F23/$Q23</f>
        <v>0.97711096664161912</v>
      </c>
      <c r="G24" s="4">
        <f ca="1">G23/$Q23</f>
        <v>1</v>
      </c>
      <c r="H24" s="4">
        <f ca="1">H23/$Q23</f>
        <v>0.88422083569034371</v>
      </c>
      <c r="J24" s="4">
        <f ca="1">J23/$Q23</f>
        <v>0.86948776183922794</v>
      </c>
      <c r="K24" s="4">
        <f ca="1">K23/$Q23</f>
        <v>0.88951461065002846</v>
      </c>
      <c r="L24" s="4">
        <f ca="1">L23/$Q23</f>
        <v>0.88309791372919855</v>
      </c>
      <c r="M24" s="4">
        <f ca="1">M23/$Q23</f>
        <v>0.8625982556716002</v>
      </c>
      <c r="N24" s="4">
        <f ca="1">N23/$Q23</f>
        <v>0.82616661460136276</v>
      </c>
      <c r="O24" s="4">
        <f ca="1">O23/$Q23</f>
        <v>0.82597242508928503</v>
      </c>
      <c r="P24" s="4">
        <f ca="1">P23/$Q23</f>
        <v>0.84317086144156161</v>
      </c>
    </row>
    <row r="25" spans="1:17" ht="12.75" x14ac:dyDescent="0.2">
      <c r="A25" s="2" t="s">
        <v>53</v>
      </c>
      <c r="C25" s="6">
        <f>'Raw Data'!E45</f>
        <v>19.518899999999999</v>
      </c>
      <c r="D25" s="6">
        <f>'Raw Data'!F45</f>
        <v>9.6213999999999995</v>
      </c>
      <c r="E25" s="6">
        <f>'Raw Data'!G45</f>
        <v>20.019100000000002</v>
      </c>
      <c r="F25" s="6">
        <f>'Raw Data'!H45</f>
        <v>11.567500000000001</v>
      </c>
      <c r="G25" s="6">
        <f>'Raw Data'!I45</f>
        <v>11.7431</v>
      </c>
      <c r="H25" s="6">
        <f>'Raw Data'!J45</f>
        <v>10.4038</v>
      </c>
      <c r="J25" s="6">
        <f>'Raw Data'!L45</f>
        <v>10.192399999999999</v>
      </c>
      <c r="K25" s="6">
        <f>'Raw Data'!M45</f>
        <v>10.4155</v>
      </c>
      <c r="L25" s="6">
        <f>'Raw Data'!N45</f>
        <v>10.3856</v>
      </c>
      <c r="M25" s="6">
        <f>'Raw Data'!O45</f>
        <v>10.111800000000001</v>
      </c>
      <c r="N25" s="6">
        <f>'Raw Data'!P45</f>
        <v>9.6575000000000006</v>
      </c>
      <c r="O25" s="6">
        <f>'Raw Data'!Q45</f>
        <v>9.6722999999999999</v>
      </c>
      <c r="P25" s="6">
        <f>'Raw Data'!R45</f>
        <v>9.8661999999999992</v>
      </c>
      <c r="Q25" s="1">
        <f ca="1">'Raw Data'!U9</f>
        <v>11.7431</v>
      </c>
    </row>
    <row r="26" spans="1:17" ht="12.75" x14ac:dyDescent="0.2">
      <c r="B26" s="2" t="s">
        <v>56</v>
      </c>
      <c r="C26" s="4">
        <f ca="1">C25/$Q25</f>
        <v>1.6621590551046996</v>
      </c>
      <c r="D26" s="4">
        <f ca="1">D25/$Q25</f>
        <v>0.81932368795292554</v>
      </c>
      <c r="E26" s="4">
        <f ca="1">E25/$Q25</f>
        <v>1.7047542812374927</v>
      </c>
      <c r="F26" s="4">
        <f ca="1">F25/$Q25</f>
        <v>0.98504653796697639</v>
      </c>
      <c r="G26" s="4">
        <f ca="1">G25/$Q25</f>
        <v>1</v>
      </c>
      <c r="H26" s="4">
        <f ca="1">H25/$Q25</f>
        <v>0.88595004726179627</v>
      </c>
      <c r="J26" s="4">
        <f ca="1">J25/$Q25</f>
        <v>0.8679479864771652</v>
      </c>
      <c r="K26" s="4">
        <f ca="1">K25/$Q25</f>
        <v>0.88694637702139978</v>
      </c>
      <c r="L26" s="4">
        <f ca="1">L25/$Q25</f>
        <v>0.88440020096907968</v>
      </c>
      <c r="M26" s="4">
        <f ca="1">M25/$Q25</f>
        <v>0.86108438146656341</v>
      </c>
      <c r="N26" s="4">
        <f ca="1">N25/$Q25</f>
        <v>0.82239783362144581</v>
      </c>
      <c r="O26" s="4">
        <f ca="1">O25/$Q25</f>
        <v>0.8236581481891494</v>
      </c>
      <c r="P26" s="4">
        <f ca="1">P25/$Q25</f>
        <v>0.84016997215386047</v>
      </c>
    </row>
    <row r="28" spans="1:17" ht="12.75" x14ac:dyDescent="0.2">
      <c r="A28" s="2"/>
      <c r="B28" s="1" t="s">
        <v>64</v>
      </c>
      <c r="C28" s="4">
        <f t="shared" ref="C28:M28" ca="1" si="0">AVERAGE(C20,C22)</f>
        <v>1.6523401933228672</v>
      </c>
      <c r="D28" s="4">
        <f t="shared" ca="1" si="0"/>
        <v>0.81660247713620882</v>
      </c>
      <c r="E28" s="4">
        <f t="shared" ca="1" si="0"/>
        <v>1.707421928627963</v>
      </c>
      <c r="F28" s="4">
        <f t="shared" ca="1" si="0"/>
        <v>0.94332387515586502</v>
      </c>
      <c r="G28" s="4">
        <f t="shared" ca="1" si="0"/>
        <v>1</v>
      </c>
      <c r="H28" s="4">
        <f t="shared" ca="1" si="0"/>
        <v>0.89164252026400703</v>
      </c>
      <c r="J28" s="4">
        <f t="shared" ca="1" si="0"/>
        <v>0.86890062739447682</v>
      </c>
      <c r="K28" s="4">
        <f t="shared" ca="1" si="0"/>
        <v>0.89361602753317182</v>
      </c>
      <c r="L28" s="4">
        <f t="shared" ca="1" si="0"/>
        <v>0.88133955756296478</v>
      </c>
      <c r="M28" s="4">
        <f t="shared" ca="1" si="0"/>
        <v>0.86496653648506139</v>
      </c>
      <c r="N28" s="4">
        <f ca="1">AVERAGE(N20,N22)</f>
        <v>0.82759142143666087</v>
      </c>
      <c r="O28" s="4">
        <f ca="1">AVERAGE(O20,O22)</f>
        <v>0.82754920754149519</v>
      </c>
      <c r="P28" s="4">
        <f ca="1">AVERAGE(P20,P22)</f>
        <v>0.8358779847767559</v>
      </c>
    </row>
    <row r="29" spans="1:17" ht="12.75" x14ac:dyDescent="0.2">
      <c r="B29" s="1" t="s">
        <v>57</v>
      </c>
      <c r="C29" s="4">
        <f t="shared" ref="C29:M29" ca="1" si="1">C24/C28</f>
        <v>1.0002563818377397</v>
      </c>
      <c r="D29" s="4">
        <f t="shared" ca="1" si="1"/>
        <v>0.99826080064609202</v>
      </c>
      <c r="E29" s="4">
        <f t="shared" ca="1" si="1"/>
        <v>0.99497717018406973</v>
      </c>
      <c r="F29" s="4">
        <f t="shared" ca="1" si="1"/>
        <v>1.0358170638691526</v>
      </c>
      <c r="G29" s="4">
        <f t="shared" ca="1" si="1"/>
        <v>1</v>
      </c>
      <c r="H29" s="4">
        <f t="shared" ca="1" si="1"/>
        <v>0.99167639002740038</v>
      </c>
      <c r="I29" s="4"/>
      <c r="J29" s="4">
        <f t="shared" ca="1" si="1"/>
        <v>1.0006757210505322</v>
      </c>
      <c r="K29" s="4">
        <f ca="1">K24/K28</f>
        <v>0.99541031409825387</v>
      </c>
      <c r="L29" s="4">
        <f t="shared" ca="1" si="1"/>
        <v>1.0019950950245509</v>
      </c>
      <c r="M29" s="4">
        <f t="shared" ca="1" si="1"/>
        <v>0.99726199718305275</v>
      </c>
      <c r="N29" s="4">
        <f ca="1">N24/N28</f>
        <v>0.99827836925517577</v>
      </c>
      <c r="O29" s="4">
        <f ca="1">O24/O28</f>
        <v>0.99809463601941628</v>
      </c>
      <c r="P29" s="4">
        <f ca="1">P24/P28</f>
        <v>1.0087248100770994</v>
      </c>
    </row>
    <row r="30" spans="1:17" ht="12.75" x14ac:dyDescent="0.2">
      <c r="B30" s="1" t="s">
        <v>58</v>
      </c>
      <c r="C30" s="4">
        <f t="shared" ref="C30:N30" ca="1" si="2">C26/C28</f>
        <v>1.0059423972263766</v>
      </c>
      <c r="D30" s="4">
        <f t="shared" ca="1" si="2"/>
        <v>1.0033323567989407</v>
      </c>
      <c r="E30" s="4">
        <f t="shared" ca="1" si="2"/>
        <v>0.99843761676844933</v>
      </c>
      <c r="F30" s="4">
        <f t="shared" ca="1" si="2"/>
        <v>1.0442294146368527</v>
      </c>
      <c r="G30" s="4">
        <f t="shared" ca="1" si="2"/>
        <v>1</v>
      </c>
      <c r="H30" s="4">
        <f t="shared" ca="1" si="2"/>
        <v>0.99361574524224661</v>
      </c>
      <c r="I30" s="4"/>
      <c r="J30" s="4">
        <f t="shared" ca="1" si="2"/>
        <v>0.99890362500926233</v>
      </c>
      <c r="K30" s="4">
        <f t="shared" ca="1" si="2"/>
        <v>0.99253633517498152</v>
      </c>
      <c r="L30" s="4">
        <f t="shared" ca="1" si="2"/>
        <v>1.0034727176147387</v>
      </c>
      <c r="M30" s="4">
        <f t="shared" ca="1" si="2"/>
        <v>0.99551178588448774</v>
      </c>
      <c r="N30" s="4">
        <f t="shared" ca="1" si="2"/>
        <v>0.99372445426488443</v>
      </c>
      <c r="O30" s="4">
        <f ca="1">O26/O28</f>
        <v>0.99529809307182415</v>
      </c>
      <c r="P30" s="4">
        <f ca="1">P26/P28</f>
        <v>1.0051347056092772</v>
      </c>
    </row>
    <row r="31" spans="1:17" ht="12.75" x14ac:dyDescent="0.2"/>
    <row r="32" spans="1:17" ht="15.75" customHeight="1" x14ac:dyDescent="0.2">
      <c r="B32" s="7" t="s">
        <v>59</v>
      </c>
      <c r="C32" s="11">
        <f t="shared" ref="C32:H33" ca="1" si="3">$C14/(LN((1-$B14)*C29))</f>
        <v>1.0001495145442363</v>
      </c>
      <c r="D32" s="11">
        <f t="shared" ca="1" si="3"/>
        <v>0.99898591679339832</v>
      </c>
      <c r="E32" s="11">
        <f t="shared" ca="1" si="3"/>
        <v>0.99707210877613994</v>
      </c>
      <c r="F32" s="11">
        <f t="shared" ca="1" si="3"/>
        <v>1.020951645563142</v>
      </c>
      <c r="G32" s="11">
        <f t="shared" ca="1" si="3"/>
        <v>1</v>
      </c>
      <c r="H32" s="11">
        <f t="shared" ca="1" si="3"/>
        <v>0.99514934201223149</v>
      </c>
      <c r="I32" s="7"/>
      <c r="J32" s="11">
        <f t="shared" ref="J32:P33" ca="1" si="4">$C14/(LN((1-$B14)*J29))</f>
        <v>1.0003940749172473</v>
      </c>
      <c r="K32" s="11">
        <f t="shared" ca="1" si="4"/>
        <v>0.9973245001840767</v>
      </c>
      <c r="L32" s="11">
        <f t="shared" ca="1" si="4"/>
        <v>1.0011636509074386</v>
      </c>
      <c r="M32" s="11">
        <f t="shared" ca="1" si="4"/>
        <v>0.99840367170160171</v>
      </c>
      <c r="N32" s="11">
        <f t="shared" ca="1" si="4"/>
        <v>0.99899615914423257</v>
      </c>
      <c r="O32" s="11">
        <f t="shared" ca="1" si="4"/>
        <v>0.99888904569022574</v>
      </c>
      <c r="P32" s="11">
        <f t="shared" ca="1" si="4"/>
        <v>1.0050916772291232</v>
      </c>
    </row>
    <row r="33" spans="2:16" ht="12.75" x14ac:dyDescent="0.2">
      <c r="B33" s="7" t="s">
        <v>60</v>
      </c>
      <c r="C33" s="11">
        <f t="shared" ca="1" si="3"/>
        <v>1.0039283910236378</v>
      </c>
      <c r="D33" s="11">
        <f t="shared" ca="1" si="3"/>
        <v>1.0022020219654726</v>
      </c>
      <c r="E33" s="11">
        <f t="shared" ca="1" si="3"/>
        <v>0.99896838822908152</v>
      </c>
      <c r="F33" s="11">
        <f t="shared" ca="1" si="3"/>
        <v>1.029424655570101</v>
      </c>
      <c r="G33" s="11">
        <f t="shared" ca="1" si="3"/>
        <v>1</v>
      </c>
      <c r="H33" s="11">
        <f t="shared" ca="1" si="3"/>
        <v>0.99578784309983859</v>
      </c>
      <c r="I33" s="7"/>
      <c r="J33" s="11">
        <f t="shared" ca="1" si="4"/>
        <v>0.99927603051687242</v>
      </c>
      <c r="K33" s="11">
        <f t="shared" ca="1" si="4"/>
        <v>0.99507652347742848</v>
      </c>
      <c r="L33" s="11">
        <f t="shared" ca="1" si="4"/>
        <v>1.0022948243077947</v>
      </c>
      <c r="M33" s="11">
        <f t="shared" ca="1" si="4"/>
        <v>0.99703790384066637</v>
      </c>
      <c r="N33" s="11">
        <f t="shared" ca="1" si="4"/>
        <v>0.99585949467531587</v>
      </c>
      <c r="O33" s="11">
        <f t="shared" ca="1" si="4"/>
        <v>0.99689697834854141</v>
      </c>
      <c r="P33" s="11">
        <f t="shared" ca="1" si="4"/>
        <v>1.003394000688085</v>
      </c>
    </row>
    <row r="34" spans="2:16" ht="15.75" customHeight="1" x14ac:dyDescent="0.2">
      <c r="B34" s="12" t="s">
        <v>61</v>
      </c>
      <c r="C34" s="13">
        <f ca="1">AVERAGE(C32,C33)</f>
        <v>1.0020389527839371</v>
      </c>
      <c r="D34" s="13">
        <f t="shared" ref="D34:P34" ca="1" si="5">AVERAGE(D32,D33)</f>
        <v>1.0005939693794355</v>
      </c>
      <c r="E34" s="13">
        <f t="shared" ca="1" si="5"/>
        <v>0.99802024850261073</v>
      </c>
      <c r="F34" s="13">
        <f t="shared" ca="1" si="5"/>
        <v>1.0251881505666214</v>
      </c>
      <c r="G34" s="14">
        <f t="shared" ca="1" si="5"/>
        <v>1</v>
      </c>
      <c r="H34" s="13">
        <f t="shared" ca="1" si="5"/>
        <v>0.99546859255603504</v>
      </c>
      <c r="I34" s="7"/>
      <c r="J34" s="13">
        <f t="shared" ca="1" si="5"/>
        <v>0.99983505271705986</v>
      </c>
      <c r="K34" s="13">
        <f t="shared" ca="1" si="5"/>
        <v>0.99620051183075264</v>
      </c>
      <c r="L34" s="13">
        <f t="shared" ca="1" si="5"/>
        <v>1.0017292376076168</v>
      </c>
      <c r="M34" s="13">
        <f t="shared" ca="1" si="5"/>
        <v>0.99772078777113404</v>
      </c>
      <c r="N34" s="13">
        <f t="shared" ca="1" si="5"/>
        <v>0.99742782690977427</v>
      </c>
      <c r="O34" s="13">
        <f t="shared" ca="1" si="5"/>
        <v>0.99789301201938363</v>
      </c>
      <c r="P34" s="13">
        <f t="shared" ca="1" si="5"/>
        <v>1.004242838958604</v>
      </c>
    </row>
    <row r="35" spans="2:16" ht="12.75" x14ac:dyDescent="0.2">
      <c r="B35" s="7" t="s">
        <v>36</v>
      </c>
      <c r="C35" s="11">
        <f ca="1">ABS(C33-C32)</f>
        <v>3.7788764794015606E-3</v>
      </c>
      <c r="D35" s="11">
        <f t="shared" ref="D35:P35" ca="1" si="6">ABS(D33-D32)</f>
        <v>3.2161051720742684E-3</v>
      </c>
      <c r="E35" s="11">
        <f t="shared" ca="1" si="6"/>
        <v>1.8962794529415739E-3</v>
      </c>
      <c r="F35" s="11">
        <f t="shared" ca="1" si="6"/>
        <v>8.473010006958992E-3</v>
      </c>
      <c r="G35" s="11">
        <f t="shared" ca="1" si="6"/>
        <v>0</v>
      </c>
      <c r="H35" s="11">
        <f t="shared" ca="1" si="6"/>
        <v>6.3850108760710178E-4</v>
      </c>
      <c r="I35" s="7"/>
      <c r="J35" s="11">
        <f t="shared" ca="1" si="6"/>
        <v>1.1180444003748846E-3</v>
      </c>
      <c r="K35" s="11">
        <f t="shared" ca="1" si="6"/>
        <v>2.2479767066482248E-3</v>
      </c>
      <c r="L35" s="11">
        <f t="shared" ca="1" si="6"/>
        <v>1.1311734003560669E-3</v>
      </c>
      <c r="M35" s="11">
        <f t="shared" ca="1" si="6"/>
        <v>1.3657678609353407E-3</v>
      </c>
      <c r="N35" s="11">
        <f t="shared" ca="1" si="6"/>
        <v>3.1366644689166945E-3</v>
      </c>
      <c r="O35" s="11">
        <f t="shared" ca="1" si="6"/>
        <v>1.9920673416843337E-3</v>
      </c>
      <c r="P35" s="11">
        <f t="shared" ca="1" si="6"/>
        <v>1.69767654103814E-3</v>
      </c>
    </row>
    <row r="36" spans="2:16" ht="12.75" x14ac:dyDescent="0.2"/>
    <row r="37" spans="2:16" ht="12.75" x14ac:dyDescent="0.2"/>
    <row r="39" spans="2:16" ht="12.75" x14ac:dyDescent="0.2"/>
    <row r="41" spans="2:16" ht="12.75" x14ac:dyDescent="0.2"/>
    <row r="42" spans="2:16" ht="12.75" x14ac:dyDescent="0.2"/>
    <row r="43" spans="2:16" ht="12.75" x14ac:dyDescent="0.2"/>
    <row r="45" spans="2:16" ht="12.75"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1289B-3FAC-4CC2-B0B0-E15E91517FFA}">
  <dimension ref="A1:P67"/>
  <sheetViews>
    <sheetView tabSelected="1" topLeftCell="A22" zoomScale="60" zoomScaleNormal="60" workbookViewId="0">
      <selection activeCell="S29" sqref="S29"/>
    </sheetView>
  </sheetViews>
  <sheetFormatPr defaultRowHeight="12.75" x14ac:dyDescent="0.2"/>
  <cols>
    <col min="1" max="1" width="43.7109375" style="1" customWidth="1"/>
    <col min="2" max="2" width="26.7109375" style="1" customWidth="1"/>
    <col min="3" max="3" width="15" style="1" bestFit="1" customWidth="1"/>
    <col min="4" max="4" width="14.7109375" style="1" bestFit="1" customWidth="1"/>
    <col min="5" max="5" width="15" style="1" bestFit="1" customWidth="1"/>
    <col min="6" max="6" width="14.7109375" style="1" bestFit="1" customWidth="1"/>
    <col min="7" max="7" width="12.140625" style="1" bestFit="1" customWidth="1"/>
    <col min="8" max="8" width="14.7109375" style="1" bestFit="1" customWidth="1"/>
    <col min="9" max="9" width="12.140625" style="1" bestFit="1" customWidth="1"/>
    <col min="10" max="16" width="14.7109375" style="1" bestFit="1" customWidth="1"/>
    <col min="17" max="16384" width="9.140625" style="1"/>
  </cols>
  <sheetData>
    <row r="1" spans="1:16" x14ac:dyDescent="0.2">
      <c r="B1" s="1" t="s">
        <v>98</v>
      </c>
      <c r="C1" s="1" t="s">
        <v>99</v>
      </c>
      <c r="H1" s="32"/>
      <c r="J1" s="33" t="s">
        <v>70</v>
      </c>
    </row>
    <row r="2" spans="1:16" x14ac:dyDescent="0.2">
      <c r="A2" s="1" t="s">
        <v>66</v>
      </c>
      <c r="B2" s="1">
        <v>0.82</v>
      </c>
      <c r="C2" s="1">
        <v>0.78</v>
      </c>
      <c r="I2" s="33" t="s">
        <v>91</v>
      </c>
      <c r="J2" s="34">
        <v>20</v>
      </c>
      <c r="L2" s="43" t="s">
        <v>51</v>
      </c>
      <c r="M2" s="26" t="s">
        <v>76</v>
      </c>
    </row>
    <row r="3" spans="1:16" x14ac:dyDescent="0.2">
      <c r="A3" s="1" t="s">
        <v>67</v>
      </c>
      <c r="B3" s="1">
        <v>0.01</v>
      </c>
      <c r="C3" s="1">
        <v>0.01</v>
      </c>
      <c r="E3" s="1" t="s">
        <v>68</v>
      </c>
      <c r="L3" s="35" t="s">
        <v>54</v>
      </c>
      <c r="M3" s="27">
        <f>LN(1-B2)</f>
        <v>-1.7147984280919264</v>
      </c>
    </row>
    <row r="4" spans="1:16" x14ac:dyDescent="0.2">
      <c r="L4" s="36" t="s">
        <v>53</v>
      </c>
      <c r="M4" s="44">
        <f>LN(1-C2)</f>
        <v>-1.5141277326297757</v>
      </c>
    </row>
    <row r="6" spans="1:16" x14ac:dyDescent="0.2">
      <c r="A6" s="43" t="s">
        <v>32</v>
      </c>
      <c r="B6" s="45"/>
      <c r="C6" s="45"/>
      <c r="D6" s="45"/>
      <c r="E6" s="45"/>
      <c r="F6" s="45"/>
      <c r="G6" s="45"/>
      <c r="H6" s="45"/>
      <c r="I6" s="45"/>
      <c r="J6" s="45"/>
      <c r="K6" s="45"/>
      <c r="L6" s="45"/>
      <c r="M6" s="45"/>
      <c r="N6" s="45"/>
      <c r="O6" s="45"/>
      <c r="P6" s="26"/>
    </row>
    <row r="7" spans="1:16" x14ac:dyDescent="0.2">
      <c r="A7" s="46"/>
      <c r="B7" s="47"/>
      <c r="C7" s="48" t="s">
        <v>0</v>
      </c>
      <c r="D7" s="48" t="s">
        <v>1</v>
      </c>
      <c r="E7" s="48" t="s">
        <v>2</v>
      </c>
      <c r="F7" s="48" t="s">
        <v>3</v>
      </c>
      <c r="G7" s="48" t="s">
        <v>4</v>
      </c>
      <c r="H7" s="48" t="s">
        <v>5</v>
      </c>
      <c r="I7" s="48" t="s">
        <v>6</v>
      </c>
      <c r="J7" s="48" t="s">
        <v>7</v>
      </c>
      <c r="K7" s="48" t="s">
        <v>8</v>
      </c>
      <c r="L7" s="48" t="s">
        <v>9</v>
      </c>
      <c r="M7" s="48" t="s">
        <v>10</v>
      </c>
      <c r="N7" s="48" t="s">
        <v>11</v>
      </c>
      <c r="O7" s="48" t="s">
        <v>12</v>
      </c>
      <c r="P7" s="49" t="s">
        <v>13</v>
      </c>
    </row>
    <row r="8" spans="1:16" x14ac:dyDescent="0.2">
      <c r="A8" s="46"/>
      <c r="B8" s="37" t="s">
        <v>63</v>
      </c>
      <c r="C8" s="50" t="s">
        <v>39</v>
      </c>
      <c r="D8" s="50" t="s">
        <v>40</v>
      </c>
      <c r="E8" s="50" t="s">
        <v>41</v>
      </c>
      <c r="F8" s="50" t="s">
        <v>42</v>
      </c>
      <c r="G8" s="31" t="s">
        <v>108</v>
      </c>
      <c r="H8" s="50" t="s">
        <v>94</v>
      </c>
      <c r="I8" s="50" t="s">
        <v>65</v>
      </c>
      <c r="J8" s="50" t="s">
        <v>43</v>
      </c>
      <c r="K8" s="50" t="s">
        <v>44</v>
      </c>
      <c r="L8" s="50" t="s">
        <v>45</v>
      </c>
      <c r="M8" s="50" t="s">
        <v>46</v>
      </c>
      <c r="N8" s="50" t="s">
        <v>95</v>
      </c>
      <c r="O8" s="50" t="s">
        <v>47</v>
      </c>
      <c r="P8" s="51" t="s">
        <v>48</v>
      </c>
    </row>
    <row r="9" spans="1:16" x14ac:dyDescent="0.2">
      <c r="A9" s="35" t="s">
        <v>96</v>
      </c>
      <c r="B9" s="47">
        <f ca="1">'Raw Data'!V6</f>
        <v>6.59E-2</v>
      </c>
      <c r="C9" s="47">
        <f>'Raw Data'!E7</f>
        <v>0.14119999999999999</v>
      </c>
      <c r="D9" s="47">
        <f>'Raw Data'!F7</f>
        <v>7.0300000000000001E-2</v>
      </c>
      <c r="E9" s="47">
        <f>'Raw Data'!G7</f>
        <v>0.13320000000000001</v>
      </c>
      <c r="F9" s="47">
        <f>'Raw Data'!H7</f>
        <v>7.0800000000000002E-2</v>
      </c>
      <c r="G9" s="47"/>
      <c r="H9" s="47">
        <f>'Raw Data'!J7</f>
        <v>6.9699999999999998E-2</v>
      </c>
      <c r="I9" s="47"/>
      <c r="J9" s="47">
        <f>'Raw Data'!L7</f>
        <v>5.0599999999999999E-2</v>
      </c>
      <c r="K9" s="47">
        <f>'Raw Data'!M7</f>
        <v>4.8399999999999999E-2</v>
      </c>
      <c r="L9" s="47">
        <f>'Raw Data'!N7</f>
        <v>6.9699999999999998E-2</v>
      </c>
      <c r="M9" s="47">
        <f>'Raw Data'!O7</f>
        <v>5.0099999999999999E-2</v>
      </c>
      <c r="N9" s="47">
        <f>'Raw Data'!P7</f>
        <v>6.1899999999999997E-2</v>
      </c>
      <c r="O9" s="47">
        <f>'Raw Data'!Q7</f>
        <v>5.8000000000000003E-2</v>
      </c>
      <c r="P9" s="27">
        <f>'Raw Data'!R7</f>
        <v>7.3099999999999998E-2</v>
      </c>
    </row>
    <row r="10" spans="1:16" x14ac:dyDescent="0.2">
      <c r="A10" s="35" t="s">
        <v>97</v>
      </c>
      <c r="B10" s="47">
        <f ca="1">'Raw Data'!V7</f>
        <v>5.4899999999999997E-2</v>
      </c>
      <c r="C10" s="47">
        <f>'Raw Data'!E20</f>
        <v>0.1217</v>
      </c>
      <c r="D10" s="47">
        <f>'Raw Data'!F20</f>
        <v>6.2300000000000001E-2</v>
      </c>
      <c r="E10" s="47">
        <f>'Raw Data'!G20</f>
        <v>0.1124</v>
      </c>
      <c r="F10" s="47">
        <f>'Raw Data'!H20</f>
        <v>6.1699999999999998E-2</v>
      </c>
      <c r="G10" s="47"/>
      <c r="H10" s="47">
        <f>'Raw Data'!J20</f>
        <v>5.91E-2</v>
      </c>
      <c r="I10" s="47"/>
      <c r="J10" s="47">
        <f>'Raw Data'!L20</f>
        <v>2.93E-2</v>
      </c>
      <c r="K10" s="47">
        <f>'Raw Data'!M20</f>
        <v>3.1600000000000003E-2</v>
      </c>
      <c r="L10" s="47">
        <f>'Raw Data'!N20</f>
        <v>5.8599999999999999E-2</v>
      </c>
      <c r="M10" s="47">
        <f>'Raw Data'!O20</f>
        <v>3.6299999999999999E-2</v>
      </c>
      <c r="N10" s="47">
        <f>'Raw Data'!P20</f>
        <v>5.7099999999999998E-2</v>
      </c>
      <c r="O10" s="47">
        <f>'Raw Data'!Q20</f>
        <v>5.7200000000000001E-2</v>
      </c>
      <c r="P10" s="27">
        <f>'Raw Data'!R20</f>
        <v>6.8699999999999997E-2</v>
      </c>
    </row>
    <row r="11" spans="1:16" x14ac:dyDescent="0.2">
      <c r="A11" s="35" t="s">
        <v>54</v>
      </c>
      <c r="B11" s="47">
        <f ca="1">'Raw Data'!V8</f>
        <v>5.1999999999999998E-2</v>
      </c>
      <c r="C11" s="47">
        <f>'Raw Data'!E33</f>
        <v>0.13250000000000001</v>
      </c>
      <c r="D11" s="47">
        <f>'Raw Data'!F33</f>
        <v>6.7599999999999993E-2</v>
      </c>
      <c r="E11" s="47">
        <f>'Raw Data'!G33</f>
        <v>0.12479999999999999</v>
      </c>
      <c r="F11" s="47">
        <f>'Raw Data'!H33</f>
        <v>6.8900000000000003E-2</v>
      </c>
      <c r="G11" s="47"/>
      <c r="H11" s="47">
        <f>'Raw Data'!J33</f>
        <v>6.6000000000000003E-2</v>
      </c>
      <c r="I11" s="47"/>
      <c r="J11" s="47">
        <f>'Raw Data'!L33</f>
        <v>3.2899999999999999E-2</v>
      </c>
      <c r="K11" s="47">
        <f>'Raw Data'!M33</f>
        <v>3.1399999999999997E-2</v>
      </c>
      <c r="L11" s="47">
        <f>'Raw Data'!N33</f>
        <v>6.3399999999999998E-2</v>
      </c>
      <c r="M11" s="47">
        <f>'Raw Data'!O33</f>
        <v>3.73E-2</v>
      </c>
      <c r="N11" s="47">
        <f>'Raw Data'!P33</f>
        <v>6.7000000000000004E-2</v>
      </c>
      <c r="O11" s="47">
        <f>'Raw Data'!Q33</f>
        <v>6.4399999999999999E-2</v>
      </c>
      <c r="P11" s="27">
        <f>'Raw Data'!R33</f>
        <v>7.6999999999999999E-2</v>
      </c>
    </row>
    <row r="12" spans="1:16" x14ac:dyDescent="0.2">
      <c r="A12" s="36" t="s">
        <v>53</v>
      </c>
      <c r="B12" s="25">
        <f ca="1">'Raw Data'!V9</f>
        <v>5.4100000000000002E-2</v>
      </c>
      <c r="C12" s="25">
        <f>'Raw Data'!E46</f>
        <v>0.1394</v>
      </c>
      <c r="D12" s="25">
        <f>'Raw Data'!F46</f>
        <v>6.7100000000000007E-2</v>
      </c>
      <c r="E12" s="25">
        <f>'Raw Data'!G46</f>
        <v>0.1255</v>
      </c>
      <c r="F12" s="25">
        <f>'Raw Data'!H46</f>
        <v>7.0099999999999996E-2</v>
      </c>
      <c r="G12" s="25"/>
      <c r="H12" s="25">
        <f>'Raw Data'!J46</f>
        <v>6.2799999999999995E-2</v>
      </c>
      <c r="I12" s="25"/>
      <c r="J12" s="25">
        <f>'Raw Data'!L46</f>
        <v>3.3000000000000002E-2</v>
      </c>
      <c r="K12" s="25">
        <f>'Raw Data'!M46</f>
        <v>3.1899999999999998E-2</v>
      </c>
      <c r="L12" s="25">
        <f>'Raw Data'!N46</f>
        <v>6.6199999999999995E-2</v>
      </c>
      <c r="M12" s="25">
        <f>'Raw Data'!O46</f>
        <v>3.6499999999999998E-2</v>
      </c>
      <c r="N12" s="25">
        <f>'Raw Data'!P46</f>
        <v>6.7100000000000007E-2</v>
      </c>
      <c r="O12" s="25">
        <f>'Raw Data'!Q46</f>
        <v>6.7199999999999996E-2</v>
      </c>
      <c r="P12" s="44">
        <f>'Raw Data'!R46</f>
        <v>8.0399999999999999E-2</v>
      </c>
    </row>
    <row r="13" spans="1:16" x14ac:dyDescent="0.2">
      <c r="A13" s="2"/>
    </row>
    <row r="14" spans="1:16" x14ac:dyDescent="0.2">
      <c r="A14" s="38" t="s">
        <v>92</v>
      </c>
      <c r="B14" s="52"/>
      <c r="C14" s="52"/>
      <c r="D14" s="52"/>
      <c r="E14" s="52"/>
      <c r="F14" s="52"/>
      <c r="G14" s="52"/>
      <c r="H14" s="52"/>
      <c r="I14" s="52"/>
      <c r="J14" s="52"/>
      <c r="K14" s="52"/>
      <c r="L14" s="52"/>
      <c r="M14" s="52"/>
      <c r="N14" s="52"/>
      <c r="O14" s="52"/>
      <c r="P14" s="53"/>
    </row>
    <row r="15" spans="1:16" x14ac:dyDescent="0.2">
      <c r="A15" s="39" t="s">
        <v>96</v>
      </c>
      <c r="B15" s="54">
        <f t="shared" ref="B15:M16" ca="1" si="0">TINV(0.32,$J$2-1)*B9/SQRT($J$2)</f>
        <v>1.5047678056935703E-2</v>
      </c>
      <c r="C15" s="54">
        <f t="shared" si="0"/>
        <v>3.2241762392098958E-2</v>
      </c>
      <c r="D15" s="54">
        <f t="shared" si="0"/>
        <v>1.6052378868020942E-2</v>
      </c>
      <c r="E15" s="54">
        <f t="shared" si="0"/>
        <v>3.0415033644671258E-2</v>
      </c>
      <c r="F15" s="54">
        <f t="shared" si="0"/>
        <v>1.6166549414735172E-2</v>
      </c>
      <c r="G15" s="54"/>
      <c r="H15" s="54">
        <f t="shared" si="0"/>
        <v>1.5915374211963863E-2</v>
      </c>
      <c r="I15" s="54"/>
      <c r="J15" s="54">
        <f t="shared" si="0"/>
        <v>1.1554059327480222E-2</v>
      </c>
      <c r="K15" s="54">
        <f t="shared" si="0"/>
        <v>1.1051708921937603E-2</v>
      </c>
      <c r="L15" s="54">
        <f>TINV(0.32,$J$2-1)*L9/SQRT($J$2)</f>
        <v>1.5915374211963863E-2</v>
      </c>
      <c r="M15" s="54">
        <f t="shared" si="0"/>
        <v>1.1439888780765989E-2</v>
      </c>
      <c r="N15" s="54">
        <f t="shared" ref="N15:P16" si="1">TINV(0.32,$J$2-1)*N9/SQRT($J$2)</f>
        <v>1.4134313683221853E-2</v>
      </c>
      <c r="O15" s="54">
        <f t="shared" si="1"/>
        <v>1.3243783418850847E-2</v>
      </c>
      <c r="P15" s="55">
        <f t="shared" si="1"/>
        <v>1.6691733929620638E-2</v>
      </c>
    </row>
    <row r="16" spans="1:16" x14ac:dyDescent="0.2">
      <c r="A16" s="39" t="s">
        <v>97</v>
      </c>
      <c r="B16" s="54">
        <f t="shared" ca="1" si="0"/>
        <v>1.2535926029222611E-2</v>
      </c>
      <c r="C16" s="54">
        <f t="shared" si="0"/>
        <v>2.778911107024393E-2</v>
      </c>
      <c r="D16" s="54">
        <f t="shared" si="0"/>
        <v>1.4225650120593236E-2</v>
      </c>
      <c r="E16" s="54">
        <f>TINV(0.32,$J$2-1)*E10/SQRT($J$2)</f>
        <v>2.5665538901359228E-2</v>
      </c>
      <c r="F16" s="54">
        <f t="shared" si="0"/>
        <v>1.408864546453616E-2</v>
      </c>
      <c r="G16" s="54"/>
      <c r="H16" s="54">
        <f>TINV(0.32,$J$2-1)*H10/SQRT($J$2)</f>
        <v>1.3494958621622156E-2</v>
      </c>
      <c r="I16" s="54"/>
      <c r="J16" s="54">
        <f t="shared" si="0"/>
        <v>6.6903940374539624E-3</v>
      </c>
      <c r="K16" s="54">
        <f t="shared" si="0"/>
        <v>7.2155785523394279E-3</v>
      </c>
      <c r="L16" s="54">
        <f>TINV(0.32,$J$2-1)*L10/SQRT($J$2)</f>
        <v>1.3380788074907925E-2</v>
      </c>
      <c r="M16" s="54">
        <f t="shared" si="0"/>
        <v>8.2887816914532023E-3</v>
      </c>
      <c r="N16" s="54">
        <f t="shared" si="1"/>
        <v>1.303827643476523E-2</v>
      </c>
      <c r="O16" s="54">
        <f t="shared" si="1"/>
        <v>1.3061110544108077E-2</v>
      </c>
      <c r="P16" s="55">
        <f t="shared" si="1"/>
        <v>1.56870331185354E-2</v>
      </c>
    </row>
    <row r="17" spans="1:16" x14ac:dyDescent="0.2">
      <c r="A17" s="56" t="s">
        <v>71</v>
      </c>
      <c r="B17" s="54">
        <f t="shared" ref="B17:M17" ca="1" si="2">AVERAGE(B15:B16)</f>
        <v>1.3791802043079157E-2</v>
      </c>
      <c r="C17" s="54">
        <f t="shared" si="2"/>
        <v>3.0015436731171442E-2</v>
      </c>
      <c r="D17" s="54">
        <f t="shared" si="2"/>
        <v>1.5139014494307089E-2</v>
      </c>
      <c r="E17" s="54">
        <f t="shared" si="2"/>
        <v>2.8040286273015243E-2</v>
      </c>
      <c r="F17" s="54">
        <f t="shared" si="2"/>
        <v>1.5127597439635666E-2</v>
      </c>
      <c r="G17" s="54"/>
      <c r="H17" s="54">
        <f t="shared" si="2"/>
        <v>1.4705166416793009E-2</v>
      </c>
      <c r="I17" s="54"/>
      <c r="J17" s="54">
        <f t="shared" si="2"/>
        <v>9.1222266824670922E-3</v>
      </c>
      <c r="K17" s="54">
        <f t="shared" si="2"/>
        <v>9.1336437371385155E-3</v>
      </c>
      <c r="L17" s="54">
        <f t="shared" si="2"/>
        <v>1.4648081143435894E-2</v>
      </c>
      <c r="M17" s="54">
        <f t="shared" si="2"/>
        <v>9.8643352361095955E-3</v>
      </c>
      <c r="N17" s="54">
        <f>AVERAGE(N15:N16)</f>
        <v>1.3586295058993541E-2</v>
      </c>
      <c r="O17" s="54">
        <f>AVERAGE(O15:O16)</f>
        <v>1.3152446981479462E-2</v>
      </c>
      <c r="P17" s="55">
        <f>AVERAGE(P15:P16)</f>
        <v>1.6189383524078019E-2</v>
      </c>
    </row>
    <row r="18" spans="1:16" x14ac:dyDescent="0.2">
      <c r="A18" s="39" t="s">
        <v>54</v>
      </c>
      <c r="B18" s="54">
        <f ca="1">TINV(0.32,$J$2-1)*B11/SQRT($J$2)</f>
        <v>1.187373685828007E-2</v>
      </c>
      <c r="C18" s="54">
        <f>TINV(0.32,$J$2-1)*C11/SQRT($J$2)</f>
        <v>3.0255194879271335E-2</v>
      </c>
      <c r="D18" s="54">
        <f t="shared" ref="B18:M19" si="3">TINV(0.32,$J$2-1)*D11/SQRT($J$2)</f>
        <v>1.543585791576409E-2</v>
      </c>
      <c r="E18" s="54">
        <f t="shared" si="3"/>
        <v>2.8496968459872162E-2</v>
      </c>
      <c r="F18" s="54">
        <f t="shared" si="3"/>
        <v>1.5732701337221093E-2</v>
      </c>
      <c r="G18" s="54"/>
      <c r="H18" s="54">
        <f t="shared" si="3"/>
        <v>1.5070512166278551E-2</v>
      </c>
      <c r="I18" s="54"/>
      <c r="J18" s="54">
        <f t="shared" si="3"/>
        <v>7.5124219737964289E-3</v>
      </c>
      <c r="K18" s="54">
        <f t="shared" si="3"/>
        <v>7.1699103336537347E-3</v>
      </c>
      <c r="L18" s="54">
        <f t="shared" si="3"/>
        <v>1.4476825323364546E-2</v>
      </c>
      <c r="M18" s="54">
        <f t="shared" si="3"/>
        <v>8.5171227848816651E-3</v>
      </c>
      <c r="N18" s="54">
        <f t="shared" ref="N18:P19" si="4">TINV(0.32,$J$2-1)*N11/SQRT($J$2)</f>
        <v>1.5298853259707012E-2</v>
      </c>
      <c r="O18" s="54">
        <f t="shared" si="4"/>
        <v>1.470516641679301E-2</v>
      </c>
      <c r="P18" s="55">
        <f t="shared" si="4"/>
        <v>1.7582264193991642E-2</v>
      </c>
    </row>
    <row r="19" spans="1:16" x14ac:dyDescent="0.2">
      <c r="A19" s="40" t="s">
        <v>53</v>
      </c>
      <c r="B19" s="57">
        <f t="shared" ca="1" si="3"/>
        <v>1.2353253154479842E-2</v>
      </c>
      <c r="C19" s="57">
        <f t="shared" si="3"/>
        <v>3.1830748423927725E-2</v>
      </c>
      <c r="D19" s="57">
        <f t="shared" si="3"/>
        <v>1.5321687369049861E-2</v>
      </c>
      <c r="E19" s="57">
        <f t="shared" si="3"/>
        <v>2.8656807225272092E-2</v>
      </c>
      <c r="F19" s="57">
        <f t="shared" si="3"/>
        <v>1.6006710649335249E-2</v>
      </c>
      <c r="G19" s="57"/>
      <c r="H19" s="57">
        <f t="shared" si="3"/>
        <v>1.4339820667307469E-2</v>
      </c>
      <c r="I19" s="57"/>
      <c r="J19" s="57">
        <f t="shared" si="3"/>
        <v>7.5352560831392756E-3</v>
      </c>
      <c r="K19" s="57">
        <f t="shared" si="3"/>
        <v>7.2840808803679652E-3</v>
      </c>
      <c r="L19" s="57">
        <f t="shared" si="3"/>
        <v>1.5116180384964243E-2</v>
      </c>
      <c r="M19" s="57">
        <f t="shared" si="3"/>
        <v>8.3344499101388938E-3</v>
      </c>
      <c r="N19" s="57">
        <f t="shared" si="4"/>
        <v>1.5321687369049861E-2</v>
      </c>
      <c r="O19" s="57">
        <f t="shared" si="4"/>
        <v>1.5344521478392704E-2</v>
      </c>
      <c r="P19" s="58">
        <f t="shared" si="4"/>
        <v>1.8358623911648417E-2</v>
      </c>
    </row>
    <row r="21" spans="1:16" x14ac:dyDescent="0.2">
      <c r="A21" s="43" t="s">
        <v>50</v>
      </c>
      <c r="B21" s="45"/>
      <c r="C21" s="45"/>
      <c r="D21" s="45"/>
      <c r="E21" s="45"/>
      <c r="F21" s="45"/>
      <c r="G21" s="45"/>
      <c r="H21" s="45"/>
      <c r="I21" s="45"/>
      <c r="J21" s="45"/>
      <c r="K21" s="45"/>
      <c r="L21" s="45"/>
      <c r="M21" s="45"/>
      <c r="N21" s="45"/>
      <c r="O21" s="45"/>
      <c r="P21" s="26"/>
    </row>
    <row r="22" spans="1:16" x14ac:dyDescent="0.2">
      <c r="A22" s="35" t="s">
        <v>54</v>
      </c>
      <c r="B22" s="47"/>
      <c r="C22" s="47">
        <f ca="1">KIE!C29</f>
        <v>1.0002563818377397</v>
      </c>
      <c r="D22" s="47">
        <f ca="1">KIE!D29</f>
        <v>0.99826080064609202</v>
      </c>
      <c r="E22" s="47">
        <f ca="1">KIE!E29</f>
        <v>0.99497717018406973</v>
      </c>
      <c r="F22" s="47">
        <f ca="1">KIE!F29</f>
        <v>1.0358170638691526</v>
      </c>
      <c r="G22" s="47"/>
      <c r="H22" s="47">
        <f ca="1">KIE!H29</f>
        <v>0.99167639002740038</v>
      </c>
      <c r="I22" s="47"/>
      <c r="J22" s="47">
        <f ca="1">KIE!J29</f>
        <v>1.0006757210505322</v>
      </c>
      <c r="K22" s="47">
        <f ca="1">KIE!K29</f>
        <v>0.99541031409825387</v>
      </c>
      <c r="L22" s="47">
        <f ca="1">KIE!L29</f>
        <v>1.0019950950245509</v>
      </c>
      <c r="M22" s="47">
        <f ca="1">KIE!M29</f>
        <v>0.99726199718305275</v>
      </c>
      <c r="N22" s="47">
        <f ca="1">KIE!N29</f>
        <v>0.99827836925517577</v>
      </c>
      <c r="O22" s="47">
        <f ca="1">KIE!O29</f>
        <v>0.99809463601941628</v>
      </c>
      <c r="P22" s="27">
        <f ca="1">KIE!P29</f>
        <v>1.0087248100770994</v>
      </c>
    </row>
    <row r="23" spans="1:16" x14ac:dyDescent="0.2">
      <c r="A23" s="36" t="s">
        <v>53</v>
      </c>
      <c r="B23" s="25"/>
      <c r="C23" s="25">
        <f ca="1">KIE!C30</f>
        <v>1.0059423972263766</v>
      </c>
      <c r="D23" s="25">
        <f ca="1">KIE!D30</f>
        <v>1.0033323567989407</v>
      </c>
      <c r="E23" s="25">
        <f ca="1">KIE!E30</f>
        <v>0.99843761676844933</v>
      </c>
      <c r="F23" s="25">
        <f ca="1">KIE!F30</f>
        <v>1.0442294146368527</v>
      </c>
      <c r="G23" s="25"/>
      <c r="H23" s="25">
        <f ca="1">KIE!H30</f>
        <v>0.99361574524224661</v>
      </c>
      <c r="I23" s="25"/>
      <c r="J23" s="25">
        <f ca="1">KIE!J30</f>
        <v>0.99890362500926233</v>
      </c>
      <c r="K23" s="25">
        <f ca="1">KIE!K30</f>
        <v>0.99253633517498152</v>
      </c>
      <c r="L23" s="25">
        <f ca="1">KIE!L30</f>
        <v>1.0034727176147387</v>
      </c>
      <c r="M23" s="25">
        <f ca="1">KIE!M30</f>
        <v>0.99551178588448774</v>
      </c>
      <c r="N23" s="25">
        <f ca="1">KIE!N30</f>
        <v>0.99372445426488443</v>
      </c>
      <c r="O23" s="25">
        <f ca="1">KIE!O30</f>
        <v>0.99529809307182415</v>
      </c>
      <c r="P23" s="44">
        <f ca="1">KIE!P30</f>
        <v>1.0051347056092772</v>
      </c>
    </row>
    <row r="25" spans="1:16" x14ac:dyDescent="0.2">
      <c r="A25" s="43" t="s">
        <v>69</v>
      </c>
      <c r="B25" s="45"/>
      <c r="C25" s="45"/>
      <c r="D25" s="45"/>
      <c r="E25" s="45"/>
      <c r="F25" s="45"/>
      <c r="G25" s="45"/>
      <c r="H25" s="45"/>
      <c r="I25" s="45"/>
      <c r="J25" s="45"/>
      <c r="K25" s="45"/>
      <c r="L25" s="45"/>
      <c r="M25" s="45"/>
      <c r="N25" s="45"/>
      <c r="O25" s="45"/>
      <c r="P25" s="26"/>
    </row>
    <row r="26" spans="1:16" x14ac:dyDescent="0.2">
      <c r="A26" s="35" t="s">
        <v>54</v>
      </c>
      <c r="B26" s="47"/>
      <c r="C26" s="47">
        <f ca="1">(C18/KIE!C23)^2+($B$18/KIE!$Q23)^2</f>
        <v>3.3937799057634069E-6</v>
      </c>
      <c r="D26" s="47">
        <f ca="1">(D18/KIE!D23)^2+($B$18/KIE!$Q23)^2</f>
        <v>3.5609350850085891E-6</v>
      </c>
      <c r="E26" s="47">
        <f ca="1">(E18/KIE!E23)^2+($B$18/KIE!$Q23)^2</f>
        <v>3.0107997805482096E-6</v>
      </c>
      <c r="F26" s="47">
        <f ca="1">(F18/KIE!F23)^2+($B$18/KIE!$Q23)^2</f>
        <v>2.8530648955902719E-6</v>
      </c>
      <c r="G26" s="47"/>
      <c r="H26" s="47">
        <f ca="1">(H18/KIE!H23)^2+($B$18/KIE!$Q23)^2</f>
        <v>3.0757737907594932E-6</v>
      </c>
      <c r="I26" s="47"/>
      <c r="J26" s="47">
        <f ca="1">(J18/KIE!J23)^2+($B$18/KIE!$Q23)^2</f>
        <v>1.5371543875080462E-6</v>
      </c>
      <c r="K26" s="47">
        <f ca="1">(K18/KIE!K23)^2+($B$18/KIE!$Q23)^2</f>
        <v>1.4681559315059668E-6</v>
      </c>
      <c r="L26" s="47">
        <f ca="1">(L18/KIE!L23)^2+($B$18/KIE!$Q23)^2</f>
        <v>2.9206989360400513E-6</v>
      </c>
      <c r="M26" s="47">
        <f ca="1">(M18/KIE!M23)^2+($B$18/KIE!$Q23)^2</f>
        <v>1.6999783164554631E-6</v>
      </c>
      <c r="N26" s="47">
        <f ca="1">(N18/KIE!N23)^2+($B$18/KIE!$Q23)^2</f>
        <v>3.4494449181663082E-6</v>
      </c>
      <c r="O26" s="47">
        <f ca="1">(O18/KIE!O23)^2+($B$18/KIE!$Q23)^2</f>
        <v>3.2644707634192031E-6</v>
      </c>
      <c r="P26" s="27">
        <f ca="1">(P18/KIE!P23)^2+($B$18/KIE!$Q23)^2</f>
        <v>4.104672423718474E-6</v>
      </c>
    </row>
    <row r="27" spans="1:16" x14ac:dyDescent="0.2">
      <c r="A27" s="36" t="s">
        <v>53</v>
      </c>
      <c r="B27" s="25"/>
      <c r="C27" s="25">
        <f ca="1">(C19/KIE!C25)^2+($B$19/KIE!$Q25)^2</f>
        <v>3.7660126259382901E-6</v>
      </c>
      <c r="D27" s="25">
        <f ca="1">(D19/KIE!D25)^2+($B$19/KIE!$Q25)^2</f>
        <v>3.6425430024911768E-6</v>
      </c>
      <c r="E27" s="25">
        <f ca="1">(E19/KIE!E25)^2+($B$19/KIE!$Q25)^2</f>
        <v>3.1557323798814246E-6</v>
      </c>
      <c r="F27" s="25">
        <f ca="1">(F19/KIE!F25)^2+($B$19/KIE!$Q25)^2</f>
        <v>3.021424290389571E-6</v>
      </c>
      <c r="G27" s="25"/>
      <c r="H27" s="25">
        <f ca="1">(H19/KIE!H25)^2+($B$19/KIE!$Q25)^2</f>
        <v>3.0063971681605119E-6</v>
      </c>
      <c r="I27" s="25"/>
      <c r="J27" s="25">
        <f ca="1">(J19/KIE!J25)^2+($B$19/KIE!$Q25)^2</f>
        <v>1.6531831907521012E-6</v>
      </c>
      <c r="K27" s="25">
        <f ca="1">(K19/KIE!K25)^2+($B$19/KIE!$Q25)^2</f>
        <v>1.5957071098746014E-6</v>
      </c>
      <c r="L27" s="25">
        <f ca="1">(L19/KIE!L25)^2+($B$19/KIE!$Q25)^2</f>
        <v>3.2250798752640987E-6</v>
      </c>
      <c r="M27" s="25">
        <f ca="1">(M19/KIE!M25)^2+($B$19/KIE!$Q25)^2</f>
        <v>1.7859718143719565E-6</v>
      </c>
      <c r="N27" s="25">
        <f ca="1">(N19/KIE!N25)^2+($B$19/KIE!$Q25)^2</f>
        <v>3.6236197113471475E-6</v>
      </c>
      <c r="O27" s="25">
        <f ca="1">(O19/KIE!O25)^2+($B$19/KIE!$Q25)^2</f>
        <v>3.6234077327742076E-6</v>
      </c>
      <c r="P27" s="44">
        <f ca="1">(P19/KIE!P25)^2+($B$19/KIE!$Q25)^2</f>
        <v>4.5690419224727054E-6</v>
      </c>
    </row>
    <row r="29" spans="1:16" x14ac:dyDescent="0.2">
      <c r="A29" s="43" t="s">
        <v>72</v>
      </c>
      <c r="B29" s="45"/>
      <c r="C29" s="45"/>
      <c r="D29" s="45"/>
      <c r="E29" s="45"/>
      <c r="F29" s="45"/>
      <c r="G29" s="45"/>
      <c r="H29" s="45"/>
      <c r="I29" s="45"/>
      <c r="J29" s="45"/>
      <c r="K29" s="45"/>
      <c r="L29" s="45"/>
      <c r="M29" s="45"/>
      <c r="N29" s="45"/>
      <c r="O29" s="45"/>
      <c r="P29" s="26"/>
    </row>
    <row r="30" spans="1:16" x14ac:dyDescent="0.2">
      <c r="A30" s="46" t="s">
        <v>73</v>
      </c>
      <c r="B30" s="47">
        <f ca="1">AVERAGE(KIE!Q19,KIE!Q21)</f>
        <v>11.686450000000001</v>
      </c>
      <c r="C30" s="47">
        <f>AVERAGE(KIE!C19,KIE!C21)</f>
        <v>19.309750000000001</v>
      </c>
      <c r="D30" s="47">
        <f>AVERAGE(KIE!D19,KIE!D21)</f>
        <v>9.5431000000000008</v>
      </c>
      <c r="E30" s="47">
        <f>AVERAGE(KIE!E19,KIE!E21)</f>
        <v>19.953600000000002</v>
      </c>
      <c r="F30" s="47">
        <f>AVERAGE(KIE!F19,KIE!F21)</f>
        <v>11.023949999999999</v>
      </c>
      <c r="G30" s="47"/>
      <c r="H30" s="47">
        <f>AVERAGE(KIE!H19,KIE!H21)</f>
        <v>10.42005</v>
      </c>
      <c r="I30" s="47"/>
      <c r="J30" s="47">
        <f>AVERAGE(KIE!J19,KIE!J21)</f>
        <v>10.154399999999999</v>
      </c>
      <c r="K30" s="47">
        <f>AVERAGE(KIE!K19,KIE!K21)</f>
        <v>10.443300000000001</v>
      </c>
      <c r="L30" s="47">
        <f>AVERAGE(KIE!L19,KIE!L21)</f>
        <v>10.29965</v>
      </c>
      <c r="M30" s="47">
        <f>AVERAGE(KIE!M19,KIE!M21)</f>
        <v>10.1084</v>
      </c>
      <c r="N30" s="47">
        <f>AVERAGE(KIE!N19,KIE!N21)</f>
        <v>9.6717000000000013</v>
      </c>
      <c r="O30" s="47">
        <f>AVERAGE(KIE!O19,KIE!O21)</f>
        <v>9.6712000000000007</v>
      </c>
      <c r="P30" s="27">
        <f>AVERAGE(KIE!P19,KIE!P21)</f>
        <v>9.7685500000000012</v>
      </c>
    </row>
    <row r="31" spans="1:16" x14ac:dyDescent="0.2">
      <c r="A31" s="59" t="s">
        <v>74</v>
      </c>
      <c r="B31" s="25"/>
      <c r="C31" s="25">
        <f ca="1">((C17/C30)^2)+(($B$17/$B$30)^2)</f>
        <v>3.8089792459588085E-6</v>
      </c>
      <c r="D31" s="25">
        <f t="shared" ref="D31:J31" ca="1" si="5">((D17/D30)^2)+(($B$17/$B$30)^2)</f>
        <v>3.909373695118971E-6</v>
      </c>
      <c r="E31" s="25">
        <f t="shared" ca="1" si="5"/>
        <v>3.3675582751822443E-6</v>
      </c>
      <c r="F31" s="25">
        <f t="shared" ca="1" si="5"/>
        <v>3.2758273068343696E-6</v>
      </c>
      <c r="G31" s="25"/>
      <c r="H31" s="25">
        <f t="shared" ca="1" si="5"/>
        <v>3.3843532932902261E-6</v>
      </c>
      <c r="I31" s="25"/>
      <c r="J31" s="25">
        <f t="shared" ca="1" si="5"/>
        <v>2.199798229088575E-6</v>
      </c>
      <c r="K31" s="25">
        <f t="shared" ref="K31" ca="1" si="6">((K17/K30)^2)+(($B$17/$B$30)^2)</f>
        <v>2.1576757437920299E-6</v>
      </c>
      <c r="L31" s="25">
        <f t="shared" ref="L31" ca="1" si="7">((L17/L30)^2)+(($B$17/$B$30)^2)</f>
        <v>3.4153921594086218E-6</v>
      </c>
      <c r="M31" s="25">
        <f t="shared" ref="M31" ca="1" si="8">((M17/M30)^2)+(($B$17/$B$30)^2)</f>
        <v>2.3450551867627655E-6</v>
      </c>
      <c r="N31" s="25">
        <f ca="1">((N17/N30)^2)+(($B$17/$B$30)^2)</f>
        <v>3.3660768630422588E-6</v>
      </c>
      <c r="O31" s="25">
        <f ca="1">((O17/O30)^2)+(($B$17/$B$30)^2)</f>
        <v>3.2422534287165131E-6</v>
      </c>
      <c r="P31" s="44">
        <f ca="1">((P17/P30)^2)+(($B$17/$B$30)^2)</f>
        <v>4.139393333306664E-6</v>
      </c>
    </row>
    <row r="33" spans="1:16" x14ac:dyDescent="0.2">
      <c r="A33" s="43" t="s">
        <v>75</v>
      </c>
      <c r="B33" s="45"/>
      <c r="C33" s="45"/>
      <c r="D33" s="45"/>
      <c r="E33" s="45"/>
      <c r="F33" s="45"/>
      <c r="G33" s="45"/>
      <c r="H33" s="45"/>
      <c r="I33" s="45"/>
      <c r="J33" s="45"/>
      <c r="K33" s="45"/>
      <c r="L33" s="45"/>
      <c r="M33" s="45"/>
      <c r="N33" s="45"/>
      <c r="O33" s="45"/>
      <c r="P33" s="26"/>
    </row>
    <row r="34" spans="1:16" x14ac:dyDescent="0.2">
      <c r="A34" s="35" t="s">
        <v>54</v>
      </c>
      <c r="B34" s="47"/>
      <c r="C34" s="47">
        <f t="shared" ref="C34:N35" ca="1" si="9">C$31+C26</f>
        <v>7.2027591517222155E-6</v>
      </c>
      <c r="D34" s="47">
        <f t="shared" ca="1" si="9"/>
        <v>7.4703087801275601E-6</v>
      </c>
      <c r="E34" s="47">
        <f t="shared" ca="1" si="9"/>
        <v>6.3783580557304539E-6</v>
      </c>
      <c r="F34" s="47">
        <f t="shared" ca="1" si="9"/>
        <v>6.1288922024246415E-6</v>
      </c>
      <c r="G34" s="47"/>
      <c r="H34" s="47">
        <f t="shared" ca="1" si="9"/>
        <v>6.4601270840497189E-6</v>
      </c>
      <c r="I34" s="47"/>
      <c r="J34" s="47">
        <f t="shared" ca="1" si="9"/>
        <v>3.7369526165966212E-6</v>
      </c>
      <c r="K34" s="47">
        <f t="shared" ca="1" si="9"/>
        <v>3.6258316752979967E-6</v>
      </c>
      <c r="L34" s="47">
        <f t="shared" ca="1" si="9"/>
        <v>6.3360910954486731E-6</v>
      </c>
      <c r="M34" s="47">
        <f t="shared" ca="1" si="9"/>
        <v>4.0450335032182282E-6</v>
      </c>
      <c r="N34" s="47">
        <f t="shared" ref="N34:P35" ca="1" si="10">N$31+N26</f>
        <v>6.815521781208567E-6</v>
      </c>
      <c r="O34" s="47">
        <f t="shared" ca="1" si="10"/>
        <v>6.5067241921357163E-6</v>
      </c>
      <c r="P34" s="27">
        <f t="shared" ca="1" si="10"/>
        <v>8.244065757025138E-6</v>
      </c>
    </row>
    <row r="35" spans="1:16" x14ac:dyDescent="0.2">
      <c r="A35" s="36" t="s">
        <v>53</v>
      </c>
      <c r="B35" s="25"/>
      <c r="C35" s="25">
        <f t="shared" ca="1" si="9"/>
        <v>7.5749918718970987E-6</v>
      </c>
      <c r="D35" s="25">
        <f t="shared" ca="1" si="9"/>
        <v>7.5519166976101479E-6</v>
      </c>
      <c r="E35" s="25">
        <f t="shared" ca="1" si="9"/>
        <v>6.5232906550636685E-6</v>
      </c>
      <c r="F35" s="25">
        <f t="shared" ca="1" si="9"/>
        <v>6.2972515972239406E-6</v>
      </c>
      <c r="G35" s="25"/>
      <c r="H35" s="25">
        <f t="shared" ca="1" si="9"/>
        <v>6.390750461450738E-6</v>
      </c>
      <c r="I35" s="25"/>
      <c r="J35" s="25">
        <f t="shared" ca="1" si="9"/>
        <v>3.8529814198406758E-6</v>
      </c>
      <c r="K35" s="25">
        <f t="shared" ca="1" si="9"/>
        <v>3.7533828536666313E-6</v>
      </c>
      <c r="L35" s="25">
        <f t="shared" ca="1" si="9"/>
        <v>6.6404720346727205E-6</v>
      </c>
      <c r="M35" s="25">
        <f t="shared" ca="1" si="9"/>
        <v>4.1310270011347222E-6</v>
      </c>
      <c r="N35" s="25">
        <f t="shared" ca="1" si="9"/>
        <v>6.9896965743894063E-6</v>
      </c>
      <c r="O35" s="25">
        <f t="shared" ca="1" si="10"/>
        <v>6.8656611614907203E-6</v>
      </c>
      <c r="P35" s="44">
        <f t="shared" ca="1" si="10"/>
        <v>8.7084352557793694E-6</v>
      </c>
    </row>
    <row r="37" spans="1:16" x14ac:dyDescent="0.2">
      <c r="A37" s="43" t="s">
        <v>77</v>
      </c>
      <c r="B37" s="45" t="s">
        <v>107</v>
      </c>
      <c r="C37" s="45" t="s">
        <v>78</v>
      </c>
      <c r="D37" s="45"/>
      <c r="E37" s="45"/>
      <c r="F37" s="45"/>
      <c r="G37" s="45"/>
      <c r="H37" s="45"/>
      <c r="I37" s="45"/>
      <c r="J37" s="45"/>
      <c r="K37" s="45"/>
      <c r="L37" s="45"/>
      <c r="M37" s="45"/>
      <c r="N37" s="45"/>
      <c r="O37" s="45"/>
      <c r="P37" s="26"/>
    </row>
    <row r="38" spans="1:16" x14ac:dyDescent="0.2">
      <c r="A38" s="35" t="s">
        <v>54</v>
      </c>
      <c r="B38" s="47"/>
      <c r="C38" s="47">
        <f t="shared" ref="C38:N38" ca="1" si="11">LN(1-$B$2)*(C22)</f>
        <v>-1.7152380712642736</v>
      </c>
      <c r="D38" s="47">
        <f t="shared" ca="1" si="11"/>
        <v>-1.7118160517737064</v>
      </c>
      <c r="E38" s="47">
        <f t="shared" ca="1" si="11"/>
        <v>-1.706185287418996</v>
      </c>
      <c r="F38" s="47">
        <f t="shared" ca="1" si="11"/>
        <v>-1.7762174729136175</v>
      </c>
      <c r="G38" s="47"/>
      <c r="H38" s="47">
        <f t="shared" ca="1" si="11"/>
        <v>-1.7005251147948623</v>
      </c>
      <c r="I38" s="47"/>
      <c r="J38" s="47">
        <f t="shared" ca="1" si="11"/>
        <v>-1.7159571534872076</v>
      </c>
      <c r="K38" s="47">
        <f t="shared" ca="1" si="11"/>
        <v>-1.7069280419221764</v>
      </c>
      <c r="L38" s="47">
        <f t="shared" ca="1" si="11"/>
        <v>-1.7182196139039203</v>
      </c>
      <c r="M38" s="47">
        <f t="shared" ca="1" si="11"/>
        <v>-1.7101033051653141</v>
      </c>
      <c r="N38" s="47">
        <f t="shared" ca="1" si="11"/>
        <v>-1.711846178396947</v>
      </c>
      <c r="O38" s="47">
        <f ca="1">LN(1-$B$2)*(O22)</f>
        <v>-1.7115311129330784</v>
      </c>
      <c r="P38" s="27">
        <f ca="1">LN(1-$B$2)*(P22)</f>
        <v>-1.7297597186975369</v>
      </c>
    </row>
    <row r="39" spans="1:16" x14ac:dyDescent="0.2">
      <c r="A39" s="36" t="s">
        <v>53</v>
      </c>
      <c r="B39" s="25"/>
      <c r="C39" s="25">
        <f t="shared" ref="C39:N39" ca="1" si="12">LN(1-$C$2)*(C23)</f>
        <v>-1.5231252810685347</v>
      </c>
      <c r="D39" s="25">
        <f t="shared" ca="1" si="12"/>
        <v>-1.5191733464740693</v>
      </c>
      <c r="E39" s="25">
        <f t="shared" ca="1" si="12"/>
        <v>-1.5117620848498892</v>
      </c>
      <c r="F39" s="25">
        <f t="shared" ca="1" si="12"/>
        <v>-1.5810967159294158</v>
      </c>
      <c r="G39" s="25"/>
      <c r="H39" s="25">
        <f t="shared" ca="1" si="12"/>
        <v>-1.5044611554488878</v>
      </c>
      <c r="I39" s="25"/>
      <c r="J39" s="25">
        <f t="shared" ca="1" si="12"/>
        <v>-1.5124676808509381</v>
      </c>
      <c r="K39" s="25">
        <f t="shared" ca="1" si="12"/>
        <v>-1.5028267907311619</v>
      </c>
      <c r="L39" s="25">
        <f t="shared" ca="1" si="12"/>
        <v>-1.5193858706778434</v>
      </c>
      <c r="M39" s="25">
        <f t="shared" ca="1" si="12"/>
        <v>-1.5073320031674982</v>
      </c>
      <c r="N39" s="25">
        <f t="shared" ca="1" si="12"/>
        <v>-1.5046257547948507</v>
      </c>
      <c r="O39" s="25">
        <f ca="1">LN(1-$C$2)*(O23)</f>
        <v>-1.5070084449535806</v>
      </c>
      <c r="P39" s="44">
        <f ca="1">LN(1-$C$2)*(P23)</f>
        <v>-1.5219023327916721</v>
      </c>
    </row>
    <row r="41" spans="1:16" x14ac:dyDescent="0.2">
      <c r="A41" s="43" t="s">
        <v>52</v>
      </c>
      <c r="B41" s="45" t="s">
        <v>107</v>
      </c>
      <c r="C41" s="45" t="s">
        <v>79</v>
      </c>
      <c r="D41" s="45"/>
      <c r="E41" s="45"/>
      <c r="F41" s="45"/>
      <c r="G41" s="45"/>
      <c r="H41" s="45"/>
      <c r="I41" s="45"/>
      <c r="J41" s="45"/>
      <c r="K41" s="45"/>
      <c r="L41" s="45"/>
      <c r="M41" s="45"/>
      <c r="N41" s="45"/>
      <c r="O41" s="45"/>
      <c r="P41" s="26"/>
    </row>
    <row r="42" spans="1:16" x14ac:dyDescent="0.2">
      <c r="A42" s="35" t="s">
        <v>54</v>
      </c>
      <c r="B42" s="47"/>
      <c r="C42" s="47">
        <f ca="1">(1-$B$2)*(C38^2)</f>
        <v>0.52956749540058945</v>
      </c>
      <c r="D42" s="47">
        <f t="shared" ref="D42:P42" ca="1" si="13">(1-$B$2)*(D38^2)</f>
        <v>0.52745655511982181</v>
      </c>
      <c r="E42" s="47">
        <f t="shared" ca="1" si="13"/>
        <v>0.52399228230090766</v>
      </c>
      <c r="F42" s="47">
        <f t="shared" ca="1" si="13"/>
        <v>0.56789073199505491</v>
      </c>
      <c r="G42" s="47"/>
      <c r="H42" s="47">
        <f t="shared" ca="1" si="13"/>
        <v>0.52052141988865452</v>
      </c>
      <c r="I42" s="47"/>
      <c r="J42" s="47">
        <f t="shared" ca="1" si="13"/>
        <v>0.53001161146870579</v>
      </c>
      <c r="K42" s="47">
        <f t="shared" ca="1" si="13"/>
        <v>0.52444860125404968</v>
      </c>
      <c r="L42" s="47">
        <f t="shared" ca="1" si="13"/>
        <v>0.53141015548874482</v>
      </c>
      <c r="M42" s="47">
        <f t="shared" ca="1" si="13"/>
        <v>0.52640159658071983</v>
      </c>
      <c r="N42" s="47">
        <f t="shared" ca="1" si="13"/>
        <v>0.52747512092860183</v>
      </c>
      <c r="O42" s="47">
        <f t="shared" ca="1" si="13"/>
        <v>0.5272809750968297</v>
      </c>
      <c r="P42" s="27">
        <f t="shared" ca="1" si="13"/>
        <v>0.53857236319714485</v>
      </c>
    </row>
    <row r="43" spans="1:16" x14ac:dyDescent="0.2">
      <c r="A43" s="36" t="s">
        <v>53</v>
      </c>
      <c r="B43" s="25"/>
      <c r="C43" s="25">
        <f ca="1">(1-$C$2)*(C39^2)</f>
        <v>0.51038033680262263</v>
      </c>
      <c r="D43" s="25">
        <f t="shared" ref="D43:P43" ca="1" si="14">(1-$C$2)*(D39^2)</f>
        <v>0.50773528446018901</v>
      </c>
      <c r="E43" s="25">
        <f t="shared" ca="1" si="14"/>
        <v>0.50279341226173024</v>
      </c>
      <c r="F43" s="25">
        <f t="shared" ca="1" si="14"/>
        <v>0.54997070152701233</v>
      </c>
      <c r="G43" s="25"/>
      <c r="H43" s="25">
        <f t="shared" ca="1" si="14"/>
        <v>0.4979487410160125</v>
      </c>
      <c r="I43" s="25"/>
      <c r="J43" s="25">
        <f t="shared" ca="1" si="14"/>
        <v>0.50326286683609534</v>
      </c>
      <c r="K43" s="25">
        <f t="shared" ca="1" si="14"/>
        <v>0.49686743984665105</v>
      </c>
      <c r="L43" s="25">
        <f t="shared" ca="1" si="14"/>
        <v>0.507877353283403</v>
      </c>
      <c r="M43" s="25">
        <f t="shared" ca="1" si="14"/>
        <v>0.49985094891004728</v>
      </c>
      <c r="N43" s="25">
        <f t="shared" ca="1" si="14"/>
        <v>0.49805770563823432</v>
      </c>
      <c r="O43" s="25">
        <f t="shared" ca="1" si="14"/>
        <v>0.49963637969550989</v>
      </c>
      <c r="P43" s="44">
        <f t="shared" ca="1" si="14"/>
        <v>0.50956107632248127</v>
      </c>
    </row>
    <row r="45" spans="1:16" x14ac:dyDescent="0.2">
      <c r="A45" s="43" t="s">
        <v>80</v>
      </c>
      <c r="B45" s="45" t="s">
        <v>107</v>
      </c>
      <c r="C45" s="45" t="s">
        <v>81</v>
      </c>
      <c r="D45" s="45"/>
      <c r="E45" s="45"/>
      <c r="F45" s="45"/>
      <c r="G45" s="45"/>
      <c r="H45" s="45"/>
      <c r="I45" s="45"/>
      <c r="J45" s="45"/>
      <c r="K45" s="45"/>
      <c r="L45" s="45"/>
      <c r="M45" s="45"/>
      <c r="N45" s="45"/>
      <c r="O45" s="45"/>
      <c r="P45" s="26"/>
    </row>
    <row r="46" spans="1:16" x14ac:dyDescent="0.2">
      <c r="A46" s="35" t="s">
        <v>54</v>
      </c>
      <c r="B46" s="47"/>
      <c r="C46" s="47">
        <f ca="1">(1-$B$2)*(C38)</f>
        <v>-0.30874285282756936</v>
      </c>
      <c r="D46" s="47">
        <f t="shared" ref="D46:P46" ca="1" si="15">(1-$B$2)*(D38)</f>
        <v>-0.30812688931926724</v>
      </c>
      <c r="E46" s="47">
        <f t="shared" ca="1" si="15"/>
        <v>-0.30711335173541937</v>
      </c>
      <c r="F46" s="47">
        <f t="shared" ca="1" si="15"/>
        <v>-0.31971914512445126</v>
      </c>
      <c r="G46" s="47"/>
      <c r="H46" s="47">
        <f t="shared" ca="1" si="15"/>
        <v>-0.3060945206630753</v>
      </c>
      <c r="I46" s="47"/>
      <c r="J46" s="47">
        <f t="shared" ca="1" si="15"/>
        <v>-0.30887228762769747</v>
      </c>
      <c r="K46" s="47">
        <f t="shared" ca="1" si="15"/>
        <v>-0.30724704754599186</v>
      </c>
      <c r="L46" s="47">
        <f t="shared" ca="1" si="15"/>
        <v>-0.30927953050270574</v>
      </c>
      <c r="M46" s="47">
        <f t="shared" ca="1" si="15"/>
        <v>-0.30781859492975661</v>
      </c>
      <c r="N46" s="47">
        <f t="shared" ca="1" si="15"/>
        <v>-0.30813231211145053</v>
      </c>
      <c r="O46" s="47">
        <f t="shared" ca="1" si="15"/>
        <v>-0.30807560032795417</v>
      </c>
      <c r="P46" s="27">
        <f t="shared" ca="1" si="15"/>
        <v>-0.31135674936555674</v>
      </c>
    </row>
    <row r="47" spans="1:16" x14ac:dyDescent="0.2">
      <c r="A47" s="36" t="s">
        <v>53</v>
      </c>
      <c r="B47" s="25"/>
      <c r="C47" s="25">
        <f ca="1">(1-$C$2)*(C39)</f>
        <v>-0.3350875618350776</v>
      </c>
      <c r="D47" s="25">
        <f t="shared" ref="D47:P47" ca="1" si="16">(1-$C$2)*(D39)</f>
        <v>-0.33421813622429519</v>
      </c>
      <c r="E47" s="25">
        <f t="shared" ca="1" si="16"/>
        <v>-0.33258765866697559</v>
      </c>
      <c r="F47" s="25">
        <f t="shared" ca="1" si="16"/>
        <v>-0.34784127750447141</v>
      </c>
      <c r="G47" s="25"/>
      <c r="H47" s="25">
        <f t="shared" ca="1" si="16"/>
        <v>-0.3309814541987553</v>
      </c>
      <c r="I47" s="25"/>
      <c r="J47" s="25">
        <f t="shared" ca="1" si="16"/>
        <v>-0.33274288978720634</v>
      </c>
      <c r="K47" s="25">
        <f t="shared" ca="1" si="16"/>
        <v>-0.33062189396085556</v>
      </c>
      <c r="L47" s="25">
        <f t="shared" ca="1" si="16"/>
        <v>-0.33426489154912548</v>
      </c>
      <c r="M47" s="25">
        <f t="shared" ca="1" si="16"/>
        <v>-0.33161304069684955</v>
      </c>
      <c r="N47" s="25">
        <f t="shared" ca="1" si="16"/>
        <v>-0.3310176660548671</v>
      </c>
      <c r="O47" s="25">
        <f t="shared" ca="1" si="16"/>
        <v>-0.33154185788978768</v>
      </c>
      <c r="P47" s="44">
        <f t="shared" ca="1" si="16"/>
        <v>-0.33481851321416783</v>
      </c>
    </row>
    <row r="49" spans="1:16" x14ac:dyDescent="0.2">
      <c r="A49" s="43" t="s">
        <v>82</v>
      </c>
      <c r="B49" s="45" t="s">
        <v>107</v>
      </c>
      <c r="C49" s="45" t="s">
        <v>83</v>
      </c>
      <c r="D49" s="45"/>
      <c r="E49" s="45"/>
      <c r="F49" s="45"/>
      <c r="G49" s="45"/>
      <c r="H49" s="45"/>
      <c r="I49" s="45"/>
      <c r="J49" s="45"/>
      <c r="K49" s="45"/>
      <c r="L49" s="45"/>
      <c r="M49" s="45"/>
      <c r="N49" s="45"/>
      <c r="O49" s="45"/>
      <c r="P49" s="26"/>
    </row>
    <row r="50" spans="1:16" x14ac:dyDescent="0.2">
      <c r="A50" s="35" t="s">
        <v>54</v>
      </c>
      <c r="B50" s="47"/>
      <c r="C50" s="47">
        <f t="shared" ref="C50:N51" ca="1" si="17">$M3^2*C34</f>
        <v>2.1179955651184934E-5</v>
      </c>
      <c r="D50" s="47">
        <f t="shared" ca="1" si="17"/>
        <v>2.1966694336284695E-5</v>
      </c>
      <c r="E50" s="47">
        <f t="shared" ca="1" si="17"/>
        <v>1.8755776488159774E-5</v>
      </c>
      <c r="F50" s="47">
        <f t="shared" ca="1" si="17"/>
        <v>1.8022213752240894E-5</v>
      </c>
      <c r="G50" s="47"/>
      <c r="H50" s="47">
        <f t="shared" ca="1" si="17"/>
        <v>1.8996221067377507E-5</v>
      </c>
      <c r="I50" s="47"/>
      <c r="J50" s="47">
        <f t="shared" ca="1" si="17"/>
        <v>1.0988634913770668E-5</v>
      </c>
      <c r="K50" s="47">
        <f t="shared" ca="1" si="17"/>
        <v>1.0661880046775003E-5</v>
      </c>
      <c r="L50" s="47">
        <f t="shared" ca="1" si="17"/>
        <v>1.8631489069210821E-5</v>
      </c>
      <c r="M50" s="47">
        <f t="shared" ca="1" si="17"/>
        <v>1.189455712749111E-5</v>
      </c>
      <c r="N50" s="47">
        <f t="shared" ca="1" si="17"/>
        <v>2.0041271133044483E-5</v>
      </c>
      <c r="O50" s="47">
        <f t="shared" ref="O50:P51" ca="1" si="18">$M3^2*O34</f>
        <v>1.9133241431649844E-5</v>
      </c>
      <c r="P50" s="27">
        <f t="shared" ca="1" si="18"/>
        <v>2.4241952762990126E-5</v>
      </c>
    </row>
    <row r="51" spans="1:16" x14ac:dyDescent="0.2">
      <c r="A51" s="36" t="s">
        <v>53</v>
      </c>
      <c r="B51" s="25"/>
      <c r="C51" s="25">
        <f t="shared" ca="1" si="17"/>
        <v>1.7366296005344452E-5</v>
      </c>
      <c r="D51" s="25">
        <f t="shared" ca="1" si="17"/>
        <v>1.7313394257881359E-5</v>
      </c>
      <c r="E51" s="25">
        <f t="shared" ca="1" si="17"/>
        <v>1.4955183894654336E-5</v>
      </c>
      <c r="F51" s="25">
        <f t="shared" ca="1" si="17"/>
        <v>1.4436970640620732E-5</v>
      </c>
      <c r="G51" s="25"/>
      <c r="H51" s="25">
        <f t="shared" ca="1" si="17"/>
        <v>1.4651324527698821E-5</v>
      </c>
      <c r="I51" s="25"/>
      <c r="J51" s="25">
        <f t="shared" ca="1" si="17"/>
        <v>8.8332788960851949E-6</v>
      </c>
      <c r="K51" s="25">
        <f t="shared" ca="1" si="17"/>
        <v>8.6049409372943339E-6</v>
      </c>
      <c r="L51" s="25">
        <f t="shared" ca="1" si="17"/>
        <v>1.5223831908938711E-5</v>
      </c>
      <c r="M51" s="25">
        <f t="shared" ca="1" si="17"/>
        <v>9.4707214107952718E-6</v>
      </c>
      <c r="N51" s="25">
        <f t="shared" ca="1" si="17"/>
        <v>1.6024458078789803E-5</v>
      </c>
      <c r="O51" s="25">
        <f t="shared" ca="1" si="18"/>
        <v>1.5740096625738601E-5</v>
      </c>
      <c r="P51" s="44">
        <f t="shared" ca="1" si="18"/>
        <v>1.9964808801486787E-5</v>
      </c>
    </row>
    <row r="53" spans="1:16" x14ac:dyDescent="0.2">
      <c r="A53" s="43" t="s">
        <v>84</v>
      </c>
      <c r="B53" s="45" t="s">
        <v>107</v>
      </c>
      <c r="C53" s="45" t="s">
        <v>85</v>
      </c>
      <c r="D53" s="45"/>
      <c r="E53" s="45"/>
      <c r="F53" s="45"/>
      <c r="G53" s="45"/>
      <c r="H53" s="45"/>
      <c r="I53" s="45"/>
      <c r="J53" s="45"/>
      <c r="K53" s="45"/>
      <c r="L53" s="45"/>
      <c r="M53" s="45"/>
      <c r="N53" s="45"/>
      <c r="O53" s="45"/>
      <c r="P53" s="26"/>
    </row>
    <row r="54" spans="1:16" x14ac:dyDescent="0.2">
      <c r="A54" s="35" t="s">
        <v>54</v>
      </c>
      <c r="B54" s="47"/>
      <c r="C54" s="47">
        <f t="shared" ref="C54:N55" ca="1" si="19">(C22^2)*(C38^4)</f>
        <v>8.6600478688920681</v>
      </c>
      <c r="D54" s="47">
        <f t="shared" ca="1" si="19"/>
        <v>8.5568991455826087</v>
      </c>
      <c r="E54" s="47">
        <f t="shared" ca="1" si="19"/>
        <v>8.3894019489591951</v>
      </c>
      <c r="F54" s="47">
        <f t="shared" ca="1" si="19"/>
        <v>10.679493956831182</v>
      </c>
      <c r="G54" s="47"/>
      <c r="H54" s="47">
        <f t="shared" ca="1" si="19"/>
        <v>8.2237925906472125</v>
      </c>
      <c r="I54" s="47"/>
      <c r="J54" s="47">
        <f t="shared" ca="1" si="19"/>
        <v>8.6818541134582823</v>
      </c>
      <c r="K54" s="47">
        <f t="shared" ca="1" si="19"/>
        <v>8.4113387868069935</v>
      </c>
      <c r="L54" s="47">
        <f t="shared" ca="1" si="19"/>
        <v>8.7507621643495312</v>
      </c>
      <c r="M54" s="47">
        <f t="shared" ca="1" si="19"/>
        <v>8.5056581629089631</v>
      </c>
      <c r="N54" s="47">
        <f t="shared" ca="1" si="19"/>
        <v>8.5578027537206758</v>
      </c>
      <c r="O54" s="47">
        <f t="shared" ref="O54:P55" ca="1" si="20">(O22^2)*(O38^4)</f>
        <v>8.5483567141932859</v>
      </c>
      <c r="P54" s="27">
        <f t="shared" ca="1" si="20"/>
        <v>9.1093737838294899</v>
      </c>
    </row>
    <row r="55" spans="1:16" x14ac:dyDescent="0.2">
      <c r="A55" s="36" t="s">
        <v>53</v>
      </c>
      <c r="B55" s="25"/>
      <c r="C55" s="25">
        <f t="shared" ca="1" si="19"/>
        <v>5.4461391313595575</v>
      </c>
      <c r="D55" s="25">
        <f t="shared" ca="1" si="19"/>
        <v>5.3619031494557987</v>
      </c>
      <c r="E55" s="25">
        <f t="shared" ca="1" si="19"/>
        <v>5.2068571849640763</v>
      </c>
      <c r="F55" s="25">
        <f t="shared" ca="1" si="19"/>
        <v>6.8143681298286882</v>
      </c>
      <c r="G55" s="25"/>
      <c r="H55" s="25">
        <f t="shared" ca="1" si="19"/>
        <v>5.0577906061333673</v>
      </c>
      <c r="I55" s="25"/>
      <c r="J55" s="25">
        <f t="shared" ca="1" si="19"/>
        <v>5.2214556216790449</v>
      </c>
      <c r="K55" s="25">
        <f t="shared" ca="1" si="19"/>
        <v>5.0249129599361781</v>
      </c>
      <c r="L55" s="25">
        <f t="shared" ca="1" si="19"/>
        <v>5.3664053327439012</v>
      </c>
      <c r="M55" s="25">
        <f t="shared" ca="1" si="19"/>
        <v>5.115975926238578</v>
      </c>
      <c r="N55" s="25">
        <f t="shared" ca="1" si="19"/>
        <v>5.0611116759908468</v>
      </c>
      <c r="O55" s="25">
        <f t="shared" ca="1" si="20"/>
        <v>5.1093904043730909</v>
      </c>
      <c r="P55" s="44">
        <f t="shared" ca="1" si="20"/>
        <v>5.4199548448781911</v>
      </c>
    </row>
    <row r="57" spans="1:16" x14ac:dyDescent="0.2">
      <c r="A57" s="43" t="s">
        <v>86</v>
      </c>
      <c r="B57" s="45" t="s">
        <v>107</v>
      </c>
      <c r="C57" s="45" t="s">
        <v>87</v>
      </c>
      <c r="D57" s="45"/>
      <c r="E57" s="45"/>
      <c r="F57" s="45"/>
      <c r="G57" s="45"/>
      <c r="H57" s="45"/>
      <c r="I57" s="45"/>
      <c r="J57" s="45"/>
      <c r="K57" s="45"/>
      <c r="L57" s="45"/>
      <c r="M57" s="45"/>
      <c r="N57" s="45"/>
      <c r="O57" s="45"/>
      <c r="P57" s="26"/>
    </row>
    <row r="58" spans="1:16" x14ac:dyDescent="0.2">
      <c r="A58" s="35" t="s">
        <v>54</v>
      </c>
      <c r="B58" s="47"/>
      <c r="C58" s="47">
        <f t="shared" ref="C58:N59" ca="1" si="21">(($M3/C42)-(1/C46))^2*($B$3)^2</f>
        <v>6.8922024366809648E-11</v>
      </c>
      <c r="D58" s="47">
        <f t="shared" ca="1" si="21"/>
        <v>3.197065222130681E-9</v>
      </c>
      <c r="E58" s="47">
        <f t="shared" ca="1" si="21"/>
        <v>2.7019250623780092E-8</v>
      </c>
      <c r="F58" s="47">
        <f t="shared" ca="1" si="21"/>
        <v>1.1697055595910235E-6</v>
      </c>
      <c r="G58" s="47"/>
      <c r="H58" s="47">
        <f t="shared" ca="1" si="21"/>
        <v>7.5192129680896468E-8</v>
      </c>
      <c r="I58" s="47"/>
      <c r="J58" s="47">
        <f t="shared" ca="1" si="21"/>
        <v>4.7795860204000362E-10</v>
      </c>
      <c r="K58" s="47">
        <f t="shared" ca="1" si="21"/>
        <v>2.252092483999808E-8</v>
      </c>
      <c r="L58" s="47">
        <f t="shared" ca="1" si="21"/>
        <v>4.1447050014096278E-9</v>
      </c>
      <c r="M58" s="47">
        <f t="shared" ca="1" si="21"/>
        <v>7.9553545357612376E-9</v>
      </c>
      <c r="N58" s="47">
        <f t="shared" ca="1" si="21"/>
        <v>3.1325802973464398E-9</v>
      </c>
      <c r="O58" s="47">
        <f t="shared" ref="O58:P59" ca="1" si="22">(($M3/O42)-(1/O46))^2*($B$3)^2</f>
        <v>3.8397049339673234E-9</v>
      </c>
      <c r="P58" s="27">
        <f t="shared" ca="1" si="22"/>
        <v>7.7170264653356852E-8</v>
      </c>
    </row>
    <row r="59" spans="1:16" x14ac:dyDescent="0.2">
      <c r="A59" s="36" t="s">
        <v>53</v>
      </c>
      <c r="B59" s="25"/>
      <c r="C59" s="25">
        <f t="shared" ca="1" si="21"/>
        <v>3.1078533559388681E-8</v>
      </c>
      <c r="D59" s="25">
        <f t="shared" ca="1" si="21"/>
        <v>9.8753689193201987E-9</v>
      </c>
      <c r="E59" s="25">
        <f t="shared" ca="1" si="21"/>
        <v>2.213711436997379E-9</v>
      </c>
      <c r="F59" s="25">
        <f t="shared" ca="1" si="21"/>
        <v>1.4827512652186314E-6</v>
      </c>
      <c r="G59" s="25"/>
      <c r="H59" s="25">
        <f t="shared" ca="1" si="21"/>
        <v>3.7685663708267357E-8</v>
      </c>
      <c r="I59" s="25"/>
      <c r="J59" s="25">
        <f t="shared" ca="1" si="21"/>
        <v>1.0880616272498919E-9</v>
      </c>
      <c r="K59" s="25">
        <f t="shared" ca="1" si="21"/>
        <v>5.1730682498227049E-8</v>
      </c>
      <c r="L59" s="25">
        <f t="shared" ca="1" si="21"/>
        <v>1.0718802591520781E-8</v>
      </c>
      <c r="M59" s="25">
        <f t="shared" ca="1" si="21"/>
        <v>1.8483794045822073E-8</v>
      </c>
      <c r="N59" s="25">
        <f t="shared" ca="1" si="21"/>
        <v>3.6397260651005537E-8</v>
      </c>
      <c r="O59" s="25">
        <f t="shared" ca="1" si="22"/>
        <v>2.0303222724741683E-8</v>
      </c>
      <c r="P59" s="44">
        <f t="shared" ca="1" si="22"/>
        <v>2.3278963186635528E-8</v>
      </c>
    </row>
    <row r="61" spans="1:16" x14ac:dyDescent="0.2">
      <c r="A61" s="43" t="s">
        <v>88</v>
      </c>
      <c r="B61" s="45" t="s">
        <v>107</v>
      </c>
      <c r="C61" s="45" t="s">
        <v>89</v>
      </c>
      <c r="D61" s="45"/>
      <c r="E61" s="45"/>
      <c r="F61" s="45"/>
      <c r="G61" s="45"/>
      <c r="H61" s="45"/>
      <c r="I61" s="45"/>
      <c r="J61" s="45"/>
      <c r="K61" s="45"/>
      <c r="L61" s="45"/>
      <c r="M61" s="45"/>
      <c r="N61" s="45"/>
      <c r="O61" s="45"/>
      <c r="P61" s="26"/>
    </row>
    <row r="62" spans="1:16" x14ac:dyDescent="0.2">
      <c r="A62" s="35" t="s">
        <v>54</v>
      </c>
      <c r="B62" s="47"/>
      <c r="C62" s="47">
        <f t="shared" ref="C62:N63" ca="1" si="23">C50/C54</f>
        <v>2.4457088427035005E-6</v>
      </c>
      <c r="D62" s="47">
        <f t="shared" ca="1" si="23"/>
        <v>2.5671325514716067E-6</v>
      </c>
      <c r="E62" s="47">
        <f t="shared" ca="1" si="23"/>
        <v>2.2356511944795602E-6</v>
      </c>
      <c r="F62" s="47">
        <f t="shared" ca="1" si="23"/>
        <v>1.6875531579577242E-6</v>
      </c>
      <c r="G62" s="47"/>
      <c r="H62" s="47">
        <f t="shared" ca="1" si="23"/>
        <v>2.3099100394362578E-6</v>
      </c>
      <c r="I62" s="47"/>
      <c r="J62" s="47">
        <f t="shared" ca="1" si="23"/>
        <v>1.2657014008950578E-6</v>
      </c>
      <c r="K62" s="47">
        <f t="shared" ca="1" si="23"/>
        <v>1.2675604106563793E-6</v>
      </c>
      <c r="L62" s="47">
        <f t="shared" ca="1" si="23"/>
        <v>2.1291275798941511E-6</v>
      </c>
      <c r="M62" s="47">
        <f t="shared" ca="1" si="23"/>
        <v>1.3984287752546045E-6</v>
      </c>
      <c r="N62" s="47">
        <f t="shared" ca="1" si="23"/>
        <v>2.3418711215716135E-6</v>
      </c>
      <c r="O62" s="47">
        <f t="shared" ref="O62:P63" ca="1" si="24">O50/O54</f>
        <v>2.2382361980615431E-6</v>
      </c>
      <c r="P62" s="27">
        <f t="shared" ca="1" si="24"/>
        <v>2.6612095779869352E-6</v>
      </c>
    </row>
    <row r="63" spans="1:16" x14ac:dyDescent="0.2">
      <c r="A63" s="36" t="s">
        <v>53</v>
      </c>
      <c r="B63" s="25"/>
      <c r="C63" s="25">
        <f t="shared" ca="1" si="23"/>
        <v>3.1887352831930285E-6</v>
      </c>
      <c r="D63" s="25">
        <f t="shared" ca="1" si="23"/>
        <v>3.2289643761354709E-6</v>
      </c>
      <c r="E63" s="25">
        <f t="shared" ca="1" si="23"/>
        <v>2.872209350746292E-6</v>
      </c>
      <c r="F63" s="25">
        <f t="shared" ca="1" si="23"/>
        <v>2.1186073845094239E-6</v>
      </c>
      <c r="G63" s="25"/>
      <c r="H63" s="25">
        <f t="shared" ca="1" si="23"/>
        <v>2.8967835303287929E-6</v>
      </c>
      <c r="I63" s="25"/>
      <c r="J63" s="25">
        <f t="shared" ca="1" si="23"/>
        <v>1.6917272760894804E-6</v>
      </c>
      <c r="K63" s="25">
        <f t="shared" ca="1" si="23"/>
        <v>1.7124557193133204E-6</v>
      </c>
      <c r="L63" s="25">
        <f t="shared" ca="1" si="23"/>
        <v>2.8368770089073014E-6</v>
      </c>
      <c r="M63" s="25">
        <f t="shared" ca="1" si="23"/>
        <v>1.8512052338288535E-6</v>
      </c>
      <c r="N63" s="25">
        <f t="shared" ca="1" si="23"/>
        <v>3.1661933394608587E-6</v>
      </c>
      <c r="O63" s="25">
        <f t="shared" ca="1" si="24"/>
        <v>3.0806212444182706E-6</v>
      </c>
      <c r="P63" s="44">
        <f t="shared" ca="1" si="24"/>
        <v>3.6835747479249487E-6</v>
      </c>
    </row>
    <row r="65" spans="1:16" x14ac:dyDescent="0.2">
      <c r="A65" s="60" t="s">
        <v>93</v>
      </c>
      <c r="B65" s="61" t="s">
        <v>107</v>
      </c>
      <c r="C65" s="61" t="s">
        <v>90</v>
      </c>
      <c r="D65" s="61"/>
      <c r="E65" s="61"/>
      <c r="F65" s="61"/>
      <c r="G65" s="61"/>
      <c r="H65" s="61"/>
      <c r="I65" s="61"/>
      <c r="J65" s="61"/>
      <c r="K65" s="61"/>
      <c r="L65" s="61"/>
      <c r="M65" s="61"/>
      <c r="N65" s="61"/>
      <c r="O65" s="61"/>
      <c r="P65" s="62"/>
    </row>
    <row r="66" spans="1:16" x14ac:dyDescent="0.2">
      <c r="A66" s="41" t="s">
        <v>54</v>
      </c>
      <c r="B66" s="63"/>
      <c r="C66" s="64">
        <f t="shared" ref="C66:N67" ca="1" si="25">SQRT(C58+C62)</f>
        <v>1.5638982590718193E-3</v>
      </c>
      <c r="D66" s="64">
        <f t="shared" ca="1" si="25"/>
        <v>1.6032247555142533E-3</v>
      </c>
      <c r="E66" s="64">
        <f t="shared" ca="1" si="25"/>
        <v>1.504217552451553E-3</v>
      </c>
      <c r="F66" s="64">
        <f t="shared" ca="1" si="25"/>
        <v>1.6903427810798458E-3</v>
      </c>
      <c r="G66" s="63"/>
      <c r="H66" s="64">
        <f t="shared" ca="1" si="25"/>
        <v>1.5443775992668226E-3</v>
      </c>
      <c r="I66" s="63"/>
      <c r="J66" s="64">
        <f t="shared" ca="1" si="25"/>
        <v>1.1252463550250221E-3</v>
      </c>
      <c r="K66" s="64">
        <f t="shared" ca="1" si="25"/>
        <v>1.1358174745514252E-3</v>
      </c>
      <c r="L66" s="64">
        <f t="shared" ca="1" si="25"/>
        <v>1.4605725880268879E-3</v>
      </c>
      <c r="M66" s="64">
        <f t="shared" ca="1" si="25"/>
        <v>1.1859106752999426E-3</v>
      </c>
      <c r="N66" s="64">
        <f t="shared" ca="1" si="25"/>
        <v>1.53134049181394E-3</v>
      </c>
      <c r="O66" s="64">
        <f t="shared" ref="O66:P67" ca="1" si="26">SQRT(O58+O62)</f>
        <v>1.497356304623422E-3</v>
      </c>
      <c r="P66" s="65">
        <f t="shared" ca="1" si="26"/>
        <v>1.6548050769321116E-3</v>
      </c>
    </row>
    <row r="67" spans="1:16" x14ac:dyDescent="0.2">
      <c r="A67" s="42" t="s">
        <v>53</v>
      </c>
      <c r="B67" s="66"/>
      <c r="C67" s="67">
        <f t="shared" ca="1" si="25"/>
        <v>1.7943839658089952E-3</v>
      </c>
      <c r="D67" s="67">
        <f t="shared" ca="1" si="25"/>
        <v>1.7996776781009402E-3</v>
      </c>
      <c r="E67" s="67">
        <f t="shared" ca="1" si="25"/>
        <v>1.6954123575647576E-3</v>
      </c>
      <c r="F67" s="67">
        <f t="shared" ca="1" si="25"/>
        <v>1.8977245979667481E-3</v>
      </c>
      <c r="G67" s="66"/>
      <c r="H67" s="67">
        <f t="shared" ca="1" si="25"/>
        <v>1.7130292449450651E-3</v>
      </c>
      <c r="I67" s="66"/>
      <c r="J67" s="67">
        <f t="shared" ca="1" si="25"/>
        <v>1.3010823716109331E-3</v>
      </c>
      <c r="K67" s="67">
        <f t="shared" ca="1" si="25"/>
        <v>1.328226788546123E-3</v>
      </c>
      <c r="L67" s="67">
        <f t="shared" ca="1" si="25"/>
        <v>1.6874820922009282E-3</v>
      </c>
      <c r="M67" s="67">
        <f t="shared" ca="1" si="25"/>
        <v>1.3673657257203267E-3</v>
      </c>
      <c r="N67" s="67">
        <f t="shared" ca="1" si="25"/>
        <v>1.7895783302532091E-3</v>
      </c>
      <c r="O67" s="67">
        <f t="shared" ca="1" si="26"/>
        <v>1.7609441976232558E-3</v>
      </c>
      <c r="P67" s="68">
        <f t="shared" ca="1" si="26"/>
        <v>1.925319119292068E-3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KIE</vt:lpstr>
      <vt:lpstr>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2021-08-31T14:33:47Z</dcterms:created>
  <dcterms:modified xsi:type="dcterms:W3CDTF">2021-09-12T15:07:19Z</dcterms:modified>
</cp:coreProperties>
</file>