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shu\git\NMR\DEPT NMR Analysis\"/>
    </mc:Choice>
  </mc:AlternateContent>
  <xr:revisionPtr revIDLastSave="0" documentId="13_ncr:1_{6EDB713F-9498-4B59-95FA-A7842782CCB5}" xr6:coauthVersionLast="47" xr6:coauthVersionMax="47" xr10:uidLastSave="{00000000-0000-0000-0000-000000000000}"/>
  <bookViews>
    <workbookView xWindow="-120" yWindow="-120" windowWidth="20730" windowHeight="11280" xr2:uid="{025A037F-1096-4A8A-8175-C2EF34245F77}"/>
  </bookViews>
  <sheets>
    <sheet name="Raw Data" sheetId="1" r:id="rId1"/>
    <sheet name="KIE " sheetId="2" r:id="rId2"/>
    <sheet name="Error"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5" i="2" l="1"/>
  <c r="M23" i="2"/>
  <c r="M21" i="2"/>
  <c r="M19" i="2"/>
  <c r="W8" i="1" a="1"/>
  <c r="W7" i="1" a="1"/>
  <c r="V8" i="1" a="1"/>
  <c r="V9" i="1" a="1"/>
  <c r="V6" i="1" a="1"/>
  <c r="W6" i="1" a="1"/>
  <c r="W9" i="1" a="1"/>
  <c r="V7" i="1" a="1"/>
  <c r="V6" i="1" l="1"/>
  <c r="R19" i="2" s="1"/>
  <c r="V9" i="1"/>
  <c r="R25" i="2" s="1"/>
  <c r="J26" i="2" s="1"/>
  <c r="V8" i="1"/>
  <c r="R23" i="2" s="1"/>
  <c r="W8" i="1"/>
  <c r="B11" i="4" s="1"/>
  <c r="V7" i="1"/>
  <c r="R21" i="2" s="1"/>
  <c r="W9" i="1"/>
  <c r="B12" i="4" s="1"/>
  <c r="W6" i="1"/>
  <c r="B9" i="4" s="1"/>
  <c r="W7" i="1"/>
  <c r="B10" i="4" s="1"/>
  <c r="M4" i="4" l="1"/>
  <c r="M3" i="4"/>
  <c r="B19" i="4"/>
  <c r="B18" i="4"/>
  <c r="B16" i="4"/>
  <c r="B15" i="4"/>
  <c r="Q12" i="4"/>
  <c r="Q19" i="4" s="1"/>
  <c r="P12" i="4"/>
  <c r="P19" i="4" s="1"/>
  <c r="O12" i="4"/>
  <c r="O19" i="4" s="1"/>
  <c r="N12" i="4"/>
  <c r="N19" i="4" s="1"/>
  <c r="L12" i="4"/>
  <c r="L19" i="4" s="1"/>
  <c r="J12" i="4"/>
  <c r="J19" i="4" s="1"/>
  <c r="I12" i="4"/>
  <c r="I19" i="4" s="1"/>
  <c r="H12" i="4"/>
  <c r="H19" i="4" s="1"/>
  <c r="G12" i="4"/>
  <c r="G19" i="4" s="1"/>
  <c r="F12" i="4"/>
  <c r="F19" i="4" s="1"/>
  <c r="E12" i="4"/>
  <c r="E19" i="4" s="1"/>
  <c r="D12" i="4"/>
  <c r="D19" i="4" s="1"/>
  <c r="C12" i="4"/>
  <c r="C19" i="4" s="1"/>
  <c r="C11" i="4"/>
  <c r="C18" i="4" s="1"/>
  <c r="Q11" i="4"/>
  <c r="Q18" i="4" s="1"/>
  <c r="P11" i="4"/>
  <c r="P18" i="4" s="1"/>
  <c r="O11" i="4"/>
  <c r="O18" i="4" s="1"/>
  <c r="N11" i="4"/>
  <c r="N18" i="4" s="1"/>
  <c r="L11" i="4"/>
  <c r="L18" i="4" s="1"/>
  <c r="J11" i="4"/>
  <c r="J18" i="4" s="1"/>
  <c r="I11" i="4"/>
  <c r="I18" i="4" s="1"/>
  <c r="H11" i="4"/>
  <c r="H18" i="4" s="1"/>
  <c r="G11" i="4"/>
  <c r="G18" i="4" s="1"/>
  <c r="F11" i="4"/>
  <c r="F18" i="4" s="1"/>
  <c r="E11" i="4"/>
  <c r="E18" i="4" s="1"/>
  <c r="D11" i="4"/>
  <c r="D18" i="4" s="1"/>
  <c r="C10" i="4"/>
  <c r="C16" i="4" s="1"/>
  <c r="Q10" i="4"/>
  <c r="Q16" i="4" s="1"/>
  <c r="P10" i="4"/>
  <c r="P16" i="4" s="1"/>
  <c r="O10" i="4"/>
  <c r="O16" i="4" s="1"/>
  <c r="N10" i="4"/>
  <c r="N16" i="4" s="1"/>
  <c r="L10" i="4"/>
  <c r="L16" i="4" s="1"/>
  <c r="J10" i="4"/>
  <c r="J16" i="4" s="1"/>
  <c r="I10" i="4"/>
  <c r="I16" i="4" s="1"/>
  <c r="H10" i="4"/>
  <c r="H16" i="4" s="1"/>
  <c r="G10" i="4"/>
  <c r="G16" i="4" s="1"/>
  <c r="F10" i="4"/>
  <c r="F16" i="4" s="1"/>
  <c r="E10" i="4"/>
  <c r="E16" i="4" s="1"/>
  <c r="D10" i="4"/>
  <c r="D16" i="4" s="1"/>
  <c r="Q9" i="4"/>
  <c r="Q15" i="4" s="1"/>
  <c r="P9" i="4"/>
  <c r="P15" i="4" s="1"/>
  <c r="O9" i="4"/>
  <c r="O15" i="4" s="1"/>
  <c r="O17" i="4" s="1"/>
  <c r="N9" i="4"/>
  <c r="N15" i="4" s="1"/>
  <c r="L9" i="4"/>
  <c r="L15" i="4" s="1"/>
  <c r="J9" i="4"/>
  <c r="J15" i="4" s="1"/>
  <c r="I9" i="4"/>
  <c r="I15" i="4" s="1"/>
  <c r="H9" i="4"/>
  <c r="H15" i="4" s="1"/>
  <c r="G9" i="4"/>
  <c r="G15" i="4" s="1"/>
  <c r="F9" i="4"/>
  <c r="F15" i="4" s="1"/>
  <c r="E9" i="4"/>
  <c r="E15" i="4" s="1"/>
  <c r="D9" i="4"/>
  <c r="D15" i="4" s="1"/>
  <c r="C9" i="4"/>
  <c r="C15" i="4" s="1"/>
  <c r="C17" i="4" l="1"/>
  <c r="H17" i="4"/>
  <c r="P17" i="4"/>
  <c r="L17" i="4"/>
  <c r="J17" i="4"/>
  <c r="D17" i="4"/>
  <c r="I17" i="4"/>
  <c r="E17" i="4"/>
  <c r="B17" i="4"/>
  <c r="F17" i="4"/>
  <c r="N17" i="4"/>
  <c r="Q17" i="4"/>
  <c r="G17" i="4"/>
  <c r="C15" i="2"/>
  <c r="C14" i="2"/>
  <c r="Q25" i="2"/>
  <c r="P25" i="2"/>
  <c r="O25" i="2"/>
  <c r="N25" i="2"/>
  <c r="L25" i="2"/>
  <c r="J25" i="2"/>
  <c r="I25" i="2"/>
  <c r="H25" i="2"/>
  <c r="G25" i="2"/>
  <c r="F25" i="2"/>
  <c r="E25" i="2"/>
  <c r="D25" i="2"/>
  <c r="D27" i="4" s="1"/>
  <c r="C25" i="2"/>
  <c r="Q23" i="2"/>
  <c r="P23" i="2"/>
  <c r="O23" i="2"/>
  <c r="N23" i="2"/>
  <c r="L23" i="2"/>
  <c r="J23" i="2"/>
  <c r="I23" i="2"/>
  <c r="H23" i="2"/>
  <c r="G23" i="2"/>
  <c r="F23" i="2"/>
  <c r="E23" i="2"/>
  <c r="D23" i="2"/>
  <c r="C23" i="2"/>
  <c r="M26" i="2"/>
  <c r="M24" i="2"/>
  <c r="N27" i="4" l="1"/>
  <c r="O26" i="4"/>
  <c r="H27" i="4"/>
  <c r="I27" i="4"/>
  <c r="F26" i="4"/>
  <c r="P26" i="4"/>
  <c r="H26" i="4"/>
  <c r="C27" i="4"/>
  <c r="L27" i="4"/>
  <c r="O27" i="4"/>
  <c r="G26" i="4"/>
  <c r="Q26" i="4"/>
  <c r="J27" i="4"/>
  <c r="I26" i="4"/>
  <c r="J26" i="4"/>
  <c r="E27" i="4"/>
  <c r="C26" i="4"/>
  <c r="F27" i="4"/>
  <c r="P27" i="4"/>
  <c r="P24" i="2"/>
  <c r="D26" i="4"/>
  <c r="N26" i="4"/>
  <c r="G27" i="4"/>
  <c r="Q27" i="4"/>
  <c r="E26" i="4"/>
  <c r="L26" i="4"/>
  <c r="O26" i="2"/>
  <c r="I26" i="2"/>
  <c r="C26" i="2"/>
  <c r="D26" i="2"/>
  <c r="N26" i="2"/>
  <c r="L26" i="2"/>
  <c r="F26" i="2"/>
  <c r="P26" i="2"/>
  <c r="E26" i="2"/>
  <c r="G26" i="2"/>
  <c r="Q26" i="2"/>
  <c r="H26" i="2"/>
  <c r="Q24" i="2"/>
  <c r="L24" i="2"/>
  <c r="D24" i="2"/>
  <c r="J24" i="2"/>
  <c r="C24" i="2"/>
  <c r="E24" i="2"/>
  <c r="N24" i="2"/>
  <c r="H24" i="2"/>
  <c r="I24" i="2"/>
  <c r="F24" i="2"/>
  <c r="O24" i="2"/>
  <c r="G24" i="2"/>
  <c r="Q21" i="2" l="1"/>
  <c r="P21" i="2"/>
  <c r="O21" i="2"/>
  <c r="N21" i="2"/>
  <c r="L21" i="2"/>
  <c r="J21" i="2"/>
  <c r="I21" i="2"/>
  <c r="H21" i="2"/>
  <c r="G21" i="2"/>
  <c r="F21" i="2"/>
  <c r="E21" i="2"/>
  <c r="D21" i="2"/>
  <c r="C21" i="2"/>
  <c r="M22" i="2"/>
  <c r="Q19" i="2"/>
  <c r="P19" i="2"/>
  <c r="O19" i="2"/>
  <c r="N19" i="2"/>
  <c r="L19" i="2"/>
  <c r="J19" i="2"/>
  <c r="I19" i="2"/>
  <c r="H19" i="2"/>
  <c r="G19" i="2"/>
  <c r="F19" i="2"/>
  <c r="E19" i="2"/>
  <c r="D19" i="2"/>
  <c r="C19" i="2"/>
  <c r="M20" i="2"/>
  <c r="Q30" i="4" l="1"/>
  <c r="G30" i="4"/>
  <c r="M28" i="2"/>
  <c r="M29" i="2" s="1"/>
  <c r="M32" i="2" s="1"/>
  <c r="C30" i="4"/>
  <c r="E30" i="4"/>
  <c r="H30" i="4"/>
  <c r="D30" i="4"/>
  <c r="N30" i="4"/>
  <c r="O30" i="4"/>
  <c r="I30" i="4"/>
  <c r="B30" i="4"/>
  <c r="J30" i="4"/>
  <c r="L30" i="4"/>
  <c r="F30" i="4"/>
  <c r="P30" i="4"/>
  <c r="C20" i="2"/>
  <c r="I20" i="2"/>
  <c r="G22" i="2"/>
  <c r="F22" i="2"/>
  <c r="H22" i="2"/>
  <c r="N22" i="2"/>
  <c r="O22" i="2"/>
  <c r="P22" i="2"/>
  <c r="Q20" i="2"/>
  <c r="H20" i="2"/>
  <c r="P20" i="2"/>
  <c r="O20" i="2"/>
  <c r="G20" i="2"/>
  <c r="N20" i="2"/>
  <c r="F20" i="2"/>
  <c r="D20" i="2"/>
  <c r="E20" i="2"/>
  <c r="L20" i="2"/>
  <c r="J20" i="2"/>
  <c r="C22" i="2"/>
  <c r="I22" i="2"/>
  <c r="Q22" i="2"/>
  <c r="J22" i="2"/>
  <c r="D22" i="2"/>
  <c r="L22" i="2"/>
  <c r="E22" i="2"/>
  <c r="M30" i="2" l="1"/>
  <c r="M33" i="2" s="1"/>
  <c r="M35" i="2" s="1"/>
  <c r="N28" i="2"/>
  <c r="N30" i="2" s="1"/>
  <c r="O31" i="4"/>
  <c r="O35" i="4" s="1"/>
  <c r="O51" i="4" s="1"/>
  <c r="D31" i="4"/>
  <c r="D34" i="4" s="1"/>
  <c r="D50" i="4" s="1"/>
  <c r="F31" i="4"/>
  <c r="F34" i="4" s="1"/>
  <c r="F50" i="4" s="1"/>
  <c r="C28" i="2"/>
  <c r="C29" i="2" s="1"/>
  <c r="H31" i="4"/>
  <c r="H35" i="4" s="1"/>
  <c r="H51" i="4" s="1"/>
  <c r="P31" i="4"/>
  <c r="P34" i="4" s="1"/>
  <c r="P50" i="4" s="1"/>
  <c r="L31" i="4"/>
  <c r="L34" i="4" s="1"/>
  <c r="L50" i="4" s="1"/>
  <c r="C31" i="4"/>
  <c r="C34" i="4" s="1"/>
  <c r="C50" i="4" s="1"/>
  <c r="E31" i="4"/>
  <c r="E35" i="4" s="1"/>
  <c r="E51" i="4" s="1"/>
  <c r="G31" i="4"/>
  <c r="G34" i="4" s="1"/>
  <c r="G50" i="4" s="1"/>
  <c r="J31" i="4"/>
  <c r="J34" i="4" s="1"/>
  <c r="J50" i="4" s="1"/>
  <c r="N31" i="4"/>
  <c r="N34" i="4" s="1"/>
  <c r="N50" i="4" s="1"/>
  <c r="I31" i="4"/>
  <c r="I34" i="4" s="1"/>
  <c r="I50" i="4" s="1"/>
  <c r="G28" i="2"/>
  <c r="G30" i="2" s="1"/>
  <c r="Q31" i="4"/>
  <c r="L28" i="2"/>
  <c r="L30" i="2" s="1"/>
  <c r="H28" i="2"/>
  <c r="H30" i="2" s="1"/>
  <c r="P28" i="2"/>
  <c r="O28" i="2"/>
  <c r="J28" i="2"/>
  <c r="J29" i="2" s="1"/>
  <c r="Q28" i="2"/>
  <c r="I28" i="2"/>
  <c r="E28" i="2"/>
  <c r="D28" i="2"/>
  <c r="F28" i="2"/>
  <c r="N29" i="2" l="1"/>
  <c r="N32" i="2" s="1"/>
  <c r="M34" i="2"/>
  <c r="O34" i="4"/>
  <c r="O50" i="4" s="1"/>
  <c r="D35" i="4"/>
  <c r="D51" i="4" s="1"/>
  <c r="C30" i="2"/>
  <c r="C23" i="4" s="1"/>
  <c r="F35" i="4"/>
  <c r="F51" i="4" s="1"/>
  <c r="H34" i="4"/>
  <c r="H50" i="4" s="1"/>
  <c r="J35" i="4"/>
  <c r="J51" i="4" s="1"/>
  <c r="P35" i="4"/>
  <c r="P51" i="4" s="1"/>
  <c r="C35" i="4"/>
  <c r="C51" i="4" s="1"/>
  <c r="E34" i="4"/>
  <c r="E50" i="4" s="1"/>
  <c r="H29" i="2"/>
  <c r="H22" i="4" s="1"/>
  <c r="L35" i="4"/>
  <c r="L51" i="4" s="1"/>
  <c r="G35" i="4"/>
  <c r="G51" i="4" s="1"/>
  <c r="I35" i="4"/>
  <c r="I51" i="4" s="1"/>
  <c r="N35" i="4"/>
  <c r="N51" i="4" s="1"/>
  <c r="L29" i="2"/>
  <c r="G29" i="2"/>
  <c r="G32" i="2" s="1"/>
  <c r="G33" i="2"/>
  <c r="G23" i="4"/>
  <c r="L33" i="2"/>
  <c r="L23" i="4"/>
  <c r="L39" i="4" s="1"/>
  <c r="H33" i="2"/>
  <c r="H23" i="4"/>
  <c r="H39" i="4" s="1"/>
  <c r="N33" i="2"/>
  <c r="N23" i="4"/>
  <c r="Q34" i="4"/>
  <c r="Q50" i="4" s="1"/>
  <c r="Q35" i="4"/>
  <c r="Q51" i="4" s="1"/>
  <c r="C32" i="2"/>
  <c r="C22" i="4"/>
  <c r="P29" i="2"/>
  <c r="P30" i="2"/>
  <c r="E29" i="2"/>
  <c r="E30" i="2"/>
  <c r="J30" i="2"/>
  <c r="I29" i="2"/>
  <c r="I30" i="2"/>
  <c r="F30" i="2"/>
  <c r="F29" i="2"/>
  <c r="Q29" i="2"/>
  <c r="Q30" i="2"/>
  <c r="O30" i="2"/>
  <c r="O29" i="2"/>
  <c r="D30" i="2"/>
  <c r="D29" i="2"/>
  <c r="L32" i="2" l="1"/>
  <c r="L34" i="2" s="1"/>
  <c r="C33" i="2"/>
  <c r="C35" i="2" s="1"/>
  <c r="N22" i="4"/>
  <c r="N38" i="4" s="1"/>
  <c r="N54" i="4" s="1"/>
  <c r="N62" i="4" s="1"/>
  <c r="N35" i="2"/>
  <c r="H32" i="2"/>
  <c r="H34" i="2" s="1"/>
  <c r="L22" i="4"/>
  <c r="G34" i="2"/>
  <c r="G22" i="4"/>
  <c r="G38" i="4" s="1"/>
  <c r="G54" i="4" s="1"/>
  <c r="G62" i="4" s="1"/>
  <c r="N34" i="2"/>
  <c r="E32" i="2"/>
  <c r="E22" i="4"/>
  <c r="E38" i="4" s="1"/>
  <c r="F32" i="2"/>
  <c r="F22" i="4"/>
  <c r="P33" i="2"/>
  <c r="P23" i="4"/>
  <c r="L55" i="4"/>
  <c r="L63" i="4" s="1"/>
  <c r="L43" i="4"/>
  <c r="L47" i="4"/>
  <c r="I33" i="2"/>
  <c r="I23" i="4"/>
  <c r="H38" i="4"/>
  <c r="H54" i="4" s="1"/>
  <c r="H62" i="4" s="1"/>
  <c r="P32" i="2"/>
  <c r="P22" i="4"/>
  <c r="D32" i="2"/>
  <c r="D22" i="4"/>
  <c r="D33" i="2"/>
  <c r="D23" i="4"/>
  <c r="I32" i="2"/>
  <c r="I22" i="4"/>
  <c r="O32" i="2"/>
  <c r="O22" i="4"/>
  <c r="O38" i="4" s="1"/>
  <c r="J32" i="2"/>
  <c r="J22" i="4"/>
  <c r="C38" i="4"/>
  <c r="C54" i="4" s="1"/>
  <c r="C62" i="4" s="1"/>
  <c r="N39" i="4"/>
  <c r="N55" i="4" s="1"/>
  <c r="N63" i="4" s="1"/>
  <c r="F33" i="2"/>
  <c r="F23" i="4"/>
  <c r="J33" i="2"/>
  <c r="J23" i="4"/>
  <c r="C39" i="4"/>
  <c r="C55" i="4" s="1"/>
  <c r="C63" i="4" s="1"/>
  <c r="G39" i="4"/>
  <c r="G55" i="4" s="1"/>
  <c r="G63" i="4" s="1"/>
  <c r="Q32" i="2"/>
  <c r="Q22" i="4"/>
  <c r="O33" i="2"/>
  <c r="O23" i="4"/>
  <c r="Q33" i="2"/>
  <c r="Q23" i="4"/>
  <c r="E33" i="2"/>
  <c r="E23" i="4"/>
  <c r="H55" i="4"/>
  <c r="H63" i="4" s="1"/>
  <c r="H43" i="4"/>
  <c r="H47" i="4"/>
  <c r="G35" i="2"/>
  <c r="L35" i="2" l="1"/>
  <c r="C34" i="2"/>
  <c r="F34" i="2"/>
  <c r="E35" i="2"/>
  <c r="Q34" i="2"/>
  <c r="L38" i="4"/>
  <c r="L54" i="4" s="1"/>
  <c r="L62" i="4" s="1"/>
  <c r="H35" i="2"/>
  <c r="J35" i="2"/>
  <c r="P34" i="2"/>
  <c r="I35" i="2"/>
  <c r="E34" i="2"/>
  <c r="D35" i="2"/>
  <c r="F35" i="2"/>
  <c r="I34" i="2"/>
  <c r="H59" i="4"/>
  <c r="H67" i="4" s="1"/>
  <c r="O34" i="2"/>
  <c r="Q35" i="2"/>
  <c r="C43" i="4"/>
  <c r="C47" i="4"/>
  <c r="D39" i="4"/>
  <c r="H46" i="4"/>
  <c r="H42" i="4"/>
  <c r="P39" i="4"/>
  <c r="P55" i="4" s="1"/>
  <c r="P63" i="4" s="1"/>
  <c r="N47" i="4"/>
  <c r="N43" i="4"/>
  <c r="Q39" i="4"/>
  <c r="Q55" i="4" s="1"/>
  <c r="Q63" i="4" s="1"/>
  <c r="J38" i="4"/>
  <c r="J54" i="4" s="1"/>
  <c r="J62" i="4" s="1"/>
  <c r="D38" i="4"/>
  <c r="D54" i="4" s="1"/>
  <c r="D62" i="4" s="1"/>
  <c r="F38" i="4"/>
  <c r="F54" i="4" s="1"/>
  <c r="F62" i="4" s="1"/>
  <c r="N46" i="4"/>
  <c r="N42" i="4"/>
  <c r="I38" i="4"/>
  <c r="I54" i="4" s="1"/>
  <c r="I62" i="4" s="1"/>
  <c r="G46" i="4"/>
  <c r="G42" i="4"/>
  <c r="O39" i="4"/>
  <c r="P35" i="2"/>
  <c r="Q38" i="4"/>
  <c r="Q54" i="4" s="1"/>
  <c r="Q62" i="4" s="1"/>
  <c r="J39" i="4"/>
  <c r="J55" i="4" s="1"/>
  <c r="J63" i="4" s="1"/>
  <c r="C46" i="4"/>
  <c r="C42" i="4"/>
  <c r="I39" i="4"/>
  <c r="I55" i="4" s="1"/>
  <c r="I63" i="4" s="1"/>
  <c r="E39" i="4"/>
  <c r="E55" i="4" s="1"/>
  <c r="E63" i="4" s="1"/>
  <c r="F39" i="4"/>
  <c r="F55" i="4" s="1"/>
  <c r="F63" i="4" s="1"/>
  <c r="J34" i="2"/>
  <c r="D34" i="2"/>
  <c r="O35" i="2"/>
  <c r="G47" i="4"/>
  <c r="G43" i="4"/>
  <c r="O54" i="4"/>
  <c r="O62" i="4" s="1"/>
  <c r="O46" i="4"/>
  <c r="O42" i="4"/>
  <c r="P38" i="4"/>
  <c r="P54" i="4" s="1"/>
  <c r="P62" i="4" s="1"/>
  <c r="L59" i="4"/>
  <c r="L67" i="4" s="1"/>
  <c r="E54" i="4"/>
  <c r="E62" i="4" s="1"/>
  <c r="E42" i="4"/>
  <c r="E46" i="4"/>
  <c r="L42" i="4" l="1"/>
  <c r="L46" i="4"/>
  <c r="O58" i="4"/>
  <c r="O66" i="4" s="1"/>
  <c r="G58" i="4"/>
  <c r="G66" i="4" s="1"/>
  <c r="G59" i="4"/>
  <c r="G67" i="4" s="1"/>
  <c r="N59" i="4"/>
  <c r="N67" i="4" s="1"/>
  <c r="O43" i="4"/>
  <c r="O47" i="4"/>
  <c r="C59" i="4"/>
  <c r="C67" i="4" s="1"/>
  <c r="P47" i="4"/>
  <c r="P43" i="4"/>
  <c r="D47" i="4"/>
  <c r="D43" i="4"/>
  <c r="F43" i="4"/>
  <c r="F47" i="4"/>
  <c r="F46" i="4"/>
  <c r="F42" i="4"/>
  <c r="J47" i="4"/>
  <c r="J43" i="4"/>
  <c r="E58" i="4"/>
  <c r="E66" i="4" s="1"/>
  <c r="I46" i="4"/>
  <c r="I42" i="4"/>
  <c r="N58" i="4"/>
  <c r="N66" i="4" s="1"/>
  <c r="J46" i="4"/>
  <c r="J42" i="4"/>
  <c r="H58" i="4"/>
  <c r="H66" i="4" s="1"/>
  <c r="D46" i="4"/>
  <c r="D42" i="4"/>
  <c r="Q46" i="4"/>
  <c r="Q42" i="4"/>
  <c r="E43" i="4"/>
  <c r="E47" i="4"/>
  <c r="I47" i="4"/>
  <c r="I43" i="4"/>
  <c r="P46" i="4"/>
  <c r="P42" i="4"/>
  <c r="C58" i="4"/>
  <c r="C66" i="4" s="1"/>
  <c r="O55" i="4"/>
  <c r="O63" i="4" s="1"/>
  <c r="Q47" i="4"/>
  <c r="Q43" i="4"/>
  <c r="D55" i="4"/>
  <c r="D63" i="4" s="1"/>
  <c r="L58" i="4" l="1"/>
  <c r="L66" i="4" s="1"/>
  <c r="D59" i="4"/>
  <c r="D67" i="4" s="1"/>
  <c r="J58" i="4"/>
  <c r="J66" i="4" s="1"/>
  <c r="F58" i="4"/>
  <c r="F66" i="4" s="1"/>
  <c r="Q59" i="4"/>
  <c r="Q67" i="4" s="1"/>
  <c r="I59" i="4"/>
  <c r="I67" i="4" s="1"/>
  <c r="Q58" i="4"/>
  <c r="Q66" i="4" s="1"/>
  <c r="I58" i="4"/>
  <c r="I66" i="4" s="1"/>
  <c r="D58" i="4"/>
  <c r="D66" i="4" s="1"/>
  <c r="F59" i="4"/>
  <c r="F67" i="4" s="1"/>
  <c r="E59" i="4"/>
  <c r="E67" i="4" s="1"/>
  <c r="O59" i="4"/>
  <c r="O67" i="4" s="1"/>
  <c r="J59" i="4"/>
  <c r="J67" i="4" s="1"/>
  <c r="P59" i="4"/>
  <c r="P67" i="4" s="1"/>
  <c r="P58" i="4"/>
  <c r="P6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<sst xmlns="http://schemas.openxmlformats.org/spreadsheetml/2006/main" count="385" uniqueCount="125">
  <si>
    <t>peak 01</t>
  </si>
  <si>
    <t>peak 02</t>
  </si>
  <si>
    <t>peak 03</t>
  </si>
  <si>
    <t>peak 04</t>
  </si>
  <si>
    <t>peak 05</t>
  </si>
  <si>
    <t>peak 06</t>
  </si>
  <si>
    <t>peak 07</t>
  </si>
  <si>
    <t>peak 08</t>
  </si>
  <si>
    <t>peak 09</t>
  </si>
  <si>
    <t>peak 10</t>
  </si>
  <si>
    <t>peak 11</t>
  </si>
  <si>
    <t>peak 12</t>
  </si>
  <si>
    <t>peak 13</t>
  </si>
  <si>
    <t>peak 14</t>
  </si>
  <si>
    <t>peak 15</t>
  </si>
  <si>
    <t>name</t>
  </si>
  <si>
    <t>shifts (ppm)</t>
  </si>
  <si>
    <t>130.88 to 130.47</t>
  </si>
  <si>
    <t>129.72 to 129.46</t>
  </si>
  <si>
    <t>128.63 to 128.43</t>
  </si>
  <si>
    <t>128.43 to 128.25</t>
  </si>
  <si>
    <t>127.90 to 127.64</t>
  </si>
  <si>
    <t>127.14 to 126.88</t>
  </si>
  <si>
    <t>126.45 to 126.17</t>
  </si>
  <si>
    <t>126.17 to 125.90</t>
  </si>
  <si>
    <t>77.70 to 76.60</t>
  </si>
  <si>
    <t>74.50 to 74.23</t>
  </si>
  <si>
    <t>60.79 to 60.52</t>
  </si>
  <si>
    <t>52.69 to 52.43</t>
  </si>
  <si>
    <t>31.17 to 30.92</t>
  </si>
  <si>
    <t>26.92 to 26.68</t>
  </si>
  <si>
    <t>14.24 to 13.98</t>
  </si>
  <si>
    <t>range (ppm)</t>
  </si>
  <si>
    <t>avg integral</t>
  </si>
  <si>
    <t>stdev</t>
  </si>
  <si>
    <t>coeff. of var.</t>
  </si>
  <si>
    <t>std. error</t>
  </si>
  <si>
    <t>stderr of cov.</t>
  </si>
  <si>
    <t>spread</t>
  </si>
  <si>
    <t>avg. S/N</t>
  </si>
  <si>
    <t>Styrenyl_RecoveredSM_67%conversion</t>
  </si>
  <si>
    <t>Styrenyl_RecoveredSM_80%conversion</t>
  </si>
  <si>
    <t>Styrenyl_UnreactedSM_1</t>
  </si>
  <si>
    <t>conversion</t>
  </si>
  <si>
    <t>Peak 1</t>
  </si>
  <si>
    <t>Peak 2</t>
  </si>
  <si>
    <t>Peak 3</t>
  </si>
  <si>
    <t>Peak 4</t>
  </si>
  <si>
    <t>Peak 5</t>
  </si>
  <si>
    <t>Peak 6</t>
  </si>
  <si>
    <t>Peak 7</t>
  </si>
  <si>
    <t>Peak 8</t>
  </si>
  <si>
    <t>Peak 10</t>
  </si>
  <si>
    <t>Peak 12</t>
  </si>
  <si>
    <t>Peak 13</t>
  </si>
  <si>
    <t>Peak 14</t>
  </si>
  <si>
    <t>benzylic</t>
  </si>
  <si>
    <t>vinylic</t>
  </si>
  <si>
    <t>ortho (ak)</t>
  </si>
  <si>
    <t>ortho (o)</t>
  </si>
  <si>
    <t>meta (o)</t>
  </si>
  <si>
    <t>meta (ak)</t>
  </si>
  <si>
    <t>para (ak)</t>
  </si>
  <si>
    <t>para (o)</t>
  </si>
  <si>
    <t>carbonyl</t>
  </si>
  <si>
    <t>alpha</t>
  </si>
  <si>
    <t>allylic</t>
  </si>
  <si>
    <t>beta</t>
  </si>
  <si>
    <t>ester methyl</t>
  </si>
  <si>
    <t>R0</t>
  </si>
  <si>
    <t>Styrenyl_UnreactedSM_2</t>
  </si>
  <si>
    <t>Peak 15</t>
  </si>
  <si>
    <t>unreacted R0 average</t>
  </si>
  <si>
    <t>R_2</t>
  </si>
  <si>
    <t>reference peak (peak 11)</t>
  </si>
  <si>
    <t>R_1/R0</t>
  </si>
  <si>
    <t>R_1</t>
  </si>
  <si>
    <t>R_2/R0</t>
  </si>
  <si>
    <t>ln(1-conversion)</t>
  </si>
  <si>
    <t>solvent peak</t>
  </si>
  <si>
    <t>KIE_1</t>
  </si>
  <si>
    <t>KIE_2</t>
  </si>
  <si>
    <t>KIE_average</t>
  </si>
  <si>
    <t>ref</t>
  </si>
  <si>
    <t>F</t>
  </si>
  <si>
    <t>ΔF</t>
  </si>
  <si>
    <t>ask hannah</t>
  </si>
  <si>
    <t>average_unreacted</t>
  </si>
  <si>
    <t>R/R0</t>
  </si>
  <si>
    <t>(ΔR/R)^2</t>
  </si>
  <si>
    <t>(ΔR0/R0)^2</t>
  </si>
  <si>
    <t>average peak for UnreactedSM</t>
  </si>
  <si>
    <t>average (ΔR0/R0)^2 for UnreactedSM</t>
  </si>
  <si>
    <t>Δ(R/R0)^2</t>
  </si>
  <si>
    <t>A</t>
  </si>
  <si>
    <t>ln(!-F)</t>
  </si>
  <si>
    <t>w</t>
  </si>
  <si>
    <t>ln[(1-F)*(R/R0)]</t>
  </si>
  <si>
    <t>B</t>
  </si>
  <si>
    <t>(1-F)*w^2</t>
  </si>
  <si>
    <t>C</t>
  </si>
  <si>
    <t>(1-F)*w</t>
  </si>
  <si>
    <t>D</t>
  </si>
  <si>
    <t>1n(1-F)^2 * Δ(R/R0)^2</t>
  </si>
  <si>
    <t>E</t>
  </si>
  <si>
    <t>(R/R0)^2*w^4</t>
  </si>
  <si>
    <t>G</t>
  </si>
  <si>
    <t>(A/B-1/C)^2*(ΔF)^2</t>
  </si>
  <si>
    <t>H</t>
  </si>
  <si>
    <t>D/E</t>
  </si>
  <si>
    <t>sqrt(G+H)</t>
  </si>
  <si>
    <t>Styrenyl_Recovered_80%conversion</t>
  </si>
  <si>
    <t>Styrenyl_Recovered_67%conversion</t>
  </si>
  <si>
    <t>68%err</t>
  </si>
  <si>
    <t xml:space="preserve">Error </t>
  </si>
  <si>
    <t># of FIDs</t>
  </si>
  <si>
    <t>Peak 9</t>
  </si>
  <si>
    <t>Peak 11</t>
  </si>
  <si>
    <t>integral</t>
  </si>
  <si>
    <t>o</t>
  </si>
  <si>
    <t>UNREACTED 1</t>
  </si>
  <si>
    <t>UNREACTED 2</t>
  </si>
  <si>
    <t>Reference Peak Column</t>
  </si>
  <si>
    <t>=</t>
  </si>
  <si>
    <t>OCH2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</si>
</sst>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2" x14ac:knownFonts="1">
    <font>
      <sz val="11"/>
      <color theme="1"/>
      <name val="Calibri"/>
      <family val="2"/>
      <scheme val="minor"/>
    </font>
    <font>
      <b/>
      <sz val="10"/>
      <color theme="1"/>
      <name val="Arial"/>
      <family val="2"/>
    </font>
    <font>
      <b/>
      <sz val="10"/>
      <color theme="1"/>
      <name val="Arial"/>
      <family val="2"/>
    </font>
    <font>
      <sz val="10"/>
      <name val="Arial"/>
      <family val="2"/>
    </font>
    <font>
      <b/>
      <sz val="10"/>
      <name val="Arial"/>
      <family val="2"/>
    </font>
    <font>
      <sz val="11"/>
      <color theme="1"/>
      <name val="Calibri"/>
      <family val="2"/>
    </font>
    <font>
      <sz val="10"/>
      <color theme="1"/>
      <name val="Calibri"/>
      <family val="2"/>
      <scheme val="minor"/>
    </font>
    <font>
      <b/>
      <sz val="10"/>
      <color theme="1"/>
      <name val="Calibri"/>
      <family val="2"/>
      <scheme val="minor"/>
    </font>
    <font>
      <sz val="10"/>
      <color rgb="FF000000"/>
      <name val="Calibri"/>
      <family val="2"/>
      <scheme val="minor"/>
    </font>
    <font>
      <sz val="10"/>
      <color rgb="FFFF0000"/>
      <name val="Calibri"/>
      <family val="2"/>
      <scheme val="minor"/>
    </font>
    <font>
      <sz val="10"/>
      <name val="Calibri"/>
      <family val="2"/>
      <scheme val="minor"/>
    </font>
    <font>
      <b/>
      <sz val="10"/>
      <color rgb="FF000000"/>
      <name val="Calibri"/>
      <family val="2"/>
      <scheme val="minor"/>
    </font>
  </fonts>
  <fills count="8">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theme="9" tint="0.59999389629810485"/>
        <bgColor indexed="64"/>
      </patternFill>
    </fill>
  </fills>
  <borders count="11">
    <border>
      <left/>
      <right/>
      <top/>
      <bottom/>
      <diagonal/>
    </border>
    <border>
      <left/>
      <right/>
      <top/>
      <bottom style="thin">
        <color rgb="FF000000"/>
      </bottom>
      <diagonal/>
    </border>
    <border>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0" fillId="0" borderId="0" xfId="0"/>
    <xf numFmtId="0" fontId="3" fillId="0" borderId="0" xfId="0" applyFont="1"/>
    <xf numFmtId="0" fontId="4" fillId="0" borderId="1" xfId="0" applyFont="1" applyBorder="1"/>
    <xf numFmtId="0" fontId="4" fillId="0" borderId="2" xfId="0" applyFont="1" applyBorder="1"/>
    <xf numFmtId="0" fontId="3" fillId="0" borderId="2" xfId="0" applyFont="1"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3" xfId="0" applyFont="1" applyBorder="1"/>
    <xf numFmtId="0" fontId="0" fillId="0" borderId="0" xfId="0" applyBorder="1"/>
    <xf numFmtId="0" fontId="1" fillId="0" borderId="0" xfId="0" applyFont="1" applyBorder="1"/>
    <xf numFmtId="0" fontId="2" fillId="0" borderId="0" xfId="0" applyFont="1" applyBorder="1"/>
    <xf numFmtId="0" fontId="1" fillId="0" borderId="6" xfId="0" applyFont="1" applyBorder="1"/>
    <xf numFmtId="0" fontId="2" fillId="0" borderId="8" xfId="0" applyFont="1" applyBorder="1"/>
    <xf numFmtId="0" fontId="1" fillId="0" borderId="3" xfId="0" applyFont="1" applyBorder="1"/>
    <xf numFmtId="0" fontId="0" fillId="0" borderId="0" xfId="0"/>
    <xf numFmtId="0" fontId="0" fillId="7" borderId="3" xfId="0" applyFill="1" applyBorder="1"/>
    <xf numFmtId="0" fontId="0" fillId="7" borderId="4" xfId="0" applyFill="1" applyBorder="1"/>
    <xf numFmtId="0" fontId="0" fillId="7" borderId="5" xfId="0" applyFill="1" applyBorder="1"/>
    <xf numFmtId="0" fontId="1" fillId="7" borderId="6" xfId="0" applyFont="1" applyFill="1" applyBorder="1"/>
    <xf numFmtId="0" fontId="0" fillId="7" borderId="0" xfId="0" applyFill="1" applyBorder="1"/>
    <xf numFmtId="164" fontId="0" fillId="7" borderId="0" xfId="0" applyNumberFormat="1" applyFill="1" applyBorder="1"/>
    <xf numFmtId="164" fontId="0" fillId="7" borderId="7" xfId="0" applyNumberFormat="1" applyFill="1" applyBorder="1"/>
    <xf numFmtId="0" fontId="2" fillId="7" borderId="8" xfId="0" applyFont="1" applyFill="1" applyBorder="1"/>
    <xf numFmtId="0" fontId="0" fillId="7" borderId="9" xfId="0" applyFill="1" applyBorder="1"/>
    <xf numFmtId="164" fontId="0" fillId="7" borderId="9" xfId="0" applyNumberFormat="1" applyFill="1" applyBorder="1"/>
    <xf numFmtId="164" fontId="0" fillId="7" borderId="10" xfId="0" applyNumberFormat="1" applyFill="1" applyBorder="1"/>
    <xf numFmtId="0" fontId="6" fillId="0" borderId="0" xfId="0" applyFont="1"/>
    <xf numFmtId="0" fontId="7" fillId="0" borderId="0" xfId="0" applyFont="1"/>
    <xf numFmtId="2" fontId="6" fillId="0" borderId="0" xfId="0" applyNumberFormat="1" applyFont="1"/>
    <xf numFmtId="165" fontId="6" fillId="0" borderId="0" xfId="0" applyNumberFormat="1" applyFont="1"/>
    <xf numFmtId="0" fontId="6" fillId="0" borderId="0" xfId="0" applyFont="1" applyAlignment="1">
      <alignment horizontal="right"/>
    </xf>
    <xf numFmtId="164" fontId="6" fillId="0" borderId="0" xfId="0" applyNumberFormat="1" applyFont="1"/>
    <xf numFmtId="0" fontId="8" fillId="3" borderId="0" xfId="0" applyFont="1" applyFill="1" applyAlignment="1">
      <alignment horizontal="right"/>
    </xf>
    <xf numFmtId="0" fontId="6" fillId="7" borderId="0" xfId="0" applyFont="1" applyFill="1"/>
    <xf numFmtId="164" fontId="6" fillId="7" borderId="0" xfId="0" applyNumberFormat="1" applyFont="1" applyFill="1"/>
    <xf numFmtId="0" fontId="9" fillId="7" borderId="0" xfId="0" applyFont="1" applyFill="1"/>
    <xf numFmtId="164" fontId="9" fillId="7" borderId="0" xfId="0" applyNumberFormat="1" applyFont="1" applyFill="1"/>
    <xf numFmtId="164" fontId="10" fillId="7" borderId="0" xfId="0" applyNumberFormat="1" applyFont="1" applyFill="1"/>
    <xf numFmtId="0" fontId="0" fillId="0" borderId="0" xfId="0"/>
    <xf numFmtId="0" fontId="6" fillId="2" borderId="0" xfId="0" applyFont="1" applyFill="1" applyAlignment="1">
      <alignment horizontal="center"/>
    </xf>
    <xf numFmtId="0" fontId="6" fillId="4"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6" fillId="0" borderId="0" xfId="0" applyFont="1"/>
    <xf numFmtId="0" fontId="11" fillId="3" borderId="0" xfId="0" applyFont="1" applyFill="1" applyAlignment="1">
      <alignment horizontal="right"/>
    </xf>
    <xf numFmtId="10" fontId="8" fillId="3" borderId="0" xfId="0" applyNumberFormat="1" applyFont="1" applyFill="1" applyAlignment="1">
      <alignment horizontal="right"/>
    </xf>
    <xf numFmtId="0" fontId="8" fillId="0" borderId="0" xfId="0" applyFont="1"/>
    <xf numFmtId="0" fontId="8" fillId="0" borderId="0" xfId="0" applyFont="1" applyAlignment="1">
      <alignment horizontal="right"/>
    </xf>
    <xf numFmtId="0" fontId="11" fillId="0" borderId="0" xfId="0" applyFont="1" applyFill="1" applyAlignment="1">
      <alignment horizontal="right"/>
    </xf>
    <xf numFmtId="0" fontId="8" fillId="0" borderId="0" xfId="0" applyFont="1" applyFill="1" applyAlignment="1">
      <alignment horizontal="right"/>
    </xf>
    <xf numFmtId="0" fontId="6" fillId="0" borderId="9" xfId="0" applyFont="1" applyBorder="1"/>
    <xf numFmtId="0" fontId="6" fillId="0" borderId="5" xfId="0" applyFont="1" applyBorder="1"/>
    <xf numFmtId="0" fontId="6" fillId="0" borderId="7" xfId="0" applyFont="1" applyBorder="1"/>
    <xf numFmtId="9" fontId="6" fillId="0" borderId="7" xfId="0" applyNumberFormat="1" applyFont="1" applyBorder="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95251</xdr:rowOff>
    </xdr:from>
    <xdr:to>
      <xdr:col>2</xdr:col>
      <xdr:colOff>514350</xdr:colOff>
      <xdr:row>16</xdr:row>
      <xdr:rowOff>161925</xdr:rowOff>
    </xdr:to>
    <xdr:sp macro="" textlink="">
      <xdr:nvSpPr>
        <xdr:cNvPr id="2" name="TextBox 1">
          <a:extLst>
            <a:ext uri="{FF2B5EF4-FFF2-40B4-BE49-F238E27FC236}">
              <a16:creationId xmlns:a16="http://schemas.microsoft.com/office/drawing/2014/main" id="{DE0B34AD-C3F8-4382-BB1F-AFF5412507EB}"/>
            </a:ext>
          </a:extLst>
        </xdr:cNvPr>
        <xdr:cNvSpPr txBox="1"/>
      </xdr:nvSpPr>
      <xdr:spPr>
        <a:xfrm>
          <a:off x="85724" y="95251"/>
          <a:ext cx="1647826" cy="3114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Raw Data:</a:t>
          </a:r>
        </a:p>
        <a:p>
          <a:r>
            <a:rPr lang="en-US" sz="1100"/>
            <a:t>In cell 22 of the jupyter notebooks,</a:t>
          </a:r>
          <a:r>
            <a:rPr lang="en-US" sz="1100" baseline="0"/>
            <a:t> a table will appear. That table is copied and pasted here. In this tab, the four tabs are organized with the two trials of unreacted starting material first and the two trials of recovered starting material second. The following two tabs draw values for formulas from these tables. Specifically, from the cells that are highlighted dark blue.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523875</xdr:colOff>
      <xdr:row>0</xdr:row>
      <xdr:rowOff>76200</xdr:rowOff>
    </xdr:from>
    <xdr:ext cx="2800350" cy="2447925"/>
    <xdr:pic>
      <xdr:nvPicPr>
        <xdr:cNvPr id="2" name="image1.png" title="Image">
          <a:extLst>
            <a:ext uri="{FF2B5EF4-FFF2-40B4-BE49-F238E27FC236}">
              <a16:creationId xmlns:a16="http://schemas.microsoft.com/office/drawing/2014/main" id="{0836A970-09A0-408C-9CBB-0774BD41D52D}"/>
            </a:ext>
          </a:extLst>
        </xdr:cNvPr>
        <xdr:cNvPicPr preferRelativeResize="0"/>
      </xdr:nvPicPr>
      <xdr:blipFill>
        <a:blip xmlns:r="http://schemas.openxmlformats.org/officeDocument/2006/relationships" r:embed="rId1" cstate="print"/>
        <a:stretch>
          <a:fillRect/>
        </a:stretch>
      </xdr:blipFill>
      <xdr:spPr>
        <a:xfrm>
          <a:off x="6372225" y="76200"/>
          <a:ext cx="2800350" cy="2447925"/>
        </a:xfrm>
        <a:prstGeom prst="rect">
          <a:avLst/>
        </a:prstGeom>
        <a:noFill/>
      </xdr:spPr>
    </xdr:pic>
    <xdr:clientData fLocksWithSheet="0"/>
  </xdr:oneCellAnchor>
  <xdr:twoCellAnchor>
    <xdr:from>
      <xdr:col>0</xdr:col>
      <xdr:colOff>0</xdr:colOff>
      <xdr:row>0</xdr:row>
      <xdr:rowOff>0</xdr:rowOff>
    </xdr:from>
    <xdr:to>
      <xdr:col>3</xdr:col>
      <xdr:colOff>892914</xdr:colOff>
      <xdr:row>10</xdr:row>
      <xdr:rowOff>63500</xdr:rowOff>
    </xdr:to>
    <xdr:sp macro="" textlink="">
      <xdr:nvSpPr>
        <xdr:cNvPr id="3" name="TextBox 2">
          <a:extLst>
            <a:ext uri="{FF2B5EF4-FFF2-40B4-BE49-F238E27FC236}">
              <a16:creationId xmlns:a16="http://schemas.microsoft.com/office/drawing/2014/main" id="{8C506E1B-2A4A-4F39-B1A8-FA900A78122C}"/>
            </a:ext>
          </a:extLst>
        </xdr:cNvPr>
        <xdr:cNvSpPr txBox="1"/>
      </xdr:nvSpPr>
      <xdr:spPr>
        <a:xfrm>
          <a:off x="0" y="0"/>
          <a:ext cx="5623664"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KIE:</a:t>
          </a:r>
        </a:p>
        <a:p>
          <a:r>
            <a:rPr lang="en-US" sz="1100"/>
            <a:t>In</a:t>
          </a:r>
          <a:r>
            <a:rPr lang="en-US" sz="1100" baseline="0"/>
            <a:t> this tab, the KIE of each protonated carbon in the molecule is calculated. At the top is an image of the molecule with a number next to each carbon that is being measured in the tables below (excluding the solvent peak). In the first block, the conversion that the reactionw as allowed to proceed to is recorded and ln(1-conv) is calculated. In the next block, the integral of each peak is divided by the integral of a reference peak to find the R value. Then the R/R0 value is calculated in the next block. In the final block, the KIEs and average KIEs are calculated. The calculation of the reference peak is not necessary but it is kept here for validation.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0</xdr:row>
      <xdr:rowOff>0</xdr:rowOff>
    </xdr:from>
    <xdr:to>
      <xdr:col>27</xdr:col>
      <xdr:colOff>194414</xdr:colOff>
      <xdr:row>7</xdr:row>
      <xdr:rowOff>111125</xdr:rowOff>
    </xdr:to>
    <xdr:sp macro="" textlink="">
      <xdr:nvSpPr>
        <xdr:cNvPr id="2" name="TextBox 1">
          <a:extLst>
            <a:ext uri="{FF2B5EF4-FFF2-40B4-BE49-F238E27FC236}">
              <a16:creationId xmlns:a16="http://schemas.microsoft.com/office/drawing/2014/main" id="{D2AF8A66-58E7-4593-8557-6B2627034A6D}"/>
            </a:ext>
          </a:extLst>
        </xdr:cNvPr>
        <xdr:cNvSpPr txBox="1"/>
      </xdr:nvSpPr>
      <xdr:spPr>
        <a:xfrm>
          <a:off x="14033500" y="0"/>
          <a:ext cx="5623664" cy="144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Error:</a:t>
          </a:r>
        </a:p>
        <a:p>
          <a:r>
            <a:rPr lang="en-US" sz="1100"/>
            <a:t>In</a:t>
          </a:r>
          <a:r>
            <a:rPr lang="en-US" sz="1100" baseline="0"/>
            <a:t> this tab, the error of each calculated KIE is calculated. At the top, the lconversion for both runs are listed (this value is called F). Next to that is the number of FIDs in each measurement is listed and used to formulae further down. Next to that is the ln(1-F) values for both runs. The next set of block are calculated values needed for the total error calculation. The error is comprised of error from measurement and error from analysis. These are combined to yield to error at the bottom of this tab.</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9D2A-F019-4F9A-95B4-23AB210F3099}">
  <dimension ref="D1:W129"/>
  <sheetViews>
    <sheetView tabSelected="1" zoomScale="80" zoomScaleNormal="80" workbookViewId="0">
      <selection activeCell="U24" sqref="U24"/>
    </sheetView>
  </sheetViews>
  <sheetFormatPr defaultRowHeight="12.75" x14ac:dyDescent="0.2"/>
  <cols>
    <col min="1" max="20" width="9.140625" style="34"/>
    <col min="21" max="21" width="21.42578125" style="34" customWidth="1"/>
    <col min="22" max="16384" width="9.140625" style="34"/>
  </cols>
  <sheetData>
    <row r="1" spans="4:23" x14ac:dyDescent="0.2">
      <c r="D1" s="47" t="s">
        <v>42</v>
      </c>
      <c r="E1" s="53"/>
      <c r="F1" s="53"/>
      <c r="G1" s="53"/>
      <c r="H1" s="53"/>
      <c r="I1" s="53"/>
      <c r="J1" s="53"/>
      <c r="K1" s="53"/>
      <c r="L1" s="53"/>
      <c r="M1" s="53"/>
      <c r="N1" s="53"/>
      <c r="O1" s="53"/>
      <c r="P1" s="53"/>
      <c r="Q1" s="53"/>
      <c r="R1" s="53"/>
      <c r="S1" s="53"/>
    </row>
    <row r="2" spans="4:23" x14ac:dyDescent="0.2">
      <c r="E2" s="54" t="s">
        <v>0</v>
      </c>
      <c r="F2" s="54" t="s">
        <v>1</v>
      </c>
      <c r="G2" s="54" t="s">
        <v>2</v>
      </c>
      <c r="H2" s="54" t="s">
        <v>3</v>
      </c>
      <c r="I2" s="54" t="s">
        <v>4</v>
      </c>
      <c r="J2" s="54" t="s">
        <v>5</v>
      </c>
      <c r="K2" s="54" t="s">
        <v>6</v>
      </c>
      <c r="L2" s="54" t="s">
        <v>7</v>
      </c>
      <c r="M2" s="54" t="s">
        <v>8</v>
      </c>
      <c r="N2" s="54" t="s">
        <v>9</v>
      </c>
      <c r="O2" s="54" t="s">
        <v>10</v>
      </c>
      <c r="P2" s="54" t="s">
        <v>11</v>
      </c>
      <c r="Q2" s="54" t="s">
        <v>12</v>
      </c>
      <c r="R2" s="54" t="s">
        <v>13</v>
      </c>
      <c r="S2" s="54" t="s">
        <v>14</v>
      </c>
    </row>
    <row r="3" spans="4:23" x14ac:dyDescent="0.2">
      <c r="D3" s="54" t="s">
        <v>15</v>
      </c>
      <c r="E3" s="35" t="s">
        <v>56</v>
      </c>
      <c r="F3" s="35" t="s">
        <v>57</v>
      </c>
      <c r="G3" s="35" t="s">
        <v>58</v>
      </c>
      <c r="H3" s="35" t="s">
        <v>59</v>
      </c>
      <c r="I3" s="35" t="s">
        <v>60</v>
      </c>
      <c r="J3" s="35" t="s">
        <v>61</v>
      </c>
      <c r="K3" s="35" t="s">
        <v>62</v>
      </c>
      <c r="L3" s="35" t="s">
        <v>63</v>
      </c>
      <c r="M3" s="35" t="s">
        <v>79</v>
      </c>
      <c r="N3" s="35" t="s">
        <v>64</v>
      </c>
      <c r="O3" s="64" t="s">
        <v>124</v>
      </c>
      <c r="P3" s="35" t="s">
        <v>65</v>
      </c>
      <c r="Q3" s="35" t="s">
        <v>66</v>
      </c>
      <c r="R3" s="35" t="s">
        <v>67</v>
      </c>
      <c r="S3" s="35" t="s">
        <v>68</v>
      </c>
    </row>
    <row r="4" spans="4:23" x14ac:dyDescent="0.2">
      <c r="D4" s="54" t="s">
        <v>16</v>
      </c>
      <c r="E4" s="40" t="s">
        <v>17</v>
      </c>
      <c r="F4" s="40" t="s">
        <v>18</v>
      </c>
      <c r="G4" s="40" t="s">
        <v>19</v>
      </c>
      <c r="H4" s="40" t="s">
        <v>20</v>
      </c>
      <c r="I4" s="40" t="s">
        <v>21</v>
      </c>
      <c r="J4" s="40" t="s">
        <v>22</v>
      </c>
      <c r="K4" s="40" t="s">
        <v>23</v>
      </c>
      <c r="L4" s="40" t="s">
        <v>24</v>
      </c>
      <c r="M4" s="40" t="s">
        <v>25</v>
      </c>
      <c r="N4" s="40" t="s">
        <v>26</v>
      </c>
      <c r="O4" s="40" t="s">
        <v>27</v>
      </c>
      <c r="P4" s="40" t="s">
        <v>28</v>
      </c>
      <c r="Q4" s="40" t="s">
        <v>29</v>
      </c>
      <c r="R4" s="40" t="s">
        <v>30</v>
      </c>
      <c r="S4" s="40" t="s">
        <v>31</v>
      </c>
      <c r="U4" s="34" t="s">
        <v>122</v>
      </c>
      <c r="V4" s="34" t="s">
        <v>119</v>
      </c>
    </row>
    <row r="5" spans="4:23" x14ac:dyDescent="0.2">
      <c r="D5" s="54" t="s">
        <v>32</v>
      </c>
      <c r="E5" s="40">
        <v>0.40500000000000003</v>
      </c>
      <c r="F5" s="40">
        <v>0.26400000000000001</v>
      </c>
      <c r="G5" s="40">
        <v>0.19600000000000001</v>
      </c>
      <c r="H5" s="40">
        <v>0.185</v>
      </c>
      <c r="I5" s="40">
        <v>0.254</v>
      </c>
      <c r="J5" s="40">
        <v>0.26200000000000001</v>
      </c>
      <c r="K5" s="40">
        <v>0.28299999999999997</v>
      </c>
      <c r="L5" s="40">
        <v>0.26800000000000002</v>
      </c>
      <c r="M5" s="40">
        <v>1.1000000000000001</v>
      </c>
      <c r="N5" s="40">
        <v>0.26800000000000002</v>
      </c>
      <c r="O5" s="40">
        <v>0.26700000000000002</v>
      </c>
      <c r="P5" s="40">
        <v>0.255</v>
      </c>
      <c r="Q5" s="40">
        <v>0.247</v>
      </c>
      <c r="R5" s="40">
        <v>0.23300000000000001</v>
      </c>
      <c r="S5" s="40">
        <v>0.26100000000000001</v>
      </c>
      <c r="U5" s="60"/>
      <c r="V5" s="60" t="s">
        <v>118</v>
      </c>
      <c r="W5" s="60" t="s">
        <v>34</v>
      </c>
    </row>
    <row r="6" spans="4:23" x14ac:dyDescent="0.2">
      <c r="D6" s="58" t="s">
        <v>33</v>
      </c>
      <c r="E6" s="59">
        <v>11.8401</v>
      </c>
      <c r="F6" s="59">
        <v>11.404400000000001</v>
      </c>
      <c r="G6" s="59">
        <v>22.7607</v>
      </c>
      <c r="H6" s="59">
        <v>22.134399999999999</v>
      </c>
      <c r="I6" s="59">
        <v>11.1683</v>
      </c>
      <c r="J6" s="59">
        <v>11.272600000000001</v>
      </c>
      <c r="K6" s="59">
        <v>23.130600000000001</v>
      </c>
      <c r="L6" s="59">
        <v>23.716799999999999</v>
      </c>
      <c r="M6" s="59">
        <v>-0.26419999999999999</v>
      </c>
      <c r="N6" s="59">
        <v>12.725199999999999</v>
      </c>
      <c r="O6" s="59">
        <v>13.7476</v>
      </c>
      <c r="P6" s="59">
        <v>12.3241</v>
      </c>
      <c r="Q6" s="59">
        <v>13.5581</v>
      </c>
      <c r="R6" s="59">
        <v>12.7194</v>
      </c>
      <c r="S6" s="59">
        <v>11.5466</v>
      </c>
      <c r="U6" s="61" t="s">
        <v>120</v>
      </c>
      <c r="V6" s="34" cm="1">
        <f t="array" aca="1" ref="V6" ca="1">INDIRECT($V$4&amp;ROW())</f>
        <v>13.7476</v>
      </c>
      <c r="W6" s="34" cm="1">
        <f t="array" aca="1" ref="W6" ca="1">INDIRECT($V$4&amp;ROW()+1)</f>
        <v>6.8599999999999994E-2</v>
      </c>
    </row>
    <row r="7" spans="4:23" x14ac:dyDescent="0.2">
      <c r="D7" s="58" t="s">
        <v>34</v>
      </c>
      <c r="E7" s="59">
        <v>0.12590000000000001</v>
      </c>
      <c r="F7" s="59">
        <v>0.1082</v>
      </c>
      <c r="G7" s="59">
        <v>0.2142</v>
      </c>
      <c r="H7" s="59">
        <v>0.19769999999999999</v>
      </c>
      <c r="I7" s="59">
        <v>0.115</v>
      </c>
      <c r="J7" s="59">
        <v>0.1118</v>
      </c>
      <c r="K7" s="59">
        <v>0.2044</v>
      </c>
      <c r="L7" s="59">
        <v>0.21990000000000001</v>
      </c>
      <c r="M7" s="59">
        <v>0.1036</v>
      </c>
      <c r="N7" s="59">
        <v>0.1133</v>
      </c>
      <c r="O7" s="59">
        <v>6.8599999999999994E-2</v>
      </c>
      <c r="P7" s="59">
        <v>0.10589999999999999</v>
      </c>
      <c r="Q7" s="59">
        <v>5.4899999999999997E-2</v>
      </c>
      <c r="R7" s="59">
        <v>4.7E-2</v>
      </c>
      <c r="S7" s="59">
        <v>9.0999999999999998E-2</v>
      </c>
      <c r="U7" s="62" t="s">
        <v>121</v>
      </c>
      <c r="V7" s="34" cm="1">
        <f t="array" aca="1" ref="V7" ca="1">INDIRECT($V$4&amp;ROW()+12)</f>
        <v>13.6328</v>
      </c>
      <c r="W7" s="34" cm="1">
        <f t="array" aca="1" ref="W7" ca="1">INDIRECT($V$4&amp;ROW()+13)</f>
        <v>6.2399999999999997E-2</v>
      </c>
    </row>
    <row r="8" spans="4:23" x14ac:dyDescent="0.2">
      <c r="D8" s="54" t="s">
        <v>35</v>
      </c>
      <c r="E8" s="55">
        <v>1.06E-2</v>
      </c>
      <c r="F8" s="55">
        <v>9.4999999999999998E-3</v>
      </c>
      <c r="G8" s="55">
        <v>9.4000000000000004E-3</v>
      </c>
      <c r="H8" s="55">
        <v>8.8999999999999999E-3</v>
      </c>
      <c r="I8" s="55">
        <v>1.03E-2</v>
      </c>
      <c r="J8" s="55">
        <v>9.9000000000000008E-3</v>
      </c>
      <c r="K8" s="55">
        <v>8.8000000000000005E-3</v>
      </c>
      <c r="L8" s="55">
        <v>9.2999999999999992E-3</v>
      </c>
      <c r="M8" s="55">
        <v>-0.39240000000000003</v>
      </c>
      <c r="N8" s="55">
        <v>8.8999999999999999E-3</v>
      </c>
      <c r="O8" s="55">
        <v>5.0000000000000001E-3</v>
      </c>
      <c r="P8" s="55">
        <v>8.6E-3</v>
      </c>
      <c r="Q8" s="55">
        <v>4.1000000000000003E-3</v>
      </c>
      <c r="R8" s="55">
        <v>3.7000000000000002E-3</v>
      </c>
      <c r="S8" s="55">
        <v>7.9000000000000008E-3</v>
      </c>
      <c r="U8" s="63">
        <v>0.8</v>
      </c>
      <c r="V8" s="34" cm="1">
        <f t="array" aca="1" ref="V8" ca="1">INDIRECT($V$4&amp;ROW()+24)</f>
        <v>14.0084</v>
      </c>
      <c r="W8" s="34" cm="1">
        <f t="array" aca="1" ref="W8" ca="1">INDIRECT($V$4&amp;ROW()+25)</f>
        <v>6.9099999999999995E-2</v>
      </c>
    </row>
    <row r="9" spans="4:23" x14ac:dyDescent="0.2">
      <c r="D9" s="54" t="s">
        <v>36</v>
      </c>
      <c r="E9" s="40">
        <v>7.0000000000000001E-3</v>
      </c>
      <c r="F9" s="40">
        <v>6.0000000000000001E-3</v>
      </c>
      <c r="G9" s="40">
        <v>1.2E-2</v>
      </c>
      <c r="H9" s="40">
        <v>1.11E-2</v>
      </c>
      <c r="I9" s="40">
        <v>6.4000000000000003E-3</v>
      </c>
      <c r="J9" s="40">
        <v>6.1999999999999998E-3</v>
      </c>
      <c r="K9" s="40">
        <v>1.14E-2</v>
      </c>
      <c r="L9" s="40">
        <v>1.23E-2</v>
      </c>
      <c r="M9" s="40">
        <v>5.7999999999999996E-3</v>
      </c>
      <c r="N9" s="40">
        <v>6.3E-3</v>
      </c>
      <c r="O9" s="40">
        <v>3.8E-3</v>
      </c>
      <c r="P9" s="40">
        <v>5.8999999999999999E-3</v>
      </c>
      <c r="Q9" s="40">
        <v>3.0999999999999999E-3</v>
      </c>
      <c r="R9" s="40">
        <v>2.5999999999999999E-3</v>
      </c>
      <c r="S9" s="40">
        <v>5.1000000000000004E-3</v>
      </c>
      <c r="U9" s="63">
        <v>0.67</v>
      </c>
      <c r="V9" s="34" cm="1">
        <f t="array" aca="1" ref="V9" ca="1">INDIRECT($V$4&amp;ROW()+36)</f>
        <v>13.9207</v>
      </c>
      <c r="W9" s="34" cm="1">
        <f t="array" aca="1" ref="W9" ca="1">INDIRECT($V$4&amp;ROW()+37)</f>
        <v>7.1499999999999994E-2</v>
      </c>
    </row>
    <row r="10" spans="4:23" x14ac:dyDescent="0.2">
      <c r="D10" s="54" t="s">
        <v>37</v>
      </c>
      <c r="E10" s="55">
        <v>5.9999999999999995E-4</v>
      </c>
      <c r="F10" s="55">
        <v>5.0000000000000001E-4</v>
      </c>
      <c r="G10" s="55">
        <v>5.0000000000000001E-4</v>
      </c>
      <c r="H10" s="55">
        <v>5.0000000000000001E-4</v>
      </c>
      <c r="I10" s="55">
        <v>5.9999999999999995E-4</v>
      </c>
      <c r="J10" s="55">
        <v>5.9999999999999995E-4</v>
      </c>
      <c r="K10" s="55">
        <v>5.0000000000000001E-4</v>
      </c>
      <c r="L10" s="55">
        <v>5.0000000000000001E-4</v>
      </c>
      <c r="M10" s="55">
        <v>-2.1899999999999999E-2</v>
      </c>
      <c r="N10" s="55">
        <v>5.0000000000000001E-4</v>
      </c>
      <c r="O10" s="55">
        <v>2.9999999999999997E-4</v>
      </c>
      <c r="P10" s="55">
        <v>5.0000000000000001E-4</v>
      </c>
      <c r="Q10" s="55">
        <v>2.0000000000000001E-4</v>
      </c>
      <c r="R10" s="55">
        <v>2.0000000000000001E-4</v>
      </c>
      <c r="S10" s="55">
        <v>4.0000000000000002E-4</v>
      </c>
    </row>
    <row r="11" spans="4:23" x14ac:dyDescent="0.2">
      <c r="D11" s="54" t="s">
        <v>38</v>
      </c>
      <c r="E11" s="55">
        <v>5.7599999999999998E-2</v>
      </c>
      <c r="F11" s="55">
        <v>4.8500000000000001E-2</v>
      </c>
      <c r="G11" s="55">
        <v>4.1099999999999998E-2</v>
      </c>
      <c r="H11" s="55">
        <v>3.8399999999999997E-2</v>
      </c>
      <c r="I11" s="55">
        <v>4.7600000000000003E-2</v>
      </c>
      <c r="J11" s="55">
        <v>4.6300000000000001E-2</v>
      </c>
      <c r="K11" s="55">
        <v>3.6900000000000002E-2</v>
      </c>
      <c r="L11" s="55">
        <v>4.7300000000000002E-2</v>
      </c>
      <c r="M11" s="55">
        <v>-2.1758999999999999</v>
      </c>
      <c r="N11" s="55">
        <v>4.3700000000000003E-2</v>
      </c>
      <c r="O11" s="55">
        <v>2.98E-2</v>
      </c>
      <c r="P11" s="55">
        <v>3.8600000000000002E-2</v>
      </c>
      <c r="Q11" s="55">
        <v>2.2100000000000002E-2</v>
      </c>
      <c r="R11" s="55">
        <v>2.0199999999999999E-2</v>
      </c>
      <c r="S11" s="55">
        <v>4.2900000000000001E-2</v>
      </c>
    </row>
    <row r="12" spans="4:23" x14ac:dyDescent="0.2">
      <c r="D12" s="54" t="s">
        <v>39</v>
      </c>
      <c r="E12" s="40">
        <v>609</v>
      </c>
      <c r="F12" s="40">
        <v>579</v>
      </c>
      <c r="G12" s="40">
        <v>1175</v>
      </c>
      <c r="H12" s="40">
        <v>1047</v>
      </c>
      <c r="I12" s="40">
        <v>491</v>
      </c>
      <c r="J12" s="40">
        <v>484</v>
      </c>
      <c r="K12" s="40">
        <v>1089</v>
      </c>
      <c r="L12" s="40">
        <v>1220</v>
      </c>
      <c r="M12" s="40">
        <v>6</v>
      </c>
      <c r="N12" s="40">
        <v>587</v>
      </c>
      <c r="O12" s="40">
        <v>596</v>
      </c>
      <c r="P12" s="40">
        <v>589</v>
      </c>
      <c r="Q12" s="40">
        <v>590</v>
      </c>
      <c r="R12" s="40">
        <v>519</v>
      </c>
      <c r="S12" s="40">
        <v>599</v>
      </c>
    </row>
    <row r="14" spans="4:23" x14ac:dyDescent="0.2">
      <c r="D14" s="48" t="s">
        <v>70</v>
      </c>
      <c r="E14" s="53"/>
      <c r="F14" s="53"/>
      <c r="G14" s="53"/>
      <c r="H14" s="53"/>
      <c r="I14" s="53"/>
      <c r="J14" s="53"/>
      <c r="K14" s="53"/>
      <c r="L14" s="53"/>
      <c r="M14" s="53"/>
      <c r="N14" s="53"/>
      <c r="O14" s="53"/>
      <c r="P14" s="53"/>
      <c r="Q14" s="53"/>
      <c r="R14" s="53"/>
      <c r="S14" s="53"/>
    </row>
    <row r="15" spans="4:23" x14ac:dyDescent="0.2">
      <c r="E15" s="54" t="s">
        <v>0</v>
      </c>
      <c r="F15" s="54" t="s">
        <v>1</v>
      </c>
      <c r="G15" s="54" t="s">
        <v>2</v>
      </c>
      <c r="H15" s="54" t="s">
        <v>3</v>
      </c>
      <c r="I15" s="54" t="s">
        <v>4</v>
      </c>
      <c r="J15" s="54" t="s">
        <v>5</v>
      </c>
      <c r="K15" s="54" t="s">
        <v>6</v>
      </c>
      <c r="L15" s="54" t="s">
        <v>7</v>
      </c>
      <c r="M15" s="54" t="s">
        <v>8</v>
      </c>
      <c r="N15" s="54" t="s">
        <v>9</v>
      </c>
      <c r="O15" s="54" t="s">
        <v>10</v>
      </c>
      <c r="P15" s="54" t="s">
        <v>11</v>
      </c>
      <c r="Q15" s="54" t="s">
        <v>12</v>
      </c>
      <c r="R15" s="54" t="s">
        <v>13</v>
      </c>
      <c r="S15" s="54" t="s">
        <v>14</v>
      </c>
    </row>
    <row r="16" spans="4:23" x14ac:dyDescent="0.2">
      <c r="D16" s="54" t="s">
        <v>15</v>
      </c>
      <c r="E16" s="35" t="s">
        <v>56</v>
      </c>
      <c r="F16" s="35" t="s">
        <v>57</v>
      </c>
      <c r="G16" s="35" t="s">
        <v>58</v>
      </c>
      <c r="H16" s="35" t="s">
        <v>59</v>
      </c>
      <c r="I16" s="35" t="s">
        <v>60</v>
      </c>
      <c r="J16" s="35" t="s">
        <v>61</v>
      </c>
      <c r="K16" s="35" t="s">
        <v>62</v>
      </c>
      <c r="L16" s="35" t="s">
        <v>63</v>
      </c>
      <c r="M16" s="35" t="s">
        <v>79</v>
      </c>
      <c r="N16" s="35" t="s">
        <v>64</v>
      </c>
      <c r="O16" s="64" t="s">
        <v>124</v>
      </c>
      <c r="P16" s="35" t="s">
        <v>65</v>
      </c>
      <c r="Q16" s="35" t="s">
        <v>66</v>
      </c>
      <c r="R16" s="35" t="s">
        <v>67</v>
      </c>
      <c r="S16" s="35" t="s">
        <v>68</v>
      </c>
    </row>
    <row r="17" spans="4:19" x14ac:dyDescent="0.2">
      <c r="D17" s="54" t="s">
        <v>16</v>
      </c>
      <c r="E17" s="40" t="s">
        <v>17</v>
      </c>
      <c r="F17" s="40" t="s">
        <v>18</v>
      </c>
      <c r="G17" s="40" t="s">
        <v>19</v>
      </c>
      <c r="H17" s="40" t="s">
        <v>20</v>
      </c>
      <c r="I17" s="40" t="s">
        <v>21</v>
      </c>
      <c r="J17" s="40" t="s">
        <v>22</v>
      </c>
      <c r="K17" s="40" t="s">
        <v>23</v>
      </c>
      <c r="L17" s="40" t="s">
        <v>24</v>
      </c>
      <c r="M17" s="40" t="s">
        <v>25</v>
      </c>
      <c r="N17" s="40" t="s">
        <v>26</v>
      </c>
      <c r="O17" s="40" t="s">
        <v>27</v>
      </c>
      <c r="P17" s="40" t="s">
        <v>28</v>
      </c>
      <c r="Q17" s="40" t="s">
        <v>29</v>
      </c>
      <c r="R17" s="40" t="s">
        <v>30</v>
      </c>
      <c r="S17" s="40" t="s">
        <v>31</v>
      </c>
    </row>
    <row r="18" spans="4:19" x14ac:dyDescent="0.2">
      <c r="D18" s="54" t="s">
        <v>32</v>
      </c>
      <c r="E18" s="40">
        <v>0.40500000000000003</v>
      </c>
      <c r="F18" s="40">
        <v>0.26400000000000001</v>
      </c>
      <c r="G18" s="40">
        <v>0.19600000000000001</v>
      </c>
      <c r="H18" s="40">
        <v>0.185</v>
      </c>
      <c r="I18" s="40">
        <v>0.254</v>
      </c>
      <c r="J18" s="40">
        <v>0.26200000000000001</v>
      </c>
      <c r="K18" s="40">
        <v>0.28299999999999997</v>
      </c>
      <c r="L18" s="40">
        <v>0.26800000000000002</v>
      </c>
      <c r="M18" s="40">
        <v>1.1000000000000001</v>
      </c>
      <c r="N18" s="40">
        <v>0.26800000000000002</v>
      </c>
      <c r="O18" s="40">
        <v>0.26700000000000002</v>
      </c>
      <c r="P18" s="40">
        <v>0.255</v>
      </c>
      <c r="Q18" s="40">
        <v>0.247</v>
      </c>
      <c r="R18" s="40">
        <v>0.23300000000000001</v>
      </c>
      <c r="S18" s="40">
        <v>0.26100000000000001</v>
      </c>
    </row>
    <row r="19" spans="4:19" x14ac:dyDescent="0.2">
      <c r="D19" s="58" t="s">
        <v>33</v>
      </c>
      <c r="E19" s="59">
        <v>11.666399999999999</v>
      </c>
      <c r="F19" s="59">
        <v>11.3691</v>
      </c>
      <c r="G19" s="59">
        <v>23.158300000000001</v>
      </c>
      <c r="H19" s="59">
        <v>22.208100000000002</v>
      </c>
      <c r="I19" s="59">
        <v>10.9587</v>
      </c>
      <c r="J19" s="59">
        <v>11.345700000000001</v>
      </c>
      <c r="K19" s="59">
        <v>22.9239</v>
      </c>
      <c r="L19" s="59">
        <v>23.159700000000001</v>
      </c>
      <c r="M19" s="59">
        <v>-0.26029999999999998</v>
      </c>
      <c r="N19" s="59">
        <v>12.556800000000001</v>
      </c>
      <c r="O19" s="59">
        <v>13.6328</v>
      </c>
      <c r="P19" s="59">
        <v>12.179399999999999</v>
      </c>
      <c r="Q19" s="59">
        <v>13.428900000000001</v>
      </c>
      <c r="R19" s="59">
        <v>12.5816</v>
      </c>
      <c r="S19" s="59">
        <v>11.4842</v>
      </c>
    </row>
    <row r="20" spans="4:19" x14ac:dyDescent="0.2">
      <c r="D20" s="58" t="s">
        <v>34</v>
      </c>
      <c r="E20" s="59">
        <v>0.1255</v>
      </c>
      <c r="F20" s="59">
        <v>0.1125</v>
      </c>
      <c r="G20" s="59">
        <v>0.2235</v>
      </c>
      <c r="H20" s="59">
        <v>0.22309999999999999</v>
      </c>
      <c r="I20" s="59">
        <v>0.12330000000000001</v>
      </c>
      <c r="J20" s="59">
        <v>0.1135</v>
      </c>
      <c r="K20" s="59">
        <v>0.20519999999999999</v>
      </c>
      <c r="L20" s="59">
        <v>0.26290000000000002</v>
      </c>
      <c r="M20" s="59">
        <v>0.1008</v>
      </c>
      <c r="N20" s="59">
        <v>0.11559999999999999</v>
      </c>
      <c r="O20" s="59">
        <v>6.2399999999999997E-2</v>
      </c>
      <c r="P20" s="59">
        <v>0.11700000000000001</v>
      </c>
      <c r="Q20" s="59">
        <v>5.3900000000000003E-2</v>
      </c>
      <c r="R20" s="59">
        <v>4.9799999999999997E-2</v>
      </c>
      <c r="S20" s="59">
        <v>9.2399999999999996E-2</v>
      </c>
    </row>
    <row r="21" spans="4:19" x14ac:dyDescent="0.2">
      <c r="D21" s="54" t="s">
        <v>35</v>
      </c>
      <c r="E21" s="55">
        <v>1.0800000000000001E-2</v>
      </c>
      <c r="F21" s="55">
        <v>9.9000000000000008E-3</v>
      </c>
      <c r="G21" s="55">
        <v>9.7000000000000003E-3</v>
      </c>
      <c r="H21" s="55">
        <v>0.01</v>
      </c>
      <c r="I21" s="55">
        <v>1.12E-2</v>
      </c>
      <c r="J21" s="55">
        <v>0.01</v>
      </c>
      <c r="K21" s="55">
        <v>8.9999999999999993E-3</v>
      </c>
      <c r="L21" s="55">
        <v>1.14E-2</v>
      </c>
      <c r="M21" s="55">
        <v>-0.38729999999999998</v>
      </c>
      <c r="N21" s="55">
        <v>9.1999999999999998E-3</v>
      </c>
      <c r="O21" s="55">
        <v>4.5999999999999999E-3</v>
      </c>
      <c r="P21" s="55">
        <v>9.5999999999999992E-3</v>
      </c>
      <c r="Q21" s="55">
        <v>4.0000000000000001E-3</v>
      </c>
      <c r="R21" s="55">
        <v>4.0000000000000001E-3</v>
      </c>
      <c r="S21" s="55">
        <v>8.0000000000000002E-3</v>
      </c>
    </row>
    <row r="22" spans="4:19" x14ac:dyDescent="0.2">
      <c r="D22" s="54" t="s">
        <v>36</v>
      </c>
      <c r="E22" s="40">
        <v>7.0000000000000001E-3</v>
      </c>
      <c r="F22" s="40">
        <v>6.3E-3</v>
      </c>
      <c r="G22" s="40">
        <v>1.2500000000000001E-2</v>
      </c>
      <c r="H22" s="40">
        <v>1.2500000000000001E-2</v>
      </c>
      <c r="I22" s="40">
        <v>6.8999999999999999E-3</v>
      </c>
      <c r="J22" s="40">
        <v>6.3E-3</v>
      </c>
      <c r="K22" s="40">
        <v>1.15E-2</v>
      </c>
      <c r="L22" s="40">
        <v>1.47E-2</v>
      </c>
      <c r="M22" s="40">
        <v>5.5999999999999999E-3</v>
      </c>
      <c r="N22" s="40">
        <v>6.4999999999999997E-3</v>
      </c>
      <c r="O22" s="40">
        <v>3.5000000000000001E-3</v>
      </c>
      <c r="P22" s="40">
        <v>6.4999999999999997E-3</v>
      </c>
      <c r="Q22" s="40">
        <v>3.0000000000000001E-3</v>
      </c>
      <c r="R22" s="40">
        <v>2.8E-3</v>
      </c>
      <c r="S22" s="40">
        <v>5.1999999999999998E-3</v>
      </c>
    </row>
    <row r="23" spans="4:19" x14ac:dyDescent="0.2">
      <c r="D23" s="54" t="s">
        <v>37</v>
      </c>
      <c r="E23" s="55">
        <v>5.9999999999999995E-4</v>
      </c>
      <c r="F23" s="55">
        <v>5.9999999999999995E-4</v>
      </c>
      <c r="G23" s="55">
        <v>5.0000000000000001E-4</v>
      </c>
      <c r="H23" s="55">
        <v>5.9999999999999995E-4</v>
      </c>
      <c r="I23" s="55">
        <v>5.9999999999999995E-4</v>
      </c>
      <c r="J23" s="55">
        <v>5.9999999999999995E-4</v>
      </c>
      <c r="K23" s="55">
        <v>5.0000000000000001E-4</v>
      </c>
      <c r="L23" s="55">
        <v>5.9999999999999995E-4</v>
      </c>
      <c r="M23" s="55">
        <v>-2.1700000000000001E-2</v>
      </c>
      <c r="N23" s="55">
        <v>5.0000000000000001E-4</v>
      </c>
      <c r="O23" s="55">
        <v>2.9999999999999997E-4</v>
      </c>
      <c r="P23" s="55">
        <v>5.0000000000000001E-4</v>
      </c>
      <c r="Q23" s="55">
        <v>2.0000000000000001E-4</v>
      </c>
      <c r="R23" s="55">
        <v>2.0000000000000001E-4</v>
      </c>
      <c r="S23" s="55">
        <v>4.0000000000000002E-4</v>
      </c>
    </row>
    <row r="24" spans="4:19" x14ac:dyDescent="0.2">
      <c r="D24" s="54" t="s">
        <v>38</v>
      </c>
      <c r="E24" s="55">
        <v>5.7700000000000001E-2</v>
      </c>
      <c r="F24" s="55">
        <v>4.7699999999999999E-2</v>
      </c>
      <c r="G24" s="55">
        <v>4.5100000000000001E-2</v>
      </c>
      <c r="H24" s="55">
        <v>5.0200000000000002E-2</v>
      </c>
      <c r="I24" s="55">
        <v>6.6100000000000006E-2</v>
      </c>
      <c r="J24" s="55">
        <v>5.1900000000000002E-2</v>
      </c>
      <c r="K24" s="55">
        <v>3.9399999999999998E-2</v>
      </c>
      <c r="L24" s="55">
        <v>6.3100000000000003E-2</v>
      </c>
      <c r="M24" s="55">
        <v>-2.3172999999999999</v>
      </c>
      <c r="N24" s="55">
        <v>4.2099999999999999E-2</v>
      </c>
      <c r="O24" s="55">
        <v>2.9399999999999999E-2</v>
      </c>
      <c r="P24" s="55">
        <v>4.4200000000000003E-2</v>
      </c>
      <c r="Q24" s="55">
        <v>2.5899999999999999E-2</v>
      </c>
      <c r="R24" s="55">
        <v>2.35E-2</v>
      </c>
      <c r="S24" s="55">
        <v>0.04</v>
      </c>
    </row>
    <row r="25" spans="4:19" x14ac:dyDescent="0.2">
      <c r="D25" s="54" t="s">
        <v>39</v>
      </c>
      <c r="E25" s="40">
        <v>579</v>
      </c>
      <c r="F25" s="40">
        <v>544</v>
      </c>
      <c r="G25" s="40">
        <v>1121</v>
      </c>
      <c r="H25" s="40">
        <v>1000</v>
      </c>
      <c r="I25" s="40">
        <v>467</v>
      </c>
      <c r="J25" s="40">
        <v>477</v>
      </c>
      <c r="K25" s="40">
        <v>1033</v>
      </c>
      <c r="L25" s="40">
        <v>1175</v>
      </c>
      <c r="M25" s="40">
        <v>6</v>
      </c>
      <c r="N25" s="40">
        <v>560</v>
      </c>
      <c r="O25" s="40">
        <v>573</v>
      </c>
      <c r="P25" s="40">
        <v>562</v>
      </c>
      <c r="Q25" s="40">
        <v>565</v>
      </c>
      <c r="R25" s="40">
        <v>498</v>
      </c>
      <c r="S25" s="40">
        <v>574</v>
      </c>
    </row>
    <row r="26" spans="4:19" x14ac:dyDescent="0.2">
      <c r="D26" s="56"/>
    </row>
    <row r="27" spans="4:19" x14ac:dyDescent="0.2">
      <c r="D27" s="49" t="s">
        <v>41</v>
      </c>
      <c r="E27" s="53"/>
      <c r="F27" s="53"/>
      <c r="G27" s="53"/>
      <c r="H27" s="53"/>
      <c r="I27" s="53"/>
      <c r="J27" s="53"/>
      <c r="K27" s="53"/>
      <c r="L27" s="53"/>
      <c r="M27" s="53"/>
      <c r="N27" s="53"/>
      <c r="O27" s="53"/>
      <c r="P27" s="53"/>
      <c r="Q27" s="53"/>
      <c r="R27" s="53"/>
      <c r="S27" s="53"/>
    </row>
    <row r="28" spans="4:19" x14ac:dyDescent="0.2">
      <c r="E28" s="54" t="s">
        <v>0</v>
      </c>
      <c r="F28" s="54" t="s">
        <v>1</v>
      </c>
      <c r="G28" s="54" t="s">
        <v>2</v>
      </c>
      <c r="H28" s="54" t="s">
        <v>3</v>
      </c>
      <c r="I28" s="54" t="s">
        <v>4</v>
      </c>
      <c r="J28" s="54" t="s">
        <v>5</v>
      </c>
      <c r="K28" s="54" t="s">
        <v>6</v>
      </c>
      <c r="L28" s="54" t="s">
        <v>7</v>
      </c>
      <c r="M28" s="54" t="s">
        <v>8</v>
      </c>
      <c r="N28" s="54" t="s">
        <v>9</v>
      </c>
      <c r="O28" s="54" t="s">
        <v>10</v>
      </c>
      <c r="P28" s="54" t="s">
        <v>11</v>
      </c>
      <c r="Q28" s="54" t="s">
        <v>12</v>
      </c>
      <c r="R28" s="54" t="s">
        <v>13</v>
      </c>
      <c r="S28" s="54" t="s">
        <v>14</v>
      </c>
    </row>
    <row r="29" spans="4:19" x14ac:dyDescent="0.2">
      <c r="D29" s="54" t="s">
        <v>15</v>
      </c>
      <c r="E29" s="35" t="s">
        <v>56</v>
      </c>
      <c r="F29" s="35" t="s">
        <v>57</v>
      </c>
      <c r="G29" s="35" t="s">
        <v>58</v>
      </c>
      <c r="H29" s="35" t="s">
        <v>59</v>
      </c>
      <c r="I29" s="35" t="s">
        <v>60</v>
      </c>
      <c r="J29" s="35" t="s">
        <v>61</v>
      </c>
      <c r="K29" s="35" t="s">
        <v>62</v>
      </c>
      <c r="L29" s="35" t="s">
        <v>63</v>
      </c>
      <c r="M29" s="35" t="s">
        <v>79</v>
      </c>
      <c r="N29" s="35" t="s">
        <v>64</v>
      </c>
      <c r="O29" s="64" t="s">
        <v>124</v>
      </c>
      <c r="P29" s="35" t="s">
        <v>65</v>
      </c>
      <c r="Q29" s="35" t="s">
        <v>66</v>
      </c>
      <c r="R29" s="35" t="s">
        <v>67</v>
      </c>
      <c r="S29" s="35" t="s">
        <v>68</v>
      </c>
    </row>
    <row r="30" spans="4:19" x14ac:dyDescent="0.2">
      <c r="D30" s="54" t="s">
        <v>16</v>
      </c>
      <c r="E30" s="40" t="s">
        <v>17</v>
      </c>
      <c r="F30" s="40" t="s">
        <v>18</v>
      </c>
      <c r="G30" s="40" t="s">
        <v>19</v>
      </c>
      <c r="H30" s="40" t="s">
        <v>20</v>
      </c>
      <c r="I30" s="40" t="s">
        <v>21</v>
      </c>
      <c r="J30" s="40" t="s">
        <v>22</v>
      </c>
      <c r="K30" s="40" t="s">
        <v>23</v>
      </c>
      <c r="L30" s="40" t="s">
        <v>24</v>
      </c>
      <c r="M30" s="40" t="s">
        <v>25</v>
      </c>
      <c r="N30" s="40" t="s">
        <v>26</v>
      </c>
      <c r="O30" s="40" t="s">
        <v>27</v>
      </c>
      <c r="P30" s="40" t="s">
        <v>28</v>
      </c>
      <c r="Q30" s="40" t="s">
        <v>29</v>
      </c>
      <c r="R30" s="40" t="s">
        <v>30</v>
      </c>
      <c r="S30" s="40" t="s">
        <v>31</v>
      </c>
    </row>
    <row r="31" spans="4:19" x14ac:dyDescent="0.2">
      <c r="D31" s="54" t="s">
        <v>32</v>
      </c>
      <c r="E31" s="40">
        <v>0.40500000000000003</v>
      </c>
      <c r="F31" s="40">
        <v>0.26400000000000001</v>
      </c>
      <c r="G31" s="40">
        <v>0.19600000000000001</v>
      </c>
      <c r="H31" s="40">
        <v>0.185</v>
      </c>
      <c r="I31" s="40">
        <v>0.254</v>
      </c>
      <c r="J31" s="40">
        <v>0.26200000000000001</v>
      </c>
      <c r="K31" s="40">
        <v>0.28299999999999997</v>
      </c>
      <c r="L31" s="40">
        <v>0.26800000000000002</v>
      </c>
      <c r="M31" s="40">
        <v>1.1000000000000001</v>
      </c>
      <c r="N31" s="40">
        <v>0.26800000000000002</v>
      </c>
      <c r="O31" s="40">
        <v>0.26700000000000002</v>
      </c>
      <c r="P31" s="40">
        <v>0.255</v>
      </c>
      <c r="Q31" s="40">
        <v>0.247</v>
      </c>
      <c r="R31" s="40">
        <v>0.23300000000000001</v>
      </c>
      <c r="S31" s="40">
        <v>0.26100000000000001</v>
      </c>
    </row>
    <row r="32" spans="4:19" x14ac:dyDescent="0.2">
      <c r="D32" s="58" t="s">
        <v>33</v>
      </c>
      <c r="E32" s="59">
        <v>11.8559</v>
      </c>
      <c r="F32" s="59">
        <v>11.6502</v>
      </c>
      <c r="G32" s="59">
        <v>23.014199999999999</v>
      </c>
      <c r="H32" s="59">
        <v>22.212900000000001</v>
      </c>
      <c r="I32" s="59">
        <v>11.3735</v>
      </c>
      <c r="J32" s="59">
        <v>11.408799999999999</v>
      </c>
      <c r="K32" s="59">
        <v>23.499199999999998</v>
      </c>
      <c r="L32" s="59">
        <v>23.898299999999999</v>
      </c>
      <c r="M32" s="59">
        <v>-0.26419999999999999</v>
      </c>
      <c r="N32" s="59">
        <v>13.589499999999999</v>
      </c>
      <c r="O32" s="59">
        <v>14.0084</v>
      </c>
      <c r="P32" s="59">
        <v>12.500999999999999</v>
      </c>
      <c r="Q32" s="59">
        <v>13.645799999999999</v>
      </c>
      <c r="R32" s="59">
        <v>12.863799999999999</v>
      </c>
      <c r="S32" s="59">
        <v>11.756</v>
      </c>
    </row>
    <row r="33" spans="4:19" x14ac:dyDescent="0.2">
      <c r="D33" s="58" t="s">
        <v>34</v>
      </c>
      <c r="E33" s="59">
        <v>0.12189999999999999</v>
      </c>
      <c r="F33" s="59">
        <v>0.1158</v>
      </c>
      <c r="G33" s="59">
        <v>0.21659999999999999</v>
      </c>
      <c r="H33" s="59">
        <v>0.24779999999999999</v>
      </c>
      <c r="I33" s="59">
        <v>0.12809999999999999</v>
      </c>
      <c r="J33" s="59">
        <v>0.1225</v>
      </c>
      <c r="K33" s="59">
        <v>0.22689999999999999</v>
      </c>
      <c r="L33" s="59">
        <v>0.27179999999999999</v>
      </c>
      <c r="M33" s="59">
        <v>0.10340000000000001</v>
      </c>
      <c r="N33" s="59">
        <v>0.14280000000000001</v>
      </c>
      <c r="O33" s="59">
        <v>6.9099999999999995E-2</v>
      </c>
      <c r="P33" s="59">
        <v>0.12859999999999999</v>
      </c>
      <c r="Q33" s="59">
        <v>5.62E-2</v>
      </c>
      <c r="R33" s="59">
        <v>5.4300000000000001E-2</v>
      </c>
      <c r="S33" s="59">
        <v>9.6000000000000002E-2</v>
      </c>
    </row>
    <row r="34" spans="4:19" x14ac:dyDescent="0.2">
      <c r="D34" s="54" t="s">
        <v>35</v>
      </c>
      <c r="E34" s="55">
        <v>1.03E-2</v>
      </c>
      <c r="F34" s="55">
        <v>9.9000000000000008E-3</v>
      </c>
      <c r="G34" s="55">
        <v>9.4000000000000004E-3</v>
      </c>
      <c r="H34" s="55">
        <v>1.12E-2</v>
      </c>
      <c r="I34" s="55">
        <v>1.1299999999999999E-2</v>
      </c>
      <c r="J34" s="55">
        <v>1.0699999999999999E-2</v>
      </c>
      <c r="K34" s="55">
        <v>9.7000000000000003E-3</v>
      </c>
      <c r="L34" s="55">
        <v>1.14E-2</v>
      </c>
      <c r="M34" s="55">
        <v>-0.39119999999999999</v>
      </c>
      <c r="N34" s="55">
        <v>1.0500000000000001E-2</v>
      </c>
      <c r="O34" s="55">
        <v>4.8999999999999998E-3</v>
      </c>
      <c r="P34" s="55">
        <v>1.03E-2</v>
      </c>
      <c r="Q34" s="55">
        <v>4.1000000000000003E-3</v>
      </c>
      <c r="R34" s="55">
        <v>4.1999999999999997E-3</v>
      </c>
      <c r="S34" s="55">
        <v>8.2000000000000007E-3</v>
      </c>
    </row>
    <row r="35" spans="4:19" x14ac:dyDescent="0.2">
      <c r="D35" s="54" t="s">
        <v>36</v>
      </c>
      <c r="E35" s="40">
        <v>6.7999999999999996E-3</v>
      </c>
      <c r="F35" s="40">
        <v>6.4999999999999997E-3</v>
      </c>
      <c r="G35" s="40">
        <v>1.21E-2</v>
      </c>
      <c r="H35" s="40">
        <v>1.3899999999999999E-2</v>
      </c>
      <c r="I35" s="40">
        <v>7.1999999999999998E-3</v>
      </c>
      <c r="J35" s="40">
        <v>6.7999999999999996E-3</v>
      </c>
      <c r="K35" s="40">
        <v>1.2699999999999999E-2</v>
      </c>
      <c r="L35" s="40">
        <v>1.52E-2</v>
      </c>
      <c r="M35" s="40">
        <v>5.7999999999999996E-3</v>
      </c>
      <c r="N35" s="40">
        <v>8.0000000000000002E-3</v>
      </c>
      <c r="O35" s="40">
        <v>3.8999999999999998E-3</v>
      </c>
      <c r="P35" s="40">
        <v>7.1999999999999998E-3</v>
      </c>
      <c r="Q35" s="40">
        <v>3.0999999999999999E-3</v>
      </c>
      <c r="R35" s="40">
        <v>3.0000000000000001E-3</v>
      </c>
      <c r="S35" s="40">
        <v>5.4000000000000003E-3</v>
      </c>
    </row>
    <row r="36" spans="4:19" x14ac:dyDescent="0.2">
      <c r="D36" s="54" t="s">
        <v>37</v>
      </c>
      <c r="E36" s="55">
        <v>5.9999999999999995E-4</v>
      </c>
      <c r="F36" s="55">
        <v>5.9999999999999995E-4</v>
      </c>
      <c r="G36" s="55">
        <v>5.0000000000000001E-4</v>
      </c>
      <c r="H36" s="55">
        <v>5.9999999999999995E-4</v>
      </c>
      <c r="I36" s="55">
        <v>5.9999999999999995E-4</v>
      </c>
      <c r="J36" s="55">
        <v>5.9999999999999995E-4</v>
      </c>
      <c r="K36" s="55">
        <v>5.0000000000000001E-4</v>
      </c>
      <c r="L36" s="55">
        <v>5.9999999999999995E-4</v>
      </c>
      <c r="M36" s="55">
        <v>-2.1899999999999999E-2</v>
      </c>
      <c r="N36" s="55">
        <v>5.9999999999999995E-4</v>
      </c>
      <c r="O36" s="55">
        <v>2.9999999999999997E-4</v>
      </c>
      <c r="P36" s="55">
        <v>5.9999999999999995E-4</v>
      </c>
      <c r="Q36" s="55">
        <v>2.0000000000000001E-4</v>
      </c>
      <c r="R36" s="55">
        <v>2.0000000000000001E-4</v>
      </c>
      <c r="S36" s="55">
        <v>5.0000000000000001E-4</v>
      </c>
    </row>
    <row r="37" spans="4:19" x14ac:dyDescent="0.2">
      <c r="D37" s="54" t="s">
        <v>38</v>
      </c>
      <c r="E37" s="55">
        <v>5.0200000000000002E-2</v>
      </c>
      <c r="F37" s="55">
        <v>5.4199999999999998E-2</v>
      </c>
      <c r="G37" s="55">
        <v>4.4999999999999998E-2</v>
      </c>
      <c r="H37" s="55">
        <v>4.9500000000000002E-2</v>
      </c>
      <c r="I37" s="55">
        <v>4.9700000000000001E-2</v>
      </c>
      <c r="J37" s="55">
        <v>5.0799999999999998E-2</v>
      </c>
      <c r="K37" s="55">
        <v>3.7900000000000003E-2</v>
      </c>
      <c r="L37" s="55">
        <v>5.62E-2</v>
      </c>
      <c r="M37" s="55">
        <v>-2.5428999999999999</v>
      </c>
      <c r="N37" s="55">
        <v>4.5600000000000002E-2</v>
      </c>
      <c r="O37" s="55">
        <v>2.5999999999999999E-2</v>
      </c>
      <c r="P37" s="55">
        <v>4.19E-2</v>
      </c>
      <c r="Q37" s="55">
        <v>2.2700000000000001E-2</v>
      </c>
      <c r="R37" s="55">
        <v>2.29E-2</v>
      </c>
      <c r="S37" s="55">
        <v>4.0500000000000001E-2</v>
      </c>
    </row>
    <row r="38" spans="4:19" x14ac:dyDescent="0.2">
      <c r="D38" s="54" t="s">
        <v>39</v>
      </c>
      <c r="E38" s="40">
        <v>636</v>
      </c>
      <c r="F38" s="40">
        <v>597</v>
      </c>
      <c r="G38" s="40">
        <v>1228</v>
      </c>
      <c r="H38" s="40">
        <v>1095</v>
      </c>
      <c r="I38" s="40">
        <v>512</v>
      </c>
      <c r="J38" s="40">
        <v>504</v>
      </c>
      <c r="K38" s="40">
        <v>1140</v>
      </c>
      <c r="L38" s="40">
        <v>1294</v>
      </c>
      <c r="M38" s="40">
        <v>6</v>
      </c>
      <c r="N38" s="40">
        <v>650</v>
      </c>
      <c r="O38" s="40">
        <v>628</v>
      </c>
      <c r="P38" s="40">
        <v>612</v>
      </c>
      <c r="Q38" s="40">
        <v>610</v>
      </c>
      <c r="R38" s="40">
        <v>541</v>
      </c>
      <c r="S38" s="40">
        <v>627</v>
      </c>
    </row>
    <row r="39" spans="4:19" x14ac:dyDescent="0.2">
      <c r="D39" s="57"/>
    </row>
    <row r="40" spans="4:19" x14ac:dyDescent="0.2">
      <c r="D40" s="50" t="s">
        <v>40</v>
      </c>
      <c r="E40" s="53"/>
      <c r="F40" s="53"/>
      <c r="G40" s="53"/>
      <c r="H40" s="53"/>
      <c r="I40" s="53"/>
      <c r="J40" s="53"/>
      <c r="K40" s="53"/>
      <c r="L40" s="53"/>
      <c r="M40" s="53"/>
      <c r="N40" s="53"/>
      <c r="O40" s="53"/>
      <c r="P40" s="53"/>
      <c r="Q40" s="53"/>
      <c r="R40" s="53"/>
      <c r="S40" s="53"/>
    </row>
    <row r="41" spans="4:19" x14ac:dyDescent="0.2">
      <c r="E41" s="54" t="s">
        <v>0</v>
      </c>
      <c r="F41" s="54" t="s">
        <v>1</v>
      </c>
      <c r="G41" s="54" t="s">
        <v>2</v>
      </c>
      <c r="H41" s="54" t="s">
        <v>3</v>
      </c>
      <c r="I41" s="54" t="s">
        <v>4</v>
      </c>
      <c r="J41" s="54" t="s">
        <v>5</v>
      </c>
      <c r="K41" s="54" t="s">
        <v>6</v>
      </c>
      <c r="L41" s="54" t="s">
        <v>7</v>
      </c>
      <c r="M41" s="54" t="s">
        <v>8</v>
      </c>
      <c r="N41" s="54" t="s">
        <v>9</v>
      </c>
      <c r="O41" s="54" t="s">
        <v>10</v>
      </c>
      <c r="P41" s="54" t="s">
        <v>11</v>
      </c>
      <c r="Q41" s="54" t="s">
        <v>12</v>
      </c>
      <c r="R41" s="54" t="s">
        <v>13</v>
      </c>
      <c r="S41" s="54" t="s">
        <v>14</v>
      </c>
    </row>
    <row r="42" spans="4:19" x14ac:dyDescent="0.2">
      <c r="D42" s="54" t="s">
        <v>15</v>
      </c>
      <c r="E42" s="35" t="s">
        <v>56</v>
      </c>
      <c r="F42" s="35" t="s">
        <v>57</v>
      </c>
      <c r="G42" s="35" t="s">
        <v>58</v>
      </c>
      <c r="H42" s="35" t="s">
        <v>59</v>
      </c>
      <c r="I42" s="35" t="s">
        <v>60</v>
      </c>
      <c r="J42" s="35" t="s">
        <v>61</v>
      </c>
      <c r="K42" s="35" t="s">
        <v>62</v>
      </c>
      <c r="L42" s="35" t="s">
        <v>63</v>
      </c>
      <c r="M42" s="35" t="s">
        <v>79</v>
      </c>
      <c r="N42" s="35" t="s">
        <v>64</v>
      </c>
      <c r="O42" s="64" t="s">
        <v>124</v>
      </c>
      <c r="P42" s="35" t="s">
        <v>65</v>
      </c>
      <c r="Q42" s="35" t="s">
        <v>66</v>
      </c>
      <c r="R42" s="35" t="s">
        <v>67</v>
      </c>
      <c r="S42" s="35" t="s">
        <v>68</v>
      </c>
    </row>
    <row r="43" spans="4:19" x14ac:dyDescent="0.2">
      <c r="D43" s="54" t="s">
        <v>16</v>
      </c>
      <c r="E43" s="40" t="s">
        <v>17</v>
      </c>
      <c r="F43" s="40" t="s">
        <v>18</v>
      </c>
      <c r="G43" s="40" t="s">
        <v>19</v>
      </c>
      <c r="H43" s="40" t="s">
        <v>20</v>
      </c>
      <c r="I43" s="40" t="s">
        <v>21</v>
      </c>
      <c r="J43" s="40" t="s">
        <v>22</v>
      </c>
      <c r="K43" s="40" t="s">
        <v>23</v>
      </c>
      <c r="L43" s="40" t="s">
        <v>24</v>
      </c>
      <c r="M43" s="40" t="s">
        <v>25</v>
      </c>
      <c r="N43" s="40" t="s">
        <v>26</v>
      </c>
      <c r="O43" s="40" t="s">
        <v>27</v>
      </c>
      <c r="P43" s="40" t="s">
        <v>28</v>
      </c>
      <c r="Q43" s="40" t="s">
        <v>29</v>
      </c>
      <c r="R43" s="40" t="s">
        <v>30</v>
      </c>
      <c r="S43" s="40" t="s">
        <v>31</v>
      </c>
    </row>
    <row r="44" spans="4:19" x14ac:dyDescent="0.2">
      <c r="D44" s="54" t="s">
        <v>32</v>
      </c>
      <c r="E44" s="40">
        <v>0.40500000000000003</v>
      </c>
      <c r="F44" s="40">
        <v>0.26400000000000001</v>
      </c>
      <c r="G44" s="40">
        <v>0.19600000000000001</v>
      </c>
      <c r="H44" s="40">
        <v>0.185</v>
      </c>
      <c r="I44" s="40">
        <v>0.254</v>
      </c>
      <c r="J44" s="40">
        <v>0.26200000000000001</v>
      </c>
      <c r="K44" s="40">
        <v>0.28299999999999997</v>
      </c>
      <c r="L44" s="40">
        <v>0.26800000000000002</v>
      </c>
      <c r="M44" s="40">
        <v>1.1000000000000001</v>
      </c>
      <c r="N44" s="40">
        <v>0.26800000000000002</v>
      </c>
      <c r="O44" s="40">
        <v>0.26700000000000002</v>
      </c>
      <c r="P44" s="40">
        <v>0.255</v>
      </c>
      <c r="Q44" s="40">
        <v>0.247</v>
      </c>
      <c r="R44" s="40">
        <v>0.23300000000000001</v>
      </c>
      <c r="S44" s="40">
        <v>0.26100000000000001</v>
      </c>
    </row>
    <row r="45" spans="4:19" x14ac:dyDescent="0.2">
      <c r="D45" s="58" t="s">
        <v>33</v>
      </c>
      <c r="E45" s="59">
        <v>11.891999999999999</v>
      </c>
      <c r="F45" s="59">
        <v>11.515000000000001</v>
      </c>
      <c r="G45" s="59">
        <v>23.2898</v>
      </c>
      <c r="H45" s="59">
        <v>22.657800000000002</v>
      </c>
      <c r="I45" s="59">
        <v>11.169499999999999</v>
      </c>
      <c r="J45" s="59">
        <v>11.3805</v>
      </c>
      <c r="K45" s="59">
        <v>23.414000000000001</v>
      </c>
      <c r="L45" s="59">
        <v>23.4345</v>
      </c>
      <c r="M45" s="59">
        <v>-0.28520000000000001</v>
      </c>
      <c r="N45" s="59">
        <v>13.3</v>
      </c>
      <c r="O45" s="59">
        <v>13.9207</v>
      </c>
      <c r="P45" s="59">
        <v>12.415800000000001</v>
      </c>
      <c r="Q45" s="59">
        <v>13.5565</v>
      </c>
      <c r="R45" s="59">
        <v>12.7758</v>
      </c>
      <c r="S45" s="59">
        <v>11.722099999999999</v>
      </c>
    </row>
    <row r="46" spans="4:19" x14ac:dyDescent="0.2">
      <c r="D46" s="58" t="s">
        <v>34</v>
      </c>
      <c r="E46" s="59">
        <v>0.1231</v>
      </c>
      <c r="F46" s="59">
        <v>0.11940000000000001</v>
      </c>
      <c r="G46" s="59">
        <v>0.2291</v>
      </c>
      <c r="H46" s="59">
        <v>0.22969999999999999</v>
      </c>
      <c r="I46" s="59">
        <v>0.1201</v>
      </c>
      <c r="J46" s="59">
        <v>0.1181</v>
      </c>
      <c r="K46" s="59">
        <v>0.22839999999999999</v>
      </c>
      <c r="L46" s="59">
        <v>0.2394</v>
      </c>
      <c r="M46" s="59">
        <v>0.1024</v>
      </c>
      <c r="N46" s="59">
        <v>0.1384</v>
      </c>
      <c r="O46" s="59">
        <v>7.1499999999999994E-2</v>
      </c>
      <c r="P46" s="59">
        <v>0.12989999999999999</v>
      </c>
      <c r="Q46" s="59">
        <v>5.74E-2</v>
      </c>
      <c r="R46" s="59">
        <v>5.1400000000000001E-2</v>
      </c>
      <c r="S46" s="59">
        <v>9.1399999999999995E-2</v>
      </c>
    </row>
    <row r="47" spans="4:19" x14ac:dyDescent="0.2">
      <c r="D47" s="54" t="s">
        <v>35</v>
      </c>
      <c r="E47" s="55">
        <v>1.03E-2</v>
      </c>
      <c r="F47" s="55">
        <v>1.04E-2</v>
      </c>
      <c r="G47" s="55">
        <v>9.7999999999999997E-3</v>
      </c>
      <c r="H47" s="55">
        <v>1.01E-2</v>
      </c>
      <c r="I47" s="55">
        <v>1.0699999999999999E-2</v>
      </c>
      <c r="J47" s="55">
        <v>1.04E-2</v>
      </c>
      <c r="K47" s="55">
        <v>9.7999999999999997E-3</v>
      </c>
      <c r="L47" s="55">
        <v>1.0200000000000001E-2</v>
      </c>
      <c r="M47" s="55">
        <v>-0.35899999999999999</v>
      </c>
      <c r="N47" s="55">
        <v>1.04E-2</v>
      </c>
      <c r="O47" s="55">
        <v>5.1000000000000004E-3</v>
      </c>
      <c r="P47" s="55">
        <v>1.0500000000000001E-2</v>
      </c>
      <c r="Q47" s="55">
        <v>4.1999999999999997E-3</v>
      </c>
      <c r="R47" s="55">
        <v>4.0000000000000001E-3</v>
      </c>
      <c r="S47" s="55">
        <v>7.7999999999999996E-3</v>
      </c>
    </row>
    <row r="48" spans="4:19" x14ac:dyDescent="0.2">
      <c r="D48" s="54" t="s">
        <v>36</v>
      </c>
      <c r="E48" s="40">
        <v>6.8999999999999999E-3</v>
      </c>
      <c r="F48" s="40">
        <v>6.7000000000000002E-3</v>
      </c>
      <c r="G48" s="40">
        <v>1.2800000000000001E-2</v>
      </c>
      <c r="H48" s="40">
        <v>1.2800000000000001E-2</v>
      </c>
      <c r="I48" s="40">
        <v>6.7000000000000002E-3</v>
      </c>
      <c r="J48" s="40">
        <v>6.6E-3</v>
      </c>
      <c r="K48" s="40">
        <v>1.2800000000000001E-2</v>
      </c>
      <c r="L48" s="40">
        <v>1.34E-2</v>
      </c>
      <c r="M48" s="40">
        <v>5.7000000000000002E-3</v>
      </c>
      <c r="N48" s="40">
        <v>7.7000000000000002E-3</v>
      </c>
      <c r="O48" s="40">
        <v>4.0000000000000001E-3</v>
      </c>
      <c r="P48" s="40">
        <v>7.3000000000000001E-3</v>
      </c>
      <c r="Q48" s="40">
        <v>3.2000000000000002E-3</v>
      </c>
      <c r="R48" s="40">
        <v>2.8999999999999998E-3</v>
      </c>
      <c r="S48" s="40">
        <v>5.1000000000000004E-3</v>
      </c>
    </row>
    <row r="49" spans="4:19" x14ac:dyDescent="0.2">
      <c r="D49" s="54" t="s">
        <v>37</v>
      </c>
      <c r="E49" s="55">
        <v>5.9999999999999995E-4</v>
      </c>
      <c r="F49" s="55">
        <v>5.9999999999999995E-4</v>
      </c>
      <c r="G49" s="55">
        <v>5.0000000000000001E-4</v>
      </c>
      <c r="H49" s="55">
        <v>5.9999999999999995E-4</v>
      </c>
      <c r="I49" s="55">
        <v>5.9999999999999995E-4</v>
      </c>
      <c r="J49" s="55">
        <v>5.9999999999999995E-4</v>
      </c>
      <c r="K49" s="55">
        <v>5.0000000000000001E-4</v>
      </c>
      <c r="L49" s="55">
        <v>5.9999999999999995E-4</v>
      </c>
      <c r="M49" s="55">
        <v>-2.01E-2</v>
      </c>
      <c r="N49" s="55">
        <v>5.9999999999999995E-4</v>
      </c>
      <c r="O49" s="55">
        <v>2.9999999999999997E-4</v>
      </c>
      <c r="P49" s="55">
        <v>5.9999999999999995E-4</v>
      </c>
      <c r="Q49" s="55">
        <v>2.0000000000000001E-4</v>
      </c>
      <c r="R49" s="55">
        <v>2.0000000000000001E-4</v>
      </c>
      <c r="S49" s="55">
        <v>4.0000000000000002E-4</v>
      </c>
    </row>
    <row r="50" spans="4:19" x14ac:dyDescent="0.2">
      <c r="D50" s="54" t="s">
        <v>38</v>
      </c>
      <c r="E50" s="55">
        <v>5.2900000000000003E-2</v>
      </c>
      <c r="F50" s="55">
        <v>4.53E-2</v>
      </c>
      <c r="G50" s="55">
        <v>4.3099999999999999E-2</v>
      </c>
      <c r="H50" s="55">
        <v>3.9899999999999998E-2</v>
      </c>
      <c r="I50" s="55">
        <v>5.0200000000000002E-2</v>
      </c>
      <c r="J50" s="55">
        <v>4.8000000000000001E-2</v>
      </c>
      <c r="K50" s="55">
        <v>3.9E-2</v>
      </c>
      <c r="L50" s="55">
        <v>4.4600000000000001E-2</v>
      </c>
      <c r="M50" s="55">
        <v>-2.1191</v>
      </c>
      <c r="N50" s="55">
        <v>4.4299999999999999E-2</v>
      </c>
      <c r="O50" s="55">
        <v>2.8400000000000002E-2</v>
      </c>
      <c r="P50" s="55">
        <v>4.8800000000000003E-2</v>
      </c>
      <c r="Q50" s="55">
        <v>2.3900000000000001E-2</v>
      </c>
      <c r="R50" s="55">
        <v>2.35E-2</v>
      </c>
      <c r="S50" s="55">
        <v>4.1099999999999998E-2</v>
      </c>
    </row>
    <row r="51" spans="4:19" x14ac:dyDescent="0.2">
      <c r="D51" s="54" t="s">
        <v>39</v>
      </c>
      <c r="E51" s="40">
        <v>633</v>
      </c>
      <c r="F51" s="40">
        <v>599</v>
      </c>
      <c r="G51" s="40">
        <v>1209</v>
      </c>
      <c r="H51" s="40">
        <v>1079</v>
      </c>
      <c r="I51" s="40">
        <v>505</v>
      </c>
      <c r="J51" s="40">
        <v>503</v>
      </c>
      <c r="K51" s="40">
        <v>1128</v>
      </c>
      <c r="L51" s="40">
        <v>1288</v>
      </c>
      <c r="M51" s="40">
        <v>6</v>
      </c>
      <c r="N51" s="40">
        <v>629</v>
      </c>
      <c r="O51" s="40">
        <v>621</v>
      </c>
      <c r="P51" s="40">
        <v>611</v>
      </c>
      <c r="Q51" s="40">
        <v>604</v>
      </c>
      <c r="R51" s="40">
        <v>532</v>
      </c>
      <c r="S51" s="40">
        <v>616</v>
      </c>
    </row>
    <row r="53" spans="4:19" x14ac:dyDescent="0.2">
      <c r="D53" s="51"/>
      <c r="E53" s="51"/>
      <c r="F53" s="51"/>
      <c r="G53" s="51"/>
      <c r="H53" s="51"/>
      <c r="I53" s="51"/>
      <c r="J53" s="51"/>
      <c r="K53" s="51"/>
      <c r="L53" s="51"/>
      <c r="M53" s="51"/>
      <c r="N53" s="51"/>
      <c r="O53" s="51"/>
      <c r="P53" s="51"/>
      <c r="Q53" s="51"/>
      <c r="R53" s="51"/>
    </row>
    <row r="54" spans="4:19" x14ac:dyDescent="0.2">
      <c r="D54" s="51"/>
      <c r="E54" s="51"/>
      <c r="F54" s="51"/>
      <c r="G54" s="51"/>
      <c r="H54" s="51"/>
      <c r="I54" s="51"/>
      <c r="J54" s="51"/>
      <c r="K54" s="51"/>
      <c r="L54" s="51"/>
      <c r="M54" s="51"/>
      <c r="N54" s="51"/>
      <c r="O54" s="51"/>
      <c r="P54" s="51"/>
      <c r="Q54" s="51"/>
      <c r="R54" s="51"/>
    </row>
    <row r="55" spans="4:19" x14ac:dyDescent="0.2">
      <c r="D55" s="51"/>
      <c r="E55" s="51"/>
      <c r="F55" s="51"/>
      <c r="G55" s="51"/>
      <c r="H55" s="51"/>
      <c r="I55" s="51"/>
      <c r="J55" s="51"/>
      <c r="K55" s="51"/>
      <c r="L55" s="51"/>
      <c r="M55" s="51"/>
      <c r="N55" s="51"/>
      <c r="O55" s="51"/>
      <c r="P55" s="51"/>
      <c r="Q55" s="51"/>
      <c r="R55" s="51"/>
    </row>
    <row r="56" spans="4:19" x14ac:dyDescent="0.2">
      <c r="D56" s="51"/>
      <c r="E56" s="51"/>
      <c r="F56" s="51"/>
      <c r="G56" s="51"/>
      <c r="H56" s="51"/>
      <c r="I56" s="51"/>
      <c r="J56" s="51"/>
      <c r="K56" s="51"/>
      <c r="L56" s="51"/>
      <c r="M56" s="51"/>
      <c r="N56" s="51"/>
      <c r="O56" s="51"/>
      <c r="P56" s="51"/>
      <c r="Q56" s="51"/>
      <c r="R56" s="51"/>
    </row>
    <row r="57" spans="4:19" x14ac:dyDescent="0.2">
      <c r="D57" s="38"/>
      <c r="E57" s="51"/>
      <c r="F57" s="51"/>
      <c r="G57" s="51"/>
      <c r="H57" s="51"/>
      <c r="I57" s="51"/>
      <c r="J57" s="51"/>
      <c r="K57" s="51"/>
      <c r="L57" s="51"/>
      <c r="M57" s="51"/>
      <c r="N57" s="51"/>
      <c r="O57" s="51"/>
      <c r="P57" s="51"/>
      <c r="Q57" s="51"/>
      <c r="R57" s="51"/>
    </row>
    <row r="58" spans="4:19" x14ac:dyDescent="0.2">
      <c r="D58" s="38"/>
      <c r="E58" s="51"/>
      <c r="F58" s="51"/>
      <c r="G58" s="51"/>
      <c r="H58" s="51"/>
      <c r="I58" s="51"/>
      <c r="J58" s="51"/>
      <c r="K58" s="51"/>
      <c r="L58" s="51"/>
      <c r="M58" s="51"/>
      <c r="N58" s="51"/>
      <c r="O58" s="51"/>
      <c r="P58" s="51"/>
      <c r="Q58" s="51"/>
      <c r="R58" s="51"/>
    </row>
    <row r="59" spans="4:19" x14ac:dyDescent="0.2">
      <c r="D59" s="38"/>
      <c r="E59" s="51"/>
      <c r="F59" s="51"/>
      <c r="G59" s="51"/>
      <c r="H59" s="51"/>
      <c r="I59" s="51"/>
      <c r="J59" s="51"/>
      <c r="K59" s="51"/>
      <c r="L59" s="51"/>
      <c r="M59" s="51"/>
      <c r="N59" s="51"/>
      <c r="O59" s="51"/>
      <c r="P59" s="51"/>
      <c r="Q59" s="51"/>
      <c r="R59" s="51"/>
    </row>
    <row r="60" spans="4:19" x14ac:dyDescent="0.2">
      <c r="D60" s="51"/>
      <c r="E60" s="52"/>
      <c r="F60" s="52"/>
      <c r="G60" s="51"/>
      <c r="H60" s="51"/>
      <c r="I60" s="51"/>
      <c r="J60" s="51"/>
      <c r="K60" s="51"/>
      <c r="L60" s="51"/>
      <c r="M60" s="51"/>
      <c r="N60" s="51"/>
      <c r="O60" s="51"/>
      <c r="P60" s="51"/>
      <c r="Q60" s="51"/>
      <c r="R60" s="51"/>
    </row>
    <row r="61" spans="4:19" x14ac:dyDescent="0.2">
      <c r="D61" s="51"/>
      <c r="E61" s="51"/>
      <c r="F61" s="51"/>
      <c r="G61" s="51"/>
      <c r="H61" s="51"/>
      <c r="I61" s="51"/>
      <c r="J61" s="51"/>
      <c r="K61" s="51"/>
      <c r="L61" s="51"/>
      <c r="M61" s="51"/>
      <c r="N61" s="51"/>
      <c r="O61" s="51"/>
      <c r="P61" s="51"/>
      <c r="Q61" s="51"/>
      <c r="R61" s="51"/>
    </row>
    <row r="62" spans="4:19" x14ac:dyDescent="0.2">
      <c r="D62" s="51"/>
      <c r="E62" s="51"/>
      <c r="F62" s="51"/>
      <c r="G62" s="51"/>
      <c r="H62" s="51"/>
      <c r="I62" s="51"/>
      <c r="J62" s="51"/>
      <c r="K62" s="51"/>
      <c r="L62" s="51"/>
      <c r="M62" s="51"/>
      <c r="N62" s="51"/>
      <c r="O62" s="51"/>
      <c r="P62" s="51"/>
      <c r="Q62" s="51"/>
      <c r="R62" s="51"/>
    </row>
    <row r="63" spans="4:19" x14ac:dyDescent="0.2">
      <c r="D63" s="51"/>
      <c r="E63" s="51"/>
      <c r="F63" s="51"/>
      <c r="G63" s="51"/>
      <c r="H63" s="51"/>
      <c r="I63" s="51"/>
      <c r="J63" s="51"/>
      <c r="K63" s="51"/>
      <c r="L63" s="51"/>
      <c r="M63" s="51"/>
      <c r="N63" s="51"/>
      <c r="O63" s="51"/>
      <c r="P63" s="51"/>
      <c r="Q63" s="51"/>
      <c r="R63" s="51"/>
    </row>
    <row r="64" spans="4:19" x14ac:dyDescent="0.2">
      <c r="D64" s="51"/>
      <c r="E64" s="51"/>
      <c r="F64" s="51"/>
      <c r="G64" s="51"/>
      <c r="H64" s="51"/>
      <c r="I64" s="51"/>
      <c r="J64" s="51"/>
      <c r="K64" s="51"/>
      <c r="L64" s="51"/>
      <c r="M64" s="51"/>
      <c r="N64" s="51"/>
      <c r="O64" s="51"/>
      <c r="P64" s="51"/>
      <c r="Q64" s="51"/>
      <c r="R64" s="51"/>
    </row>
    <row r="66" spans="4:18" x14ac:dyDescent="0.2">
      <c r="D66" s="51"/>
      <c r="E66" s="51"/>
      <c r="F66" s="51"/>
      <c r="G66" s="51"/>
      <c r="H66" s="51"/>
      <c r="I66" s="51"/>
      <c r="J66" s="51"/>
      <c r="K66" s="51"/>
      <c r="L66" s="51"/>
      <c r="M66" s="51"/>
      <c r="N66" s="51"/>
      <c r="O66" s="51"/>
      <c r="P66" s="51"/>
      <c r="Q66" s="51"/>
      <c r="R66" s="51"/>
    </row>
    <row r="67" spans="4:18" x14ac:dyDescent="0.2">
      <c r="D67" s="51"/>
      <c r="E67" s="51"/>
      <c r="F67" s="51"/>
      <c r="G67" s="51"/>
      <c r="H67" s="51"/>
      <c r="I67" s="51"/>
      <c r="J67" s="51"/>
      <c r="K67" s="51"/>
      <c r="L67" s="51"/>
      <c r="M67" s="51"/>
      <c r="N67" s="51"/>
      <c r="O67" s="51"/>
      <c r="P67" s="51"/>
      <c r="Q67" s="51"/>
      <c r="R67" s="51"/>
    </row>
    <row r="68" spans="4:18" x14ac:dyDescent="0.2">
      <c r="D68" s="51"/>
      <c r="E68" s="51"/>
      <c r="F68" s="51"/>
      <c r="G68" s="51"/>
      <c r="H68" s="51"/>
      <c r="I68" s="51"/>
      <c r="J68" s="51"/>
      <c r="K68" s="51"/>
      <c r="L68" s="51"/>
      <c r="M68" s="51"/>
      <c r="N68" s="51"/>
      <c r="O68" s="51"/>
      <c r="P68" s="51"/>
      <c r="Q68" s="51"/>
      <c r="R68" s="51"/>
    </row>
    <row r="69" spans="4:18" x14ac:dyDescent="0.2">
      <c r="D69" s="51"/>
      <c r="E69" s="51"/>
      <c r="F69" s="51"/>
      <c r="G69" s="51"/>
      <c r="H69" s="51"/>
      <c r="I69" s="51"/>
      <c r="J69" s="51"/>
      <c r="K69" s="51"/>
      <c r="L69" s="51"/>
      <c r="M69" s="51"/>
      <c r="N69" s="51"/>
      <c r="O69" s="51"/>
      <c r="P69" s="51"/>
      <c r="Q69" s="51"/>
      <c r="R69" s="51"/>
    </row>
    <row r="70" spans="4:18" x14ac:dyDescent="0.2">
      <c r="D70" s="51"/>
      <c r="E70" s="51"/>
      <c r="F70" s="51"/>
      <c r="G70" s="51"/>
      <c r="H70" s="51"/>
      <c r="I70" s="51"/>
      <c r="J70" s="51"/>
      <c r="K70" s="51"/>
      <c r="L70" s="51"/>
      <c r="M70" s="51"/>
      <c r="N70" s="51"/>
      <c r="O70" s="51"/>
      <c r="P70" s="51"/>
      <c r="Q70" s="51"/>
      <c r="R70" s="51"/>
    </row>
    <row r="71" spans="4:18" x14ac:dyDescent="0.2">
      <c r="D71" s="51"/>
      <c r="E71" s="51"/>
      <c r="F71" s="51"/>
      <c r="G71" s="51"/>
      <c r="H71" s="51"/>
      <c r="I71" s="51"/>
      <c r="J71" s="51"/>
      <c r="K71" s="51"/>
      <c r="L71" s="51"/>
      <c r="M71" s="51"/>
      <c r="N71" s="51"/>
      <c r="O71" s="51"/>
      <c r="P71" s="51"/>
      <c r="Q71" s="51"/>
      <c r="R71" s="51"/>
    </row>
    <row r="72" spans="4:18" x14ac:dyDescent="0.2">
      <c r="D72" s="51"/>
      <c r="E72" s="51"/>
      <c r="F72" s="51"/>
      <c r="G72" s="51"/>
      <c r="H72" s="51"/>
      <c r="I72" s="51"/>
      <c r="J72" s="51"/>
      <c r="K72" s="51"/>
      <c r="L72" s="51"/>
      <c r="M72" s="51"/>
      <c r="N72" s="51"/>
      <c r="O72" s="51"/>
      <c r="P72" s="51"/>
      <c r="Q72" s="51"/>
      <c r="R72" s="51"/>
    </row>
    <row r="73" spans="4:18" x14ac:dyDescent="0.2">
      <c r="D73" s="51"/>
      <c r="E73" s="51"/>
      <c r="F73" s="51"/>
      <c r="G73" s="51"/>
      <c r="H73" s="51"/>
      <c r="I73" s="51"/>
      <c r="J73" s="51"/>
      <c r="K73" s="51"/>
      <c r="L73" s="51"/>
      <c r="M73" s="51"/>
      <c r="N73" s="51"/>
      <c r="O73" s="51"/>
      <c r="P73" s="51"/>
      <c r="Q73" s="51"/>
      <c r="R73" s="51"/>
    </row>
    <row r="74" spans="4:18" x14ac:dyDescent="0.2">
      <c r="D74" s="51"/>
      <c r="E74" s="51"/>
      <c r="F74" s="51"/>
      <c r="G74" s="51"/>
      <c r="H74" s="51"/>
      <c r="I74" s="51"/>
      <c r="J74" s="51"/>
      <c r="K74" s="51"/>
      <c r="L74" s="51"/>
      <c r="M74" s="51"/>
      <c r="N74" s="51"/>
      <c r="O74" s="51"/>
      <c r="P74" s="51"/>
      <c r="Q74" s="51"/>
      <c r="R74" s="51"/>
    </row>
    <row r="75" spans="4:18" x14ac:dyDescent="0.2">
      <c r="D75" s="51"/>
      <c r="E75" s="51"/>
      <c r="F75" s="51"/>
      <c r="G75" s="51"/>
      <c r="H75" s="51"/>
      <c r="I75" s="51"/>
      <c r="J75" s="51"/>
      <c r="K75" s="51"/>
      <c r="L75" s="51"/>
      <c r="M75" s="51"/>
      <c r="N75" s="51"/>
      <c r="O75" s="51"/>
      <c r="P75" s="51"/>
      <c r="Q75" s="51"/>
      <c r="R75" s="51"/>
    </row>
    <row r="76" spans="4:18" x14ac:dyDescent="0.2">
      <c r="D76" s="51"/>
      <c r="E76" s="51"/>
      <c r="F76" s="51"/>
      <c r="G76" s="51"/>
      <c r="H76" s="51"/>
      <c r="I76" s="51"/>
      <c r="J76" s="51"/>
      <c r="K76" s="51"/>
      <c r="L76" s="51"/>
      <c r="M76" s="51"/>
      <c r="N76" s="51"/>
      <c r="O76" s="51"/>
      <c r="P76" s="51"/>
      <c r="Q76" s="51"/>
      <c r="R76" s="51"/>
    </row>
    <row r="77" spans="4:18" x14ac:dyDescent="0.2">
      <c r="D77" s="51"/>
      <c r="E77" s="51"/>
      <c r="F77" s="51"/>
      <c r="G77" s="51"/>
      <c r="H77" s="51"/>
      <c r="I77" s="51"/>
      <c r="J77" s="51"/>
      <c r="K77" s="51"/>
      <c r="L77" s="51"/>
      <c r="M77" s="51"/>
      <c r="N77" s="51"/>
      <c r="O77" s="51"/>
      <c r="P77" s="51"/>
      <c r="Q77" s="51"/>
      <c r="R77" s="51"/>
    </row>
    <row r="78" spans="4:18" x14ac:dyDescent="0.2">
      <c r="D78" s="51"/>
      <c r="E78" s="51"/>
      <c r="F78" s="51"/>
      <c r="G78" s="51"/>
      <c r="H78" s="51"/>
      <c r="I78" s="51"/>
      <c r="J78" s="51"/>
      <c r="K78" s="51"/>
      <c r="L78" s="51"/>
      <c r="M78" s="51"/>
      <c r="N78" s="51"/>
      <c r="O78" s="51"/>
      <c r="P78" s="51"/>
      <c r="Q78" s="51"/>
      <c r="R78" s="51"/>
    </row>
    <row r="79" spans="4:18" x14ac:dyDescent="0.2">
      <c r="D79" s="51"/>
      <c r="E79" s="51"/>
      <c r="F79" s="51"/>
      <c r="G79" s="51"/>
      <c r="H79" s="51"/>
      <c r="I79" s="51"/>
      <c r="J79" s="51"/>
      <c r="K79" s="51"/>
      <c r="L79" s="51"/>
      <c r="M79" s="51"/>
      <c r="N79" s="51"/>
      <c r="O79" s="51"/>
      <c r="P79" s="51"/>
      <c r="Q79" s="51"/>
      <c r="R79" s="51"/>
    </row>
    <row r="80" spans="4:18" x14ac:dyDescent="0.2">
      <c r="D80" s="51"/>
      <c r="E80" s="51"/>
      <c r="F80" s="51"/>
      <c r="G80" s="51"/>
      <c r="H80" s="51"/>
      <c r="I80" s="51"/>
      <c r="J80" s="51"/>
      <c r="K80" s="51"/>
      <c r="L80" s="51"/>
      <c r="M80" s="51"/>
      <c r="N80" s="51"/>
      <c r="O80" s="51"/>
      <c r="P80" s="51"/>
      <c r="Q80" s="51"/>
      <c r="R80" s="51"/>
    </row>
    <row r="81" spans="4:18" x14ac:dyDescent="0.2">
      <c r="D81" s="51"/>
      <c r="E81" s="51"/>
      <c r="F81" s="51"/>
      <c r="G81" s="51"/>
      <c r="H81" s="51"/>
      <c r="I81" s="51"/>
      <c r="J81" s="51"/>
      <c r="K81" s="51"/>
      <c r="L81" s="51"/>
      <c r="M81" s="51"/>
      <c r="N81" s="51"/>
      <c r="O81" s="51"/>
      <c r="P81" s="51"/>
      <c r="Q81" s="51"/>
      <c r="R81" s="51"/>
    </row>
    <row r="82" spans="4:18" x14ac:dyDescent="0.2">
      <c r="D82" s="51"/>
      <c r="E82" s="51"/>
      <c r="F82" s="51"/>
      <c r="G82" s="51"/>
      <c r="H82" s="51"/>
      <c r="I82" s="51"/>
      <c r="J82" s="51"/>
      <c r="K82" s="51"/>
      <c r="L82" s="51"/>
      <c r="M82" s="51"/>
      <c r="N82" s="51"/>
      <c r="O82" s="51"/>
      <c r="P82" s="51"/>
      <c r="Q82" s="51"/>
      <c r="R82" s="51"/>
    </row>
    <row r="83" spans="4:18" x14ac:dyDescent="0.2">
      <c r="D83" s="51"/>
      <c r="E83" s="51"/>
      <c r="F83" s="51"/>
      <c r="G83" s="51"/>
      <c r="H83" s="51"/>
      <c r="I83" s="51"/>
      <c r="J83" s="51"/>
      <c r="K83" s="51"/>
      <c r="L83" s="51"/>
      <c r="M83" s="51"/>
      <c r="N83" s="51"/>
      <c r="O83" s="51"/>
      <c r="P83" s="51"/>
      <c r="Q83" s="51"/>
      <c r="R83" s="51"/>
    </row>
    <row r="84" spans="4:18" x14ac:dyDescent="0.2">
      <c r="D84" s="51"/>
      <c r="E84" s="51"/>
      <c r="F84" s="51"/>
      <c r="G84" s="51"/>
      <c r="H84" s="51"/>
      <c r="I84" s="51"/>
      <c r="J84" s="51"/>
      <c r="K84" s="51"/>
      <c r="L84" s="51"/>
      <c r="M84" s="51"/>
      <c r="N84" s="51"/>
      <c r="O84" s="51"/>
      <c r="P84" s="51"/>
      <c r="Q84" s="51"/>
      <c r="R84" s="51"/>
    </row>
    <row r="85" spans="4:18" x14ac:dyDescent="0.2">
      <c r="D85" s="51"/>
      <c r="E85" s="51"/>
      <c r="F85" s="51"/>
      <c r="G85" s="51"/>
      <c r="H85" s="51"/>
      <c r="I85" s="51"/>
      <c r="J85" s="51"/>
      <c r="K85" s="51"/>
      <c r="L85" s="51"/>
      <c r="M85" s="51"/>
      <c r="N85" s="51"/>
      <c r="O85" s="51"/>
      <c r="P85" s="51"/>
      <c r="Q85" s="51"/>
      <c r="R85" s="51"/>
    </row>
    <row r="86" spans="4:18" x14ac:dyDescent="0.2">
      <c r="D86" s="51"/>
      <c r="E86" s="51"/>
      <c r="F86" s="51"/>
      <c r="G86" s="51"/>
      <c r="H86" s="51"/>
      <c r="I86" s="51"/>
      <c r="J86" s="51"/>
      <c r="K86" s="51"/>
      <c r="L86" s="51"/>
      <c r="M86" s="51"/>
      <c r="N86" s="51"/>
      <c r="O86" s="51"/>
      <c r="P86" s="51"/>
      <c r="Q86" s="51"/>
      <c r="R86" s="51"/>
    </row>
    <row r="87" spans="4:18" x14ac:dyDescent="0.2">
      <c r="D87" s="51"/>
      <c r="E87" s="51"/>
      <c r="F87" s="51"/>
      <c r="G87" s="51"/>
      <c r="H87" s="51"/>
      <c r="I87" s="51"/>
      <c r="J87" s="51"/>
      <c r="K87" s="51"/>
      <c r="L87" s="51"/>
      <c r="M87" s="51"/>
      <c r="N87" s="51"/>
      <c r="O87" s="51"/>
      <c r="P87" s="51"/>
      <c r="Q87" s="51"/>
      <c r="R87" s="51"/>
    </row>
    <row r="88" spans="4:18" x14ac:dyDescent="0.2">
      <c r="D88" s="51"/>
      <c r="E88" s="51"/>
      <c r="F88" s="51"/>
      <c r="G88" s="51"/>
      <c r="H88" s="51"/>
      <c r="I88" s="51"/>
      <c r="J88" s="51"/>
      <c r="K88" s="51"/>
      <c r="L88" s="51"/>
      <c r="M88" s="51"/>
      <c r="N88" s="51"/>
      <c r="O88" s="51"/>
      <c r="P88" s="51"/>
      <c r="Q88" s="51"/>
      <c r="R88" s="51"/>
    </row>
    <row r="89" spans="4:18" x14ac:dyDescent="0.2">
      <c r="D89" s="51"/>
      <c r="E89" s="51"/>
      <c r="F89" s="51"/>
      <c r="G89" s="51"/>
      <c r="H89" s="51"/>
      <c r="I89" s="51"/>
      <c r="J89" s="51"/>
      <c r="K89" s="51"/>
      <c r="L89" s="51"/>
      <c r="M89" s="51"/>
      <c r="N89" s="51"/>
      <c r="O89" s="51"/>
      <c r="P89" s="51"/>
      <c r="Q89" s="51"/>
      <c r="R89" s="51"/>
    </row>
    <row r="90" spans="4:18" x14ac:dyDescent="0.2">
      <c r="D90" s="51"/>
      <c r="E90" s="51"/>
      <c r="F90" s="51"/>
      <c r="G90" s="51"/>
      <c r="H90" s="51"/>
      <c r="I90" s="51"/>
      <c r="J90" s="51"/>
      <c r="K90" s="51"/>
      <c r="L90" s="51"/>
      <c r="M90" s="51"/>
      <c r="N90" s="51"/>
      <c r="O90" s="51"/>
      <c r="P90" s="51"/>
      <c r="Q90" s="51"/>
      <c r="R90" s="51"/>
    </row>
    <row r="91" spans="4:18" x14ac:dyDescent="0.2">
      <c r="D91" s="51"/>
      <c r="E91" s="51"/>
      <c r="F91" s="51"/>
      <c r="G91" s="51"/>
      <c r="H91" s="51"/>
      <c r="I91" s="51"/>
      <c r="J91" s="51"/>
      <c r="K91" s="51"/>
      <c r="L91" s="51"/>
      <c r="M91" s="51"/>
      <c r="N91" s="51"/>
      <c r="O91" s="51"/>
      <c r="P91" s="51"/>
      <c r="Q91" s="51"/>
      <c r="R91" s="51"/>
    </row>
    <row r="92" spans="4:18" x14ac:dyDescent="0.2">
      <c r="D92" s="51"/>
      <c r="E92" s="51"/>
      <c r="F92" s="51"/>
      <c r="G92" s="51"/>
      <c r="H92" s="51"/>
      <c r="I92" s="51"/>
      <c r="J92" s="51"/>
      <c r="K92" s="51"/>
      <c r="L92" s="51"/>
      <c r="M92" s="51"/>
      <c r="N92" s="51"/>
      <c r="O92" s="51"/>
      <c r="P92" s="51"/>
      <c r="Q92" s="51"/>
      <c r="R92" s="51"/>
    </row>
    <row r="93" spans="4:18" x14ac:dyDescent="0.2">
      <c r="D93" s="51"/>
      <c r="E93" s="51"/>
      <c r="F93" s="51"/>
      <c r="G93" s="51"/>
      <c r="H93" s="51"/>
      <c r="I93" s="51"/>
      <c r="J93" s="51"/>
      <c r="K93" s="51"/>
      <c r="L93" s="51"/>
      <c r="M93" s="51"/>
      <c r="N93" s="51"/>
      <c r="O93" s="51"/>
      <c r="P93" s="51"/>
      <c r="Q93" s="51"/>
      <c r="R93" s="51"/>
    </row>
    <row r="94" spans="4:18" x14ac:dyDescent="0.2">
      <c r="D94" s="51"/>
      <c r="E94" s="51"/>
      <c r="F94" s="51"/>
      <c r="G94" s="51"/>
      <c r="H94" s="51"/>
      <c r="I94" s="51"/>
      <c r="J94" s="51"/>
      <c r="K94" s="51"/>
      <c r="L94" s="51"/>
      <c r="M94" s="51"/>
      <c r="N94" s="51"/>
      <c r="O94" s="51"/>
      <c r="P94" s="51"/>
      <c r="Q94" s="51"/>
      <c r="R94" s="51"/>
    </row>
    <row r="95" spans="4:18" x14ac:dyDescent="0.2">
      <c r="D95" s="51"/>
      <c r="E95" s="51"/>
      <c r="F95" s="51"/>
      <c r="G95" s="51"/>
      <c r="H95" s="51"/>
      <c r="I95" s="51"/>
      <c r="J95" s="51"/>
      <c r="K95" s="51"/>
      <c r="L95" s="51"/>
      <c r="M95" s="51"/>
      <c r="N95" s="51"/>
      <c r="O95" s="51"/>
      <c r="P95" s="51"/>
      <c r="Q95" s="51"/>
      <c r="R95" s="51"/>
    </row>
    <row r="96" spans="4:18" x14ac:dyDescent="0.2">
      <c r="D96" s="51"/>
      <c r="E96" s="51"/>
      <c r="F96" s="51"/>
      <c r="G96" s="51"/>
      <c r="H96" s="51"/>
      <c r="I96" s="51"/>
      <c r="J96" s="51"/>
      <c r="K96" s="51"/>
      <c r="L96" s="51"/>
      <c r="M96" s="51"/>
      <c r="N96" s="51"/>
      <c r="O96" s="51"/>
      <c r="P96" s="51"/>
      <c r="Q96" s="51"/>
      <c r="R96" s="51"/>
    </row>
    <row r="97" spans="4:18" x14ac:dyDescent="0.2">
      <c r="D97" s="51"/>
      <c r="E97" s="51"/>
      <c r="F97" s="51"/>
      <c r="G97" s="51"/>
      <c r="H97" s="51"/>
      <c r="I97" s="51"/>
      <c r="J97" s="51"/>
      <c r="K97" s="51"/>
      <c r="L97" s="51"/>
      <c r="M97" s="51"/>
      <c r="N97" s="51"/>
      <c r="O97" s="51"/>
      <c r="P97" s="51"/>
      <c r="Q97" s="51"/>
      <c r="R97" s="51"/>
    </row>
    <row r="98" spans="4:18" x14ac:dyDescent="0.2">
      <c r="D98" s="51"/>
      <c r="E98" s="51"/>
      <c r="F98" s="51"/>
      <c r="G98" s="51"/>
      <c r="H98" s="51"/>
      <c r="I98" s="51"/>
      <c r="J98" s="51"/>
      <c r="K98" s="51"/>
      <c r="L98" s="51"/>
      <c r="M98" s="51"/>
      <c r="N98" s="51"/>
      <c r="O98" s="51"/>
      <c r="P98" s="51"/>
      <c r="Q98" s="51"/>
      <c r="R98" s="51"/>
    </row>
    <row r="99" spans="4:18" x14ac:dyDescent="0.2">
      <c r="D99" s="51"/>
      <c r="E99" s="51"/>
      <c r="F99" s="51"/>
      <c r="G99" s="51"/>
      <c r="H99" s="51"/>
      <c r="I99" s="51"/>
      <c r="J99" s="51"/>
      <c r="K99" s="51"/>
      <c r="L99" s="51"/>
      <c r="M99" s="51"/>
      <c r="N99" s="51"/>
      <c r="O99" s="51"/>
      <c r="P99" s="51"/>
      <c r="Q99" s="51"/>
      <c r="R99" s="51"/>
    </row>
    <row r="100" spans="4:18" x14ac:dyDescent="0.2">
      <c r="D100" s="51"/>
      <c r="E100" s="51"/>
      <c r="F100" s="51"/>
      <c r="G100" s="51"/>
      <c r="H100" s="51"/>
      <c r="I100" s="51"/>
      <c r="J100" s="51"/>
      <c r="K100" s="51"/>
      <c r="L100" s="51"/>
      <c r="M100" s="51"/>
      <c r="N100" s="51"/>
      <c r="O100" s="51"/>
      <c r="P100" s="51"/>
      <c r="Q100" s="51"/>
      <c r="R100" s="51"/>
    </row>
    <row r="101" spans="4:18" x14ac:dyDescent="0.2">
      <c r="D101" s="51"/>
      <c r="E101" s="51"/>
      <c r="F101" s="51"/>
      <c r="G101" s="51"/>
      <c r="H101" s="51"/>
      <c r="I101" s="51"/>
      <c r="J101" s="51"/>
      <c r="K101" s="51"/>
      <c r="L101" s="51"/>
      <c r="M101" s="51"/>
      <c r="N101" s="51"/>
      <c r="O101" s="51"/>
      <c r="P101" s="51"/>
      <c r="Q101" s="51"/>
      <c r="R101" s="51"/>
    </row>
    <row r="102" spans="4:18" x14ac:dyDescent="0.2">
      <c r="D102" s="51"/>
      <c r="E102" s="51"/>
      <c r="F102" s="51"/>
      <c r="G102" s="51"/>
      <c r="H102" s="51"/>
      <c r="I102" s="51"/>
      <c r="J102" s="51"/>
      <c r="K102" s="51"/>
      <c r="L102" s="51"/>
      <c r="M102" s="51"/>
      <c r="N102" s="51"/>
      <c r="O102" s="51"/>
      <c r="P102" s="51"/>
      <c r="Q102" s="51"/>
      <c r="R102" s="51"/>
    </row>
    <row r="103" spans="4:18" x14ac:dyDescent="0.2">
      <c r="D103" s="51"/>
      <c r="E103" s="51"/>
      <c r="F103" s="51"/>
      <c r="G103" s="51"/>
      <c r="H103" s="51"/>
      <c r="I103" s="51"/>
      <c r="J103" s="51"/>
      <c r="K103" s="51"/>
      <c r="L103" s="51"/>
      <c r="M103" s="51"/>
      <c r="N103" s="51"/>
      <c r="O103" s="51"/>
      <c r="P103" s="51"/>
      <c r="Q103" s="51"/>
      <c r="R103" s="51"/>
    </row>
    <row r="104" spans="4:18" x14ac:dyDescent="0.2">
      <c r="D104" s="51"/>
      <c r="E104" s="51"/>
      <c r="F104" s="51"/>
      <c r="G104" s="51"/>
      <c r="H104" s="51"/>
      <c r="I104" s="51"/>
      <c r="J104" s="51"/>
      <c r="K104" s="51"/>
      <c r="L104" s="51"/>
      <c r="M104" s="51"/>
      <c r="N104" s="51"/>
      <c r="O104" s="51"/>
      <c r="P104" s="51"/>
      <c r="Q104" s="51"/>
      <c r="R104" s="51"/>
    </row>
    <row r="105" spans="4:18" x14ac:dyDescent="0.2">
      <c r="D105" s="51"/>
      <c r="E105" s="51"/>
      <c r="F105" s="51"/>
      <c r="G105" s="51"/>
      <c r="H105" s="51"/>
      <c r="I105" s="51"/>
      <c r="J105" s="51"/>
      <c r="K105" s="51"/>
      <c r="L105" s="51"/>
      <c r="M105" s="51"/>
      <c r="N105" s="51"/>
      <c r="O105" s="51"/>
      <c r="P105" s="51"/>
      <c r="Q105" s="51"/>
      <c r="R105" s="51"/>
    </row>
    <row r="106" spans="4:18" x14ac:dyDescent="0.2">
      <c r="D106" s="51"/>
      <c r="E106" s="51"/>
      <c r="F106" s="51"/>
      <c r="G106" s="51"/>
      <c r="H106" s="51"/>
      <c r="I106" s="51"/>
      <c r="J106" s="51"/>
      <c r="K106" s="51"/>
      <c r="L106" s="51"/>
      <c r="M106" s="51"/>
      <c r="N106" s="51"/>
      <c r="O106" s="51"/>
      <c r="P106" s="51"/>
      <c r="Q106" s="51"/>
      <c r="R106" s="51"/>
    </row>
    <row r="107" spans="4:18" x14ac:dyDescent="0.2">
      <c r="D107" s="51"/>
      <c r="E107" s="51"/>
      <c r="F107" s="51"/>
      <c r="G107" s="51"/>
      <c r="H107" s="51"/>
      <c r="I107" s="51"/>
      <c r="J107" s="51"/>
      <c r="K107" s="51"/>
      <c r="L107" s="51"/>
      <c r="M107" s="51"/>
      <c r="N107" s="51"/>
      <c r="O107" s="51"/>
      <c r="P107" s="51"/>
      <c r="Q107" s="51"/>
      <c r="R107" s="51"/>
    </row>
    <row r="108" spans="4:18" x14ac:dyDescent="0.2">
      <c r="D108" s="51"/>
      <c r="E108" s="51"/>
      <c r="F108" s="51"/>
      <c r="G108" s="51"/>
      <c r="H108" s="51"/>
      <c r="I108" s="51"/>
      <c r="J108" s="51"/>
      <c r="K108" s="51"/>
      <c r="L108" s="51"/>
      <c r="M108" s="51"/>
      <c r="N108" s="51"/>
      <c r="O108" s="51"/>
      <c r="P108" s="51"/>
      <c r="Q108" s="51"/>
      <c r="R108" s="51"/>
    </row>
    <row r="109" spans="4:18" x14ac:dyDescent="0.2">
      <c r="D109" s="51"/>
      <c r="E109" s="51"/>
      <c r="F109" s="51"/>
      <c r="G109" s="51"/>
      <c r="H109" s="51"/>
      <c r="I109" s="51"/>
      <c r="J109" s="51"/>
      <c r="K109" s="51"/>
      <c r="L109" s="51"/>
      <c r="M109" s="51"/>
      <c r="N109" s="51"/>
      <c r="O109" s="51"/>
      <c r="P109" s="51"/>
      <c r="Q109" s="51"/>
      <c r="R109" s="51"/>
    </row>
    <row r="110" spans="4:18" x14ac:dyDescent="0.2">
      <c r="D110" s="51"/>
      <c r="E110" s="51"/>
      <c r="F110" s="51"/>
      <c r="G110" s="51"/>
      <c r="H110" s="51"/>
      <c r="I110" s="51"/>
      <c r="J110" s="51"/>
      <c r="K110" s="51"/>
      <c r="L110" s="51"/>
      <c r="M110" s="51"/>
      <c r="N110" s="51"/>
      <c r="O110" s="51"/>
      <c r="P110" s="51"/>
      <c r="Q110" s="51"/>
      <c r="R110" s="51"/>
    </row>
    <row r="111" spans="4:18" x14ac:dyDescent="0.2">
      <c r="D111" s="51"/>
      <c r="E111" s="51"/>
      <c r="F111" s="51"/>
      <c r="G111" s="51"/>
      <c r="H111" s="51"/>
      <c r="I111" s="51"/>
      <c r="J111" s="51"/>
      <c r="K111" s="51"/>
      <c r="L111" s="51"/>
      <c r="M111" s="51"/>
      <c r="N111" s="51"/>
      <c r="O111" s="51"/>
      <c r="P111" s="51"/>
      <c r="Q111" s="51"/>
      <c r="R111" s="51"/>
    </row>
    <row r="112" spans="4:18" x14ac:dyDescent="0.2">
      <c r="D112" s="51"/>
      <c r="E112" s="51"/>
      <c r="F112" s="51"/>
      <c r="G112" s="51"/>
      <c r="H112" s="51"/>
      <c r="I112" s="51"/>
      <c r="J112" s="51"/>
      <c r="K112" s="51"/>
      <c r="L112" s="51"/>
      <c r="M112" s="51"/>
      <c r="N112" s="51"/>
      <c r="O112" s="51"/>
      <c r="P112" s="51"/>
      <c r="Q112" s="51"/>
      <c r="R112" s="51"/>
    </row>
    <row r="113" spans="4:18" x14ac:dyDescent="0.2">
      <c r="D113" s="51"/>
      <c r="E113" s="51"/>
      <c r="F113" s="51"/>
      <c r="G113" s="51"/>
      <c r="H113" s="51"/>
      <c r="I113" s="51"/>
      <c r="J113" s="51"/>
      <c r="K113" s="51"/>
      <c r="L113" s="51"/>
      <c r="M113" s="51"/>
      <c r="N113" s="51"/>
      <c r="O113" s="51"/>
      <c r="P113" s="51"/>
      <c r="Q113" s="51"/>
      <c r="R113" s="51"/>
    </row>
    <row r="114" spans="4:18" x14ac:dyDescent="0.2">
      <c r="D114" s="51"/>
      <c r="E114" s="51"/>
      <c r="F114" s="51"/>
      <c r="G114" s="51"/>
      <c r="H114" s="51"/>
      <c r="I114" s="51"/>
      <c r="J114" s="51"/>
      <c r="K114" s="51"/>
      <c r="L114" s="51"/>
      <c r="M114" s="51"/>
      <c r="N114" s="51"/>
      <c r="O114" s="51"/>
      <c r="P114" s="51"/>
      <c r="Q114" s="51"/>
      <c r="R114" s="51"/>
    </row>
    <row r="115" spans="4:18" x14ac:dyDescent="0.2">
      <c r="D115" s="51"/>
      <c r="E115" s="51"/>
      <c r="F115" s="51"/>
      <c r="G115" s="51"/>
      <c r="H115" s="51"/>
      <c r="I115" s="51"/>
      <c r="J115" s="51"/>
      <c r="K115" s="51"/>
      <c r="L115" s="51"/>
      <c r="M115" s="51"/>
      <c r="N115" s="51"/>
      <c r="O115" s="51"/>
      <c r="P115" s="51"/>
      <c r="Q115" s="51"/>
      <c r="R115" s="51"/>
    </row>
    <row r="116" spans="4:18" x14ac:dyDescent="0.2">
      <c r="D116" s="51"/>
      <c r="E116" s="51"/>
      <c r="F116" s="51"/>
      <c r="G116" s="51"/>
      <c r="H116" s="51"/>
      <c r="I116" s="51"/>
      <c r="J116" s="51"/>
      <c r="K116" s="51"/>
      <c r="L116" s="51"/>
      <c r="M116" s="51"/>
      <c r="N116" s="51"/>
      <c r="O116" s="51"/>
      <c r="P116" s="51"/>
      <c r="Q116" s="51"/>
      <c r="R116" s="51"/>
    </row>
    <row r="117" spans="4:18" x14ac:dyDescent="0.2">
      <c r="D117" s="51"/>
      <c r="E117" s="51"/>
      <c r="F117" s="51"/>
      <c r="G117" s="51"/>
      <c r="H117" s="51"/>
      <c r="I117" s="51"/>
      <c r="J117" s="51"/>
      <c r="K117" s="51"/>
      <c r="L117" s="51"/>
      <c r="M117" s="51"/>
      <c r="N117" s="51"/>
      <c r="O117" s="51"/>
      <c r="P117" s="51"/>
      <c r="Q117" s="51"/>
      <c r="R117" s="51"/>
    </row>
    <row r="118" spans="4:18" x14ac:dyDescent="0.2">
      <c r="D118" s="51"/>
      <c r="E118" s="51"/>
      <c r="F118" s="51"/>
      <c r="G118" s="51"/>
      <c r="H118" s="51"/>
      <c r="I118" s="51"/>
      <c r="J118" s="51"/>
      <c r="K118" s="51"/>
      <c r="L118" s="51"/>
      <c r="M118" s="51"/>
      <c r="N118" s="51"/>
      <c r="O118" s="51"/>
      <c r="P118" s="51"/>
      <c r="Q118" s="51"/>
      <c r="R118" s="51"/>
    </row>
    <row r="119" spans="4:18" x14ac:dyDescent="0.2">
      <c r="D119" s="51"/>
      <c r="E119" s="51"/>
      <c r="F119" s="51"/>
      <c r="G119" s="51"/>
      <c r="H119" s="51"/>
      <c r="I119" s="51"/>
      <c r="J119" s="51"/>
      <c r="K119" s="51"/>
      <c r="L119" s="51"/>
      <c r="M119" s="51"/>
      <c r="N119" s="51"/>
      <c r="O119" s="51"/>
      <c r="P119" s="51"/>
      <c r="Q119" s="51"/>
      <c r="R119" s="51"/>
    </row>
    <row r="120" spans="4:18" x14ac:dyDescent="0.2">
      <c r="D120" s="51"/>
      <c r="E120" s="51"/>
      <c r="F120" s="51"/>
      <c r="G120" s="51"/>
      <c r="H120" s="51"/>
      <c r="I120" s="51"/>
      <c r="J120" s="51"/>
      <c r="K120" s="51"/>
      <c r="L120" s="51"/>
      <c r="M120" s="51"/>
      <c r="N120" s="51"/>
      <c r="O120" s="51"/>
      <c r="P120" s="51"/>
      <c r="Q120" s="51"/>
      <c r="R120" s="51"/>
    </row>
    <row r="121" spans="4:18" x14ac:dyDescent="0.2">
      <c r="D121" s="51"/>
      <c r="E121" s="51"/>
      <c r="F121" s="51"/>
      <c r="G121" s="51"/>
      <c r="H121" s="51"/>
      <c r="I121" s="51"/>
      <c r="J121" s="51"/>
      <c r="K121" s="51"/>
      <c r="L121" s="51"/>
      <c r="M121" s="51"/>
      <c r="N121" s="51"/>
      <c r="O121" s="51"/>
      <c r="P121" s="51"/>
      <c r="Q121" s="51"/>
      <c r="R121" s="51"/>
    </row>
    <row r="122" spans="4:18" x14ac:dyDescent="0.2">
      <c r="D122" s="51"/>
      <c r="E122" s="51"/>
      <c r="F122" s="51"/>
      <c r="G122" s="51"/>
      <c r="H122" s="51"/>
      <c r="I122" s="51"/>
      <c r="J122" s="51"/>
      <c r="K122" s="51"/>
      <c r="L122" s="51"/>
      <c r="M122" s="51"/>
      <c r="N122" s="51"/>
      <c r="O122" s="51"/>
      <c r="P122" s="51"/>
      <c r="Q122" s="51"/>
      <c r="R122" s="51"/>
    </row>
    <row r="123" spans="4:18" x14ac:dyDescent="0.2">
      <c r="D123" s="51"/>
      <c r="E123" s="51"/>
      <c r="F123" s="51"/>
      <c r="G123" s="51"/>
      <c r="H123" s="51"/>
      <c r="I123" s="51"/>
      <c r="J123" s="51"/>
      <c r="K123" s="51"/>
      <c r="L123" s="51"/>
      <c r="M123" s="51"/>
      <c r="N123" s="51"/>
      <c r="O123" s="51"/>
      <c r="P123" s="51"/>
      <c r="Q123" s="51"/>
      <c r="R123" s="51"/>
    </row>
    <row r="124" spans="4:18" x14ac:dyDescent="0.2">
      <c r="D124" s="51"/>
      <c r="E124" s="51"/>
      <c r="F124" s="51"/>
      <c r="G124" s="51"/>
      <c r="H124" s="51"/>
      <c r="I124" s="51"/>
      <c r="J124" s="51"/>
      <c r="K124" s="51"/>
      <c r="L124" s="51"/>
      <c r="M124" s="51"/>
      <c r="N124" s="51"/>
      <c r="O124" s="51"/>
      <c r="P124" s="51"/>
      <c r="Q124" s="51"/>
      <c r="R124" s="51"/>
    </row>
    <row r="125" spans="4:18" x14ac:dyDescent="0.2">
      <c r="D125" s="51"/>
      <c r="E125" s="51"/>
      <c r="F125" s="51"/>
      <c r="G125" s="51"/>
      <c r="H125" s="51"/>
      <c r="I125" s="51"/>
      <c r="J125" s="51"/>
      <c r="K125" s="51"/>
      <c r="L125" s="51"/>
      <c r="M125" s="51"/>
      <c r="N125" s="51"/>
      <c r="O125" s="51"/>
      <c r="P125" s="51"/>
      <c r="Q125" s="51"/>
      <c r="R125" s="51"/>
    </row>
    <row r="126" spans="4:18" x14ac:dyDescent="0.2">
      <c r="D126" s="51"/>
      <c r="E126" s="51"/>
      <c r="F126" s="51"/>
      <c r="G126" s="51"/>
      <c r="H126" s="51"/>
      <c r="I126" s="51"/>
      <c r="J126" s="51"/>
      <c r="K126" s="51"/>
      <c r="L126" s="51"/>
      <c r="M126" s="51"/>
      <c r="N126" s="51"/>
      <c r="O126" s="51"/>
      <c r="P126" s="51"/>
      <c r="Q126" s="51"/>
      <c r="R126" s="51"/>
    </row>
    <row r="127" spans="4:18" x14ac:dyDescent="0.2">
      <c r="D127" s="51"/>
      <c r="E127" s="51"/>
      <c r="F127" s="51"/>
      <c r="G127" s="51"/>
      <c r="H127" s="51"/>
      <c r="I127" s="51"/>
      <c r="J127" s="51"/>
      <c r="K127" s="51"/>
      <c r="L127" s="51"/>
      <c r="M127" s="51"/>
      <c r="N127" s="51"/>
      <c r="O127" s="51"/>
      <c r="P127" s="51"/>
      <c r="Q127" s="51"/>
      <c r="R127" s="51"/>
    </row>
    <row r="128" spans="4:18" x14ac:dyDescent="0.2">
      <c r="D128" s="51"/>
      <c r="E128" s="51"/>
      <c r="F128" s="51"/>
      <c r="G128" s="51"/>
      <c r="H128" s="51"/>
      <c r="I128" s="51"/>
      <c r="J128" s="51"/>
      <c r="K128" s="51"/>
      <c r="L128" s="51"/>
      <c r="M128" s="51"/>
      <c r="N128" s="51"/>
      <c r="O128" s="51"/>
      <c r="P128" s="51"/>
      <c r="Q128" s="51"/>
      <c r="R128" s="51"/>
    </row>
    <row r="129" spans="4:18" x14ac:dyDescent="0.2">
      <c r="D129" s="51"/>
      <c r="E129" s="51"/>
      <c r="F129" s="51"/>
      <c r="G129" s="51"/>
      <c r="H129" s="51"/>
      <c r="I129" s="51"/>
      <c r="J129" s="51"/>
      <c r="K129" s="51"/>
      <c r="L129" s="51"/>
      <c r="M129" s="51"/>
      <c r="N129" s="51"/>
      <c r="O129" s="51"/>
      <c r="P129" s="51"/>
      <c r="Q129" s="51"/>
      <c r="R129" s="51"/>
    </row>
  </sheetData>
  <mergeCells count="4">
    <mergeCell ref="D1:S1"/>
    <mergeCell ref="D14:S14"/>
    <mergeCell ref="D27:S27"/>
    <mergeCell ref="D40:S4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B63C-EAD5-4018-BCDA-A5E896FA83F4}">
  <dimension ref="A1:R45"/>
  <sheetViews>
    <sheetView zoomScale="60" zoomScaleNormal="60" workbookViewId="0">
      <selection activeCell="K41" sqref="K41"/>
    </sheetView>
  </sheetViews>
  <sheetFormatPr defaultColWidth="14.42578125" defaultRowHeight="15.75" customHeight="1" x14ac:dyDescent="0.2"/>
  <cols>
    <col min="1" max="1" width="24.85546875" style="34" customWidth="1"/>
    <col min="2" max="2" width="17.28515625" style="34" customWidth="1"/>
    <col min="3" max="3" width="28.85546875" style="34" customWidth="1"/>
    <col min="4" max="16384" width="14.42578125" style="34"/>
  </cols>
  <sheetData>
    <row r="1" spans="1:3" ht="12.75" x14ac:dyDescent="0.2"/>
    <row r="2" spans="1:3" ht="12.75" x14ac:dyDescent="0.2"/>
    <row r="3" spans="1:3" ht="12.75" x14ac:dyDescent="0.2"/>
    <row r="4" spans="1:3" ht="12.75" x14ac:dyDescent="0.2"/>
    <row r="5" spans="1:3" ht="12.75" x14ac:dyDescent="0.2"/>
    <row r="6" spans="1:3" ht="12.75" x14ac:dyDescent="0.2"/>
    <row r="7" spans="1:3" ht="12.75" x14ac:dyDescent="0.2"/>
    <row r="8" spans="1:3" ht="12.75" x14ac:dyDescent="0.2"/>
    <row r="9" spans="1:3" ht="12.75" x14ac:dyDescent="0.2"/>
    <row r="10" spans="1:3" ht="12.75" x14ac:dyDescent="0.2"/>
    <row r="11" spans="1:3" ht="12.75" x14ac:dyDescent="0.2"/>
    <row r="12" spans="1:3" ht="12.75" x14ac:dyDescent="0.2"/>
    <row r="13" spans="1:3" ht="12.75" x14ac:dyDescent="0.2">
      <c r="B13" s="35" t="s">
        <v>43</v>
      </c>
      <c r="C13" s="34" t="s">
        <v>78</v>
      </c>
    </row>
    <row r="14" spans="1:3" ht="12.75" x14ac:dyDescent="0.2">
      <c r="A14" s="35" t="s">
        <v>41</v>
      </c>
      <c r="B14" s="36">
        <v>0.8</v>
      </c>
      <c r="C14" s="34">
        <f>LN(1-B14)</f>
        <v>-1.6094379124341005</v>
      </c>
    </row>
    <row r="15" spans="1:3" ht="12.75" x14ac:dyDescent="0.2">
      <c r="A15" s="35" t="s">
        <v>40</v>
      </c>
      <c r="B15" s="34">
        <v>0.67</v>
      </c>
      <c r="C15" s="34">
        <f>LN(1-B15)</f>
        <v>-1.1086626245216114</v>
      </c>
    </row>
    <row r="16" spans="1:3" ht="12.75" x14ac:dyDescent="0.2"/>
    <row r="17" spans="1:18" ht="12.75" x14ac:dyDescent="0.2">
      <c r="C17" s="35" t="s">
        <v>44</v>
      </c>
      <c r="D17" s="35" t="s">
        <v>45</v>
      </c>
      <c r="E17" s="35" t="s">
        <v>46</v>
      </c>
      <c r="F17" s="35" t="s">
        <v>47</v>
      </c>
      <c r="G17" s="35" t="s">
        <v>48</v>
      </c>
      <c r="H17" s="35" t="s">
        <v>49</v>
      </c>
      <c r="I17" s="35" t="s">
        <v>50</v>
      </c>
      <c r="J17" s="35" t="s">
        <v>51</v>
      </c>
      <c r="K17" s="35" t="s">
        <v>116</v>
      </c>
      <c r="L17" s="35" t="s">
        <v>52</v>
      </c>
      <c r="M17" s="35" t="s">
        <v>52</v>
      </c>
      <c r="N17" s="35" t="s">
        <v>53</v>
      </c>
      <c r="O17" s="35" t="s">
        <v>54</v>
      </c>
      <c r="P17" s="35" t="s">
        <v>55</v>
      </c>
      <c r="Q17" s="35" t="s">
        <v>71</v>
      </c>
    </row>
    <row r="18" spans="1:18" ht="12.75" x14ac:dyDescent="0.2">
      <c r="A18" s="35"/>
      <c r="B18" s="35"/>
      <c r="C18" s="35" t="s">
        <v>56</v>
      </c>
      <c r="D18" s="35" t="s">
        <v>57</v>
      </c>
      <c r="E18" s="35" t="s">
        <v>58</v>
      </c>
      <c r="F18" s="35" t="s">
        <v>59</v>
      </c>
      <c r="G18" s="35" t="s">
        <v>60</v>
      </c>
      <c r="H18" s="35" t="s">
        <v>61</v>
      </c>
      <c r="I18" s="35" t="s">
        <v>62</v>
      </c>
      <c r="J18" s="35" t="s">
        <v>63</v>
      </c>
      <c r="K18" s="35" t="s">
        <v>79</v>
      </c>
      <c r="L18" s="35" t="s">
        <v>64</v>
      </c>
      <c r="M18" s="64" t="s">
        <v>124</v>
      </c>
      <c r="N18" s="35" t="s">
        <v>65</v>
      </c>
      <c r="O18" s="35" t="s">
        <v>66</v>
      </c>
      <c r="P18" s="35" t="s">
        <v>67</v>
      </c>
      <c r="Q18" s="35" t="s">
        <v>68</v>
      </c>
      <c r="R18" s="35" t="s">
        <v>74</v>
      </c>
    </row>
    <row r="19" spans="1:18" ht="12.75" x14ac:dyDescent="0.2">
      <c r="A19" s="35" t="s">
        <v>42</v>
      </c>
      <c r="C19" s="40">
        <f>'Raw Data'!E6</f>
        <v>11.8401</v>
      </c>
      <c r="D19" s="40">
        <f>'Raw Data'!F6</f>
        <v>11.404400000000001</v>
      </c>
      <c r="E19" s="40">
        <f>'Raw Data'!G6</f>
        <v>22.7607</v>
      </c>
      <c r="F19" s="40">
        <f>'Raw Data'!H6</f>
        <v>22.134399999999999</v>
      </c>
      <c r="G19" s="40">
        <f>'Raw Data'!I6</f>
        <v>11.1683</v>
      </c>
      <c r="H19" s="40">
        <f>'Raw Data'!J6</f>
        <v>11.272600000000001</v>
      </c>
      <c r="I19" s="40">
        <f>'Raw Data'!K6</f>
        <v>23.130600000000001</v>
      </c>
      <c r="J19" s="40">
        <f>'Raw Data'!L6</f>
        <v>23.716799999999999</v>
      </c>
      <c r="K19" s="40"/>
      <c r="L19" s="40">
        <f>'Raw Data'!N6</f>
        <v>12.725199999999999</v>
      </c>
      <c r="M19" s="40">
        <f>'Raw Data'!O6</f>
        <v>13.7476</v>
      </c>
      <c r="N19" s="40">
        <f>'Raw Data'!P6</f>
        <v>12.3241</v>
      </c>
      <c r="O19" s="40">
        <f>'Raw Data'!Q6</f>
        <v>13.5581</v>
      </c>
      <c r="P19" s="40">
        <f>'Raw Data'!R6</f>
        <v>12.7194</v>
      </c>
      <c r="Q19" s="40">
        <f>'Raw Data'!S6</f>
        <v>11.5466</v>
      </c>
      <c r="R19" s="34">
        <f ca="1">'Raw Data'!V6</f>
        <v>13.7476</v>
      </c>
    </row>
    <row r="20" spans="1:18" ht="12.75" x14ac:dyDescent="0.2">
      <c r="A20" s="35"/>
      <c r="B20" s="35" t="s">
        <v>69</v>
      </c>
      <c r="C20" s="37">
        <f ca="1">C19/$R19</f>
        <v>0.8612485088306322</v>
      </c>
      <c r="D20" s="37">
        <f ca="1">D19/$R19</f>
        <v>0.82955570426838143</v>
      </c>
      <c r="E20" s="37">
        <f ca="1">E19/$R19</f>
        <v>1.6556126160202507</v>
      </c>
      <c r="F20" s="37">
        <f ca="1">F19/$R19</f>
        <v>1.6100555733364368</v>
      </c>
      <c r="G20" s="37">
        <f ca="1">G19/$R19</f>
        <v>0.81238179755011786</v>
      </c>
      <c r="H20" s="37">
        <f ca="1">H19/$R19</f>
        <v>0.81996857633332365</v>
      </c>
      <c r="I20" s="37">
        <f ca="1">I19/$R19</f>
        <v>1.6825191306118887</v>
      </c>
      <c r="J20" s="37">
        <f ca="1">J19/$R19</f>
        <v>1.7251593005324566</v>
      </c>
      <c r="K20" s="37"/>
      <c r="L20" s="37">
        <f ca="1">L19/$R19</f>
        <v>0.92563065553260193</v>
      </c>
      <c r="M20" s="37">
        <f ca="1">M19/$R19</f>
        <v>1</v>
      </c>
      <c r="N20" s="37">
        <f ca="1">N19/$R19</f>
        <v>0.89645465390322665</v>
      </c>
      <c r="O20" s="37">
        <f ca="1">O19/$R19</f>
        <v>0.98621577584451103</v>
      </c>
      <c r="P20" s="37">
        <f ca="1">P19/$R19</f>
        <v>0.92520876371148419</v>
      </c>
      <c r="Q20" s="37">
        <f ca="1">Q19/$R19</f>
        <v>0.83989932788268495</v>
      </c>
    </row>
    <row r="21" spans="1:18" ht="12.75" x14ac:dyDescent="0.2">
      <c r="A21" s="35" t="s">
        <v>70</v>
      </c>
      <c r="C21" s="40">
        <f>'Raw Data'!E19</f>
        <v>11.666399999999999</v>
      </c>
      <c r="D21" s="40">
        <f>'Raw Data'!F19</f>
        <v>11.3691</v>
      </c>
      <c r="E21" s="40">
        <f>'Raw Data'!G19</f>
        <v>23.158300000000001</v>
      </c>
      <c r="F21" s="40">
        <f>'Raw Data'!H19</f>
        <v>22.208100000000002</v>
      </c>
      <c r="G21" s="40">
        <f>'Raw Data'!I19</f>
        <v>10.9587</v>
      </c>
      <c r="H21" s="40">
        <f>'Raw Data'!J19</f>
        <v>11.345700000000001</v>
      </c>
      <c r="I21" s="40">
        <f>'Raw Data'!K19</f>
        <v>22.9239</v>
      </c>
      <c r="J21" s="40">
        <f>'Raw Data'!L19</f>
        <v>23.159700000000001</v>
      </c>
      <c r="K21" s="40"/>
      <c r="L21" s="40">
        <f>'Raw Data'!N19</f>
        <v>12.556800000000001</v>
      </c>
      <c r="M21" s="40">
        <f>'Raw Data'!O19</f>
        <v>13.6328</v>
      </c>
      <c r="N21" s="40">
        <f>'Raw Data'!P19</f>
        <v>12.179399999999999</v>
      </c>
      <c r="O21" s="40">
        <f>'Raw Data'!Q19</f>
        <v>13.428900000000001</v>
      </c>
      <c r="P21" s="40">
        <f>'Raw Data'!R19</f>
        <v>12.5816</v>
      </c>
      <c r="Q21" s="40">
        <f>'Raw Data'!S19</f>
        <v>11.4842</v>
      </c>
      <c r="R21" s="34">
        <f ca="1">'Raw Data'!V7</f>
        <v>13.6328</v>
      </c>
    </row>
    <row r="22" spans="1:18" ht="12.75" x14ac:dyDescent="0.2">
      <c r="A22" s="35"/>
      <c r="B22" s="35" t="s">
        <v>69</v>
      </c>
      <c r="C22" s="37">
        <f ca="1">C21/$R21</f>
        <v>0.85575963851886627</v>
      </c>
      <c r="D22" s="37">
        <f ca="1">D21/$R21</f>
        <v>0.83395193944017365</v>
      </c>
      <c r="E22" s="37">
        <f ca="1">E21/$R21</f>
        <v>1.6987192653013321</v>
      </c>
      <c r="F22" s="37">
        <f ca="1">F21/$R21</f>
        <v>1.6290197171527494</v>
      </c>
      <c r="G22" s="37">
        <f ca="1">G21/$R21</f>
        <v>0.80384807229622679</v>
      </c>
      <c r="H22" s="37">
        <f ca="1">H21/$R21</f>
        <v>0.83223549087494875</v>
      </c>
      <c r="I22" s="37">
        <f ca="1">I21/$R21</f>
        <v>1.6815254386479668</v>
      </c>
      <c r="J22" s="37">
        <f ca="1">J21/$R21</f>
        <v>1.6988219588052345</v>
      </c>
      <c r="K22" s="37"/>
      <c r="L22" s="37">
        <f ca="1">L21/$R21</f>
        <v>0.92107270700076294</v>
      </c>
      <c r="M22" s="37">
        <f ca="1">M21/$R21</f>
        <v>1</v>
      </c>
      <c r="N22" s="37">
        <f ca="1">N21/$R21</f>
        <v>0.89338947244879996</v>
      </c>
      <c r="O22" s="37">
        <f ca="1">O21/$R21</f>
        <v>0.98504342468165018</v>
      </c>
      <c r="P22" s="37">
        <f ca="1">P21/$R21</f>
        <v>0.9228918490698903</v>
      </c>
      <c r="Q22" s="37">
        <f ca="1">Q21/$R21</f>
        <v>0.8423948125110029</v>
      </c>
    </row>
    <row r="23" spans="1:18" ht="12.75" x14ac:dyDescent="0.2">
      <c r="A23" s="35" t="s">
        <v>41</v>
      </c>
      <c r="C23" s="39">
        <f>'Raw Data'!E32</f>
        <v>11.8559</v>
      </c>
      <c r="D23" s="39">
        <f>'Raw Data'!F32</f>
        <v>11.6502</v>
      </c>
      <c r="E23" s="39">
        <f>'Raw Data'!G32</f>
        <v>23.014199999999999</v>
      </c>
      <c r="F23" s="39">
        <f>'Raw Data'!H32</f>
        <v>22.212900000000001</v>
      </c>
      <c r="G23" s="39">
        <f>'Raw Data'!I32</f>
        <v>11.3735</v>
      </c>
      <c r="H23" s="39">
        <f>'Raw Data'!J32</f>
        <v>11.408799999999999</v>
      </c>
      <c r="I23" s="39">
        <f>'Raw Data'!K32</f>
        <v>23.499199999999998</v>
      </c>
      <c r="J23" s="39">
        <f>'Raw Data'!L32</f>
        <v>23.898299999999999</v>
      </c>
      <c r="K23" s="39"/>
      <c r="L23" s="39">
        <f>'Raw Data'!N32</f>
        <v>13.589499999999999</v>
      </c>
      <c r="M23" s="39">
        <f>'Raw Data'!O32</f>
        <v>14.0084</v>
      </c>
      <c r="N23" s="39">
        <f>'Raw Data'!P32</f>
        <v>12.500999999999999</v>
      </c>
      <c r="O23" s="39">
        <f>'Raw Data'!Q32</f>
        <v>13.645799999999999</v>
      </c>
      <c r="P23" s="39">
        <f>'Raw Data'!R32</f>
        <v>12.863799999999999</v>
      </c>
      <c r="Q23" s="39">
        <f>'Raw Data'!S32</f>
        <v>11.756</v>
      </c>
      <c r="R23" s="38">
        <f ca="1">'Raw Data'!V8</f>
        <v>14.0084</v>
      </c>
    </row>
    <row r="24" spans="1:18" ht="12.75" x14ac:dyDescent="0.2">
      <c r="B24" s="35" t="s">
        <v>76</v>
      </c>
      <c r="C24" s="37">
        <f ca="1">C23/$R23</f>
        <v>0.84634219468319005</v>
      </c>
      <c r="D24" s="37">
        <f ca="1">D23/$R23</f>
        <v>0.83165814796836179</v>
      </c>
      <c r="E24" s="37">
        <f ca="1">E23/$R23</f>
        <v>1.6428856971531367</v>
      </c>
      <c r="F24" s="37">
        <f ca="1">F23/$R23</f>
        <v>1.5856843037034922</v>
      </c>
      <c r="G24" s="37">
        <f ca="1">G23/$R23</f>
        <v>0.81190571371462839</v>
      </c>
      <c r="H24" s="37">
        <f ca="1">H23/$R23</f>
        <v>0.81442563033608406</v>
      </c>
      <c r="I24" s="37">
        <f ca="1">I23/$R23</f>
        <v>1.6775077810456582</v>
      </c>
      <c r="J24" s="37">
        <f ca="1">J23/$R23</f>
        <v>1.7059978298735043</v>
      </c>
      <c r="K24" s="37"/>
      <c r="L24" s="37">
        <f ca="1">L23/$R23</f>
        <v>0.97009651352045911</v>
      </c>
      <c r="M24" s="37">
        <f ca="1">M23/$R23</f>
        <v>1</v>
      </c>
      <c r="N24" s="37">
        <f ca="1">N23/$R23</f>
        <v>0.89239313554724309</v>
      </c>
      <c r="O24" s="37">
        <f ca="1">O23/$R23</f>
        <v>0.97411553068159096</v>
      </c>
      <c r="P24" s="37">
        <f ca="1">P23/$R23</f>
        <v>0.91829188201364886</v>
      </c>
      <c r="Q24" s="37">
        <f ca="1">Q23/$R23</f>
        <v>0.83921075925873045</v>
      </c>
    </row>
    <row r="25" spans="1:18" ht="12.75" x14ac:dyDescent="0.2">
      <c r="A25" s="35" t="s">
        <v>40</v>
      </c>
      <c r="C25" s="39">
        <f>'Raw Data'!E45</f>
        <v>11.891999999999999</v>
      </c>
      <c r="D25" s="39">
        <f>'Raw Data'!F45</f>
        <v>11.515000000000001</v>
      </c>
      <c r="E25" s="39">
        <f>'Raw Data'!G45</f>
        <v>23.2898</v>
      </c>
      <c r="F25" s="39">
        <f>'Raw Data'!H45</f>
        <v>22.657800000000002</v>
      </c>
      <c r="G25" s="39">
        <f>'Raw Data'!I45</f>
        <v>11.169499999999999</v>
      </c>
      <c r="H25" s="39">
        <f>'Raw Data'!J45</f>
        <v>11.3805</v>
      </c>
      <c r="I25" s="39">
        <f>'Raw Data'!K45</f>
        <v>23.414000000000001</v>
      </c>
      <c r="J25" s="39">
        <f>'Raw Data'!L45</f>
        <v>23.4345</v>
      </c>
      <c r="K25" s="39"/>
      <c r="L25" s="39">
        <f>'Raw Data'!N45</f>
        <v>13.3</v>
      </c>
      <c r="M25" s="39">
        <f>'Raw Data'!O45</f>
        <v>13.9207</v>
      </c>
      <c r="N25" s="39">
        <f>'Raw Data'!P45</f>
        <v>12.415800000000001</v>
      </c>
      <c r="O25" s="39">
        <f>'Raw Data'!Q45</f>
        <v>13.5565</v>
      </c>
      <c r="P25" s="39">
        <f>'Raw Data'!R45</f>
        <v>12.7758</v>
      </c>
      <c r="Q25" s="39">
        <f>'Raw Data'!S45</f>
        <v>11.722099999999999</v>
      </c>
      <c r="R25" s="34">
        <f ca="1">'Raw Data'!V9</f>
        <v>13.9207</v>
      </c>
    </row>
    <row r="26" spans="1:18" ht="12.75" x14ac:dyDescent="0.2">
      <c r="B26" s="35" t="s">
        <v>73</v>
      </c>
      <c r="C26" s="37">
        <f ca="1">C25/$R25</f>
        <v>0.8542673859791533</v>
      </c>
      <c r="D26" s="37">
        <f ca="1">D25/$R25</f>
        <v>0.82718541452656835</v>
      </c>
      <c r="E26" s="37">
        <f ca="1">E25/$R25</f>
        <v>1.6730336836509658</v>
      </c>
      <c r="F26" s="37">
        <f ca="1">F25/$R25</f>
        <v>1.627633667847163</v>
      </c>
      <c r="G26" s="37">
        <f ca="1">G25/$R25</f>
        <v>0.80236626031736902</v>
      </c>
      <c r="H26" s="37">
        <f ca="1">H25/$R25</f>
        <v>0.81752354407465133</v>
      </c>
      <c r="I26" s="37">
        <f ca="1">I25/$R25</f>
        <v>1.6819556487820297</v>
      </c>
      <c r="J26" s="37">
        <f ca="1">J25/$R25</f>
        <v>1.6834282758769314</v>
      </c>
      <c r="K26" s="37"/>
      <c r="L26" s="37">
        <f ca="1">L25/$R25</f>
        <v>0.95541172498509419</v>
      </c>
      <c r="M26" s="37">
        <f ca="1">M25/$R25</f>
        <v>1</v>
      </c>
      <c r="N26" s="37">
        <f ca="1">N25/$R25</f>
        <v>0.89189480414059641</v>
      </c>
      <c r="O26" s="37">
        <f ca="1">O25/$R25</f>
        <v>0.97383752253837808</v>
      </c>
      <c r="P26" s="37">
        <f ca="1">P25/$R25</f>
        <v>0.91775557263643348</v>
      </c>
      <c r="Q26" s="37">
        <f ca="1">Q25/$R25</f>
        <v>0.84206253995847902</v>
      </c>
    </row>
    <row r="28" spans="1:18" ht="12.75" x14ac:dyDescent="0.2">
      <c r="A28" s="35"/>
      <c r="B28" s="34" t="s">
        <v>72</v>
      </c>
      <c r="C28" s="37">
        <f t="shared" ref="C28:J28" ca="1" si="0">AVERAGE(C20,C22)</f>
        <v>0.85850407367474924</v>
      </c>
      <c r="D28" s="37">
        <f t="shared" ca="1" si="0"/>
        <v>0.83175382185427749</v>
      </c>
      <c r="E28" s="37">
        <f t="shared" ca="1" si="0"/>
        <v>1.6771659406607915</v>
      </c>
      <c r="F28" s="37">
        <f t="shared" ca="1" si="0"/>
        <v>1.6195376452445931</v>
      </c>
      <c r="G28" s="37">
        <f t="shared" ca="1" si="0"/>
        <v>0.80811493492317232</v>
      </c>
      <c r="H28" s="37">
        <f t="shared" ca="1" si="0"/>
        <v>0.82610203360413625</v>
      </c>
      <c r="I28" s="37">
        <f t="shared" ca="1" si="0"/>
        <v>1.6820222846299278</v>
      </c>
      <c r="J28" s="37">
        <f t="shared" ca="1" si="0"/>
        <v>1.7119906296688456</v>
      </c>
      <c r="K28" s="37"/>
      <c r="L28" s="37">
        <f t="shared" ref="L28:Q28" ca="1" si="1">AVERAGE(L20,L22)</f>
        <v>0.92335168126668243</v>
      </c>
      <c r="M28" s="37">
        <f t="shared" ca="1" si="1"/>
        <v>1</v>
      </c>
      <c r="N28" s="37">
        <f t="shared" ca="1" si="1"/>
        <v>0.8949220631760133</v>
      </c>
      <c r="O28" s="37">
        <f t="shared" ca="1" si="1"/>
        <v>0.98562960026308066</v>
      </c>
      <c r="P28" s="37">
        <f t="shared" ca="1" si="1"/>
        <v>0.9240503063906873</v>
      </c>
      <c r="Q28" s="37">
        <f t="shared" ca="1" si="1"/>
        <v>0.84114707019684398</v>
      </c>
    </row>
    <row r="29" spans="1:18" ht="12.75" x14ac:dyDescent="0.2">
      <c r="B29" s="34" t="s">
        <v>75</v>
      </c>
      <c r="C29" s="34">
        <f t="shared" ref="C29:J29" ca="1" si="2">C24/C28</f>
        <v>0.98583363857610906</v>
      </c>
      <c r="D29" s="34">
        <f t="shared" ca="1" si="2"/>
        <v>0.99988497331373549</v>
      </c>
      <c r="E29" s="34">
        <f t="shared" ca="1" si="2"/>
        <v>0.97956061312922404</v>
      </c>
      <c r="F29" s="34">
        <f t="shared" ca="1" si="2"/>
        <v>0.9790969097627934</v>
      </c>
      <c r="G29" s="34">
        <f t="shared" ca="1" si="2"/>
        <v>1.0046908906488858</v>
      </c>
      <c r="H29" s="34">
        <f t="shared" ca="1" si="2"/>
        <v>0.98586566453890678</v>
      </c>
      <c r="I29" s="34">
        <f t="shared" ca="1" si="2"/>
        <v>0.99731602629434679</v>
      </c>
      <c r="J29" s="34">
        <f ca="1">J24/J28</f>
        <v>0.99649951367052725</v>
      </c>
      <c r="L29" s="34">
        <f t="shared" ref="L29:Q29" ca="1" si="3">L24/L28</f>
        <v>1.0506251661226746</v>
      </c>
      <c r="M29" s="34">
        <f t="shared" ca="1" si="3"/>
        <v>1</v>
      </c>
      <c r="N29" s="34">
        <f t="shared" ca="1" si="3"/>
        <v>0.99717413646078268</v>
      </c>
      <c r="O29" s="34">
        <f t="shared" ca="1" si="3"/>
        <v>0.98831805621663915</v>
      </c>
      <c r="P29" s="34">
        <f t="shared" ca="1" si="3"/>
        <v>0.99376827826665559</v>
      </c>
      <c r="Q29" s="34">
        <f t="shared" ca="1" si="3"/>
        <v>0.99769801143376702</v>
      </c>
    </row>
    <row r="30" spans="1:18" ht="12.75" x14ac:dyDescent="0.2">
      <c r="B30" s="34" t="s">
        <v>77</v>
      </c>
      <c r="C30" s="34">
        <f t="shared" ref="C30:J30" ca="1" si="4">C26/C28</f>
        <v>0.99506503483732911</v>
      </c>
      <c r="D30" s="34">
        <f t="shared" ca="1" si="4"/>
        <v>0.99450750064781845</v>
      </c>
      <c r="E30" s="34">
        <f t="shared" ca="1" si="4"/>
        <v>0.99753616686957192</v>
      </c>
      <c r="F30" s="34">
        <f t="shared" ca="1" si="4"/>
        <v>1.0049989715437255</v>
      </c>
      <c r="G30" s="34">
        <f t="shared" ca="1" si="4"/>
        <v>0.99288631560020624</v>
      </c>
      <c r="H30" s="34">
        <f t="shared" ca="1" si="4"/>
        <v>0.98961570220078199</v>
      </c>
      <c r="I30" s="34">
        <f t="shared" ca="1" si="4"/>
        <v>0.99996038349283067</v>
      </c>
      <c r="J30" s="34">
        <f t="shared" ca="1" si="4"/>
        <v>0.98331629081554084</v>
      </c>
      <c r="L30" s="34">
        <f t="shared" ref="L30:Q30" ca="1" si="5">L26/L28</f>
        <v>1.0347213790464223</v>
      </c>
      <c r="M30" s="34">
        <f t="shared" ca="1" si="5"/>
        <v>1</v>
      </c>
      <c r="N30" s="34">
        <f t="shared" ca="1" si="5"/>
        <v>0.9966172931029621</v>
      </c>
      <c r="O30" s="34">
        <f t="shared" ca="1" si="5"/>
        <v>0.98803599473721659</v>
      </c>
      <c r="P30" s="34">
        <f t="shared" ca="1" si="5"/>
        <v>0.99318788846156991</v>
      </c>
      <c r="Q30" s="34">
        <f t="shared" ca="1" si="5"/>
        <v>1.0010883587354358</v>
      </c>
    </row>
    <row r="31" spans="1:18" ht="12.75" x14ac:dyDescent="0.2"/>
    <row r="32" spans="1:18" ht="15.75" customHeight="1" x14ac:dyDescent="0.2">
      <c r="B32" s="41" t="s">
        <v>80</v>
      </c>
      <c r="C32" s="42">
        <f ca="1">$C14/(LN((1-$B14)*C29))</f>
        <v>0.99121290066885726</v>
      </c>
      <c r="D32" s="42">
        <f ca="1">$C14/(LN((1-$B14)*D29))</f>
        <v>0.99992853089881517</v>
      </c>
      <c r="E32" s="42">
        <f ca="1">$C14/(LN((1-$B14)*E29))</f>
        <v>0.98733126788327319</v>
      </c>
      <c r="F32" s="42">
        <f ca="1">$C14/(LN((1-$B14)*F29))</f>
        <v>0.98704456162618359</v>
      </c>
      <c r="G32" s="42">
        <f ca="1">$C14/(LN((1-$B14)*G29))</f>
        <v>1.0029162794250226</v>
      </c>
      <c r="H32" s="42">
        <f ca="1">$C14/(LN((1-$B14)*H29))</f>
        <v>0.99123273236504772</v>
      </c>
      <c r="I32" s="42">
        <f ca="1">$C14/(LN((1-$B14)*I29))</f>
        <v>0.9983328952800602</v>
      </c>
      <c r="J32" s="42">
        <f ca="1">$C14/(LN((1-$B14)*J29))</f>
        <v>0.99782594672012492</v>
      </c>
      <c r="K32" s="42"/>
      <c r="L32" s="42">
        <f ca="1">$C14/(LN((1-$B14)*L29))</f>
        <v>1.0316562310411772</v>
      </c>
      <c r="M32" s="42">
        <f ca="1">$C14/(LN((1-$B14)*M29))</f>
        <v>1</v>
      </c>
      <c r="N32" s="42">
        <f ca="1">$C14/(LN((1-$B14)*N29))</f>
        <v>0.99824479291144363</v>
      </c>
      <c r="O32" s="42">
        <f ca="1">$C14/(LN((1-$B14)*O29))</f>
        <v>0.99275179112322087</v>
      </c>
      <c r="P32" s="42">
        <f ca="1">$C14/(LN((1-$B14)*P29))</f>
        <v>0.9961309265296695</v>
      </c>
      <c r="Q32" s="42">
        <f ca="1">$C14/(LN((1-$B14)*Q29))</f>
        <v>0.99857009284237541</v>
      </c>
    </row>
    <row r="33" spans="2:17" ht="12.75" x14ac:dyDescent="0.2">
      <c r="B33" s="41" t="s">
        <v>81</v>
      </c>
      <c r="C33" s="42">
        <f ca="1">$C15/(LN((1-$B15)*C30))</f>
        <v>0.995557526268537</v>
      </c>
      <c r="D33" s="42">
        <f ca="1">$C15/(LN((1-$B15)*D30))</f>
        <v>0.99505673525009164</v>
      </c>
      <c r="E33" s="42">
        <f ca="1">$C15/(LN((1-$B15)*E30))</f>
        <v>0.99777985071339603</v>
      </c>
      <c r="F33" s="42">
        <f ca="1">$C15/(LN((1-$B15)*F30))</f>
        <v>1.0045180992342282</v>
      </c>
      <c r="G33" s="42">
        <f ca="1">$C15/(LN((1-$B15)*G30))</f>
        <v>0.99360181375614043</v>
      </c>
      <c r="H33" s="42">
        <f ca="1">$C15/(LN((1-$B15)*H30))</f>
        <v>0.99067234431804163</v>
      </c>
      <c r="I33" s="42">
        <f ca="1">$C15/(LN((1-$B15)*I30))</f>
        <v>0.99996426696868668</v>
      </c>
      <c r="J33" s="42">
        <f ca="1">$C15/(LN((1-$B15)*J30))</f>
        <v>0.98505140554356752</v>
      </c>
      <c r="K33" s="42"/>
      <c r="L33" s="42">
        <f ca="1">$C15/(LN((1-$B15)*L30))</f>
        <v>1.0317647508516337</v>
      </c>
      <c r="M33" s="42">
        <f ca="1">$C15/(LN((1-$B15)*M30))</f>
        <v>1</v>
      </c>
      <c r="N33" s="42">
        <f ca="1">$C15/(LN((1-$B15)*N30))</f>
        <v>0.99695298058716186</v>
      </c>
      <c r="O33" s="42">
        <f ca="1">$C15/(LN((1-$B15)*O30))</f>
        <v>0.98926013818207859</v>
      </c>
      <c r="P33" s="42">
        <f ca="1">$C15/(LN((1-$B15)*P30))</f>
        <v>0.99387231567323031</v>
      </c>
      <c r="Q33" s="42">
        <f ca="1">$C15/(LN((1-$B15)*Q30))</f>
        <v>1.0009821159219741</v>
      </c>
    </row>
    <row r="34" spans="2:17" ht="15.75" customHeight="1" x14ac:dyDescent="0.2">
      <c r="B34" s="43" t="s">
        <v>82</v>
      </c>
      <c r="C34" s="44">
        <f ca="1">AVERAGE(C32,C33)</f>
        <v>0.99338521346869713</v>
      </c>
      <c r="D34" s="44">
        <f t="shared" ref="D34:Q34" ca="1" si="6">AVERAGE(D32,D33)</f>
        <v>0.99749263307445335</v>
      </c>
      <c r="E34" s="44">
        <f t="shared" ca="1" si="6"/>
        <v>0.99255555929833461</v>
      </c>
      <c r="F34" s="44">
        <f t="shared" ca="1" si="6"/>
        <v>0.99578133043020589</v>
      </c>
      <c r="G34" s="44">
        <f t="shared" ca="1" si="6"/>
        <v>0.99825904659058151</v>
      </c>
      <c r="H34" s="44">
        <f t="shared" ca="1" si="6"/>
        <v>0.99095253834154473</v>
      </c>
      <c r="I34" s="44">
        <f t="shared" ca="1" si="6"/>
        <v>0.99914858112437344</v>
      </c>
      <c r="J34" s="44">
        <f t="shared" ca="1" si="6"/>
        <v>0.99143867613184622</v>
      </c>
      <c r="K34" s="44"/>
      <c r="L34" s="44">
        <f ca="1">AVERAGE(L32,L33)</f>
        <v>1.0317104909464054</v>
      </c>
      <c r="M34" s="45">
        <f t="shared" ref="M34" ca="1" si="7">AVERAGE(M32,M33)</f>
        <v>1</v>
      </c>
      <c r="N34" s="44">
        <f t="shared" ca="1" si="6"/>
        <v>0.99759888674930275</v>
      </c>
      <c r="O34" s="44">
        <f t="shared" ca="1" si="6"/>
        <v>0.99100596465264967</v>
      </c>
      <c r="P34" s="44">
        <f t="shared" ca="1" si="6"/>
        <v>0.99500162110144985</v>
      </c>
      <c r="Q34" s="44">
        <f t="shared" ca="1" si="6"/>
        <v>0.99977610438217468</v>
      </c>
    </row>
    <row r="35" spans="2:17" ht="12.75" x14ac:dyDescent="0.2">
      <c r="B35" s="41" t="s">
        <v>38</v>
      </c>
      <c r="C35" s="42">
        <f ca="1">ABS(C33-C32)</f>
        <v>4.3446255996797412E-3</v>
      </c>
      <c r="D35" s="42">
        <f t="shared" ref="D35:Q35" ca="1" si="8">ABS(D33-D32)</f>
        <v>4.8717956487235314E-3</v>
      </c>
      <c r="E35" s="42">
        <f t="shared" ca="1" si="8"/>
        <v>1.0448582830122843E-2</v>
      </c>
      <c r="F35" s="42">
        <f t="shared" ca="1" si="8"/>
        <v>1.7473537608044598E-2</v>
      </c>
      <c r="G35" s="42">
        <f t="shared" ca="1" si="8"/>
        <v>9.3144656688821659E-3</v>
      </c>
      <c r="H35" s="42">
        <f t="shared" ca="1" si="8"/>
        <v>5.6038804700608846E-4</v>
      </c>
      <c r="I35" s="42">
        <f t="shared" ca="1" si="8"/>
        <v>1.6313716886264817E-3</v>
      </c>
      <c r="J35" s="42">
        <f t="shared" ca="1" si="8"/>
        <v>1.2774541176557408E-2</v>
      </c>
      <c r="K35" s="42"/>
      <c r="L35" s="42">
        <f t="shared" ca="1" si="8"/>
        <v>1.0851981045645331E-4</v>
      </c>
      <c r="M35" s="42">
        <f t="shared" ref="M35" ca="1" si="9">ABS(M33-M32)</f>
        <v>0</v>
      </c>
      <c r="N35" s="42">
        <f t="shared" ca="1" si="8"/>
        <v>1.2918123242817714E-3</v>
      </c>
      <c r="O35" s="42">
        <f t="shared" ca="1" si="8"/>
        <v>3.491652941142287E-3</v>
      </c>
      <c r="P35" s="42">
        <f t="shared" ca="1" si="8"/>
        <v>2.2586108564391916E-3</v>
      </c>
      <c r="Q35" s="42">
        <f t="shared" ca="1" si="8"/>
        <v>2.4120230795986464E-3</v>
      </c>
    </row>
    <row r="36" spans="2:17" ht="12.75" x14ac:dyDescent="0.2"/>
    <row r="37" spans="2:17" ht="12.75" x14ac:dyDescent="0.2"/>
    <row r="39" spans="2:17" ht="12.75" x14ac:dyDescent="0.2"/>
    <row r="41" spans="2:17" ht="12.75" x14ac:dyDescent="0.2"/>
    <row r="42" spans="2:17" ht="12.75" x14ac:dyDescent="0.2"/>
    <row r="43" spans="2:17" ht="12.75" x14ac:dyDescent="0.2"/>
    <row r="45" spans="2:17" ht="12.75"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64FB5-F66F-43E7-880C-D05CB6BD7440}">
  <dimension ref="A1:U67"/>
  <sheetViews>
    <sheetView zoomScale="60" zoomScaleNormal="60" workbookViewId="0">
      <selection activeCell="B17" sqref="B17"/>
    </sheetView>
  </sheetViews>
  <sheetFormatPr defaultRowHeight="15" x14ac:dyDescent="0.25"/>
  <cols>
    <col min="1" max="1" width="45.28515625" customWidth="1"/>
    <col min="2" max="2" width="29.5703125" customWidth="1"/>
    <col min="3" max="3" width="14.85546875" bestFit="1" customWidth="1"/>
    <col min="4" max="4" width="12.140625" bestFit="1" customWidth="1"/>
    <col min="5" max="5" width="14.85546875" bestFit="1" customWidth="1"/>
    <col min="6" max="9" width="12.140625" bestFit="1" customWidth="1"/>
    <col min="11" max="11" width="12.140625" bestFit="1" customWidth="1"/>
    <col min="13" max="13" width="11.85546875" bestFit="1" customWidth="1"/>
    <col min="14" max="14" width="12.140625" bestFit="1" customWidth="1"/>
    <col min="15" max="15" width="11.85546875" bestFit="1" customWidth="1"/>
    <col min="16" max="16" width="12.140625" bestFit="1" customWidth="1"/>
  </cols>
  <sheetData>
    <row r="1" spans="1:21" x14ac:dyDescent="0.25">
      <c r="B1" t="s">
        <v>111</v>
      </c>
      <c r="C1" s="1" t="s">
        <v>112</v>
      </c>
      <c r="I1" s="2"/>
      <c r="J1" s="3" t="s">
        <v>83</v>
      </c>
    </row>
    <row r="2" spans="1:21" x14ac:dyDescent="0.25">
      <c r="A2" t="s">
        <v>84</v>
      </c>
      <c r="B2">
        <v>0.8</v>
      </c>
      <c r="C2">
        <v>0.67</v>
      </c>
      <c r="I2" s="4" t="s">
        <v>115</v>
      </c>
      <c r="J2" s="5">
        <v>20</v>
      </c>
      <c r="L2" s="6" t="s">
        <v>94</v>
      </c>
      <c r="M2" s="8" t="s">
        <v>95</v>
      </c>
    </row>
    <row r="3" spans="1:21" x14ac:dyDescent="0.25">
      <c r="A3" t="s">
        <v>85</v>
      </c>
      <c r="B3">
        <v>0.01</v>
      </c>
      <c r="C3">
        <v>0.01</v>
      </c>
      <c r="E3" s="1" t="s">
        <v>86</v>
      </c>
      <c r="L3" s="19" t="s">
        <v>41</v>
      </c>
      <c r="M3" s="11">
        <f>LN(1-B2)</f>
        <v>-1.6094379124341005</v>
      </c>
      <c r="S3" s="22"/>
      <c r="T3" s="22"/>
      <c r="U3" s="22"/>
    </row>
    <row r="4" spans="1:21" s="22" customFormat="1" x14ac:dyDescent="0.25">
      <c r="L4" s="20" t="s">
        <v>40</v>
      </c>
      <c r="M4" s="14">
        <f>LN(1-C2)</f>
        <v>-1.1086626245216114</v>
      </c>
    </row>
    <row r="6" spans="1:21" x14ac:dyDescent="0.25">
      <c r="A6" s="6" t="s">
        <v>34</v>
      </c>
      <c r="B6" s="7"/>
      <c r="C6" s="7"/>
      <c r="D6" s="7"/>
      <c r="E6" s="7"/>
      <c r="F6" s="7"/>
      <c r="G6" s="7"/>
      <c r="H6" s="7"/>
      <c r="I6" s="7"/>
      <c r="J6" s="7"/>
      <c r="K6" s="7"/>
      <c r="L6" s="7"/>
      <c r="M6" s="7"/>
      <c r="N6" s="7"/>
      <c r="O6" s="7"/>
      <c r="P6" s="7"/>
      <c r="Q6" s="8"/>
      <c r="S6" s="22"/>
      <c r="T6" s="22"/>
      <c r="U6" s="22"/>
    </row>
    <row r="7" spans="1:21" x14ac:dyDescent="0.25">
      <c r="A7" s="9"/>
      <c r="B7" s="16"/>
      <c r="C7" s="17" t="s">
        <v>44</v>
      </c>
      <c r="D7" s="17" t="s">
        <v>45</v>
      </c>
      <c r="E7" s="17" t="s">
        <v>46</v>
      </c>
      <c r="F7" s="17" t="s">
        <v>47</v>
      </c>
      <c r="G7" s="17" t="s">
        <v>48</v>
      </c>
      <c r="H7" s="17" t="s">
        <v>49</v>
      </c>
      <c r="I7" s="17" t="s">
        <v>50</v>
      </c>
      <c r="J7" s="17" t="s">
        <v>51</v>
      </c>
      <c r="K7" s="17" t="s">
        <v>116</v>
      </c>
      <c r="L7" s="17" t="s">
        <v>52</v>
      </c>
      <c r="M7" s="17" t="s">
        <v>117</v>
      </c>
      <c r="N7" s="17" t="s">
        <v>53</v>
      </c>
      <c r="O7" s="17" t="s">
        <v>54</v>
      </c>
      <c r="P7" s="17" t="s">
        <v>55</v>
      </c>
      <c r="Q7" s="10" t="s">
        <v>71</v>
      </c>
    </row>
    <row r="8" spans="1:21" x14ac:dyDescent="0.25">
      <c r="A8" s="9"/>
      <c r="B8" s="17" t="s">
        <v>74</v>
      </c>
      <c r="C8" s="17" t="s">
        <v>56</v>
      </c>
      <c r="D8" s="17" t="s">
        <v>57</v>
      </c>
      <c r="E8" s="17" t="s">
        <v>58</v>
      </c>
      <c r="F8" s="17" t="s">
        <v>59</v>
      </c>
      <c r="G8" s="17" t="s">
        <v>60</v>
      </c>
      <c r="H8" s="17" t="s">
        <v>61</v>
      </c>
      <c r="I8" s="17" t="s">
        <v>62</v>
      </c>
      <c r="J8" s="17" t="s">
        <v>63</v>
      </c>
      <c r="K8" s="18" t="s">
        <v>79</v>
      </c>
      <c r="L8" s="17" t="s">
        <v>64</v>
      </c>
      <c r="M8" s="64" t="s">
        <v>124</v>
      </c>
      <c r="N8" s="17" t="s">
        <v>65</v>
      </c>
      <c r="O8" s="17" t="s">
        <v>66</v>
      </c>
      <c r="P8" s="17" t="s">
        <v>67</v>
      </c>
      <c r="Q8" s="10" t="s">
        <v>68</v>
      </c>
    </row>
    <row r="9" spans="1:21" x14ac:dyDescent="0.25">
      <c r="A9" s="19" t="s">
        <v>42</v>
      </c>
      <c r="B9" s="16">
        <f ca="1">'Raw Data'!W6</f>
        <v>6.8599999999999994E-2</v>
      </c>
      <c r="C9" s="16">
        <f>'Raw Data'!E7</f>
        <v>0.12590000000000001</v>
      </c>
      <c r="D9" s="16">
        <f>'Raw Data'!F7</f>
        <v>0.1082</v>
      </c>
      <c r="E9" s="16">
        <f>'Raw Data'!G7</f>
        <v>0.2142</v>
      </c>
      <c r="F9" s="16">
        <f>'Raw Data'!H7</f>
        <v>0.19769999999999999</v>
      </c>
      <c r="G9" s="16">
        <f>'Raw Data'!I7</f>
        <v>0.115</v>
      </c>
      <c r="H9" s="16">
        <f>'Raw Data'!J7</f>
        <v>0.1118</v>
      </c>
      <c r="I9" s="16">
        <f>'Raw Data'!K7</f>
        <v>0.2044</v>
      </c>
      <c r="J9" s="16">
        <f>'Raw Data'!L7</f>
        <v>0.21990000000000001</v>
      </c>
      <c r="K9" s="16"/>
      <c r="L9" s="16">
        <f>'Raw Data'!N7</f>
        <v>0.1133</v>
      </c>
      <c r="M9" s="16"/>
      <c r="N9" s="16">
        <f>'Raw Data'!P7</f>
        <v>0.10589999999999999</v>
      </c>
      <c r="O9" s="16">
        <f>'Raw Data'!Q7</f>
        <v>5.4899999999999997E-2</v>
      </c>
      <c r="P9" s="16">
        <f>'Raw Data'!R7</f>
        <v>4.7E-2</v>
      </c>
      <c r="Q9" s="11">
        <f>'Raw Data'!S7</f>
        <v>9.0999999999999998E-2</v>
      </c>
    </row>
    <row r="10" spans="1:21" x14ac:dyDescent="0.25">
      <c r="A10" s="19" t="s">
        <v>70</v>
      </c>
      <c r="B10" s="16">
        <f ca="1">'Raw Data'!W7</f>
        <v>6.2399999999999997E-2</v>
      </c>
      <c r="C10" s="16">
        <f>'Raw Data'!E20</f>
        <v>0.1255</v>
      </c>
      <c r="D10" s="16">
        <f>'Raw Data'!F20</f>
        <v>0.1125</v>
      </c>
      <c r="E10" s="16">
        <f>'Raw Data'!G20</f>
        <v>0.2235</v>
      </c>
      <c r="F10" s="16">
        <f>'Raw Data'!H20</f>
        <v>0.22309999999999999</v>
      </c>
      <c r="G10" s="16">
        <f>'Raw Data'!I20</f>
        <v>0.12330000000000001</v>
      </c>
      <c r="H10" s="16">
        <f>'Raw Data'!J20</f>
        <v>0.1135</v>
      </c>
      <c r="I10" s="16">
        <f>'Raw Data'!K20</f>
        <v>0.20519999999999999</v>
      </c>
      <c r="J10" s="16">
        <f>'Raw Data'!L20</f>
        <v>0.26290000000000002</v>
      </c>
      <c r="K10" s="16"/>
      <c r="L10" s="16">
        <f>'Raw Data'!N20</f>
        <v>0.11559999999999999</v>
      </c>
      <c r="M10" s="16"/>
      <c r="N10" s="16">
        <f>'Raw Data'!P20</f>
        <v>0.11700000000000001</v>
      </c>
      <c r="O10" s="16">
        <f>'Raw Data'!Q20</f>
        <v>5.3900000000000003E-2</v>
      </c>
      <c r="P10" s="16">
        <f>'Raw Data'!R20</f>
        <v>4.9799999999999997E-2</v>
      </c>
      <c r="Q10" s="11">
        <f>'Raw Data'!S20</f>
        <v>9.2399999999999996E-2</v>
      </c>
    </row>
    <row r="11" spans="1:21" x14ac:dyDescent="0.25">
      <c r="A11" s="19" t="s">
        <v>41</v>
      </c>
      <c r="B11" s="16">
        <f ca="1">'Raw Data'!W8</f>
        <v>6.9099999999999995E-2</v>
      </c>
      <c r="C11" s="16">
        <f>'Raw Data'!E33</f>
        <v>0.12189999999999999</v>
      </c>
      <c r="D11" s="16">
        <f>'Raw Data'!F33</f>
        <v>0.1158</v>
      </c>
      <c r="E11" s="16">
        <f>'Raw Data'!G33</f>
        <v>0.21659999999999999</v>
      </c>
      <c r="F11" s="16">
        <f>'Raw Data'!H33</f>
        <v>0.24779999999999999</v>
      </c>
      <c r="G11" s="16">
        <f>'Raw Data'!I33</f>
        <v>0.12809999999999999</v>
      </c>
      <c r="H11" s="16">
        <f>'Raw Data'!J33</f>
        <v>0.1225</v>
      </c>
      <c r="I11" s="16">
        <f>'Raw Data'!K33</f>
        <v>0.22689999999999999</v>
      </c>
      <c r="J11" s="16">
        <f>'Raw Data'!L33</f>
        <v>0.27179999999999999</v>
      </c>
      <c r="K11" s="16"/>
      <c r="L11" s="16">
        <f>'Raw Data'!N33</f>
        <v>0.14280000000000001</v>
      </c>
      <c r="M11" s="16"/>
      <c r="N11" s="16">
        <f>'Raw Data'!P33</f>
        <v>0.12859999999999999</v>
      </c>
      <c r="O11" s="16">
        <f>'Raw Data'!Q33</f>
        <v>5.62E-2</v>
      </c>
      <c r="P11" s="16">
        <f>'Raw Data'!R33</f>
        <v>5.4300000000000001E-2</v>
      </c>
      <c r="Q11" s="11">
        <f>'Raw Data'!S33</f>
        <v>9.6000000000000002E-2</v>
      </c>
    </row>
    <row r="12" spans="1:21" x14ac:dyDescent="0.25">
      <c r="A12" s="20" t="s">
        <v>40</v>
      </c>
      <c r="B12" s="13">
        <f ca="1">'Raw Data'!W9</f>
        <v>7.1499999999999994E-2</v>
      </c>
      <c r="C12" s="13">
        <f>'Raw Data'!E46</f>
        <v>0.1231</v>
      </c>
      <c r="D12" s="13">
        <f>'Raw Data'!F46</f>
        <v>0.11940000000000001</v>
      </c>
      <c r="E12" s="13">
        <f>'Raw Data'!G46</f>
        <v>0.2291</v>
      </c>
      <c r="F12" s="13">
        <f>'Raw Data'!H46</f>
        <v>0.22969999999999999</v>
      </c>
      <c r="G12" s="13">
        <f>'Raw Data'!I46</f>
        <v>0.1201</v>
      </c>
      <c r="H12" s="13">
        <f>'Raw Data'!J46</f>
        <v>0.1181</v>
      </c>
      <c r="I12" s="13">
        <f>'Raw Data'!K46</f>
        <v>0.22839999999999999</v>
      </c>
      <c r="J12" s="13">
        <f>'Raw Data'!L46</f>
        <v>0.2394</v>
      </c>
      <c r="K12" s="13"/>
      <c r="L12" s="13">
        <f>'Raw Data'!N46</f>
        <v>0.1384</v>
      </c>
      <c r="M12" s="13"/>
      <c r="N12" s="13">
        <f>'Raw Data'!P46</f>
        <v>0.12989999999999999</v>
      </c>
      <c r="O12" s="13">
        <f>'Raw Data'!Q46</f>
        <v>5.74E-2</v>
      </c>
      <c r="P12" s="13">
        <f>'Raw Data'!R46</f>
        <v>5.1400000000000001E-2</v>
      </c>
      <c r="Q12" s="14">
        <f>'Raw Data'!S46</f>
        <v>9.1399999999999995E-2</v>
      </c>
    </row>
    <row r="13" spans="1:21" s="22" customFormat="1" x14ac:dyDescent="0.25">
      <c r="A13" s="18"/>
      <c r="B13" s="16"/>
      <c r="C13" s="16"/>
      <c r="D13" s="16"/>
      <c r="E13" s="16"/>
      <c r="F13" s="16"/>
      <c r="G13" s="16"/>
      <c r="H13" s="16"/>
      <c r="I13" s="16"/>
      <c r="J13" s="16"/>
      <c r="K13" s="16"/>
      <c r="L13" s="16"/>
      <c r="M13" s="16"/>
      <c r="N13" s="16"/>
      <c r="O13" s="16"/>
      <c r="P13" s="16"/>
      <c r="Q13" s="16"/>
    </row>
    <row r="14" spans="1:21" x14ac:dyDescent="0.25">
      <c r="A14" s="21" t="s">
        <v>113</v>
      </c>
      <c r="B14" s="7"/>
      <c r="C14" s="7"/>
      <c r="D14" s="7"/>
      <c r="E14" s="7"/>
      <c r="F14" s="7"/>
      <c r="G14" s="7"/>
      <c r="H14" s="7"/>
      <c r="I14" s="7"/>
      <c r="J14" s="7"/>
      <c r="K14" s="7"/>
      <c r="L14" s="7"/>
      <c r="M14" s="7"/>
      <c r="N14" s="7"/>
      <c r="O14" s="7"/>
      <c r="P14" s="7"/>
      <c r="Q14" s="8"/>
    </row>
    <row r="15" spans="1:21" x14ac:dyDescent="0.25">
      <c r="A15" s="19" t="s">
        <v>42</v>
      </c>
      <c r="B15" s="16">
        <f t="shared" ref="B15:I15" ca="1" si="0">TINV(0.32,$J$2-1)*B9/SQRT($J$2)</f>
        <v>1.566419900919255E-2</v>
      </c>
      <c r="C15" s="16">
        <f t="shared" si="0"/>
        <v>2.8748143662643479E-2</v>
      </c>
      <c r="D15" s="16">
        <f t="shared" si="0"/>
        <v>2.4706506308959684E-2</v>
      </c>
      <c r="E15" s="16">
        <f t="shared" si="0"/>
        <v>4.8910662212376749E-2</v>
      </c>
      <c r="F15" s="16">
        <f t="shared" si="0"/>
        <v>4.514303417080711E-2</v>
      </c>
      <c r="G15" s="16">
        <f t="shared" si="0"/>
        <v>2.6259225744273234E-2</v>
      </c>
      <c r="H15" s="16">
        <f t="shared" si="0"/>
        <v>2.5528534245302149E-2</v>
      </c>
      <c r="I15" s="16">
        <f t="shared" si="0"/>
        <v>4.6672919496777814E-2</v>
      </c>
      <c r="J15" s="16">
        <f>TINV(0.32,$J$2-1)*J9/SQRT($J$2)</f>
        <v>5.0212206444918993E-2</v>
      </c>
      <c r="K15" s="16"/>
      <c r="L15" s="16">
        <f>TINV(0.32,$J$2-1)*L9/SQRT($J$2)</f>
        <v>2.5871045885444845E-2</v>
      </c>
      <c r="M15" s="16"/>
      <c r="N15" s="16">
        <f t="shared" ref="N15:Q16" si="1">TINV(0.32,$J$2-1)*N9/SQRT($J$2)</f>
        <v>2.4181321794074215E-2</v>
      </c>
      <c r="O15" s="16">
        <f t="shared" si="1"/>
        <v>1.2535926029222611E-2</v>
      </c>
      <c r="P15" s="16">
        <f t="shared" si="1"/>
        <v>1.0732031391137755E-2</v>
      </c>
      <c r="Q15" s="11">
        <f t="shared" si="1"/>
        <v>2.0779039501990122E-2</v>
      </c>
    </row>
    <row r="16" spans="1:21" x14ac:dyDescent="0.25">
      <c r="A16" s="19" t="s">
        <v>70</v>
      </c>
      <c r="B16" s="16">
        <f t="shared" ref="B16:J16" ca="1" si="2">TINV(0.32,$J$2-1)*B10/SQRT($J$2)</f>
        <v>1.4248484229936081E-2</v>
      </c>
      <c r="C16" s="16">
        <f>TINV(0.32,$J$2-1)*C10/SQRT($J$2)</f>
        <v>2.8656807225272092E-2</v>
      </c>
      <c r="D16" s="16">
        <f t="shared" si="2"/>
        <v>2.5688373010702075E-2</v>
      </c>
      <c r="E16" s="16">
        <f t="shared" si="2"/>
        <v>5.1034234381261458E-2</v>
      </c>
      <c r="F16" s="16">
        <f t="shared" si="2"/>
        <v>5.0942897943890071E-2</v>
      </c>
      <c r="G16" s="16">
        <f t="shared" si="2"/>
        <v>2.8154456819729473E-2</v>
      </c>
      <c r="H16" s="16">
        <f t="shared" si="2"/>
        <v>2.5916714104130538E-2</v>
      </c>
      <c r="I16" s="16">
        <f t="shared" si="2"/>
        <v>4.685559237152058E-2</v>
      </c>
      <c r="J16" s="16">
        <f t="shared" si="2"/>
        <v>6.0030873462342899E-2</v>
      </c>
      <c r="K16" s="16"/>
      <c r="L16" s="16">
        <f>TINV(0.32,$J$2-1)*L10/SQRT($J$2)</f>
        <v>2.6396230400330307E-2</v>
      </c>
      <c r="M16" s="16"/>
      <c r="N16" s="16">
        <f t="shared" si="1"/>
        <v>2.671590793113016E-2</v>
      </c>
      <c r="O16" s="16">
        <f t="shared" si="1"/>
        <v>1.230758493579415E-2</v>
      </c>
      <c r="P16" s="16">
        <f>TINV(0.32,$J$2-1)*P10/SQRT($J$2)</f>
        <v>1.1371386452737451E-2</v>
      </c>
      <c r="Q16" s="11">
        <f t="shared" si="1"/>
        <v>2.1098717032789968E-2</v>
      </c>
    </row>
    <row r="17" spans="1:17" x14ac:dyDescent="0.25">
      <c r="A17" s="9" t="s">
        <v>87</v>
      </c>
      <c r="B17" s="16">
        <f t="shared" ref="B17:J17" ca="1" si="3">AVERAGE(B15:B16)</f>
        <v>1.4956341619564315E-2</v>
      </c>
      <c r="C17" s="16">
        <f t="shared" si="3"/>
        <v>2.8702475443957785E-2</v>
      </c>
      <c r="D17" s="16">
        <f t="shared" si="3"/>
        <v>2.5197439659830879E-2</v>
      </c>
      <c r="E17" s="16">
        <f t="shared" si="3"/>
        <v>4.99724482968191E-2</v>
      </c>
      <c r="F17" s="16">
        <f t="shared" si="3"/>
        <v>4.8042966057348591E-2</v>
      </c>
      <c r="G17" s="16">
        <f t="shared" si="3"/>
        <v>2.7206841282001355E-2</v>
      </c>
      <c r="H17" s="16">
        <f t="shared" si="3"/>
        <v>2.5722624174716345E-2</v>
      </c>
      <c r="I17" s="16">
        <f t="shared" si="3"/>
        <v>4.6764255934149193E-2</v>
      </c>
      <c r="J17" s="16">
        <f t="shared" si="3"/>
        <v>5.5121539953630949E-2</v>
      </c>
      <c r="K17" s="16"/>
      <c r="L17" s="16">
        <f>AVERAGE(L15:L16)</f>
        <v>2.6133638142887577E-2</v>
      </c>
      <c r="M17" s="16"/>
      <c r="N17" s="16">
        <f>AVERAGE(N15:N16)</f>
        <v>2.5448614862602185E-2</v>
      </c>
      <c r="O17" s="16">
        <f>AVERAGE(O15:O16)</f>
        <v>1.242175548250838E-2</v>
      </c>
      <c r="P17" s="16">
        <f>AVERAGE(P15:P16)</f>
        <v>1.1051708921937603E-2</v>
      </c>
      <c r="Q17" s="11">
        <f>AVERAGE(Q15:Q16)</f>
        <v>2.0938878267390045E-2</v>
      </c>
    </row>
    <row r="18" spans="1:17" x14ac:dyDescent="0.25">
      <c r="A18" s="19" t="s">
        <v>41</v>
      </c>
      <c r="B18" s="16">
        <f t="shared" ref="B18:J18" ca="1" si="4">TINV(0.32,$J$2-1)*B11/SQRT($J$2)</f>
        <v>1.5778369555906783E-2</v>
      </c>
      <c r="C18" s="16">
        <f t="shared" si="4"/>
        <v>2.7834779288929624E-2</v>
      </c>
      <c r="D18" s="16">
        <f t="shared" si="4"/>
        <v>2.6441898619016E-2</v>
      </c>
      <c r="E18" s="16">
        <f t="shared" si="4"/>
        <v>4.9458680836605054E-2</v>
      </c>
      <c r="F18" s="16">
        <f t="shared" si="4"/>
        <v>5.6582922951573099E-2</v>
      </c>
      <c r="G18" s="16">
        <f t="shared" si="4"/>
        <v>2.9250494068186091E-2</v>
      </c>
      <c r="H18" s="16">
        <f t="shared" si="4"/>
        <v>2.79717839449867E-2</v>
      </c>
      <c r="I18" s="16">
        <f>TINV(0.32,$J$2-1)*I11/SQRT($J$2)</f>
        <v>5.1810594098918222E-2</v>
      </c>
      <c r="J18" s="16">
        <f t="shared" si="4"/>
        <v>6.2063109193856207E-2</v>
      </c>
      <c r="K18" s="16"/>
      <c r="L18" s="16">
        <f>TINV(0.32,$J$2-1)*L11/SQRT($J$2)</f>
        <v>3.2607108141584504E-2</v>
      </c>
      <c r="M18" s="16"/>
      <c r="N18" s="16">
        <f t="shared" ref="N18:Q19" si="5">TINV(0.32,$J$2-1)*N11/SQRT($J$2)</f>
        <v>2.9364664614900324E-2</v>
      </c>
      <c r="O18" s="16">
        <f t="shared" si="5"/>
        <v>1.2832769450679614E-2</v>
      </c>
      <c r="P18" s="16">
        <f>TINV(0.32,$J$2-1)*P11/SQRT($J$2)</f>
        <v>1.2398921373165535E-2</v>
      </c>
      <c r="Q18" s="11">
        <f t="shared" si="5"/>
        <v>2.1920744969132436E-2</v>
      </c>
    </row>
    <row r="19" spans="1:17" x14ac:dyDescent="0.25">
      <c r="A19" s="20" t="s">
        <v>40</v>
      </c>
      <c r="B19" s="13">
        <f t="shared" ref="B19:J19" ca="1" si="6">TINV(0.32,$J$2-1)*B12/SQRT($J$2)</f>
        <v>1.6326388180135095E-2</v>
      </c>
      <c r="C19" s="13">
        <f t="shared" si="6"/>
        <v>2.8108788601043783E-2</v>
      </c>
      <c r="D19" s="13">
        <f>TINV(0.32,$J$2-1)*D12/SQRT($J$2)</f>
        <v>2.7263926555358468E-2</v>
      </c>
      <c r="E19" s="13">
        <f t="shared" si="6"/>
        <v>5.2312944504460848E-2</v>
      </c>
      <c r="F19" s="13">
        <f t="shared" si="6"/>
        <v>5.2449949160517921E-2</v>
      </c>
      <c r="G19" s="13">
        <f t="shared" si="6"/>
        <v>2.7423765320758391E-2</v>
      </c>
      <c r="H19" s="13">
        <f t="shared" si="6"/>
        <v>2.6967083133901466E-2</v>
      </c>
      <c r="I19" s="13">
        <f t="shared" si="6"/>
        <v>5.2153105739060922E-2</v>
      </c>
      <c r="J19" s="13">
        <f t="shared" si="6"/>
        <v>5.4664857766774017E-2</v>
      </c>
      <c r="K19" s="13"/>
      <c r="L19" s="13">
        <f>TINV(0.32,$J$2-1)*L12/SQRT($J$2)</f>
        <v>3.1602407330499266E-2</v>
      </c>
      <c r="M19" s="13"/>
      <c r="N19" s="13">
        <f t="shared" si="5"/>
        <v>2.9661508036357323E-2</v>
      </c>
      <c r="O19" s="13">
        <f t="shared" si="5"/>
        <v>1.310677876279377E-2</v>
      </c>
      <c r="P19" s="13">
        <f t="shared" si="5"/>
        <v>1.1736732202222992E-2</v>
      </c>
      <c r="Q19" s="14">
        <f t="shared" si="5"/>
        <v>2.0870375939361505E-2</v>
      </c>
    </row>
    <row r="21" spans="1:17" x14ac:dyDescent="0.25">
      <c r="A21" s="6" t="s">
        <v>88</v>
      </c>
      <c r="B21" s="7"/>
      <c r="C21" s="7"/>
      <c r="D21" s="7"/>
      <c r="E21" s="7"/>
      <c r="F21" s="7"/>
      <c r="G21" s="7"/>
      <c r="H21" s="7"/>
      <c r="I21" s="7"/>
      <c r="J21" s="7"/>
      <c r="K21" s="7"/>
      <c r="L21" s="7"/>
      <c r="M21" s="7"/>
      <c r="N21" s="7"/>
      <c r="O21" s="7"/>
      <c r="P21" s="7"/>
      <c r="Q21" s="8"/>
    </row>
    <row r="22" spans="1:17" x14ac:dyDescent="0.25">
      <c r="A22" s="19" t="s">
        <v>41</v>
      </c>
      <c r="B22" s="16"/>
      <c r="C22" s="16">
        <f ca="1">'KIE '!C29</f>
        <v>0.98583363857610906</v>
      </c>
      <c r="D22" s="16">
        <f ca="1">'KIE '!D29</f>
        <v>0.99988497331373549</v>
      </c>
      <c r="E22" s="16">
        <f ca="1">'KIE '!E29</f>
        <v>0.97956061312922404</v>
      </c>
      <c r="F22" s="16">
        <f ca="1">'KIE '!F29</f>
        <v>0.9790969097627934</v>
      </c>
      <c r="G22" s="16">
        <f ca="1">'KIE '!G29</f>
        <v>1.0046908906488858</v>
      </c>
      <c r="H22" s="16">
        <f ca="1">'KIE '!H29</f>
        <v>0.98586566453890678</v>
      </c>
      <c r="I22" s="16">
        <f ca="1">'KIE '!I29</f>
        <v>0.99731602629434679</v>
      </c>
      <c r="J22" s="16">
        <f ca="1">'KIE '!J29</f>
        <v>0.99649951367052725</v>
      </c>
      <c r="K22" s="16"/>
      <c r="L22" s="16">
        <f ca="1">'KIE '!L29</f>
        <v>1.0506251661226746</v>
      </c>
      <c r="M22" s="16"/>
      <c r="N22" s="16">
        <f ca="1">'KIE '!N29</f>
        <v>0.99717413646078268</v>
      </c>
      <c r="O22" s="16">
        <f ca="1">'KIE '!O29</f>
        <v>0.98831805621663915</v>
      </c>
      <c r="P22" s="16">
        <f ca="1">'KIE '!P29</f>
        <v>0.99376827826665559</v>
      </c>
      <c r="Q22" s="11">
        <f ca="1">'KIE '!Q29</f>
        <v>0.99769801143376702</v>
      </c>
    </row>
    <row r="23" spans="1:17" x14ac:dyDescent="0.25">
      <c r="A23" s="20" t="s">
        <v>40</v>
      </c>
      <c r="B23" s="13"/>
      <c r="C23" s="13">
        <f ca="1">'KIE '!C30</f>
        <v>0.99506503483732911</v>
      </c>
      <c r="D23" s="13">
        <f ca="1">'KIE '!D30</f>
        <v>0.99450750064781845</v>
      </c>
      <c r="E23" s="13">
        <f ca="1">'KIE '!E30</f>
        <v>0.99753616686957192</v>
      </c>
      <c r="F23" s="13">
        <f ca="1">'KIE '!F30</f>
        <v>1.0049989715437255</v>
      </c>
      <c r="G23" s="13">
        <f ca="1">'KIE '!G30</f>
        <v>0.99288631560020624</v>
      </c>
      <c r="H23" s="13">
        <f ca="1">'KIE '!H30</f>
        <v>0.98961570220078199</v>
      </c>
      <c r="I23" s="13">
        <f ca="1">'KIE '!I30</f>
        <v>0.99996038349283067</v>
      </c>
      <c r="J23" s="13">
        <f ca="1">'KIE '!J30</f>
        <v>0.98331629081554084</v>
      </c>
      <c r="K23" s="13"/>
      <c r="L23" s="13">
        <f ca="1">'KIE '!L30</f>
        <v>1.0347213790464223</v>
      </c>
      <c r="M23" s="13"/>
      <c r="N23" s="13">
        <f ca="1">'KIE '!N30</f>
        <v>0.9966172931029621</v>
      </c>
      <c r="O23" s="13">
        <f ca="1">'KIE '!O30</f>
        <v>0.98803599473721659</v>
      </c>
      <c r="P23" s="13">
        <f ca="1">'KIE '!P30</f>
        <v>0.99318788846156991</v>
      </c>
      <c r="Q23" s="14">
        <f ca="1">'KIE '!Q30</f>
        <v>1.0010883587354358</v>
      </c>
    </row>
    <row r="25" spans="1:17" x14ac:dyDescent="0.25">
      <c r="A25" s="15" t="s">
        <v>89</v>
      </c>
      <c r="B25" s="7"/>
      <c r="C25" s="7"/>
      <c r="D25" s="7"/>
      <c r="E25" s="7"/>
      <c r="F25" s="7"/>
      <c r="G25" s="7"/>
      <c r="H25" s="7"/>
      <c r="I25" s="7"/>
      <c r="J25" s="7"/>
      <c r="K25" s="7"/>
      <c r="L25" s="7"/>
      <c r="M25" s="7"/>
      <c r="N25" s="7"/>
      <c r="O25" s="7"/>
      <c r="P25" s="7"/>
      <c r="Q25" s="8"/>
    </row>
    <row r="26" spans="1:17" x14ac:dyDescent="0.25">
      <c r="A26" s="19" t="s">
        <v>41</v>
      </c>
      <c r="B26" s="16"/>
      <c r="C26" s="16">
        <f ca="1">(C18/'KIE '!C23)^2+($B$18/'KIE '!$R23)^2</f>
        <v>6.7806313758609606E-6</v>
      </c>
      <c r="D26" s="16">
        <f ca="1">(D18/'KIE '!D23)^2+($B$18/'KIE '!$R23)^2</f>
        <v>6.419985411777678E-6</v>
      </c>
      <c r="E26" s="16">
        <f ca="1">(E18/'KIE '!E23)^2+($B$18/'KIE '!$R23)^2</f>
        <v>5.8870842218229393E-6</v>
      </c>
      <c r="F26" s="16">
        <f ca="1">(F18/'KIE '!F23)^2+($B$18/'KIE '!$R23)^2</f>
        <v>7.7574035716684513E-6</v>
      </c>
      <c r="G26" s="16">
        <f ca="1">(G18/'KIE '!G23)^2+($B$18/'KIE '!$R23)^2</f>
        <v>7.8828782140134317E-6</v>
      </c>
      <c r="H26" s="16">
        <f ca="1">(H18/'KIE '!H23)^2+($B$18/'KIE '!$R23)^2</f>
        <v>7.2798548293037891E-6</v>
      </c>
      <c r="I26" s="16">
        <f ca="1">(I18/'KIE '!I23)^2+($B$18/'KIE '!$R23)^2</f>
        <v>6.1297257317656308E-6</v>
      </c>
      <c r="J26" s="16">
        <f ca="1">(J18/'KIE '!J23)^2+($B$18/'KIE '!$R23)^2</f>
        <v>8.0129060111536203E-6</v>
      </c>
      <c r="K26" s="16"/>
      <c r="L26" s="16">
        <f ca="1">(L18/'KIE '!L23)^2+($B$18/'KIE '!$R23)^2</f>
        <v>7.0259490929357373E-6</v>
      </c>
      <c r="M26" s="16"/>
      <c r="N26" s="16">
        <f ca="1">(N18/'KIE '!N23)^2+($B$18/'KIE '!$R23)^2</f>
        <v>6.7863973501708964E-6</v>
      </c>
      <c r="O26" s="16">
        <f ca="1">(O18/'KIE '!O23)^2+($B$18/'KIE '!$R23)^2</f>
        <v>2.1530535200362299E-6</v>
      </c>
      <c r="P26" s="16">
        <f ca="1">(P18/'KIE '!P23)^2+($B$18/'KIE '!$R23)^2</f>
        <v>2.197694606335145E-6</v>
      </c>
      <c r="Q26" s="11">
        <f ca="1">(Q18/'KIE '!Q23)^2+($B$18/'KIE '!$R23)^2</f>
        <v>4.7455597515507122E-6</v>
      </c>
    </row>
    <row r="27" spans="1:17" x14ac:dyDescent="0.25">
      <c r="A27" s="20" t="s">
        <v>40</v>
      </c>
      <c r="B27" s="13"/>
      <c r="C27" s="13">
        <f ca="1">(C19/'KIE '!C25)^2+($B$19/'KIE '!$R25)^2</f>
        <v>6.9624378517461901E-6</v>
      </c>
      <c r="D27" s="13">
        <f ca="1">(D19/'KIE '!D25)^2+($B$19/'KIE '!$R25)^2</f>
        <v>6.9814382111564694E-6</v>
      </c>
      <c r="E27" s="13">
        <f ca="1">(E19/'KIE '!E25)^2+($B$19/'KIE '!$R25)^2</f>
        <v>6.4207899452916019E-6</v>
      </c>
      <c r="F27" s="13">
        <f ca="1">(F19/'KIE '!F25)^2+($B$19/'KIE '!$R25)^2</f>
        <v>6.7341330919869199E-6</v>
      </c>
      <c r="G27" s="13">
        <f ca="1">(G19/'KIE '!G25)^2+($B$19/'KIE '!$R25)^2</f>
        <v>7.4036788737023689E-6</v>
      </c>
      <c r="H27" s="13">
        <f ca="1">(H19/'KIE '!H25)^2+($B$19/'KIE '!$R25)^2</f>
        <v>6.9904338947379126E-6</v>
      </c>
      <c r="I27" s="13">
        <f ca="1">(I19/'KIE '!I25)^2+($B$19/'KIE '!$R25)^2</f>
        <v>6.3369478276017731E-6</v>
      </c>
      <c r="J27" s="13">
        <f ca="1">(J19/'KIE '!J25)^2+($B$19/'KIE '!$R25)^2</f>
        <v>6.8168220090936643E-6</v>
      </c>
      <c r="K27" s="13"/>
      <c r="L27" s="13">
        <f ca="1">(L19/'KIE '!L25)^2+($B$19/'KIE '!$R25)^2</f>
        <v>7.0214423631760565E-6</v>
      </c>
      <c r="M27" s="13"/>
      <c r="N27" s="13">
        <f ca="1">(N19/'KIE '!N25)^2+($B$19/'KIE '!$R25)^2</f>
        <v>7.082875340276327E-6</v>
      </c>
      <c r="O27" s="13">
        <f ca="1">(O19/'KIE '!O25)^2+($B$19/'KIE '!$R25)^2</f>
        <v>2.3102448731876394E-6</v>
      </c>
      <c r="P27" s="13">
        <f ca="1">(P19/'KIE '!P25)^2+($B$19/'KIE '!$R25)^2</f>
        <v>2.2194449057250984E-6</v>
      </c>
      <c r="Q27" s="14">
        <f ca="1">(Q19/'KIE '!Q25)^2+($B$19/'KIE '!$R25)^2</f>
        <v>4.5454222663954973E-6</v>
      </c>
    </row>
    <row r="29" spans="1:17" x14ac:dyDescent="0.25">
      <c r="A29" s="15" t="s">
        <v>90</v>
      </c>
      <c r="B29" s="7"/>
      <c r="C29" s="7"/>
      <c r="D29" s="7"/>
      <c r="E29" s="7"/>
      <c r="F29" s="7"/>
      <c r="G29" s="7"/>
      <c r="H29" s="7"/>
      <c r="I29" s="7"/>
      <c r="J29" s="7"/>
      <c r="K29" s="7"/>
      <c r="L29" s="7"/>
      <c r="M29" s="7"/>
      <c r="N29" s="7"/>
      <c r="O29" s="7"/>
      <c r="P29" s="7"/>
      <c r="Q29" s="8"/>
    </row>
    <row r="30" spans="1:17" x14ac:dyDescent="0.25">
      <c r="A30" s="9" t="s">
        <v>91</v>
      </c>
      <c r="B30" s="16">
        <f ca="1">AVERAGE('KIE '!R19,'KIE '!R21)</f>
        <v>13.690200000000001</v>
      </c>
      <c r="C30" s="16">
        <f>AVERAGE('KIE '!C19,'KIE '!C21)</f>
        <v>11.75325</v>
      </c>
      <c r="D30" s="16">
        <f>AVERAGE('KIE '!D19,'KIE '!D21)</f>
        <v>11.386749999999999</v>
      </c>
      <c r="E30" s="16">
        <f>AVERAGE('KIE '!E19,'KIE '!E21)</f>
        <v>22.959499999999998</v>
      </c>
      <c r="F30" s="16">
        <f>AVERAGE('KIE '!F19,'KIE '!F21)</f>
        <v>22.171250000000001</v>
      </c>
      <c r="G30" s="16">
        <f>AVERAGE('KIE '!G19,'KIE '!G21)</f>
        <v>11.063500000000001</v>
      </c>
      <c r="H30" s="16">
        <f>AVERAGE('KIE '!H19,'KIE '!H21)</f>
        <v>11.309150000000001</v>
      </c>
      <c r="I30" s="16">
        <f>AVERAGE('KIE '!I19,'KIE '!I21)</f>
        <v>23.027250000000002</v>
      </c>
      <c r="J30" s="16">
        <f>AVERAGE('KIE '!J19,'KIE '!J21)</f>
        <v>23.43825</v>
      </c>
      <c r="K30" s="16"/>
      <c r="L30" s="16">
        <f>AVERAGE('KIE '!L19,'KIE '!L21)</f>
        <v>12.641</v>
      </c>
      <c r="M30" s="16"/>
      <c r="N30" s="16">
        <f>AVERAGE('KIE '!N19,'KIE '!N21)</f>
        <v>12.251749999999999</v>
      </c>
      <c r="O30" s="16">
        <f>AVERAGE('KIE '!O19,'KIE '!O21)</f>
        <v>13.493500000000001</v>
      </c>
      <c r="P30" s="16">
        <f>AVERAGE('KIE '!P19,'KIE '!P21)</f>
        <v>12.650500000000001</v>
      </c>
      <c r="Q30" s="11">
        <f>AVERAGE('KIE '!Q19,'KIE '!Q21)</f>
        <v>11.5154</v>
      </c>
    </row>
    <row r="31" spans="1:17" x14ac:dyDescent="0.25">
      <c r="A31" s="12" t="s">
        <v>92</v>
      </c>
      <c r="B31" s="13"/>
      <c r="C31" s="13">
        <f t="shared" ref="C31:J31" ca="1" si="7">((C17/C30)^2)+(($B$17/$B$30)^2)</f>
        <v>7.1573197648531834E-6</v>
      </c>
      <c r="D31" s="13">
        <f t="shared" ca="1" si="7"/>
        <v>6.0903340635057231E-6</v>
      </c>
      <c r="E31" s="13">
        <f t="shared" ca="1" si="7"/>
        <v>5.9308841812193065E-6</v>
      </c>
      <c r="F31" s="13">
        <f t="shared" ca="1" si="7"/>
        <v>5.8889961434013623E-6</v>
      </c>
      <c r="G31" s="13">
        <f t="shared" ca="1" si="7"/>
        <v>7.2409584255271688E-6</v>
      </c>
      <c r="H31" s="13">
        <f t="shared" ca="1" si="7"/>
        <v>6.3668591953219143E-6</v>
      </c>
      <c r="I31" s="13">
        <f t="shared" ca="1" si="7"/>
        <v>5.3177637950880654E-6</v>
      </c>
      <c r="J31" s="13">
        <f t="shared" ca="1" si="7"/>
        <v>6.7243796256759073E-6</v>
      </c>
      <c r="K31" s="13"/>
      <c r="L31" s="13">
        <f ca="1">((L17/L30)^2)+(($B$17/$B$30)^2)</f>
        <v>5.4675473167377359E-6</v>
      </c>
      <c r="M31" s="13"/>
      <c r="N31" s="13">
        <f ca="1">((N17/N30)^2)+(($B$17/$B$30)^2)</f>
        <v>5.5080396503052682E-6</v>
      </c>
      <c r="O31" s="13">
        <f ca="1">((O17/O30)^2)+(($B$17/$B$30)^2)</f>
        <v>2.0409791835887099E-6</v>
      </c>
      <c r="P31" s="13">
        <f ca="1">((P17/P30)^2)+(($B$17/$B$30)^2)</f>
        <v>1.9567330488711516E-6</v>
      </c>
      <c r="Q31" s="14">
        <f ca="1">((Q17/Q30)^2)+(($B$17/$B$30)^2)</f>
        <v>4.4998735942654665E-6</v>
      </c>
    </row>
    <row r="32" spans="1:17" x14ac:dyDescent="0.25">
      <c r="L32" s="1"/>
      <c r="N32" s="1"/>
    </row>
    <row r="33" spans="1:17" x14ac:dyDescent="0.25">
      <c r="A33" s="6" t="s">
        <v>93</v>
      </c>
      <c r="B33" s="7"/>
      <c r="C33" s="7"/>
      <c r="D33" s="7"/>
      <c r="E33" s="7"/>
      <c r="F33" s="7"/>
      <c r="G33" s="7"/>
      <c r="H33" s="7"/>
      <c r="I33" s="7"/>
      <c r="J33" s="7"/>
      <c r="K33" s="7"/>
      <c r="L33" s="7"/>
      <c r="M33" s="7"/>
      <c r="N33" s="7"/>
      <c r="O33" s="7"/>
      <c r="P33" s="7"/>
      <c r="Q33" s="8"/>
    </row>
    <row r="34" spans="1:17" x14ac:dyDescent="0.25">
      <c r="A34" s="19" t="s">
        <v>41</v>
      </c>
      <c r="B34" s="16"/>
      <c r="C34" s="16">
        <f t="shared" ref="C34:J35" ca="1" si="8">C$31+C26</f>
        <v>1.3937951140714145E-5</v>
      </c>
      <c r="D34" s="16">
        <f t="shared" ca="1" si="8"/>
        <v>1.25103194752834E-5</v>
      </c>
      <c r="E34" s="16">
        <f t="shared" ca="1" si="8"/>
        <v>1.1817968403042246E-5</v>
      </c>
      <c r="F34" s="16">
        <f t="shared" ca="1" si="8"/>
        <v>1.3646399715069814E-5</v>
      </c>
      <c r="G34" s="16">
        <f t="shared" ca="1" si="8"/>
        <v>1.51238366395406E-5</v>
      </c>
      <c r="H34" s="16">
        <f t="shared" ca="1" si="8"/>
        <v>1.3646714024625703E-5</v>
      </c>
      <c r="I34" s="16">
        <f t="shared" ca="1" si="8"/>
        <v>1.1447489526853695E-5</v>
      </c>
      <c r="J34" s="16">
        <f t="shared" ca="1" si="8"/>
        <v>1.4737285636829528E-5</v>
      </c>
      <c r="K34" s="16"/>
      <c r="L34" s="16">
        <f ca="1">L$31+L26</f>
        <v>1.2493496409673472E-5</v>
      </c>
      <c r="M34" s="16"/>
      <c r="N34" s="16">
        <f t="shared" ref="N34:Q35" ca="1" si="9">N$31+N26</f>
        <v>1.2294437000476165E-5</v>
      </c>
      <c r="O34" s="16">
        <f t="shared" ca="1" si="9"/>
        <v>4.1940327036249398E-6</v>
      </c>
      <c r="P34" s="16">
        <f t="shared" ca="1" si="9"/>
        <v>4.1544276552062962E-6</v>
      </c>
      <c r="Q34" s="11">
        <f t="shared" ca="1" si="9"/>
        <v>9.2454333458161778E-6</v>
      </c>
    </row>
    <row r="35" spans="1:17" x14ac:dyDescent="0.25">
      <c r="A35" s="20" t="s">
        <v>40</v>
      </c>
      <c r="B35" s="13"/>
      <c r="C35" s="13">
        <f t="shared" ca="1" si="8"/>
        <v>1.4119757616599374E-5</v>
      </c>
      <c r="D35" s="13">
        <f t="shared" ca="1" si="8"/>
        <v>1.3071772274662193E-5</v>
      </c>
      <c r="E35" s="13">
        <f t="shared" ca="1" si="8"/>
        <v>1.2351674126510908E-5</v>
      </c>
      <c r="F35" s="13">
        <f t="shared" ca="1" si="8"/>
        <v>1.2623129235388281E-5</v>
      </c>
      <c r="G35" s="13">
        <f t="shared" ca="1" si="8"/>
        <v>1.4644637299229537E-5</v>
      </c>
      <c r="H35" s="13">
        <f t="shared" ca="1" si="8"/>
        <v>1.3357293090059827E-5</v>
      </c>
      <c r="I35" s="13">
        <f t="shared" ca="1" si="8"/>
        <v>1.1654711622689839E-5</v>
      </c>
      <c r="J35" s="13">
        <f t="shared" ca="1" si="8"/>
        <v>1.3541201634769572E-5</v>
      </c>
      <c r="K35" s="13"/>
      <c r="L35" s="13">
        <f ca="1">L$31+L27</f>
        <v>1.2488989679913792E-5</v>
      </c>
      <c r="M35" s="13"/>
      <c r="N35" s="13">
        <f t="shared" ca="1" si="9"/>
        <v>1.2590914990581596E-5</v>
      </c>
      <c r="O35" s="13">
        <f t="shared" ca="1" si="9"/>
        <v>4.3512240567763497E-6</v>
      </c>
      <c r="P35" s="13">
        <f t="shared" ca="1" si="9"/>
        <v>4.1761779545962496E-6</v>
      </c>
      <c r="Q35" s="14">
        <f t="shared" ca="1" si="9"/>
        <v>9.0452958606609646E-6</v>
      </c>
    </row>
    <row r="36" spans="1:17" x14ac:dyDescent="0.25">
      <c r="P36" s="16"/>
    </row>
    <row r="37" spans="1:17" x14ac:dyDescent="0.25">
      <c r="A37" s="6" t="s">
        <v>96</v>
      </c>
      <c r="B37" s="7" t="s">
        <v>123</v>
      </c>
      <c r="C37" s="7" t="s">
        <v>97</v>
      </c>
      <c r="D37" s="7"/>
      <c r="E37" s="7"/>
      <c r="F37" s="7"/>
      <c r="G37" s="7"/>
      <c r="H37" s="7"/>
      <c r="I37" s="7"/>
      <c r="J37" s="7"/>
      <c r="K37" s="7"/>
      <c r="L37" s="7"/>
      <c r="M37" s="7"/>
      <c r="N37" s="7"/>
      <c r="O37" s="7"/>
      <c r="P37" s="7"/>
      <c r="Q37" s="8"/>
    </row>
    <row r="38" spans="1:17" x14ac:dyDescent="0.25">
      <c r="A38" s="19" t="s">
        <v>41</v>
      </c>
      <c r="B38" s="46"/>
      <c r="C38" s="16">
        <f t="shared" ref="C38:J38" ca="1" si="10">LN(1-$B$2)*(C22)</f>
        <v>-1.5866380332772465</v>
      </c>
      <c r="D38" s="16">
        <f t="shared" ca="1" si="10"/>
        <v>-1.6092527841242847</v>
      </c>
      <c r="E38" s="16">
        <f t="shared" ca="1" si="10"/>
        <v>-1.5765419882973659</v>
      </c>
      <c r="F38" s="16">
        <f t="shared" ca="1" si="10"/>
        <v>-1.575795686519309</v>
      </c>
      <c r="G38" s="16">
        <f t="shared" ca="1" si="10"/>
        <v>-1.6169876096875</v>
      </c>
      <c r="H38" s="16">
        <f t="shared" ca="1" si="10"/>
        <v>-1.5866895770759553</v>
      </c>
      <c r="I38" s="16">
        <f t="shared" ca="1" si="10"/>
        <v>-1.605118223396246</v>
      </c>
      <c r="J38" s="16">
        <f t="shared" ca="1" si="10"/>
        <v>-1.6038040970234897</v>
      </c>
      <c r="K38" s="16"/>
      <c r="L38" s="16">
        <f ca="1">LN(1-$B$2)*(L22)</f>
        <v>-1.6909159741152076</v>
      </c>
      <c r="M38" s="16"/>
      <c r="N38" s="16">
        <f ca="1">LN(1-$B$2)*(N22)</f>
        <v>-1.604889860518719</v>
      </c>
      <c r="O38" s="16">
        <f ca="1">LN(1-$B$2)*(O22)</f>
        <v>-1.5906365492182357</v>
      </c>
      <c r="P38" s="16">
        <f ca="1">LN(1-$B$2)*(P22)</f>
        <v>-1.5994083432167165</v>
      </c>
      <c r="Q38" s="11">
        <f ca="1">LN(1-$B$2)*(Q22)</f>
        <v>-1.6057330047616154</v>
      </c>
    </row>
    <row r="39" spans="1:17" x14ac:dyDescent="0.25">
      <c r="A39" s="20" t="s">
        <v>40</v>
      </c>
      <c r="B39" s="13"/>
      <c r="C39" s="13">
        <f t="shared" ref="C39:J39" ca="1" si="11">LN(1-$C$2)*(C23)</f>
        <v>-1.1031914130924418</v>
      </c>
      <c r="D39" s="13">
        <f t="shared" ca="1" si="11"/>
        <v>-1.1025732957746386</v>
      </c>
      <c r="E39" s="13">
        <f t="shared" ca="1" si="11"/>
        <v>-1.1059310648168477</v>
      </c>
      <c r="F39" s="13">
        <f t="shared" ca="1" si="11"/>
        <v>-1.114204797433187</v>
      </c>
      <c r="G39" s="13">
        <f t="shared" ca="1" si="11"/>
        <v>-1.1007759485049176</v>
      </c>
      <c r="H39" s="13">
        <f t="shared" ca="1" si="11"/>
        <v>-1.0971499416697164</v>
      </c>
      <c r="I39" s="13">
        <f t="shared" ca="1" si="11"/>
        <v>-1.1086187031807986</v>
      </c>
      <c r="J39" s="13">
        <f t="shared" ca="1" si="11"/>
        <v>-1.0901660197104135</v>
      </c>
      <c r="K39" s="13"/>
      <c r="L39" s="13">
        <f ca="1">LN(1-$C$2)*(L23)</f>
        <v>-1.1471569197422276</v>
      </c>
      <c r="M39" s="13"/>
      <c r="N39" s="13">
        <f ca="1">LN(1-$C$2)*(N23)</f>
        <v>-1.104912343815154</v>
      </c>
      <c r="O39" s="13">
        <f ca="1">LN(1-$C$2)*(O23)</f>
        <v>-1.0953985790471836</v>
      </c>
      <c r="P39" s="13">
        <f ca="1">LN(1-$C$2)*(P23)</f>
        <v>-1.1011102910648816</v>
      </c>
      <c r="Q39" s="14">
        <f ca="1">LN(1-$C$2)*(Q23)</f>
        <v>-1.1098692471736606</v>
      </c>
    </row>
    <row r="40" spans="1:17" x14ac:dyDescent="0.25">
      <c r="B40" s="46"/>
    </row>
    <row r="41" spans="1:17" x14ac:dyDescent="0.25">
      <c r="A41" s="6" t="s">
        <v>98</v>
      </c>
      <c r="B41" s="7" t="s">
        <v>123</v>
      </c>
      <c r="C41" s="7" t="s">
        <v>99</v>
      </c>
      <c r="D41" s="7"/>
      <c r="E41" s="7"/>
      <c r="F41" s="7"/>
      <c r="G41" s="7"/>
      <c r="H41" s="7"/>
      <c r="I41" s="7"/>
      <c r="J41" s="7"/>
      <c r="K41" s="7"/>
      <c r="L41" s="7"/>
      <c r="M41" s="7"/>
      <c r="N41" s="7"/>
      <c r="O41" s="7"/>
      <c r="P41" s="7"/>
      <c r="Q41" s="8"/>
    </row>
    <row r="42" spans="1:17" x14ac:dyDescent="0.25">
      <c r="A42" s="19" t="s">
        <v>41</v>
      </c>
      <c r="B42" s="46"/>
      <c r="C42" s="16">
        <f ca="1">(1-$B$2)*(C38^2)</f>
        <v>0.50348404972837768</v>
      </c>
      <c r="D42" s="16">
        <f t="shared" ref="D42:Q42" ca="1" si="12">(1-$B$2)*(D38^2)</f>
        <v>0.51793890464235226</v>
      </c>
      <c r="E42" s="16">
        <f t="shared" ca="1" si="12"/>
        <v>0.49709692817292223</v>
      </c>
      <c r="F42" s="16">
        <f t="shared" ca="1" si="12"/>
        <v>0.49662640913057199</v>
      </c>
      <c r="G42" s="16">
        <f t="shared" ca="1" si="12"/>
        <v>0.52292978597657891</v>
      </c>
      <c r="H42" s="16">
        <f t="shared" ca="1" si="12"/>
        <v>0.50351676280029467</v>
      </c>
      <c r="I42" s="16">
        <f t="shared" ca="1" si="12"/>
        <v>0.51528090221574419</v>
      </c>
      <c r="J42" s="16">
        <f t="shared" ca="1" si="12"/>
        <v>0.51443751632586621</v>
      </c>
      <c r="K42" s="16"/>
      <c r="L42" s="16">
        <f t="shared" ca="1" si="12"/>
        <v>0.57183936630359611</v>
      </c>
      <c r="M42" s="16"/>
      <c r="N42" s="16">
        <f t="shared" ca="1" si="12"/>
        <v>0.51513429287915857</v>
      </c>
      <c r="O42" s="16">
        <f t="shared" ca="1" si="12"/>
        <v>0.50602492634177931</v>
      </c>
      <c r="P42" s="16">
        <f t="shared" ca="1" si="12"/>
        <v>0.51162140967024838</v>
      </c>
      <c r="Q42" s="11">
        <f t="shared" ca="1" si="12"/>
        <v>0.51567569651615308</v>
      </c>
    </row>
    <row r="43" spans="1:17" x14ac:dyDescent="0.25">
      <c r="A43" s="20" t="s">
        <v>40</v>
      </c>
      <c r="B43" s="13"/>
      <c r="C43" s="13">
        <f ca="1">(1-$C$2)*(C39^2)</f>
        <v>0.40162032699389655</v>
      </c>
      <c r="D43" s="13">
        <f t="shared" ref="D43:Q43" ca="1" si="13">(1-$C$2)*(D39^2)</f>
        <v>0.40117039794326503</v>
      </c>
      <c r="E43" s="13">
        <f t="shared" ca="1" si="13"/>
        <v>0.40361756164188572</v>
      </c>
      <c r="F43" s="13">
        <f t="shared" ca="1" si="13"/>
        <v>0.40967926910563263</v>
      </c>
      <c r="G43" s="13">
        <f t="shared" ca="1" si="13"/>
        <v>0.39986353730627727</v>
      </c>
      <c r="H43" s="13">
        <f t="shared" ca="1" si="13"/>
        <v>0.39723353818693441</v>
      </c>
      <c r="I43" s="13">
        <f t="shared" ca="1" si="13"/>
        <v>0.40558169158395091</v>
      </c>
      <c r="J43" s="13">
        <f t="shared" ca="1" si="13"/>
        <v>0.39219244367531103</v>
      </c>
      <c r="K43" s="13"/>
      <c r="L43" s="13">
        <f t="shared" ca="1" si="13"/>
        <v>0.43426976950911689</v>
      </c>
      <c r="M43" s="13"/>
      <c r="N43" s="13">
        <f t="shared" ca="1" si="13"/>
        <v>0.40287432487998198</v>
      </c>
      <c r="O43" s="13">
        <f t="shared" ca="1" si="13"/>
        <v>0.3959663555029343</v>
      </c>
      <c r="P43" s="13">
        <f t="shared" ca="1" si="13"/>
        <v>0.40010647811936606</v>
      </c>
      <c r="Q43" s="14">
        <f t="shared" ca="1" si="13"/>
        <v>0.40649721612120326</v>
      </c>
    </row>
    <row r="44" spans="1:17" x14ac:dyDescent="0.25">
      <c r="B44" s="46"/>
      <c r="Q44" s="16"/>
    </row>
    <row r="45" spans="1:17" x14ac:dyDescent="0.25">
      <c r="A45" s="6" t="s">
        <v>100</v>
      </c>
      <c r="B45" s="7" t="s">
        <v>123</v>
      </c>
      <c r="C45" s="7" t="s">
        <v>101</v>
      </c>
      <c r="D45" s="7"/>
      <c r="E45" s="7"/>
      <c r="F45" s="7"/>
      <c r="G45" s="7"/>
      <c r="H45" s="7"/>
      <c r="I45" s="7"/>
      <c r="J45" s="7"/>
      <c r="K45" s="7"/>
      <c r="L45" s="7"/>
      <c r="M45" s="7"/>
      <c r="N45" s="7"/>
      <c r="O45" s="7"/>
      <c r="P45" s="7"/>
      <c r="Q45" s="8"/>
    </row>
    <row r="46" spans="1:17" x14ac:dyDescent="0.25">
      <c r="A46" s="19" t="s">
        <v>41</v>
      </c>
      <c r="B46" s="46"/>
      <c r="C46" s="16">
        <f ca="1">(1-$B$2)*(C38)</f>
        <v>-0.31732760665544923</v>
      </c>
      <c r="D46" s="16">
        <f t="shared" ref="D46:Q46" ca="1" si="14">(1-$B$2)*(D38)</f>
        <v>-0.32185055682485686</v>
      </c>
      <c r="E46" s="16">
        <f t="shared" ca="1" si="14"/>
        <v>-0.31530839765947311</v>
      </c>
      <c r="F46" s="16">
        <f t="shared" ca="1" si="14"/>
        <v>-0.31515913730386175</v>
      </c>
      <c r="G46" s="16">
        <f t="shared" ca="1" si="14"/>
        <v>-0.32339752193749993</v>
      </c>
      <c r="H46" s="16">
        <f t="shared" ca="1" si="14"/>
        <v>-0.31733791541519096</v>
      </c>
      <c r="I46" s="16">
        <f t="shared" ca="1" si="14"/>
        <v>-0.32102364467924915</v>
      </c>
      <c r="J46" s="16">
        <f t="shared" ca="1" si="14"/>
        <v>-0.32076081940469786</v>
      </c>
      <c r="K46" s="16"/>
      <c r="L46" s="16">
        <f t="shared" ca="1" si="14"/>
        <v>-0.33818319482304143</v>
      </c>
      <c r="M46" s="16"/>
      <c r="N46" s="16">
        <f t="shared" ca="1" si="14"/>
        <v>-0.32097797210374374</v>
      </c>
      <c r="O46" s="16">
        <f t="shared" ca="1" si="14"/>
        <v>-0.31812730984364707</v>
      </c>
      <c r="P46" s="16">
        <f t="shared" ca="1" si="14"/>
        <v>-0.31988166864334322</v>
      </c>
      <c r="Q46" s="11">
        <f t="shared" ca="1" si="14"/>
        <v>-0.321146600952323</v>
      </c>
    </row>
    <row r="47" spans="1:17" x14ac:dyDescent="0.25">
      <c r="A47" s="20" t="s">
        <v>40</v>
      </c>
      <c r="B47" s="13"/>
      <c r="C47" s="13">
        <f ca="1">(1-$C$2)*(C39)</f>
        <v>-0.36405316632050577</v>
      </c>
      <c r="D47" s="13">
        <f t="shared" ref="D47:Q47" ca="1" si="15">(1-$C$2)*(D39)</f>
        <v>-0.36384918760563068</v>
      </c>
      <c r="E47" s="13">
        <f t="shared" ca="1" si="15"/>
        <v>-0.3649572513895597</v>
      </c>
      <c r="F47" s="13">
        <f t="shared" ca="1" si="15"/>
        <v>-0.36768758315295169</v>
      </c>
      <c r="G47" s="13">
        <f t="shared" ca="1" si="15"/>
        <v>-0.36325606300662278</v>
      </c>
      <c r="H47" s="13">
        <f t="shared" ca="1" si="15"/>
        <v>-0.36205948075100636</v>
      </c>
      <c r="I47" s="13">
        <f t="shared" ca="1" si="15"/>
        <v>-0.36584417204966346</v>
      </c>
      <c r="J47" s="13">
        <f t="shared" ca="1" si="15"/>
        <v>-0.35975478650443643</v>
      </c>
      <c r="K47" s="13"/>
      <c r="L47" s="13">
        <f t="shared" ca="1" si="15"/>
        <v>-0.37856178351493502</v>
      </c>
      <c r="M47" s="13"/>
      <c r="N47" s="13">
        <f t="shared" ca="1" si="15"/>
        <v>-0.3646210734590008</v>
      </c>
      <c r="O47" s="13">
        <f t="shared" ca="1" si="15"/>
        <v>-0.36148153108557057</v>
      </c>
      <c r="P47" s="13">
        <f t="shared" ca="1" si="15"/>
        <v>-0.36336639605141086</v>
      </c>
      <c r="Q47" s="14">
        <f t="shared" ca="1" si="15"/>
        <v>-0.36625685156730797</v>
      </c>
    </row>
    <row r="48" spans="1:17" x14ac:dyDescent="0.25">
      <c r="B48" s="46"/>
      <c r="Q48" s="16"/>
    </row>
    <row r="49" spans="1:17" x14ac:dyDescent="0.25">
      <c r="A49" s="6" t="s">
        <v>102</v>
      </c>
      <c r="B49" s="7" t="s">
        <v>123</v>
      </c>
      <c r="C49" s="7" t="s">
        <v>103</v>
      </c>
      <c r="D49" s="7"/>
      <c r="E49" s="7"/>
      <c r="F49" s="7"/>
      <c r="G49" s="7"/>
      <c r="H49" s="7"/>
      <c r="I49" s="7"/>
      <c r="J49" s="7"/>
      <c r="K49" s="7"/>
      <c r="L49" s="7"/>
      <c r="M49" s="7"/>
      <c r="N49" s="7"/>
      <c r="O49" s="7"/>
      <c r="P49" s="7"/>
      <c r="Q49" s="8"/>
    </row>
    <row r="50" spans="1:17" x14ac:dyDescent="0.25">
      <c r="A50" s="19" t="s">
        <v>41</v>
      </c>
      <c r="B50" s="46"/>
      <c r="C50" s="16">
        <f t="shared" ref="C50:J51" ca="1" si="16">$M3^2*C34</f>
        <v>3.6103340951557714E-5</v>
      </c>
      <c r="D50" s="16">
        <f t="shared" ca="1" si="16"/>
        <v>3.240536036245045E-5</v>
      </c>
      <c r="E50" s="16">
        <f t="shared" ca="1" si="16"/>
        <v>3.0611970030762274E-5</v>
      </c>
      <c r="F50" s="16">
        <f t="shared" ca="1" si="16"/>
        <v>3.5348138094359964E-5</v>
      </c>
      <c r="G50" s="16">
        <f t="shared" ca="1" si="16"/>
        <v>3.9175128767528341E-5</v>
      </c>
      <c r="H50" s="16">
        <f t="shared" ca="1" si="16"/>
        <v>3.5348952247383316E-5</v>
      </c>
      <c r="I50" s="16">
        <f t="shared" ca="1" si="16"/>
        <v>2.965232215659848E-5</v>
      </c>
      <c r="J50" s="16">
        <f t="shared" ca="1" si="16"/>
        <v>3.8173849418422429E-5</v>
      </c>
      <c r="K50" s="16"/>
      <c r="L50" s="16">
        <f ca="1">$M3^2*L34</f>
        <v>3.2361783737203754E-5</v>
      </c>
      <c r="M50" s="16"/>
      <c r="N50" s="16">
        <f t="shared" ref="N50:Q51" ca="1" si="17">$M3^2*N34</f>
        <v>3.1846162061728593E-5</v>
      </c>
      <c r="O50" s="16">
        <f t="shared" ca="1" si="17"/>
        <v>1.0863762624238637E-5</v>
      </c>
      <c r="P50" s="16">
        <f t="shared" ca="1" si="17"/>
        <v>1.0761174047766704E-5</v>
      </c>
      <c r="Q50" s="11">
        <f t="shared" ca="1" si="17"/>
        <v>2.3948357183852196E-5</v>
      </c>
    </row>
    <row r="51" spans="1:17" x14ac:dyDescent="0.25">
      <c r="A51" s="20" t="s">
        <v>40</v>
      </c>
      <c r="B51" s="13"/>
      <c r="C51" s="13">
        <f t="shared" ca="1" si="16"/>
        <v>1.7355057426565879E-5</v>
      </c>
      <c r="D51" s="13">
        <f t="shared" ca="1" si="16"/>
        <v>1.6066944253140208E-5</v>
      </c>
      <c r="E51" s="13">
        <f t="shared" ca="1" si="16"/>
        <v>1.5181847989218706E-5</v>
      </c>
      <c r="F51" s="13">
        <f t="shared" ca="1" si="16"/>
        <v>1.551550237134231E-5</v>
      </c>
      <c r="G51" s="13">
        <f t="shared" ca="1" si="16"/>
        <v>1.8000204268419247E-5</v>
      </c>
      <c r="H51" s="13">
        <f t="shared" ca="1" si="16"/>
        <v>1.641788725671418E-5</v>
      </c>
      <c r="I51" s="13">
        <f t="shared" ca="1" si="16"/>
        <v>1.4325188504939899E-5</v>
      </c>
      <c r="J51" s="13">
        <f t="shared" ca="1" si="16"/>
        <v>1.6643935283977873E-5</v>
      </c>
      <c r="K51" s="13"/>
      <c r="L51" s="13">
        <f ca="1">$M4^2*L35</f>
        <v>1.5350627041917606E-5</v>
      </c>
      <c r="M51" s="13"/>
      <c r="N51" s="13">
        <f t="shared" ca="1" si="17"/>
        <v>1.547590678593961E-5</v>
      </c>
      <c r="O51" s="13">
        <f t="shared" ca="1" si="17"/>
        <v>5.348232273649739E-6</v>
      </c>
      <c r="P51" s="13">
        <f t="shared" ca="1" si="17"/>
        <v>5.1330773653203834E-6</v>
      </c>
      <c r="Q51" s="14">
        <f t="shared" ca="1" si="17"/>
        <v>1.1117869963822891E-5</v>
      </c>
    </row>
    <row r="52" spans="1:17" x14ac:dyDescent="0.25">
      <c r="B52" s="46"/>
      <c r="K52" s="1"/>
      <c r="Q52" s="16"/>
    </row>
    <row r="53" spans="1:17" x14ac:dyDescent="0.25">
      <c r="A53" s="6" t="s">
        <v>104</v>
      </c>
      <c r="B53" s="7" t="s">
        <v>123</v>
      </c>
      <c r="C53" s="7" t="s">
        <v>105</v>
      </c>
      <c r="D53" s="7"/>
      <c r="E53" s="7"/>
      <c r="F53" s="7"/>
      <c r="G53" s="7"/>
      <c r="H53" s="7"/>
      <c r="I53" s="7"/>
      <c r="J53" s="7"/>
      <c r="K53" s="7"/>
      <c r="L53" s="7"/>
      <c r="M53" s="7"/>
      <c r="N53" s="7"/>
      <c r="O53" s="7"/>
      <c r="P53" s="7"/>
      <c r="Q53" s="8"/>
    </row>
    <row r="54" spans="1:17" x14ac:dyDescent="0.25">
      <c r="A54" s="19" t="s">
        <v>41</v>
      </c>
      <c r="B54" s="46"/>
      <c r="C54" s="16">
        <f t="shared" ref="C54:J55" ca="1" si="18">(C22^2)*(C38^4)</f>
        <v>6.1591206042068904</v>
      </c>
      <c r="D54" s="16">
        <f t="shared" ca="1" si="18"/>
        <v>6.7049749552676294</v>
      </c>
      <c r="E54" s="16">
        <f t="shared" ca="1" si="18"/>
        <v>5.9276806225869079</v>
      </c>
      <c r="F54" s="16">
        <f t="shared" ca="1" si="18"/>
        <v>5.9108642997320766</v>
      </c>
      <c r="G54" s="16">
        <f t="shared" ca="1" si="18"/>
        <v>6.9006769642664745</v>
      </c>
      <c r="H54" s="16">
        <f t="shared" ca="1" si="18"/>
        <v>6.1603212192814798</v>
      </c>
      <c r="I54" s="16">
        <f t="shared" ca="1" si="18"/>
        <v>6.6022763374564617</v>
      </c>
      <c r="J54" s="16">
        <f t="shared" ca="1" si="18"/>
        <v>6.5699105474957271</v>
      </c>
      <c r="K54" s="16"/>
      <c r="L54" s="16">
        <f ca="1">(L22^2)*(L38^4)</f>
        <v>9.0236804328344125</v>
      </c>
      <c r="M54" s="16"/>
      <c r="N54" s="16">
        <f t="shared" ref="N54:Q55" ca="1" si="19">(N22^2)*(N38^4)</f>
        <v>6.5966424396927854</v>
      </c>
      <c r="O54" s="16">
        <f t="shared" ca="1" si="19"/>
        <v>6.25283961244459</v>
      </c>
      <c r="P54" s="16">
        <f t="shared" ca="1" si="19"/>
        <v>6.4626061262578798</v>
      </c>
      <c r="Q54" s="11">
        <f t="shared" ca="1" si="19"/>
        <v>6.6174634245067532</v>
      </c>
    </row>
    <row r="55" spans="1:17" x14ac:dyDescent="0.25">
      <c r="A55" s="20" t="s">
        <v>40</v>
      </c>
      <c r="B55" s="13"/>
      <c r="C55" s="13">
        <f t="shared" ca="1" si="18"/>
        <v>1.4665822454713089</v>
      </c>
      <c r="D55" s="13">
        <f t="shared" ca="1" si="18"/>
        <v>1.4616587969271584</v>
      </c>
      <c r="E55" s="13">
        <f t="shared" ca="1" si="18"/>
        <v>1.4885709181926698</v>
      </c>
      <c r="F55" s="13">
        <f t="shared" ca="1" si="18"/>
        <v>1.5566512722283277</v>
      </c>
      <c r="G55" s="13">
        <f t="shared" ca="1" si="18"/>
        <v>1.4474206941747236</v>
      </c>
      <c r="H55" s="13">
        <f t="shared" ca="1" si="18"/>
        <v>1.4190480219581079</v>
      </c>
      <c r="I55" s="13">
        <f t="shared" ca="1" si="18"/>
        <v>1.5104084045183712</v>
      </c>
      <c r="J55" s="13">
        <f t="shared" ca="1" si="18"/>
        <v>1.3657054188782556</v>
      </c>
      <c r="K55" s="13"/>
      <c r="L55" s="13">
        <f ca="1">(L23^2)*(L39^4)</f>
        <v>1.8541213786055817</v>
      </c>
      <c r="M55" s="13"/>
      <c r="N55" s="13">
        <f t="shared" ca="1" si="19"/>
        <v>1.4803627179808514</v>
      </c>
      <c r="O55" s="13">
        <f t="shared" ca="1" si="19"/>
        <v>1.4055109254817864</v>
      </c>
      <c r="P55" s="13">
        <f t="shared" ca="1" si="19"/>
        <v>1.4500604790870943</v>
      </c>
      <c r="Q55" s="14">
        <f t="shared" ca="1" si="19"/>
        <v>1.5206599009284449</v>
      </c>
    </row>
    <row r="56" spans="1:17" x14ac:dyDescent="0.25">
      <c r="B56" s="46"/>
      <c r="K56" s="1"/>
      <c r="Q56" s="16"/>
    </row>
    <row r="57" spans="1:17" x14ac:dyDescent="0.25">
      <c r="A57" s="6" t="s">
        <v>106</v>
      </c>
      <c r="B57" s="7" t="s">
        <v>123</v>
      </c>
      <c r="C57" s="7" t="s">
        <v>107</v>
      </c>
      <c r="D57" s="7"/>
      <c r="E57" s="7"/>
      <c r="F57" s="7"/>
      <c r="G57" s="7"/>
      <c r="H57" s="7"/>
      <c r="I57" s="7"/>
      <c r="J57" s="7"/>
      <c r="K57" s="7"/>
      <c r="L57" s="7"/>
      <c r="M57" s="7"/>
      <c r="N57" s="7"/>
      <c r="O57" s="7"/>
      <c r="P57" s="7"/>
      <c r="Q57" s="8"/>
    </row>
    <row r="58" spans="1:17" x14ac:dyDescent="0.25">
      <c r="A58" s="19" t="s">
        <v>41</v>
      </c>
      <c r="B58" s="46"/>
      <c r="C58" s="16">
        <f t="shared" ref="C58:J59" ca="1" si="20">(($M3/C42)-(1/C46))^2*($B$3)^2</f>
        <v>2.0506599842384804E-7</v>
      </c>
      <c r="D58" s="16">
        <f t="shared" ca="1" si="20"/>
        <v>1.2775814702942509E-11</v>
      </c>
      <c r="E58" s="16">
        <f t="shared" ca="1" si="20"/>
        <v>4.3792730450341531E-7</v>
      </c>
      <c r="F58" s="16">
        <f t="shared" ca="1" si="20"/>
        <v>4.588913010343356E-7</v>
      </c>
      <c r="G58" s="16">
        <f t="shared" ca="1" si="20"/>
        <v>2.084357999403441E-8</v>
      </c>
      <c r="H58" s="16">
        <f t="shared" ca="1" si="20"/>
        <v>2.0411333431686607E-7</v>
      </c>
      <c r="I58" s="16">
        <f t="shared" ca="1" si="20"/>
        <v>7.0277592508381394E-9</v>
      </c>
      <c r="J58" s="16">
        <f t="shared" ca="1" si="20"/>
        <v>1.1993334905354123E-8</v>
      </c>
      <c r="K58" s="16"/>
      <c r="L58" s="16">
        <f ca="1">(($M3/L42)-(1/L46))^2*($B$3)^2</f>
        <v>2.0301740793608163E-6</v>
      </c>
      <c r="M58" s="16"/>
      <c r="N58" s="16">
        <f t="shared" ref="N58:Q59" ca="1" si="21">(($M3/N42)-(1/N46))^2*($B$3)^2</f>
        <v>7.794888415400785E-9</v>
      </c>
      <c r="O58" s="16">
        <f t="shared" ca="1" si="21"/>
        <v>1.3804950643543529E-7</v>
      </c>
      <c r="P58" s="16">
        <f t="shared" ca="1" si="21"/>
        <v>3.8429712894343206E-8</v>
      </c>
      <c r="Q58" s="11">
        <f t="shared" ca="1" si="21"/>
        <v>5.1618033087862516E-9</v>
      </c>
    </row>
    <row r="59" spans="1:17" x14ac:dyDescent="0.25">
      <c r="A59" s="20" t="s">
        <v>40</v>
      </c>
      <c r="B59" s="13"/>
      <c r="C59" s="13">
        <f t="shared" ca="1" si="20"/>
        <v>1.8558190356593262E-8</v>
      </c>
      <c r="D59" s="13">
        <f t="shared" ca="1" si="20"/>
        <v>2.3039926201662914E-8</v>
      </c>
      <c r="E59" s="13">
        <f t="shared" ca="1" si="20"/>
        <v>4.5801667139234685E-9</v>
      </c>
      <c r="F59" s="13">
        <f t="shared" ca="1" si="20"/>
        <v>1.8300888143848783E-8</v>
      </c>
      <c r="G59" s="13">
        <f t="shared" ca="1" si="20"/>
        <v>3.8901324990526333E-8</v>
      </c>
      <c r="H59" s="13">
        <f t="shared" ca="1" si="20"/>
        <v>8.3996514457048792E-8</v>
      </c>
      <c r="I59" s="13">
        <f t="shared" ca="1" si="20"/>
        <v>1.1727204399723788E-12</v>
      </c>
      <c r="J59" s="13">
        <f t="shared" ca="1" si="20"/>
        <v>2.2242602043236927E-7</v>
      </c>
      <c r="K59" s="13"/>
      <c r="L59" s="13">
        <f ca="1">(($M4/L43)-(1/L47))^2*($B$3)^2</f>
        <v>7.8573038658609244E-7</v>
      </c>
      <c r="M59" s="13"/>
      <c r="N59" s="13">
        <f t="shared" ca="1" si="21"/>
        <v>8.6653951114985322E-9</v>
      </c>
      <c r="O59" s="13">
        <f t="shared" ca="1" si="21"/>
        <v>1.1221099971693458E-7</v>
      </c>
      <c r="P59" s="13">
        <f t="shared" ca="1" si="21"/>
        <v>3.5629616503517424E-8</v>
      </c>
      <c r="Q59" s="14">
        <f t="shared" ca="1" si="21"/>
        <v>8.8110526597655989E-10</v>
      </c>
    </row>
    <row r="60" spans="1:17" x14ac:dyDescent="0.25">
      <c r="B60" s="46"/>
      <c r="K60" s="1"/>
      <c r="Q60" s="16"/>
    </row>
    <row r="61" spans="1:17" x14ac:dyDescent="0.25">
      <c r="A61" s="6" t="s">
        <v>108</v>
      </c>
      <c r="B61" s="7" t="s">
        <v>123</v>
      </c>
      <c r="C61" s="7" t="s">
        <v>109</v>
      </c>
      <c r="D61" s="7"/>
      <c r="E61" s="7"/>
      <c r="F61" s="7"/>
      <c r="G61" s="7"/>
      <c r="H61" s="7"/>
      <c r="I61" s="7"/>
      <c r="J61" s="7"/>
      <c r="K61" s="7"/>
      <c r="L61" s="7"/>
      <c r="M61" s="7"/>
      <c r="N61" s="7"/>
      <c r="O61" s="7"/>
      <c r="P61" s="7"/>
      <c r="Q61" s="8"/>
    </row>
    <row r="62" spans="1:17" x14ac:dyDescent="0.25">
      <c r="A62" s="19" t="s">
        <v>41</v>
      </c>
      <c r="B62" s="46"/>
      <c r="C62" s="16">
        <f t="shared" ref="C62:J63" ca="1" si="22">C50/C54</f>
        <v>5.861768793242642E-6</v>
      </c>
      <c r="D62" s="16">
        <f t="shared" ca="1" si="22"/>
        <v>4.833032275085804E-6</v>
      </c>
      <c r="E62" s="16">
        <f t="shared" ca="1" si="22"/>
        <v>5.1642407848557228E-6</v>
      </c>
      <c r="F62" s="16">
        <f t="shared" ca="1" si="22"/>
        <v>5.9801978698719575E-6</v>
      </c>
      <c r="G62" s="16">
        <f t="shared" ca="1" si="22"/>
        <v>5.6769979192458206E-6</v>
      </c>
      <c r="H62" s="16">
        <f t="shared" ca="1" si="22"/>
        <v>5.7381670515399365E-6</v>
      </c>
      <c r="I62" s="16">
        <f t="shared" ca="1" si="22"/>
        <v>4.4912270618503204E-6</v>
      </c>
      <c r="J62" s="16">
        <f t="shared" ca="1" si="22"/>
        <v>5.8104062669427476E-6</v>
      </c>
      <c r="K62" s="16"/>
      <c r="L62" s="16">
        <f ca="1">L50/L54</f>
        <v>3.5863175760800574E-6</v>
      </c>
      <c r="M62" s="16"/>
      <c r="N62" s="16">
        <f t="shared" ref="N62:Q63" ca="1" si="23">N50/N54</f>
        <v>4.8276319889807021E-6</v>
      </c>
      <c r="O62" s="16">
        <f t="shared" ca="1" si="23"/>
        <v>1.7374126473062334E-6</v>
      </c>
      <c r="P62" s="16">
        <f t="shared" ca="1" si="23"/>
        <v>1.6651446548852074E-6</v>
      </c>
      <c r="Q62" s="11">
        <f t="shared" ca="1" si="23"/>
        <v>3.6189632866217523E-6</v>
      </c>
    </row>
    <row r="63" spans="1:17" x14ac:dyDescent="0.25">
      <c r="A63" s="20" t="s">
        <v>40</v>
      </c>
      <c r="B63" s="13"/>
      <c r="C63" s="13">
        <f t="shared" ca="1" si="22"/>
        <v>1.1833674845142123E-5</v>
      </c>
      <c r="D63" s="13">
        <f t="shared" ca="1" si="22"/>
        <v>1.0992267338258221E-5</v>
      </c>
      <c r="E63" s="13">
        <f t="shared" ca="1" si="22"/>
        <v>1.0198941685392834E-5</v>
      </c>
      <c r="F63" s="13">
        <f t="shared" ca="1" si="22"/>
        <v>9.967230713872128E-6</v>
      </c>
      <c r="G63" s="13">
        <f t="shared" ca="1" si="22"/>
        <v>1.2436055626994079E-5</v>
      </c>
      <c r="H63" s="13">
        <f t="shared" ca="1" si="22"/>
        <v>1.1569648808684825E-5</v>
      </c>
      <c r="I63" s="13">
        <f t="shared" ca="1" si="22"/>
        <v>9.4843146145679837E-6</v>
      </c>
      <c r="J63" s="13">
        <f t="shared" ca="1" si="22"/>
        <v>1.2187061026417132E-5</v>
      </c>
      <c r="K63" s="13"/>
      <c r="L63" s="13">
        <f ca="1">L51/L55</f>
        <v>8.279192084750278E-6</v>
      </c>
      <c r="M63" s="13"/>
      <c r="N63" s="13">
        <f t="shared" ca="1" si="23"/>
        <v>1.0454131678652415E-5</v>
      </c>
      <c r="O63" s="13">
        <f t="shared" ca="1" si="23"/>
        <v>3.8051872644223323E-6</v>
      </c>
      <c r="P63" s="13">
        <f t="shared" ca="1" si="23"/>
        <v>3.5399057069343641E-6</v>
      </c>
      <c r="Q63" s="14">
        <f t="shared" ca="1" si="23"/>
        <v>7.3112140045481777E-6</v>
      </c>
    </row>
    <row r="64" spans="1:17" x14ac:dyDescent="0.25">
      <c r="B64" s="46"/>
      <c r="K64" s="1"/>
      <c r="Q64" s="16"/>
    </row>
    <row r="65" spans="1:17" x14ac:dyDescent="0.25">
      <c r="A65" s="23" t="s">
        <v>114</v>
      </c>
      <c r="B65" s="24" t="s">
        <v>123</v>
      </c>
      <c r="C65" s="24" t="s">
        <v>110</v>
      </c>
      <c r="D65" s="24"/>
      <c r="E65" s="24"/>
      <c r="F65" s="24"/>
      <c r="G65" s="24"/>
      <c r="H65" s="24"/>
      <c r="I65" s="24"/>
      <c r="J65" s="24"/>
      <c r="K65" s="24"/>
      <c r="L65" s="24"/>
      <c r="M65" s="24"/>
      <c r="N65" s="24"/>
      <c r="O65" s="24"/>
      <c r="P65" s="24"/>
      <c r="Q65" s="25"/>
    </row>
    <row r="66" spans="1:17" x14ac:dyDescent="0.25">
      <c r="A66" s="26" t="s">
        <v>41</v>
      </c>
      <c r="B66" s="27"/>
      <c r="C66" s="28">
        <f t="shared" ref="C66:J67" ca="1" si="24">SQRT(C58+C62)</f>
        <v>2.4630945559735401E-3</v>
      </c>
      <c r="D66" s="28">
        <f t="shared" ca="1" si="24"/>
        <v>2.1984187614966597E-3</v>
      </c>
      <c r="E66" s="28">
        <f t="shared" ca="1" si="24"/>
        <v>2.3668899613964183E-3</v>
      </c>
      <c r="F66" s="28">
        <f t="shared" ca="1" si="24"/>
        <v>2.5375360432723501E-3</v>
      </c>
      <c r="G66" s="28">
        <f t="shared" ca="1" si="24"/>
        <v>2.3870151862189428E-3</v>
      </c>
      <c r="H66" s="28">
        <f t="shared" ca="1" si="24"/>
        <v>2.4376793033245377E-3</v>
      </c>
      <c r="I66" s="28">
        <f t="shared" ca="1" si="24"/>
        <v>2.1209089610591866E-3</v>
      </c>
      <c r="J66" s="28">
        <f t="shared" ca="1" si="24"/>
        <v>2.4129648985942798E-3</v>
      </c>
      <c r="K66" s="28"/>
      <c r="L66" s="28">
        <f ca="1">SQRT(L58+L62)</f>
        <v>2.3699138497930415E-3</v>
      </c>
      <c r="M66" s="28"/>
      <c r="N66" s="28">
        <f t="shared" ref="N66:Q67" ca="1" si="25">SQRT(N58+N62)</f>
        <v>2.1989604083284681E-3</v>
      </c>
      <c r="O66" s="28">
        <f t="shared" ca="1" si="25"/>
        <v>1.3694751380516803E-3</v>
      </c>
      <c r="P66" s="28">
        <f t="shared" ca="1" si="25"/>
        <v>1.3052104687672217E-3</v>
      </c>
      <c r="Q66" s="29">
        <f t="shared" ca="1" si="25"/>
        <v>1.9037134999601538E-3</v>
      </c>
    </row>
    <row r="67" spans="1:17" x14ac:dyDescent="0.25">
      <c r="A67" s="30" t="s">
        <v>40</v>
      </c>
      <c r="B67" s="31"/>
      <c r="C67" s="32">
        <f t="shared" ca="1" si="24"/>
        <v>3.4427072247722019E-3</v>
      </c>
      <c r="D67" s="32">
        <f t="shared" ca="1" si="24"/>
        <v>3.3189316450418023E-3</v>
      </c>
      <c r="E67" s="32">
        <f t="shared" ca="1" si="24"/>
        <v>3.1942952042832164E-3</v>
      </c>
      <c r="F67" s="32">
        <f t="shared" ca="1" si="24"/>
        <v>3.1599891775156408E-3</v>
      </c>
      <c r="G67" s="32">
        <f t="shared" ca="1" si="24"/>
        <v>3.5319905084788385E-3</v>
      </c>
      <c r="H67" s="32">
        <f t="shared" ca="1" si="24"/>
        <v>3.4137435936434759E-3</v>
      </c>
      <c r="I67" s="32">
        <f t="shared" ca="1" si="24"/>
        <v>3.0796616351944288E-3</v>
      </c>
      <c r="J67" s="32">
        <f t="shared" ca="1" si="24"/>
        <v>3.5227101849072827E-3</v>
      </c>
      <c r="K67" s="32"/>
      <c r="L67" s="32">
        <f ca="1">SQRT(L59+L63)</f>
        <v>3.0108009684029881E-3</v>
      </c>
      <c r="M67" s="32"/>
      <c r="N67" s="32">
        <f t="shared" ca="1" si="25"/>
        <v>3.234624719154281E-3</v>
      </c>
      <c r="O67" s="32">
        <f t="shared" ca="1" si="25"/>
        <v>1.9792418407408598E-3</v>
      </c>
      <c r="P67" s="32">
        <f t="shared" ca="1" si="25"/>
        <v>1.8909085973250748E-3</v>
      </c>
      <c r="Q67" s="33">
        <f t="shared" ca="1" si="25"/>
        <v>2.7040885913398168E-3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KIE </vt:lpstr>
      <vt:lpstr>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2021-08-29T05:59:25Z</dcterms:created>
  <dcterms:modified xsi:type="dcterms:W3CDTF">2021-09-12T15:06:50Z</dcterms:modified>
</cp:coreProperties>
</file>